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3.xml" ContentType="application/vnd.openxmlformats-officedocument.drawing+xml"/>
  <Override PartName="/xl/drawings/drawing24.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DB7ACF84-4B27-49DE-8CD1-C1B4C7278389}" xr6:coauthVersionLast="47" xr6:coauthVersionMax="47" xr10:uidLastSave="{00000000-0000-0000-0000-000000000000}"/>
  <bookViews>
    <workbookView xWindow="-120" yWindow="-120" windowWidth="29040" windowHeight="15840" xr2:uid="{00000000-000D-0000-FFFF-FFFF00000000}"/>
  </bookViews>
  <sheets>
    <sheet name="Nota" sheetId="2" r:id="rId1"/>
    <sheet name="contenu du classeur" sheetId="56" r:id="rId2"/>
    <sheet name="différence Portion et Poids" sheetId="60" r:id="rId3"/>
    <sheet name=" M.emploi Modèle.8.A" sheetId="3" r:id="rId4"/>
    <sheet name="Modèle 8.A-Frechede" sheetId="4" r:id="rId5"/>
    <sheet name="M.emploi Modèle 8.B" sheetId="6" r:id="rId6"/>
    <sheet name="Modèle 8.B .Frechede" sheetId="5" r:id="rId7"/>
    <sheet name="Modèle 8.C" sheetId="54" r:id="rId8"/>
    <sheet name="MERCURIALE" sheetId="38" r:id="rId9"/>
    <sheet name="FF.8.B.Terrine de langoustine" sheetId="7" r:id="rId10"/>
    <sheet name="patience tomate iceberg (2)" sheetId="45" r:id="rId11"/>
    <sheet name="bouchées de foie gras (2)" sheetId="52" r:id="rId12"/>
    <sheet name="cromesquis de brie (2)" sheetId="41" r:id="rId13"/>
    <sheet name="creme glacée au céléri (2)" sheetId="40" r:id="rId14"/>
    <sheet name="nikujyaga (2)" sheetId="48" r:id="rId15"/>
    <sheet name="nigri-sushi-maki (2)" sheetId="47" r:id="rId16"/>
    <sheet name="dorayaki (2)" sheetId="49" r:id="rId17"/>
    <sheet name="soupe miso (2)" sheetId="50" r:id="rId18"/>
    <sheet name="tsukune de volaille (2)" sheetId="51" r:id="rId19"/>
    <sheet name="supreme de volaille" sheetId="22" r:id="rId20"/>
    <sheet name="pigeonneau (2)" sheetId="43" r:id="rId21"/>
    <sheet name="st jacques et rizotto (2)" sheetId="42" r:id="rId22"/>
    <sheet name="rouget plancha (2)" sheetId="44" r:id="rId23"/>
    <sheet name="verrine rhubarbe (2)" sheetId="46" r:id="rId24"/>
    <sheet name="sphère chocolat (2)" sheetId="53" r:id="rId25"/>
    <sheet name="sorbet bergamote" sheetId="34" r:id="rId26"/>
    <sheet name="sorbet bergamote 2" sheetId="30" r:id="rId27"/>
    <sheet name="Mode emploi.Sorbet.bergamote" sheetId="37" r:id="rId28"/>
    <sheet name="Formats-formules-pourcentages" sheetId="10" r:id="rId29"/>
    <sheet name="Conversions en Kg" sheetId="57" r:id="rId30"/>
    <sheet name="Contenants" sheetId="8" r:id="rId31"/>
    <sheet name="Formats-Formules-Fonctions" sheetId="61" r:id="rId32"/>
    <sheet name="Cuisiniers.Pesez" sheetId="62" r:id="rId33"/>
    <sheet name="Vocabulaire" sheetId="63" r:id="rId34"/>
    <sheet name="Polices de Symboles" sheetId="64" r:id="rId35"/>
    <sheet name="Emoticones " sheetId="65" r:id="rId36"/>
    <sheet name="Tutos Youtube" sheetId="66" r:id="rId37"/>
    <sheet name="CODES COULEURS" sheetId="67" r:id="rId38"/>
  </sheets>
  <definedNames>
    <definedName name="_xlnm._FilterDatabase" localSheetId="3" hidden="1">' M.emploi Modèle.8.A'!#REF!</definedName>
    <definedName name="_xlnm._FilterDatabase" localSheetId="9" hidden="1">'FF.8.B.Terrine de langoustine'!#REF!</definedName>
    <definedName name="_xlnm._FilterDatabase" localSheetId="5" hidden="1">'M.emploi Modèle 8.B'!#REF!</definedName>
    <definedName name="_xlnm._FilterDatabase" localSheetId="4" hidden="1">'Modèle 8.A-Frechede'!#REF!</definedName>
    <definedName name="_xlnm._FilterDatabase" localSheetId="6" hidden="1">'Modèle 8.B .Frechede'!#REF!</definedName>
    <definedName name="_xlnm._FilterDatabase" localSheetId="0" hidden="1">Nota!#REF!</definedName>
    <definedName name="_xlnm._FilterDatabase" localSheetId="33" hidden="1">Vocabulaire!#REF!</definedName>
    <definedName name="_xlnm.Print_Area" localSheetId="19">'supreme de volaille'!$A$1:$L$50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67" l="1"/>
  <c r="O8" i="66"/>
  <c r="AB1" i="65"/>
  <c r="Q135" i="64"/>
  <c r="D135" i="64"/>
  <c r="Q93" i="64"/>
  <c r="D93" i="64"/>
  <c r="Q51" i="64"/>
  <c r="D51" i="64"/>
  <c r="Q9" i="64"/>
  <c r="D9" i="64"/>
  <c r="B7" i="64"/>
  <c r="V6" i="63"/>
  <c r="L6" i="63"/>
  <c r="B6" i="63"/>
  <c r="AH5" i="63"/>
  <c r="I1" i="63"/>
  <c r="C824" i="62"/>
  <c r="K817" i="62"/>
  <c r="J817" i="62"/>
  <c r="I817" i="62"/>
  <c r="H817" i="62"/>
  <c r="G817" i="62"/>
  <c r="M816" i="62"/>
  <c r="K814" i="62"/>
  <c r="J814" i="62"/>
  <c r="I814" i="62"/>
  <c r="H814" i="62"/>
  <c r="G814" i="62"/>
  <c r="M813" i="62"/>
  <c r="K813" i="62"/>
  <c r="K816" i="62" s="1"/>
  <c r="J813" i="62"/>
  <c r="J816" i="62" s="1"/>
  <c r="I813" i="62"/>
  <c r="I816" i="62" s="1"/>
  <c r="H813" i="62"/>
  <c r="H816" i="62" s="1"/>
  <c r="G813" i="62"/>
  <c r="L813" i="62" s="1"/>
  <c r="L812" i="62"/>
  <c r="K806" i="62"/>
  <c r="J806" i="62"/>
  <c r="I806" i="62"/>
  <c r="H806" i="62"/>
  <c r="G806" i="62"/>
  <c r="L805" i="62"/>
  <c r="C788" i="62"/>
  <c r="K781" i="62"/>
  <c r="J781" i="62"/>
  <c r="I781" i="62"/>
  <c r="H781" i="62"/>
  <c r="G781" i="62"/>
  <c r="M780" i="62"/>
  <c r="K778" i="62"/>
  <c r="J778" i="62"/>
  <c r="I778" i="62"/>
  <c r="H778" i="62"/>
  <c r="G778" i="62"/>
  <c r="M777" i="62"/>
  <c r="K777" i="62"/>
  <c r="K780" i="62" s="1"/>
  <c r="J777" i="62"/>
  <c r="J780" i="62" s="1"/>
  <c r="I777" i="62"/>
  <c r="I780" i="62" s="1"/>
  <c r="H777" i="62"/>
  <c r="H780" i="62" s="1"/>
  <c r="G777" i="62"/>
  <c r="G780" i="62" s="1"/>
  <c r="L776" i="62"/>
  <c r="L775" i="62"/>
  <c r="H755" i="62"/>
  <c r="F755" i="62"/>
  <c r="I754" i="62"/>
  <c r="I755" i="62" s="1"/>
  <c r="H754" i="62"/>
  <c r="G754" i="62"/>
  <c r="G755" i="62" s="1"/>
  <c r="F754" i="62"/>
  <c r="J754" i="62" s="1"/>
  <c r="J751" i="62"/>
  <c r="G738" i="62"/>
  <c r="G737" i="62"/>
  <c r="G736" i="62"/>
  <c r="G735" i="62"/>
  <c r="G734" i="62"/>
  <c r="G733" i="62"/>
  <c r="G732" i="62"/>
  <c r="G731" i="62"/>
  <c r="G730" i="62"/>
  <c r="G729" i="62"/>
  <c r="G728" i="62"/>
  <c r="G727" i="62"/>
  <c r="G724" i="62"/>
  <c r="M718" i="62"/>
  <c r="L718" i="62"/>
  <c r="J718" i="62"/>
  <c r="M717" i="62"/>
  <c r="L717" i="62"/>
  <c r="J717" i="62"/>
  <c r="L711" i="62"/>
  <c r="L710" i="62"/>
  <c r="J701" i="62"/>
  <c r="I701" i="62" s="1"/>
  <c r="C701" i="62" s="1"/>
  <c r="E701" i="62" s="1"/>
  <c r="D701" i="62"/>
  <c r="D700" i="62"/>
  <c r="J700" i="62" s="1"/>
  <c r="I700" i="62" s="1"/>
  <c r="C700" i="62" s="1"/>
  <c r="E700" i="62" s="1"/>
  <c r="J699" i="62"/>
  <c r="I699" i="62" s="1"/>
  <c r="C699" i="62" s="1"/>
  <c r="E699" i="62" s="1"/>
  <c r="D699" i="62"/>
  <c r="D698" i="62"/>
  <c r="J698" i="62" s="1"/>
  <c r="I698" i="62" s="1"/>
  <c r="C698" i="62" s="1"/>
  <c r="J697" i="62"/>
  <c r="I697" i="62" s="1"/>
  <c r="C697" i="62" s="1"/>
  <c r="E697" i="62" s="1"/>
  <c r="D697" i="62"/>
  <c r="G671" i="62"/>
  <c r="G669" i="62"/>
  <c r="G667" i="62"/>
  <c r="L665" i="62"/>
  <c r="K665" i="62"/>
  <c r="J665" i="62"/>
  <c r="I665" i="62"/>
  <c r="H665" i="62"/>
  <c r="G663" i="62"/>
  <c r="G662" i="62"/>
  <c r="G661" i="62"/>
  <c r="G660" i="62"/>
  <c r="G659" i="62"/>
  <c r="G656" i="62"/>
  <c r="J653" i="62"/>
  <c r="G653" i="62"/>
  <c r="C651" i="62"/>
  <c r="F644" i="62"/>
  <c r="G637" i="62"/>
  <c r="H637" i="62" s="1"/>
  <c r="K637" i="62" s="1"/>
  <c r="G636" i="62"/>
  <c r="G640" i="62" s="1"/>
  <c r="H640" i="62" s="1"/>
  <c r="K640" i="62" s="1"/>
  <c r="G634" i="62"/>
  <c r="F599" i="62"/>
  <c r="H599" i="62" s="1"/>
  <c r="F598" i="62"/>
  <c r="H598" i="62" s="1"/>
  <c r="F597" i="62"/>
  <c r="H597" i="62" s="1"/>
  <c r="F596" i="62"/>
  <c r="H596" i="62" s="1"/>
  <c r="F595" i="62"/>
  <c r="H595" i="62" s="1"/>
  <c r="F594" i="62"/>
  <c r="H594" i="62" s="1"/>
  <c r="B593" i="62"/>
  <c r="E592" i="62"/>
  <c r="D592" i="62"/>
  <c r="G588" i="62"/>
  <c r="H588" i="62" s="1"/>
  <c r="H585" i="62"/>
  <c r="N578" i="62"/>
  <c r="M578" i="62"/>
  <c r="M575" i="62"/>
  <c r="N575" i="62" s="1"/>
  <c r="H575" i="62"/>
  <c r="H574" i="62"/>
  <c r="M571" i="62"/>
  <c r="N571" i="62" s="1"/>
  <c r="N568" i="62"/>
  <c r="N567" i="62"/>
  <c r="H567" i="62"/>
  <c r="H568" i="62" s="1"/>
  <c r="N566" i="62"/>
  <c r="L543" i="62"/>
  <c r="G543" i="62"/>
  <c r="E543" i="62"/>
  <c r="N542" i="62"/>
  <c r="N543" i="62" s="1"/>
  <c r="L542" i="62"/>
  <c r="J542" i="62"/>
  <c r="J543" i="62" s="1"/>
  <c r="G542" i="62"/>
  <c r="E542" i="62"/>
  <c r="C542" i="62"/>
  <c r="C543" i="62" s="1"/>
  <c r="N539" i="62"/>
  <c r="G539" i="62"/>
  <c r="G538" i="62" s="1"/>
  <c r="N538" i="62"/>
  <c r="L538" i="62"/>
  <c r="L539" i="62" s="1"/>
  <c r="J538" i="62"/>
  <c r="J539" i="62" s="1"/>
  <c r="E538" i="62"/>
  <c r="E539" i="62" s="1"/>
  <c r="C538" i="62"/>
  <c r="C539" i="62" s="1"/>
  <c r="G530" i="62"/>
  <c r="G529" i="62" s="1"/>
  <c r="D530" i="62"/>
  <c r="J529" i="62"/>
  <c r="J530" i="62" s="1"/>
  <c r="D529" i="62"/>
  <c r="J525" i="62"/>
  <c r="G525" i="62"/>
  <c r="D525" i="62"/>
  <c r="J524" i="62"/>
  <c r="G524" i="62"/>
  <c r="D524" i="62"/>
  <c r="K511" i="62"/>
  <c r="G511" i="62"/>
  <c r="B511" i="62"/>
  <c r="J510" i="62"/>
  <c r="G510" i="62"/>
  <c r="I510" i="62" s="1"/>
  <c r="E510" i="62"/>
  <c r="B510" i="62"/>
  <c r="D510" i="62" s="1"/>
  <c r="M508" i="62"/>
  <c r="K510" i="62" s="1"/>
  <c r="I508" i="62"/>
  <c r="D508" i="62"/>
  <c r="N507" i="62"/>
  <c r="J507" i="62"/>
  <c r="A501" i="62"/>
  <c r="B500" i="62"/>
  <c r="B496" i="62"/>
  <c r="F491" i="62"/>
  <c r="A475" i="62"/>
  <c r="B474" i="62"/>
  <c r="C467" i="62"/>
  <c r="J463" i="62"/>
  <c r="J466" i="62" s="1"/>
  <c r="N461" i="62"/>
  <c r="L463" i="62" s="1"/>
  <c r="L466" i="62" s="1"/>
  <c r="E460" i="62"/>
  <c r="E467" i="62" s="1"/>
  <c r="L439" i="62"/>
  <c r="K439" i="62"/>
  <c r="M438" i="62"/>
  <c r="K438" i="62"/>
  <c r="M437" i="62"/>
  <c r="L437" i="62"/>
  <c r="H429" i="62"/>
  <c r="G429" i="62"/>
  <c r="F429" i="62"/>
  <c r="G428" i="62"/>
  <c r="I428" i="62" s="1"/>
  <c r="F428" i="62"/>
  <c r="I427" i="62"/>
  <c r="H427" i="62"/>
  <c r="F427" i="62"/>
  <c r="G426" i="62"/>
  <c r="H426" i="62" s="1"/>
  <c r="I426" i="62" s="1"/>
  <c r="M416" i="62"/>
  <c r="N416" i="62" s="1"/>
  <c r="F416" i="62"/>
  <c r="G416" i="62" s="1"/>
  <c r="M415" i="62"/>
  <c r="N415" i="62" s="1"/>
  <c r="F415" i="62"/>
  <c r="G415" i="62" s="1"/>
  <c r="M414" i="62"/>
  <c r="N414" i="62" s="1"/>
  <c r="F414" i="62"/>
  <c r="G414" i="62" s="1"/>
  <c r="M413" i="62"/>
  <c r="N413" i="62" s="1"/>
  <c r="F413" i="62"/>
  <c r="G413" i="62" s="1"/>
  <c r="M412" i="62"/>
  <c r="N412" i="62" s="1"/>
  <c r="J412" i="62"/>
  <c r="G412" i="62"/>
  <c r="F412" i="62"/>
  <c r="C412" i="62"/>
  <c r="H384" i="62"/>
  <c r="J384" i="62" s="1"/>
  <c r="E359" i="62"/>
  <c r="I347" i="62"/>
  <c r="H347" i="62"/>
  <c r="E347" i="62" s="1"/>
  <c r="G347" i="62"/>
  <c r="F347" i="62"/>
  <c r="D347" i="62"/>
  <c r="C347" i="62"/>
  <c r="L347" i="62" s="1"/>
  <c r="M348" i="62" s="1"/>
  <c r="M345" i="62"/>
  <c r="C345" i="62"/>
  <c r="L343" i="62"/>
  <c r="I339" i="62"/>
  <c r="F339" i="62" s="1"/>
  <c r="H339" i="62"/>
  <c r="G339" i="62"/>
  <c r="E339" i="62"/>
  <c r="D339" i="62"/>
  <c r="C339" i="62"/>
  <c r="M339" i="62" s="1"/>
  <c r="J318" i="62"/>
  <c r="K311" i="62"/>
  <c r="K307" i="62"/>
  <c r="I307" i="62"/>
  <c r="M297" i="62"/>
  <c r="F295" i="62"/>
  <c r="M293" i="62"/>
  <c r="M289" i="62"/>
  <c r="K289" i="62"/>
  <c r="M275" i="62"/>
  <c r="N275" i="62" s="1"/>
  <c r="N271" i="62" s="1"/>
  <c r="L275" i="62" s="1"/>
  <c r="K271" i="62"/>
  <c r="M271" i="62" s="1"/>
  <c r="F263" i="62"/>
  <c r="E263" i="62"/>
  <c r="I260" i="62"/>
  <c r="E260" i="62"/>
  <c r="F260" i="62" s="1"/>
  <c r="N258" i="62"/>
  <c r="F257" i="62"/>
  <c r="N256" i="62"/>
  <c r="F168" i="62"/>
  <c r="D168" i="62" s="1"/>
  <c r="D165" i="62"/>
  <c r="C117" i="62"/>
  <c r="C114" i="62"/>
  <c r="C111" i="62"/>
  <c r="D104" i="62"/>
  <c r="H102" i="62"/>
  <c r="E102" i="62"/>
  <c r="H100" i="62"/>
  <c r="E100" i="62"/>
  <c r="Q1" i="62"/>
  <c r="P1" i="62"/>
  <c r="O1" i="62"/>
  <c r="N1" i="62"/>
  <c r="M1" i="62"/>
  <c r="L1" i="62"/>
  <c r="K1" i="62"/>
  <c r="J1" i="62"/>
  <c r="I1" i="62"/>
  <c r="H1" i="62"/>
  <c r="G1" i="62"/>
  <c r="F1" i="62"/>
  <c r="E1" i="62"/>
  <c r="D1" i="62"/>
  <c r="C1" i="62"/>
  <c r="B1" i="62"/>
  <c r="A1" i="62"/>
  <c r="C182" i="61"/>
  <c r="B182" i="61"/>
  <c r="C181" i="61"/>
  <c r="B181" i="61"/>
  <c r="B180" i="61"/>
  <c r="C170" i="61"/>
  <c r="B170" i="61"/>
  <c r="C167" i="61"/>
  <c r="B167" i="61"/>
  <c r="B166" i="61"/>
  <c r="B159" i="61"/>
  <c r="B156" i="61"/>
  <c r="C149" i="61"/>
  <c r="C156" i="61" s="1"/>
  <c r="C159" i="61" s="1"/>
  <c r="B149" i="61"/>
  <c r="C146" i="61"/>
  <c r="B146" i="61"/>
  <c r="C143" i="61"/>
  <c r="B143" i="61"/>
  <c r="C140" i="61"/>
  <c r="B140" i="61"/>
  <c r="C137" i="61"/>
  <c r="B137" i="61"/>
  <c r="D131" i="61"/>
  <c r="D130" i="61"/>
  <c r="D129" i="61"/>
  <c r="D128" i="61"/>
  <c r="D127" i="61"/>
  <c r="B127" i="61"/>
  <c r="D118" i="61"/>
  <c r="D117" i="61"/>
  <c r="D116" i="61"/>
  <c r="D115" i="61"/>
  <c r="D114" i="61"/>
  <c r="B114" i="61"/>
  <c r="E107" i="61"/>
  <c r="B107" i="61"/>
  <c r="B101" i="61"/>
  <c r="C100" i="61"/>
  <c r="B95" i="61"/>
  <c r="C94" i="61"/>
  <c r="B89" i="61"/>
  <c r="C88" i="61"/>
  <c r="B83" i="61"/>
  <c r="C77" i="61"/>
  <c r="B77" i="61"/>
  <c r="B69" i="61"/>
  <c r="B64" i="61"/>
  <c r="C63" i="61" a="1"/>
  <c r="C63" i="61" s="1"/>
  <c r="B58" i="61"/>
  <c r="C57" i="61" a="1"/>
  <c r="C57" i="61" s="1"/>
  <c r="B52" i="61"/>
  <c r="C51" i="61"/>
  <c r="B46" i="61"/>
  <c r="C45" i="61" a="1"/>
  <c r="C45" i="61" s="1"/>
  <c r="B40" i="61"/>
  <c r="C39" i="61"/>
  <c r="B34" i="61"/>
  <c r="C33" i="61"/>
  <c r="F15" i="61"/>
  <c r="L13" i="61"/>
  <c r="E12" i="61"/>
  <c r="L10" i="61"/>
  <c r="E10" i="61"/>
  <c r="L8" i="61"/>
  <c r="E8" i="61"/>
  <c r="AA1" i="61"/>
  <c r="Z1" i="61"/>
  <c r="Y1" i="61"/>
  <c r="X1" i="61"/>
  <c r="W1" i="61"/>
  <c r="V1" i="61"/>
  <c r="U1" i="61"/>
  <c r="T1" i="61"/>
  <c r="S1" i="61"/>
  <c r="R1" i="61"/>
  <c r="Q1" i="61"/>
  <c r="P1" i="61"/>
  <c r="O1" i="61"/>
  <c r="N1" i="61"/>
  <c r="M1" i="61"/>
  <c r="L1" i="61"/>
  <c r="K1" i="61"/>
  <c r="J1" i="61"/>
  <c r="I1" i="61"/>
  <c r="H1" i="61"/>
  <c r="G1" i="61"/>
  <c r="F1" i="61"/>
  <c r="E1" i="61"/>
  <c r="D1" i="61"/>
  <c r="C1" i="61"/>
  <c r="B1" i="61"/>
  <c r="A1" i="61"/>
  <c r="Z8" i="2"/>
  <c r="J14" i="37"/>
  <c r="A244" i="34"/>
  <c r="A245" i="34" s="1"/>
  <c r="A246" i="34" s="1"/>
  <c r="A223" i="34"/>
  <c r="A222" i="34"/>
  <c r="A212" i="34"/>
  <c r="A186" i="34"/>
  <c r="A187" i="34" s="1"/>
  <c r="A163" i="34"/>
  <c r="A162" i="34"/>
  <c r="A139" i="34"/>
  <c r="A138" i="34"/>
  <c r="A119" i="34"/>
  <c r="A120" i="34" s="1"/>
  <c r="A109" i="34"/>
  <c r="A89" i="34"/>
  <c r="A76" i="34"/>
  <c r="A98" i="54"/>
  <c r="E78" i="54"/>
  <c r="A78" i="54"/>
  <c r="A7" i="54"/>
  <c r="B127" i="4"/>
  <c r="H43" i="60"/>
  <c r="B43" i="60"/>
  <c r="Q41" i="60" s="1"/>
  <c r="Q42" i="60"/>
  <c r="D42" i="60"/>
  <c r="D41" i="60"/>
  <c r="D40" i="60"/>
  <c r="D39" i="60"/>
  <c r="D38" i="60"/>
  <c r="D37" i="60"/>
  <c r="D36" i="60"/>
  <c r="D35" i="60"/>
  <c r="D43" i="60" s="1"/>
  <c r="Q31" i="60"/>
  <c r="O31" i="60"/>
  <c r="I31" i="60"/>
  <c r="H24" i="60"/>
  <c r="B24" i="60"/>
  <c r="D23" i="60"/>
  <c r="D22" i="60"/>
  <c r="D21" i="60"/>
  <c r="D20" i="60"/>
  <c r="D19" i="60"/>
  <c r="D18" i="60"/>
  <c r="D17" i="60"/>
  <c r="O16" i="60"/>
  <c r="D16" i="60"/>
  <c r="D24" i="60" s="1"/>
  <c r="O15" i="60"/>
  <c r="I12" i="60"/>
  <c r="C168" i="61"/>
  <c r="C160" i="61"/>
  <c r="G143" i="61"/>
  <c r="E114" i="61"/>
  <c r="C89" i="61"/>
  <c r="C78" i="61"/>
  <c r="C64" i="61"/>
  <c r="C58" i="61"/>
  <c r="C52" i="61"/>
  <c r="G12" i="61"/>
  <c r="G10" i="61"/>
  <c r="G8" i="61"/>
  <c r="C46" i="61"/>
  <c r="G181" i="61"/>
  <c r="C171" i="61"/>
  <c r="G146" i="61"/>
  <c r="E127" i="61"/>
  <c r="C95" i="61"/>
  <c r="F16" i="61"/>
  <c r="G182" i="61"/>
  <c r="G149" i="61"/>
  <c r="G137" i="61"/>
  <c r="C101" i="61"/>
  <c r="C34" i="61"/>
  <c r="N10" i="61"/>
  <c r="N8" i="61"/>
  <c r="C40" i="61"/>
  <c r="C157" i="61"/>
  <c r="G140" i="61"/>
  <c r="E108" i="61"/>
  <c r="J755" i="62" l="1"/>
  <c r="J756" i="62" s="1"/>
  <c r="J757" i="62" s="1"/>
  <c r="L780" i="62"/>
  <c r="M510" i="62"/>
  <c r="L510" i="62"/>
  <c r="N510" i="62"/>
  <c r="H593" i="62"/>
  <c r="M347" i="62"/>
  <c r="I463" i="62"/>
  <c r="I466" i="62" s="1"/>
  <c r="M463" i="62"/>
  <c r="M466" i="62" s="1"/>
  <c r="G639" i="62"/>
  <c r="H639" i="62" s="1"/>
  <c r="K639" i="62" s="1"/>
  <c r="G643" i="62"/>
  <c r="H643" i="62" s="1"/>
  <c r="K643" i="62" s="1"/>
  <c r="E698" i="62"/>
  <c r="AH6" i="63"/>
  <c r="G638" i="62"/>
  <c r="H638" i="62" s="1"/>
  <c r="K638" i="62" s="1"/>
  <c r="G642" i="62"/>
  <c r="H642" i="62" s="1"/>
  <c r="K642" i="62" s="1"/>
  <c r="L339" i="62"/>
  <c r="M340" i="62" s="1"/>
  <c r="M336" i="62" s="1"/>
  <c r="K463" i="62"/>
  <c r="K466" i="62" s="1"/>
  <c r="C510" i="62"/>
  <c r="H510" i="62"/>
  <c r="G641" i="62"/>
  <c r="H641" i="62" s="1"/>
  <c r="K641" i="62" s="1"/>
  <c r="G816" i="62"/>
  <c r="L816" i="62" s="1"/>
  <c r="B7" i="63"/>
  <c r="L7" i="63"/>
  <c r="V7" i="63"/>
  <c r="L8" i="63"/>
  <c r="L10" i="63" s="1"/>
  <c r="H463" i="62"/>
  <c r="H466" i="62" s="1"/>
  <c r="N466" i="62" s="1"/>
  <c r="L777" i="62"/>
  <c r="J15" i="37"/>
  <c r="A247" i="34"/>
  <c r="A248" i="34"/>
  <c r="A224" i="34"/>
  <c r="A225" i="34"/>
  <c r="A226" i="34" s="1"/>
  <c r="A213" i="34"/>
  <c r="A214" i="34" s="1"/>
  <c r="A164" i="34"/>
  <c r="A165" i="34" s="1"/>
  <c r="A140" i="34"/>
  <c r="A141" i="34"/>
  <c r="A143" i="34" s="1"/>
  <c r="A142" i="34"/>
  <c r="A110" i="34"/>
  <c r="A111" i="34" s="1"/>
  <c r="A90" i="34"/>
  <c r="A91" i="34" s="1"/>
  <c r="A79" i="34"/>
  <c r="A77" i="34"/>
  <c r="A78" i="34" s="1"/>
  <c r="A101" i="54"/>
  <c r="A99" i="54"/>
  <c r="A100" i="54" s="1"/>
  <c r="E79" i="54"/>
  <c r="A79" i="54"/>
  <c r="A8" i="54"/>
  <c r="B128" i="4"/>
  <c r="L71" i="57"/>
  <c r="L70" i="57"/>
  <c r="L69" i="57"/>
  <c r="F69" i="57"/>
  <c r="L68" i="57"/>
  <c r="F68" i="57"/>
  <c r="L67" i="57"/>
  <c r="F67" i="57"/>
  <c r="L66" i="57"/>
  <c r="F66" i="57"/>
  <c r="L65" i="57"/>
  <c r="F65" i="57"/>
  <c r="L64" i="57"/>
  <c r="F64" i="57"/>
  <c r="L63" i="57"/>
  <c r="L62" i="57"/>
  <c r="F62" i="57"/>
  <c r="R61" i="57"/>
  <c r="L61" i="57"/>
  <c r="F61" i="57"/>
  <c r="R60" i="57"/>
  <c r="L60" i="57"/>
  <c r="F60" i="57"/>
  <c r="R59" i="57"/>
  <c r="L59" i="57"/>
  <c r="F59" i="57"/>
  <c r="R58" i="57"/>
  <c r="L58" i="57"/>
  <c r="F58" i="57"/>
  <c r="R57" i="57"/>
  <c r="L57" i="57"/>
  <c r="R56" i="57"/>
  <c r="L56" i="57"/>
  <c r="F56" i="57"/>
  <c r="R55" i="57"/>
  <c r="L55" i="57"/>
  <c r="R54" i="57"/>
  <c r="L54" i="57"/>
  <c r="F54" i="57"/>
  <c r="R53" i="57"/>
  <c r="L53" i="57"/>
  <c r="F53" i="57"/>
  <c r="R52" i="57"/>
  <c r="L52" i="57"/>
  <c r="F52" i="57"/>
  <c r="R51" i="57"/>
  <c r="L51" i="57"/>
  <c r="F51" i="57"/>
  <c r="L50" i="57"/>
  <c r="F50" i="57"/>
  <c r="R49" i="57"/>
  <c r="L49" i="57"/>
  <c r="F49" i="57"/>
  <c r="R48" i="57"/>
  <c r="L48" i="57"/>
  <c r="F48" i="57"/>
  <c r="R47" i="57"/>
  <c r="L47" i="57"/>
  <c r="F47" i="57"/>
  <c r="R46" i="57"/>
  <c r="F46" i="57"/>
  <c r="R45" i="57"/>
  <c r="L45" i="57"/>
  <c r="F45" i="57"/>
  <c r="R44" i="57"/>
  <c r="L44" i="57"/>
  <c r="F44" i="57"/>
  <c r="R43" i="57"/>
  <c r="L43" i="57"/>
  <c r="F43" i="57"/>
  <c r="R42" i="57"/>
  <c r="L42" i="57"/>
  <c r="F42" i="57"/>
  <c r="R41" i="57"/>
  <c r="L41" i="57"/>
  <c r="F41" i="57"/>
  <c r="R40" i="57"/>
  <c r="L40" i="57"/>
  <c r="F40" i="57"/>
  <c r="R39" i="57"/>
  <c r="L39" i="57"/>
  <c r="F39" i="57"/>
  <c r="R38" i="57"/>
  <c r="L38" i="57"/>
  <c r="F38" i="57"/>
  <c r="L37" i="57"/>
  <c r="F37" i="57"/>
  <c r="R36" i="57"/>
  <c r="L36" i="57"/>
  <c r="R35" i="57"/>
  <c r="L35" i="57"/>
  <c r="F35" i="57"/>
  <c r="R34" i="57"/>
  <c r="L34" i="57"/>
  <c r="F34" i="57"/>
  <c r="R33" i="57"/>
  <c r="F33" i="57"/>
  <c r="R32" i="57"/>
  <c r="L32" i="57"/>
  <c r="F32" i="57"/>
  <c r="R31" i="57"/>
  <c r="L31" i="57"/>
  <c r="F31" i="57"/>
  <c r="R30" i="57"/>
  <c r="F30" i="57"/>
  <c r="R29" i="57"/>
  <c r="L29" i="57"/>
  <c r="F29" i="57"/>
  <c r="R28" i="57"/>
  <c r="L28" i="57"/>
  <c r="F28" i="57"/>
  <c r="R27" i="57"/>
  <c r="L27" i="57"/>
  <c r="F27" i="57"/>
  <c r="R26" i="57"/>
  <c r="L26" i="57"/>
  <c r="F26" i="57"/>
  <c r="R25" i="57"/>
  <c r="L25" i="57"/>
  <c r="F25" i="57"/>
  <c r="R24" i="57"/>
  <c r="L24" i="57"/>
  <c r="F24" i="57"/>
  <c r="R23" i="57"/>
  <c r="L23" i="57"/>
  <c r="F23" i="57"/>
  <c r="R22" i="57"/>
  <c r="L22" i="57"/>
  <c r="F22" i="57"/>
  <c r="R21" i="57"/>
  <c r="L21" i="57"/>
  <c r="F21" i="57"/>
  <c r="R20" i="57"/>
  <c r="L20" i="57"/>
  <c r="F20" i="57"/>
  <c r="R19" i="57"/>
  <c r="L19" i="57"/>
  <c r="F19" i="57"/>
  <c r="R18" i="57"/>
  <c r="L18" i="57"/>
  <c r="R17" i="57"/>
  <c r="F17" i="57"/>
  <c r="R16" i="57"/>
  <c r="L16" i="57"/>
  <c r="F16" i="57"/>
  <c r="R15" i="57"/>
  <c r="L15" i="57"/>
  <c r="F15" i="57"/>
  <c r="R14" i="57"/>
  <c r="F14" i="57"/>
  <c r="R13" i="57"/>
  <c r="L13" i="57"/>
  <c r="F13" i="57"/>
  <c r="L12" i="57"/>
  <c r="F12" i="57"/>
  <c r="R11" i="57"/>
  <c r="L11" i="57"/>
  <c r="F11" i="57"/>
  <c r="R10" i="57"/>
  <c r="L10" i="57"/>
  <c r="F10" i="57"/>
  <c r="AH7" i="63" l="1"/>
  <c r="B8" i="63"/>
  <c r="B9" i="63"/>
  <c r="L11" i="63"/>
  <c r="L12" i="63" s="1"/>
  <c r="V8" i="63"/>
  <c r="L696" i="62"/>
  <c r="F698" i="62" s="1"/>
  <c r="L336" i="62"/>
  <c r="B10" i="63"/>
  <c r="J16" i="37"/>
  <c r="A249" i="34"/>
  <c r="A166" i="34"/>
  <c r="A167" i="34" s="1"/>
  <c r="A168" i="34" s="1"/>
  <c r="A144" i="34"/>
  <c r="A80" i="34"/>
  <c r="A81" i="34" s="1"/>
  <c r="A102" i="54"/>
  <c r="A103" i="54" s="1"/>
  <c r="E80" i="54"/>
  <c r="E81" i="54"/>
  <c r="E82" i="54"/>
  <c r="A80" i="54"/>
  <c r="A9" i="54"/>
  <c r="B129" i="4"/>
  <c r="B130" i="4"/>
  <c r="C59" i="54"/>
  <c r="D59" i="54"/>
  <c r="L59" i="54"/>
  <c r="C60" i="54"/>
  <c r="D60" i="54"/>
  <c r="L60" i="54"/>
  <c r="C61" i="54"/>
  <c r="D61" i="54"/>
  <c r="L61" i="54"/>
  <c r="C62" i="54"/>
  <c r="D62" i="54"/>
  <c r="L62" i="54"/>
  <c r="C63" i="54"/>
  <c r="D63" i="54"/>
  <c r="L63" i="54"/>
  <c r="C64" i="54"/>
  <c r="D64" i="54"/>
  <c r="L64" i="54"/>
  <c r="C65" i="54"/>
  <c r="D65" i="54"/>
  <c r="L65" i="54"/>
  <c r="C39" i="54"/>
  <c r="D39" i="54"/>
  <c r="L39" i="54"/>
  <c r="C40" i="54"/>
  <c r="D40" i="54"/>
  <c r="L40" i="54"/>
  <c r="C41" i="54"/>
  <c r="D41" i="54"/>
  <c r="L41" i="54"/>
  <c r="C42" i="54"/>
  <c r="D42" i="54"/>
  <c r="L42" i="54"/>
  <c r="C43" i="54"/>
  <c r="D43" i="54"/>
  <c r="L43" i="54"/>
  <c r="C34" i="54"/>
  <c r="D34" i="54"/>
  <c r="L34" i="54"/>
  <c r="C35" i="54"/>
  <c r="D35" i="54"/>
  <c r="L35" i="54"/>
  <c r="C36" i="54"/>
  <c r="D36" i="54"/>
  <c r="L36" i="54"/>
  <c r="C37" i="54"/>
  <c r="D37" i="54"/>
  <c r="L37" i="54"/>
  <c r="C38" i="54"/>
  <c r="D38" i="54"/>
  <c r="L38" i="54"/>
  <c r="C12" i="54"/>
  <c r="D12" i="54"/>
  <c r="L12" i="54"/>
  <c r="C13" i="54"/>
  <c r="D13" i="54"/>
  <c r="L13" i="54"/>
  <c r="C14" i="54"/>
  <c r="D14" i="54"/>
  <c r="L14" i="54"/>
  <c r="C15" i="54"/>
  <c r="D15" i="54"/>
  <c r="L15" i="54"/>
  <c r="C16" i="54"/>
  <c r="D16" i="54"/>
  <c r="L16" i="54"/>
  <c r="B2" i="54"/>
  <c r="G698" i="62" l="1"/>
  <c r="K698" i="62"/>
  <c r="L698" i="62" s="1"/>
  <c r="B11" i="63"/>
  <c r="B15" i="63" s="1"/>
  <c r="V9" i="63"/>
  <c r="L13" i="63"/>
  <c r="AH8" i="63"/>
  <c r="F701" i="62"/>
  <c r="F697" i="62"/>
  <c r="F699" i="62"/>
  <c r="F700" i="62"/>
  <c r="B13" i="63"/>
  <c r="L14" i="63"/>
  <c r="J17" i="37"/>
  <c r="A250" i="34"/>
  <c r="A251" i="34" s="1"/>
  <c r="A145" i="34"/>
  <c r="A146" i="34"/>
  <c r="E83" i="54"/>
  <c r="A81" i="54"/>
  <c r="A10" i="54"/>
  <c r="A11" i="54"/>
  <c r="B131" i="4"/>
  <c r="L116" i="54"/>
  <c r="B104" i="54"/>
  <c r="C104" i="54" s="1"/>
  <c r="D104" i="54" s="1"/>
  <c r="K73" i="54"/>
  <c r="I73" i="54"/>
  <c r="A73" i="54"/>
  <c r="A72" i="54"/>
  <c r="L74" i="54" s="1"/>
  <c r="I68" i="54"/>
  <c r="J67" i="54"/>
  <c r="L67" i="54" s="1"/>
  <c r="L66" i="54"/>
  <c r="D66" i="54"/>
  <c r="C66" i="54"/>
  <c r="L58" i="54"/>
  <c r="D58" i="54"/>
  <c r="C58" i="54"/>
  <c r="L57" i="54"/>
  <c r="D57" i="54"/>
  <c r="C57" i="54"/>
  <c r="L56" i="54"/>
  <c r="D56" i="54"/>
  <c r="C56" i="54"/>
  <c r="L55" i="54"/>
  <c r="D55" i="54"/>
  <c r="C55" i="54"/>
  <c r="L54" i="54"/>
  <c r="D54" i="54"/>
  <c r="C54" i="54"/>
  <c r="L53" i="54"/>
  <c r="D53" i="54"/>
  <c r="C53" i="54"/>
  <c r="L52" i="54"/>
  <c r="D52" i="54"/>
  <c r="C52" i="54"/>
  <c r="L51" i="54"/>
  <c r="D51" i="54"/>
  <c r="C51" i="54"/>
  <c r="L50" i="54"/>
  <c r="D50" i="54"/>
  <c r="C50" i="54"/>
  <c r="L49" i="54"/>
  <c r="D49" i="54"/>
  <c r="C49" i="54"/>
  <c r="L48" i="54"/>
  <c r="D48" i="54"/>
  <c r="C48" i="54"/>
  <c r="L47" i="54"/>
  <c r="D47" i="54"/>
  <c r="C47" i="54"/>
  <c r="L46" i="54"/>
  <c r="D46" i="54"/>
  <c r="C46" i="54"/>
  <c r="L45" i="54"/>
  <c r="D45" i="54"/>
  <c r="C45" i="54"/>
  <c r="L44" i="54"/>
  <c r="D44" i="54"/>
  <c r="C44" i="54"/>
  <c r="L33" i="54"/>
  <c r="D33" i="54"/>
  <c r="C33" i="54"/>
  <c r="L32" i="54"/>
  <c r="D32" i="54"/>
  <c r="C32" i="54"/>
  <c r="L31" i="54"/>
  <c r="D31" i="54"/>
  <c r="C31" i="54"/>
  <c r="L30" i="54"/>
  <c r="D30" i="54"/>
  <c r="C30" i="54"/>
  <c r="L29" i="54"/>
  <c r="D29" i="54"/>
  <c r="C29" i="54"/>
  <c r="L28" i="54"/>
  <c r="D28" i="54"/>
  <c r="C28" i="54"/>
  <c r="L27" i="54"/>
  <c r="D27" i="54"/>
  <c r="C27" i="54"/>
  <c r="L26" i="54"/>
  <c r="D26" i="54"/>
  <c r="C26" i="54"/>
  <c r="L25" i="54"/>
  <c r="D25" i="54"/>
  <c r="C25" i="54"/>
  <c r="L24" i="54"/>
  <c r="D24" i="54"/>
  <c r="C24" i="54"/>
  <c r="L23" i="54"/>
  <c r="D23" i="54"/>
  <c r="C23" i="54"/>
  <c r="L22" i="54"/>
  <c r="D22" i="54"/>
  <c r="C22" i="54"/>
  <c r="L21" i="54"/>
  <c r="D21" i="54"/>
  <c r="C21" i="54"/>
  <c r="L20" i="54"/>
  <c r="D20" i="54"/>
  <c r="C20" i="54"/>
  <c r="L19" i="54"/>
  <c r="D19" i="54"/>
  <c r="C19" i="54"/>
  <c r="L18" i="54"/>
  <c r="D18" i="54"/>
  <c r="C18" i="54"/>
  <c r="L17" i="54"/>
  <c r="D17" i="54"/>
  <c r="C17" i="54"/>
  <c r="L11" i="54"/>
  <c r="D11" i="54"/>
  <c r="C11" i="54"/>
  <c r="L10" i="54"/>
  <c r="D10" i="54"/>
  <c r="C10" i="54"/>
  <c r="L9" i="54"/>
  <c r="D9" i="54"/>
  <c r="C9" i="54"/>
  <c r="D8" i="54"/>
  <c r="C8" i="54"/>
  <c r="D7" i="54"/>
  <c r="C7" i="54"/>
  <c r="I6" i="54"/>
  <c r="H6" i="54"/>
  <c r="G6" i="54"/>
  <c r="F6" i="54"/>
  <c r="E6" i="54"/>
  <c r="D6" i="54"/>
  <c r="C6" i="54"/>
  <c r="I2" i="54"/>
  <c r="H66" i="54" s="1"/>
  <c r="I48" i="53"/>
  <c r="D46" i="53"/>
  <c r="C46" i="53"/>
  <c r="D45" i="53"/>
  <c r="C45" i="53"/>
  <c r="D44" i="53"/>
  <c r="C44" i="53"/>
  <c r="I43" i="53"/>
  <c r="D43" i="53"/>
  <c r="C43" i="53"/>
  <c r="D42" i="53"/>
  <c r="C42" i="53"/>
  <c r="D41" i="53"/>
  <c r="C41" i="53"/>
  <c r="D40" i="53"/>
  <c r="C40" i="53"/>
  <c r="D39" i="53"/>
  <c r="C39" i="53"/>
  <c r="D38" i="53"/>
  <c r="C38" i="53"/>
  <c r="H37" i="53"/>
  <c r="D37" i="53"/>
  <c r="C37" i="53"/>
  <c r="D36" i="53"/>
  <c r="C36" i="53"/>
  <c r="D35" i="53"/>
  <c r="C35" i="53"/>
  <c r="D34" i="53"/>
  <c r="C34" i="53"/>
  <c r="D33" i="53"/>
  <c r="C33" i="53"/>
  <c r="D32" i="53"/>
  <c r="C32" i="53"/>
  <c r="D31" i="53"/>
  <c r="C31" i="53"/>
  <c r="D30" i="53"/>
  <c r="C30" i="53"/>
  <c r="D29" i="53"/>
  <c r="C29" i="53"/>
  <c r="D28" i="53"/>
  <c r="C28" i="53"/>
  <c r="H27" i="53"/>
  <c r="D27" i="53"/>
  <c r="C27" i="53"/>
  <c r="H26" i="53"/>
  <c r="G26" i="53"/>
  <c r="D26" i="53"/>
  <c r="C26" i="53"/>
  <c r="F25" i="53"/>
  <c r="D25" i="53"/>
  <c r="C25" i="53"/>
  <c r="I24" i="53"/>
  <c r="E24" i="53"/>
  <c r="D24" i="53"/>
  <c r="C24" i="53"/>
  <c r="H23" i="53"/>
  <c r="D23" i="53"/>
  <c r="C23" i="53"/>
  <c r="G22" i="53"/>
  <c r="D22" i="53"/>
  <c r="C22" i="53"/>
  <c r="F21" i="53"/>
  <c r="D21" i="53"/>
  <c r="C21" i="53"/>
  <c r="I20" i="53"/>
  <c r="E20" i="53"/>
  <c r="D20" i="53"/>
  <c r="C20" i="53"/>
  <c r="H19" i="53"/>
  <c r="D19" i="53"/>
  <c r="C19" i="53"/>
  <c r="G18" i="53"/>
  <c r="D18" i="53"/>
  <c r="C18" i="53"/>
  <c r="F17" i="53"/>
  <c r="D17" i="53"/>
  <c r="C17" i="53"/>
  <c r="I16" i="53"/>
  <c r="E16" i="53"/>
  <c r="D16" i="53"/>
  <c r="C16" i="53"/>
  <c r="H15" i="53"/>
  <c r="D15" i="53"/>
  <c r="C15" i="53"/>
  <c r="G14" i="53"/>
  <c r="D14" i="53"/>
  <c r="C14" i="53"/>
  <c r="H13" i="53"/>
  <c r="F13" i="53"/>
  <c r="D13" i="53"/>
  <c r="C13" i="53"/>
  <c r="I12" i="53"/>
  <c r="F12" i="53"/>
  <c r="E12" i="53"/>
  <c r="D12" i="53"/>
  <c r="C12" i="53"/>
  <c r="H11" i="53"/>
  <c r="F11" i="53"/>
  <c r="D11" i="53"/>
  <c r="C11" i="53"/>
  <c r="G10" i="53"/>
  <c r="D10" i="53"/>
  <c r="C10" i="53"/>
  <c r="G9" i="53"/>
  <c r="F9" i="53"/>
  <c r="D9" i="53"/>
  <c r="C9" i="53"/>
  <c r="I8" i="53"/>
  <c r="E8" i="53"/>
  <c r="D8" i="53"/>
  <c r="C8" i="53"/>
  <c r="H7" i="53"/>
  <c r="D7" i="53"/>
  <c r="C7" i="53"/>
  <c r="I6" i="53"/>
  <c r="H6" i="53"/>
  <c r="G6" i="53"/>
  <c r="F6" i="53"/>
  <c r="E6" i="53"/>
  <c r="D6" i="53"/>
  <c r="C6" i="53"/>
  <c r="I2" i="53"/>
  <c r="I46" i="53" s="1"/>
  <c r="Y47" i="53"/>
  <c r="AA47" i="53" s="1"/>
  <c r="J47" i="53"/>
  <c r="L47" i="53" s="1"/>
  <c r="AA46" i="53"/>
  <c r="Y46" i="53"/>
  <c r="L46" i="53"/>
  <c r="AA45" i="53"/>
  <c r="Y45" i="53"/>
  <c r="L45" i="53"/>
  <c r="AA44" i="53"/>
  <c r="Y44" i="53"/>
  <c r="L44" i="53"/>
  <c r="AA43" i="53"/>
  <c r="Y43" i="53"/>
  <c r="L43" i="53"/>
  <c r="AA42" i="53"/>
  <c r="Y42" i="53"/>
  <c r="L42" i="53"/>
  <c r="AA41" i="53"/>
  <c r="Y41" i="53"/>
  <c r="L41" i="53"/>
  <c r="AA40" i="53"/>
  <c r="Y40" i="53"/>
  <c r="L40" i="53"/>
  <c r="AA39" i="53"/>
  <c r="Y39" i="53"/>
  <c r="L39" i="53"/>
  <c r="AA38" i="53"/>
  <c r="Y38" i="53"/>
  <c r="L38" i="53"/>
  <c r="AA37" i="53"/>
  <c r="Y37" i="53"/>
  <c r="L37" i="53"/>
  <c r="AA36" i="53"/>
  <c r="Y36" i="53"/>
  <c r="L36" i="53"/>
  <c r="AA35" i="53"/>
  <c r="Y35" i="53"/>
  <c r="L35" i="53"/>
  <c r="AA34" i="53"/>
  <c r="AA33" i="53"/>
  <c r="Y33" i="53"/>
  <c r="L33" i="53"/>
  <c r="AA32" i="53"/>
  <c r="Y32" i="53"/>
  <c r="L32" i="53"/>
  <c r="AA31" i="53"/>
  <c r="Y31" i="53"/>
  <c r="L31" i="53"/>
  <c r="AA30" i="53"/>
  <c r="Y30" i="53"/>
  <c r="L30" i="53"/>
  <c r="AA29" i="53"/>
  <c r="Y29" i="53"/>
  <c r="L29" i="53"/>
  <c r="AA28" i="53"/>
  <c r="Y28" i="53"/>
  <c r="L28" i="53"/>
  <c r="AA27" i="53"/>
  <c r="Y27" i="53"/>
  <c r="L27" i="53"/>
  <c r="AA26" i="53"/>
  <c r="Y26" i="53"/>
  <c r="L26" i="53"/>
  <c r="AA25" i="53"/>
  <c r="AA24" i="53"/>
  <c r="Y24" i="53"/>
  <c r="L24" i="53"/>
  <c r="AA23" i="53"/>
  <c r="Y23" i="53"/>
  <c r="L23" i="53"/>
  <c r="AA22" i="53"/>
  <c r="Y22" i="53"/>
  <c r="L22" i="53"/>
  <c r="AA21" i="53"/>
  <c r="Y21" i="53"/>
  <c r="L21" i="53"/>
  <c r="AA20" i="53"/>
  <c r="Y20" i="53"/>
  <c r="L20" i="53"/>
  <c r="AA19" i="53"/>
  <c r="Y19" i="53"/>
  <c r="L19" i="53"/>
  <c r="AA18" i="53"/>
  <c r="Y18" i="53"/>
  <c r="L18" i="53"/>
  <c r="AA17" i="53"/>
  <c r="Y17" i="53"/>
  <c r="L17" i="53"/>
  <c r="AA16" i="53"/>
  <c r="Y16" i="53"/>
  <c r="L16" i="53"/>
  <c r="AA15" i="53"/>
  <c r="Y15" i="53"/>
  <c r="L15" i="53"/>
  <c r="AA14" i="53"/>
  <c r="Y14" i="53"/>
  <c r="L14" i="53"/>
  <c r="AA13" i="53"/>
  <c r="Y13" i="53"/>
  <c r="L13" i="53"/>
  <c r="AA12" i="53"/>
  <c r="Y12" i="53"/>
  <c r="AA11" i="53"/>
  <c r="Y11" i="53"/>
  <c r="L11" i="53"/>
  <c r="AA10" i="53"/>
  <c r="Y10" i="53"/>
  <c r="L10" i="53"/>
  <c r="AA9" i="53"/>
  <c r="Y9" i="53"/>
  <c r="L9" i="53"/>
  <c r="AA8" i="53"/>
  <c r="Y8" i="53"/>
  <c r="L8" i="53"/>
  <c r="AA7" i="53"/>
  <c r="I48" i="52"/>
  <c r="D46" i="52"/>
  <c r="C46" i="52"/>
  <c r="D45" i="52"/>
  <c r="C45" i="52"/>
  <c r="D44" i="52"/>
  <c r="C44" i="52"/>
  <c r="D43" i="52"/>
  <c r="C43" i="52"/>
  <c r="D42" i="52"/>
  <c r="C42" i="52"/>
  <c r="D41" i="52"/>
  <c r="C41" i="52"/>
  <c r="D40" i="52"/>
  <c r="C40" i="52"/>
  <c r="G39" i="52"/>
  <c r="D39" i="52"/>
  <c r="C39" i="52"/>
  <c r="F38" i="52"/>
  <c r="D38" i="52"/>
  <c r="C38" i="52"/>
  <c r="G37" i="52"/>
  <c r="D37" i="52"/>
  <c r="C37" i="52"/>
  <c r="F36" i="52"/>
  <c r="D36" i="52"/>
  <c r="C36" i="52"/>
  <c r="D35" i="52"/>
  <c r="C35" i="52"/>
  <c r="D34" i="52"/>
  <c r="C34" i="52"/>
  <c r="D33" i="52"/>
  <c r="C33" i="52"/>
  <c r="D32" i="52"/>
  <c r="C32" i="52"/>
  <c r="D31" i="52"/>
  <c r="C31" i="52"/>
  <c r="D30" i="52"/>
  <c r="C30" i="52"/>
  <c r="D29" i="52"/>
  <c r="C29" i="52"/>
  <c r="G28" i="52"/>
  <c r="D28" i="52"/>
  <c r="C28" i="52"/>
  <c r="D27" i="52"/>
  <c r="C27" i="52"/>
  <c r="D26" i="52"/>
  <c r="C26" i="52"/>
  <c r="D25" i="52"/>
  <c r="C25" i="52"/>
  <c r="D24" i="52"/>
  <c r="C24" i="52"/>
  <c r="D23" i="52"/>
  <c r="C23" i="52"/>
  <c r="D22" i="52"/>
  <c r="C22" i="52"/>
  <c r="D21" i="52"/>
  <c r="C21" i="52"/>
  <c r="D20" i="52"/>
  <c r="C20" i="52"/>
  <c r="D19" i="52"/>
  <c r="C19" i="52"/>
  <c r="H18" i="52"/>
  <c r="G18" i="52"/>
  <c r="F18" i="52"/>
  <c r="E18" i="52"/>
  <c r="D18" i="52"/>
  <c r="C18" i="52"/>
  <c r="D17" i="52"/>
  <c r="C17" i="52"/>
  <c r="D16" i="52"/>
  <c r="C16" i="52"/>
  <c r="G15" i="52"/>
  <c r="D15" i="52"/>
  <c r="C15" i="52"/>
  <c r="D14" i="52"/>
  <c r="C14" i="52"/>
  <c r="D13" i="52"/>
  <c r="C13" i="52"/>
  <c r="F12" i="52"/>
  <c r="D12" i="52"/>
  <c r="C12" i="52"/>
  <c r="F11" i="52"/>
  <c r="D11" i="52"/>
  <c r="C11" i="52"/>
  <c r="F10" i="52"/>
  <c r="D10" i="52"/>
  <c r="C10" i="52"/>
  <c r="F9" i="52"/>
  <c r="D9" i="52"/>
  <c r="C9" i="52"/>
  <c r="F8" i="52"/>
  <c r="D8" i="52"/>
  <c r="C8" i="52"/>
  <c r="D7" i="52"/>
  <c r="C7" i="52"/>
  <c r="I6" i="52"/>
  <c r="H6" i="52"/>
  <c r="G6" i="52"/>
  <c r="F6" i="52"/>
  <c r="E6" i="52"/>
  <c r="D6" i="52"/>
  <c r="C6" i="52"/>
  <c r="I2" i="52"/>
  <c r="G42" i="52" s="1"/>
  <c r="Y47" i="52"/>
  <c r="AA47" i="52" s="1"/>
  <c r="J47" i="52"/>
  <c r="L47" i="52" s="1"/>
  <c r="AA46" i="52"/>
  <c r="Y46" i="52"/>
  <c r="L46" i="52"/>
  <c r="AA45" i="52"/>
  <c r="Y45" i="52"/>
  <c r="L45" i="52"/>
  <c r="AA44" i="52"/>
  <c r="Y44" i="52"/>
  <c r="L44" i="52"/>
  <c r="AA43" i="52"/>
  <c r="Y43" i="52"/>
  <c r="L43" i="52"/>
  <c r="AA42" i="52"/>
  <c r="Y42" i="52"/>
  <c r="L42" i="52"/>
  <c r="Y41" i="52"/>
  <c r="AA41" i="52" s="1"/>
  <c r="AA40" i="52"/>
  <c r="L40" i="52"/>
  <c r="AA39" i="52"/>
  <c r="Y39" i="52"/>
  <c r="L39" i="52"/>
  <c r="AA38" i="52"/>
  <c r="Y38" i="52"/>
  <c r="L38" i="52"/>
  <c r="AA37" i="52"/>
  <c r="Y37" i="52"/>
  <c r="L37" i="52"/>
  <c r="Y36" i="52"/>
  <c r="AA36" i="52" s="1"/>
  <c r="AA35" i="52"/>
  <c r="Y35" i="52"/>
  <c r="L35" i="52"/>
  <c r="AA34" i="52"/>
  <c r="AA33" i="52"/>
  <c r="Y33" i="52"/>
  <c r="L33" i="52"/>
  <c r="AA32" i="52"/>
  <c r="Y32" i="52"/>
  <c r="L32" i="52"/>
  <c r="AA31" i="52"/>
  <c r="Y31" i="52"/>
  <c r="L31" i="52"/>
  <c r="AA30" i="52"/>
  <c r="Y30" i="52"/>
  <c r="L30" i="52"/>
  <c r="AA29" i="52"/>
  <c r="Y29" i="52"/>
  <c r="L29" i="52"/>
  <c r="AA28" i="52"/>
  <c r="Y28" i="52"/>
  <c r="L28" i="52"/>
  <c r="Y27" i="52"/>
  <c r="AA27" i="52" s="1"/>
  <c r="Y26" i="52"/>
  <c r="AA26" i="52" s="1"/>
  <c r="AA25" i="52"/>
  <c r="AA24" i="52"/>
  <c r="Y24" i="52"/>
  <c r="L24" i="52"/>
  <c r="AA23" i="52"/>
  <c r="Y23" i="52"/>
  <c r="L23" i="52"/>
  <c r="AA22" i="52"/>
  <c r="Y22" i="52"/>
  <c r="L22" i="52"/>
  <c r="AA21" i="52"/>
  <c r="Y21" i="52"/>
  <c r="L21" i="52"/>
  <c r="AA20" i="52"/>
  <c r="Y20" i="52"/>
  <c r="L20" i="52"/>
  <c r="AA19" i="52"/>
  <c r="Y19" i="52"/>
  <c r="L19" i="52"/>
  <c r="AA18" i="52"/>
  <c r="Y18" i="52"/>
  <c r="L18" i="52"/>
  <c r="AA17" i="52"/>
  <c r="Y17" i="52"/>
  <c r="L17" i="52"/>
  <c r="AA16" i="52"/>
  <c r="Y16" i="52"/>
  <c r="L16" i="52"/>
  <c r="AA15" i="52"/>
  <c r="Y15" i="52"/>
  <c r="L15" i="52"/>
  <c r="Y14" i="52"/>
  <c r="AA14" i="52" s="1"/>
  <c r="Y13" i="52"/>
  <c r="AA13" i="52" s="1"/>
  <c r="AA12" i="52"/>
  <c r="Y12" i="52"/>
  <c r="AA11" i="52"/>
  <c r="Y11" i="52"/>
  <c r="L11" i="52"/>
  <c r="AA10" i="52"/>
  <c r="Y10" i="52"/>
  <c r="L10" i="52"/>
  <c r="AA9" i="52"/>
  <c r="Y9" i="52"/>
  <c r="L9" i="52"/>
  <c r="Y8" i="52"/>
  <c r="AA8" i="52" s="1"/>
  <c r="L8" i="52"/>
  <c r="AA7" i="52"/>
  <c r="I48" i="51"/>
  <c r="D46" i="51"/>
  <c r="C46" i="51"/>
  <c r="D45" i="51"/>
  <c r="C45" i="51"/>
  <c r="D44" i="51"/>
  <c r="C44" i="51"/>
  <c r="D43" i="51"/>
  <c r="C43" i="51"/>
  <c r="D42" i="51"/>
  <c r="C42" i="51"/>
  <c r="D41" i="51"/>
  <c r="C41" i="51"/>
  <c r="F40" i="51"/>
  <c r="D40" i="51"/>
  <c r="C40" i="51"/>
  <c r="D39" i="51"/>
  <c r="C39" i="51"/>
  <c r="D38" i="51"/>
  <c r="C38" i="51"/>
  <c r="D37" i="51"/>
  <c r="C37" i="51"/>
  <c r="D36" i="51"/>
  <c r="C36" i="51"/>
  <c r="D35" i="51"/>
  <c r="C35" i="51"/>
  <c r="D34" i="51"/>
  <c r="C34" i="51"/>
  <c r="D33" i="51"/>
  <c r="C33" i="51"/>
  <c r="D32" i="51"/>
  <c r="C32" i="51"/>
  <c r="D31" i="51"/>
  <c r="C31" i="51"/>
  <c r="D30" i="51"/>
  <c r="C30" i="51"/>
  <c r="D29" i="51"/>
  <c r="C29" i="51"/>
  <c r="D28" i="51"/>
  <c r="C28" i="51"/>
  <c r="D27" i="51"/>
  <c r="C27" i="51"/>
  <c r="D26" i="51"/>
  <c r="C26" i="51"/>
  <c r="D25" i="51"/>
  <c r="C25" i="51"/>
  <c r="D24" i="51"/>
  <c r="C24" i="51"/>
  <c r="D23" i="51"/>
  <c r="C23" i="51"/>
  <c r="D22" i="51"/>
  <c r="C22" i="51"/>
  <c r="D21" i="51"/>
  <c r="C21" i="51"/>
  <c r="D20" i="51"/>
  <c r="C20" i="51"/>
  <c r="D19" i="51"/>
  <c r="C19" i="51"/>
  <c r="D18" i="51"/>
  <c r="C18" i="51"/>
  <c r="D17" i="51"/>
  <c r="C17" i="51"/>
  <c r="I16" i="51"/>
  <c r="D16" i="51"/>
  <c r="C16" i="51"/>
  <c r="F15" i="51"/>
  <c r="E15" i="51"/>
  <c r="D15" i="51"/>
  <c r="C15" i="51"/>
  <c r="I14" i="51"/>
  <c r="H14" i="51"/>
  <c r="E14" i="51"/>
  <c r="D14" i="51"/>
  <c r="C14" i="51"/>
  <c r="H13" i="51"/>
  <c r="G13" i="51"/>
  <c r="E13" i="51"/>
  <c r="D13" i="51"/>
  <c r="C13" i="51"/>
  <c r="H12" i="51"/>
  <c r="G12" i="51"/>
  <c r="F12" i="51"/>
  <c r="D12" i="51"/>
  <c r="C12" i="51"/>
  <c r="I11" i="51"/>
  <c r="F11" i="51"/>
  <c r="E11" i="51"/>
  <c r="D11" i="51"/>
  <c r="C11" i="51"/>
  <c r="I10" i="51"/>
  <c r="H10" i="51"/>
  <c r="G10" i="51"/>
  <c r="E10" i="51"/>
  <c r="D10" i="51"/>
  <c r="C10" i="51"/>
  <c r="H9" i="51"/>
  <c r="G9" i="51"/>
  <c r="F9" i="51"/>
  <c r="D9" i="51"/>
  <c r="C9" i="51"/>
  <c r="I8" i="51"/>
  <c r="G8" i="51"/>
  <c r="F8" i="51"/>
  <c r="E8" i="51"/>
  <c r="D8" i="51"/>
  <c r="C8" i="51"/>
  <c r="I7" i="51"/>
  <c r="H7" i="51"/>
  <c r="F7" i="51"/>
  <c r="E7" i="51"/>
  <c r="D7" i="51"/>
  <c r="C7" i="51"/>
  <c r="I6" i="51"/>
  <c r="H6" i="51"/>
  <c r="G6" i="51"/>
  <c r="F6" i="51"/>
  <c r="E6" i="51"/>
  <c r="D6" i="51"/>
  <c r="C6" i="51"/>
  <c r="I2" i="51"/>
  <c r="Y47" i="51"/>
  <c r="AA47" i="51" s="1"/>
  <c r="J47" i="51"/>
  <c r="L47" i="51" s="1"/>
  <c r="AA46" i="51"/>
  <c r="Y46" i="51"/>
  <c r="L46" i="51"/>
  <c r="AA45" i="51"/>
  <c r="Y45" i="51"/>
  <c r="L45" i="51"/>
  <c r="AA44" i="51"/>
  <c r="Y44" i="51"/>
  <c r="L44" i="51"/>
  <c r="AA43" i="51"/>
  <c r="Y43" i="51"/>
  <c r="L43" i="51"/>
  <c r="AA42" i="51"/>
  <c r="Y42" i="51"/>
  <c r="L42" i="51"/>
  <c r="AA41" i="51"/>
  <c r="Y41" i="51"/>
  <c r="L41" i="51"/>
  <c r="AA40" i="51"/>
  <c r="Y40" i="51"/>
  <c r="L40" i="51"/>
  <c r="AA39" i="51"/>
  <c r="Y39" i="51"/>
  <c r="L39" i="51"/>
  <c r="AA38" i="51"/>
  <c r="Y38" i="51"/>
  <c r="L38" i="51"/>
  <c r="AA37" i="51"/>
  <c r="Y37" i="51"/>
  <c r="L37" i="51"/>
  <c r="AA36" i="51"/>
  <c r="Y36" i="51"/>
  <c r="L36" i="51"/>
  <c r="AA35" i="51"/>
  <c r="Y35" i="51"/>
  <c r="L35" i="51"/>
  <c r="AA34" i="51"/>
  <c r="AA33" i="51"/>
  <c r="Y33" i="51"/>
  <c r="L33" i="51"/>
  <c r="AA32" i="51"/>
  <c r="Y32" i="51"/>
  <c r="L32" i="51"/>
  <c r="AA31" i="51"/>
  <c r="Y31" i="51"/>
  <c r="L31" i="51"/>
  <c r="AA30" i="51"/>
  <c r="Y30" i="51"/>
  <c r="L30" i="51"/>
  <c r="AA29" i="51"/>
  <c r="Y29" i="51"/>
  <c r="L29" i="51"/>
  <c r="AA28" i="51"/>
  <c r="Y28" i="51"/>
  <c r="L28" i="51"/>
  <c r="AA27" i="51"/>
  <c r="Y27" i="51"/>
  <c r="L27" i="51"/>
  <c r="AA26" i="51"/>
  <c r="Y26" i="51"/>
  <c r="L26" i="51"/>
  <c r="AA25" i="51"/>
  <c r="AA24" i="51"/>
  <c r="Y24" i="51"/>
  <c r="L24" i="51"/>
  <c r="AA23" i="51"/>
  <c r="Y23" i="51"/>
  <c r="L23" i="51"/>
  <c r="AA22" i="51"/>
  <c r="Y22" i="51"/>
  <c r="L22" i="51"/>
  <c r="AA21" i="51"/>
  <c r="Y21" i="51"/>
  <c r="L21" i="51"/>
  <c r="AA20" i="51"/>
  <c r="Y20" i="51"/>
  <c r="L20" i="51"/>
  <c r="AA19" i="51"/>
  <c r="Y19" i="51"/>
  <c r="L19" i="51"/>
  <c r="AA18" i="51"/>
  <c r="Y18" i="51"/>
  <c r="L18" i="51"/>
  <c r="AA17" i="51"/>
  <c r="Y17" i="51"/>
  <c r="L17" i="51"/>
  <c r="AA16" i="51"/>
  <c r="Y16" i="51"/>
  <c r="L16" i="51"/>
  <c r="AA15" i="51"/>
  <c r="Y15" i="51"/>
  <c r="L15" i="51"/>
  <c r="AA14" i="51"/>
  <c r="Y14" i="51"/>
  <c r="L14" i="51"/>
  <c r="AA13" i="51"/>
  <c r="Y13" i="51"/>
  <c r="L13" i="51"/>
  <c r="AA12" i="51"/>
  <c r="Y12" i="51"/>
  <c r="AA11" i="51"/>
  <c r="Y11" i="51"/>
  <c r="L11" i="51"/>
  <c r="AA10" i="51"/>
  <c r="Y10" i="51"/>
  <c r="L10" i="51"/>
  <c r="AA9" i="51"/>
  <c r="Y9" i="51"/>
  <c r="L9" i="51"/>
  <c r="AA8" i="51"/>
  <c r="Y8" i="51"/>
  <c r="L8" i="51"/>
  <c r="AA7" i="51"/>
  <c r="I48" i="50"/>
  <c r="F46" i="50"/>
  <c r="D46" i="50"/>
  <c r="C46" i="50"/>
  <c r="D45" i="50"/>
  <c r="C45" i="50"/>
  <c r="D44" i="50"/>
  <c r="C44" i="50"/>
  <c r="D43" i="50"/>
  <c r="C43" i="50"/>
  <c r="D42" i="50"/>
  <c r="C42" i="50"/>
  <c r="D41" i="50"/>
  <c r="C41" i="50"/>
  <c r="D40" i="50"/>
  <c r="C40" i="50"/>
  <c r="D39" i="50"/>
  <c r="C39" i="50"/>
  <c r="D38" i="50"/>
  <c r="C38" i="50"/>
  <c r="D37" i="50"/>
  <c r="C37" i="50"/>
  <c r="D36" i="50"/>
  <c r="C36" i="50"/>
  <c r="D35" i="50"/>
  <c r="C35" i="50"/>
  <c r="D34" i="50"/>
  <c r="C34" i="50"/>
  <c r="D33" i="50"/>
  <c r="C33" i="50"/>
  <c r="D32" i="50"/>
  <c r="C32" i="50"/>
  <c r="D31" i="50"/>
  <c r="C31" i="50"/>
  <c r="D30" i="50"/>
  <c r="C30" i="50"/>
  <c r="D29" i="50"/>
  <c r="C29" i="50"/>
  <c r="D28" i="50"/>
  <c r="C28" i="50"/>
  <c r="D27" i="50"/>
  <c r="C27" i="50"/>
  <c r="D26" i="50"/>
  <c r="C26" i="50"/>
  <c r="D25" i="50"/>
  <c r="C25" i="50"/>
  <c r="F24" i="50"/>
  <c r="D24" i="50"/>
  <c r="C24" i="50"/>
  <c r="I23" i="50"/>
  <c r="E23" i="50"/>
  <c r="D23" i="50"/>
  <c r="C23" i="50"/>
  <c r="I22" i="50"/>
  <c r="H22" i="50"/>
  <c r="E22" i="50"/>
  <c r="D22" i="50"/>
  <c r="C22" i="50"/>
  <c r="H21" i="50"/>
  <c r="G21" i="50"/>
  <c r="D21" i="50"/>
  <c r="C21" i="50"/>
  <c r="G20" i="50"/>
  <c r="F20" i="50"/>
  <c r="D20" i="50"/>
  <c r="C20" i="50"/>
  <c r="I19" i="50"/>
  <c r="F19" i="50"/>
  <c r="E19" i="50"/>
  <c r="D19" i="50"/>
  <c r="C19" i="50"/>
  <c r="I18" i="50"/>
  <c r="H18" i="50"/>
  <c r="G18" i="50"/>
  <c r="E18" i="50"/>
  <c r="D18" i="50"/>
  <c r="C18" i="50"/>
  <c r="H17" i="50"/>
  <c r="G17" i="50"/>
  <c r="D17" i="50"/>
  <c r="C17" i="50"/>
  <c r="G16" i="50"/>
  <c r="F16" i="50"/>
  <c r="D16" i="50"/>
  <c r="C16" i="50"/>
  <c r="I15" i="50"/>
  <c r="G15" i="50"/>
  <c r="F15" i="50"/>
  <c r="E15" i="50"/>
  <c r="D15" i="50"/>
  <c r="C15" i="50"/>
  <c r="I14" i="50"/>
  <c r="H14" i="50"/>
  <c r="G14" i="50"/>
  <c r="E14" i="50"/>
  <c r="D14" i="50"/>
  <c r="C14" i="50"/>
  <c r="H13" i="50"/>
  <c r="G13" i="50"/>
  <c r="F13" i="50"/>
  <c r="D13" i="50"/>
  <c r="C13" i="50"/>
  <c r="I12" i="50"/>
  <c r="G12" i="50"/>
  <c r="F12" i="50"/>
  <c r="E12" i="50"/>
  <c r="D12" i="50"/>
  <c r="C12" i="50"/>
  <c r="I11" i="50"/>
  <c r="H11" i="50"/>
  <c r="F11" i="50"/>
  <c r="E11" i="50"/>
  <c r="D11" i="50"/>
  <c r="C11" i="50"/>
  <c r="I10" i="50"/>
  <c r="H10" i="50"/>
  <c r="G10" i="50"/>
  <c r="F10" i="50"/>
  <c r="E10" i="50"/>
  <c r="D10" i="50"/>
  <c r="C10" i="50"/>
  <c r="H9" i="50"/>
  <c r="G9" i="50"/>
  <c r="F9" i="50"/>
  <c r="E9" i="50"/>
  <c r="D9" i="50"/>
  <c r="C9" i="50"/>
  <c r="I8" i="50"/>
  <c r="G8" i="50"/>
  <c r="F8" i="50"/>
  <c r="E8" i="50"/>
  <c r="D8" i="50"/>
  <c r="C8" i="50"/>
  <c r="I7" i="50"/>
  <c r="H7" i="50"/>
  <c r="F7" i="50"/>
  <c r="E7" i="50"/>
  <c r="D7" i="50"/>
  <c r="C7" i="50"/>
  <c r="I6" i="50"/>
  <c r="H6" i="50"/>
  <c r="G6" i="50"/>
  <c r="F6" i="50"/>
  <c r="E6" i="50"/>
  <c r="D6" i="50"/>
  <c r="C6" i="50"/>
  <c r="I2" i="50"/>
  <c r="I46" i="50" s="1"/>
  <c r="L96" i="50"/>
  <c r="B84" i="50"/>
  <c r="C84" i="50" s="1"/>
  <c r="D84" i="50" s="1"/>
  <c r="K53" i="50"/>
  <c r="I53" i="50"/>
  <c r="A53" i="50"/>
  <c r="A52" i="50"/>
  <c r="L54" i="50" s="1"/>
  <c r="Y47" i="50"/>
  <c r="AA47" i="50" s="1"/>
  <c r="J47" i="50"/>
  <c r="L47" i="50" s="1"/>
  <c r="AA46" i="50"/>
  <c r="Y46" i="50"/>
  <c r="L46" i="50"/>
  <c r="AA45" i="50"/>
  <c r="Y45" i="50"/>
  <c r="L45" i="50"/>
  <c r="AA44" i="50"/>
  <c r="Y44" i="50"/>
  <c r="L44" i="50"/>
  <c r="AA43" i="50"/>
  <c r="Y43" i="50"/>
  <c r="L43" i="50"/>
  <c r="AA42" i="50"/>
  <c r="Y42" i="50"/>
  <c r="L42" i="50"/>
  <c r="AA41" i="50"/>
  <c r="Y41" i="50"/>
  <c r="L41" i="50"/>
  <c r="AA40" i="50"/>
  <c r="Y40" i="50"/>
  <c r="L40" i="50"/>
  <c r="AA39" i="50"/>
  <c r="Y39" i="50"/>
  <c r="L39" i="50"/>
  <c r="AA38" i="50"/>
  <c r="Y38" i="50"/>
  <c r="L38" i="50"/>
  <c r="AA37" i="50"/>
  <c r="Y37" i="50"/>
  <c r="L37" i="50"/>
  <c r="AA36" i="50"/>
  <c r="Y36" i="50"/>
  <c r="L36" i="50"/>
  <c r="AA35" i="50"/>
  <c r="Y35" i="50"/>
  <c r="L35" i="50"/>
  <c r="AA34" i="50"/>
  <c r="L34" i="50"/>
  <c r="AA33" i="50"/>
  <c r="Y33" i="50"/>
  <c r="L33" i="50"/>
  <c r="AA32" i="50"/>
  <c r="Y32" i="50"/>
  <c r="L32" i="50"/>
  <c r="AA31" i="50"/>
  <c r="Y31" i="50"/>
  <c r="L31" i="50"/>
  <c r="AA30" i="50"/>
  <c r="Y30" i="50"/>
  <c r="L30" i="50"/>
  <c r="AA29" i="50"/>
  <c r="Y29" i="50"/>
  <c r="L29" i="50"/>
  <c r="AA28" i="50"/>
  <c r="Y28" i="50"/>
  <c r="L28" i="50"/>
  <c r="AA27" i="50"/>
  <c r="Y27" i="50"/>
  <c r="L27" i="50"/>
  <c r="AA26" i="50"/>
  <c r="Y26" i="50"/>
  <c r="L26" i="50"/>
  <c r="AA25" i="50"/>
  <c r="L25" i="50"/>
  <c r="AA24" i="50"/>
  <c r="Y24" i="50"/>
  <c r="L24" i="50"/>
  <c r="AA23" i="50"/>
  <c r="Y23" i="50"/>
  <c r="L23" i="50"/>
  <c r="AA22" i="50"/>
  <c r="Y22" i="50"/>
  <c r="L22" i="50"/>
  <c r="AA21" i="50"/>
  <c r="Y21" i="50"/>
  <c r="L21" i="50"/>
  <c r="AA20" i="50"/>
  <c r="Y20" i="50"/>
  <c r="L20" i="50"/>
  <c r="AA19" i="50"/>
  <c r="Y19" i="50"/>
  <c r="L19" i="50"/>
  <c r="AA18" i="50"/>
  <c r="Y18" i="50"/>
  <c r="L18" i="50"/>
  <c r="AA17" i="50"/>
  <c r="Y17" i="50"/>
  <c r="L17" i="50"/>
  <c r="AA16" i="50"/>
  <c r="Y16" i="50"/>
  <c r="L16" i="50"/>
  <c r="AA15" i="50"/>
  <c r="Y15" i="50"/>
  <c r="L15" i="50"/>
  <c r="AA14" i="50"/>
  <c r="Y14" i="50"/>
  <c r="L14" i="50"/>
  <c r="AA13" i="50"/>
  <c r="Y13" i="50"/>
  <c r="L13" i="50"/>
  <c r="AA12" i="50"/>
  <c r="Y12" i="50"/>
  <c r="L12" i="50"/>
  <c r="AA11" i="50"/>
  <c r="Y11" i="50"/>
  <c r="L11" i="50"/>
  <c r="AA10" i="50"/>
  <c r="Y10" i="50"/>
  <c r="L10" i="50"/>
  <c r="J10" i="50"/>
  <c r="AA9" i="50"/>
  <c r="Y9" i="50"/>
  <c r="L9" i="50"/>
  <c r="AA8" i="50"/>
  <c r="Y8" i="50"/>
  <c r="L8" i="50"/>
  <c r="AA7" i="50"/>
  <c r="G701" i="62" l="1"/>
  <c r="K701" i="62"/>
  <c r="L701" i="62" s="1"/>
  <c r="B16" i="63"/>
  <c r="K700" i="62"/>
  <c r="L700" i="62" s="1"/>
  <c r="G700" i="62"/>
  <c r="G699" i="62"/>
  <c r="K699" i="62" s="1"/>
  <c r="L699" i="62" s="1"/>
  <c r="L15" i="63"/>
  <c r="AH9" i="63"/>
  <c r="B17" i="63"/>
  <c r="B19" i="63" s="1"/>
  <c r="B20" i="63" s="1"/>
  <c r="B21" i="63" s="1"/>
  <c r="F689" i="62"/>
  <c r="D692" i="62" s="1"/>
  <c r="G697" i="62"/>
  <c r="I689" i="62" s="1"/>
  <c r="K697" i="62"/>
  <c r="L697" i="62" s="1"/>
  <c r="V10" i="63"/>
  <c r="V11" i="63" s="1"/>
  <c r="L18" i="63"/>
  <c r="L16" i="63"/>
  <c r="L19" i="63" s="1"/>
  <c r="J18" i="37"/>
  <c r="A252" i="34"/>
  <c r="A253" i="34" s="1"/>
  <c r="A147" i="34"/>
  <c r="A148" i="34" s="1"/>
  <c r="E85" i="54"/>
  <c r="E84" i="54"/>
  <c r="E86" i="54"/>
  <c r="A82" i="54"/>
  <c r="A13" i="54"/>
  <c r="A12" i="54"/>
  <c r="B132" i="4"/>
  <c r="G7" i="50"/>
  <c r="H8" i="50"/>
  <c r="J8" i="50" s="1"/>
  <c r="I9" i="50"/>
  <c r="J9" i="50" s="1"/>
  <c r="G11" i="50"/>
  <c r="J11" i="50" s="1"/>
  <c r="H12" i="50"/>
  <c r="J12" i="50" s="1"/>
  <c r="E13" i="50"/>
  <c r="J13" i="50" s="1"/>
  <c r="I13" i="50"/>
  <c r="F14" i="50"/>
  <c r="J14" i="50" s="1"/>
  <c r="H16" i="50"/>
  <c r="E17" i="50"/>
  <c r="I17" i="50"/>
  <c r="F18" i="50"/>
  <c r="J18" i="50" s="1"/>
  <c r="G19" i="50"/>
  <c r="H20" i="50"/>
  <c r="E21" i="50"/>
  <c r="I21" i="50"/>
  <c r="F22" i="50"/>
  <c r="G23" i="50"/>
  <c r="H24" i="50"/>
  <c r="E25" i="50"/>
  <c r="I25" i="50"/>
  <c r="F26" i="50"/>
  <c r="G27" i="50"/>
  <c r="H28" i="50"/>
  <c r="E29" i="50"/>
  <c r="I29" i="50"/>
  <c r="F30" i="50"/>
  <c r="G31" i="50"/>
  <c r="H32" i="50"/>
  <c r="E33" i="50"/>
  <c r="I33" i="50"/>
  <c r="F34" i="50"/>
  <c r="G35" i="50"/>
  <c r="H36" i="50"/>
  <c r="E37" i="50"/>
  <c r="I37" i="50"/>
  <c r="F38" i="50"/>
  <c r="G39" i="50"/>
  <c r="H40" i="50"/>
  <c r="E41" i="50"/>
  <c r="I41" i="50"/>
  <c r="F42" i="50"/>
  <c r="G43" i="50"/>
  <c r="H44" i="50"/>
  <c r="E45" i="50"/>
  <c r="I45" i="50"/>
  <c r="H46" i="51"/>
  <c r="G45" i="51"/>
  <c r="F44" i="51"/>
  <c r="I43" i="51"/>
  <c r="E43" i="51"/>
  <c r="H42" i="51"/>
  <c r="G41" i="51"/>
  <c r="I39" i="51"/>
  <c r="E39" i="51"/>
  <c r="H38" i="51"/>
  <c r="G37" i="51"/>
  <c r="F36" i="51"/>
  <c r="I35" i="51"/>
  <c r="E35" i="51"/>
  <c r="H34" i="51"/>
  <c r="G33" i="51"/>
  <c r="F32" i="51"/>
  <c r="I31" i="51"/>
  <c r="E31" i="51"/>
  <c r="H30" i="51"/>
  <c r="G29" i="51"/>
  <c r="F28" i="51"/>
  <c r="I27" i="51"/>
  <c r="E27" i="51"/>
  <c r="H26" i="51"/>
  <c r="G25" i="51"/>
  <c r="F24" i="51"/>
  <c r="I23" i="51"/>
  <c r="E23" i="51"/>
  <c r="H22" i="51"/>
  <c r="G21" i="51"/>
  <c r="F20" i="51"/>
  <c r="G46" i="51"/>
  <c r="F45" i="51"/>
  <c r="I44" i="51"/>
  <c r="E44" i="51"/>
  <c r="H43" i="51"/>
  <c r="G42" i="51"/>
  <c r="F41" i="51"/>
  <c r="I40" i="51"/>
  <c r="E40" i="51"/>
  <c r="H39" i="51"/>
  <c r="G38" i="51"/>
  <c r="F37" i="51"/>
  <c r="I36" i="51"/>
  <c r="E36" i="51"/>
  <c r="H35" i="51"/>
  <c r="G34" i="51"/>
  <c r="F33" i="51"/>
  <c r="I32" i="51"/>
  <c r="E32" i="51"/>
  <c r="H31" i="51"/>
  <c r="G30" i="51"/>
  <c r="F29" i="51"/>
  <c r="I28" i="51"/>
  <c r="E28" i="51"/>
  <c r="H27" i="51"/>
  <c r="G26" i="51"/>
  <c r="F25" i="51"/>
  <c r="I24" i="51"/>
  <c r="E24" i="51"/>
  <c r="H23" i="51"/>
  <c r="G22" i="51"/>
  <c r="F21" i="51"/>
  <c r="I20" i="51"/>
  <c r="E20" i="51"/>
  <c r="H19" i="51"/>
  <c r="G18" i="51"/>
  <c r="F17" i="51"/>
  <c r="E16" i="51"/>
  <c r="H15" i="51"/>
  <c r="G14" i="51"/>
  <c r="F13" i="51"/>
  <c r="I12" i="51"/>
  <c r="E12" i="51"/>
  <c r="H11" i="51"/>
  <c r="F46" i="51"/>
  <c r="I45" i="51"/>
  <c r="E45" i="51"/>
  <c r="H44" i="51"/>
  <c r="G43" i="51"/>
  <c r="F42" i="51"/>
  <c r="I41" i="51"/>
  <c r="E41" i="51"/>
  <c r="H40" i="51"/>
  <c r="G39" i="51"/>
  <c r="F38" i="51"/>
  <c r="I37" i="51"/>
  <c r="E37" i="51"/>
  <c r="H36" i="51"/>
  <c r="J36" i="51" s="1"/>
  <c r="G35" i="51"/>
  <c r="F34" i="51"/>
  <c r="I33" i="51"/>
  <c r="E33" i="51"/>
  <c r="J33" i="51" s="1"/>
  <c r="H32" i="51"/>
  <c r="G31" i="51"/>
  <c r="F30" i="51"/>
  <c r="I29" i="51"/>
  <c r="E29" i="51"/>
  <c r="H28" i="51"/>
  <c r="G27" i="51"/>
  <c r="F26" i="51"/>
  <c r="I25" i="51"/>
  <c r="E25" i="51"/>
  <c r="H24" i="51"/>
  <c r="G23" i="51"/>
  <c r="F22" i="51"/>
  <c r="I21" i="51"/>
  <c r="E21" i="51"/>
  <c r="H20" i="51"/>
  <c r="G19" i="51"/>
  <c r="F18" i="51"/>
  <c r="I17" i="51"/>
  <c r="I46" i="51"/>
  <c r="E46" i="51"/>
  <c r="H45" i="51"/>
  <c r="G44" i="51"/>
  <c r="F43" i="51"/>
  <c r="I42" i="51"/>
  <c r="E42" i="51"/>
  <c r="H41" i="51"/>
  <c r="G40" i="51"/>
  <c r="F39" i="51"/>
  <c r="I38" i="51"/>
  <c r="E38" i="51"/>
  <c r="H37" i="51"/>
  <c r="G36" i="51"/>
  <c r="F35" i="51"/>
  <c r="I34" i="51"/>
  <c r="E34" i="51"/>
  <c r="H33" i="51"/>
  <c r="G32" i="51"/>
  <c r="F31" i="51"/>
  <c r="I30" i="51"/>
  <c r="E30" i="51"/>
  <c r="H29" i="51"/>
  <c r="G28" i="51"/>
  <c r="F27" i="51"/>
  <c r="I26" i="51"/>
  <c r="E26" i="51"/>
  <c r="H25" i="51"/>
  <c r="G24" i="51"/>
  <c r="F23" i="51"/>
  <c r="I22" i="51"/>
  <c r="E22" i="51"/>
  <c r="H21" i="51"/>
  <c r="G20" i="51"/>
  <c r="G7" i="51"/>
  <c r="H8" i="51"/>
  <c r="J8" i="51" s="1"/>
  <c r="E9" i="51"/>
  <c r="I9" i="51"/>
  <c r="F10" i="51"/>
  <c r="J10" i="51" s="1"/>
  <c r="G11" i="51"/>
  <c r="I13" i="51"/>
  <c r="J13" i="51" s="1"/>
  <c r="F14" i="51"/>
  <c r="J14" i="51" s="1"/>
  <c r="I15" i="51"/>
  <c r="G16" i="51"/>
  <c r="I18" i="51"/>
  <c r="F19" i="51"/>
  <c r="H15" i="50"/>
  <c r="J15" i="50" s="1"/>
  <c r="E16" i="50"/>
  <c r="I16" i="50"/>
  <c r="F17" i="50"/>
  <c r="H19" i="50"/>
  <c r="E20" i="50"/>
  <c r="I20" i="50"/>
  <c r="F21" i="50"/>
  <c r="G22" i="50"/>
  <c r="H23" i="50"/>
  <c r="E24" i="50"/>
  <c r="I24" i="50"/>
  <c r="F25" i="50"/>
  <c r="G26" i="50"/>
  <c r="H27" i="50"/>
  <c r="E28" i="50"/>
  <c r="I28" i="50"/>
  <c r="F29" i="50"/>
  <c r="G30" i="50"/>
  <c r="H31" i="50"/>
  <c r="E32" i="50"/>
  <c r="I32" i="50"/>
  <c r="F33" i="50"/>
  <c r="G34" i="50"/>
  <c r="H35" i="50"/>
  <c r="E36" i="50"/>
  <c r="I36" i="50"/>
  <c r="F37" i="50"/>
  <c r="G38" i="50"/>
  <c r="H39" i="50"/>
  <c r="E40" i="50"/>
  <c r="I40" i="50"/>
  <c r="F41" i="50"/>
  <c r="G42" i="50"/>
  <c r="H43" i="50"/>
  <c r="E44" i="50"/>
  <c r="I44" i="50"/>
  <c r="F45" i="50"/>
  <c r="G46" i="50"/>
  <c r="H16" i="51"/>
  <c r="E17" i="51"/>
  <c r="I19" i="51"/>
  <c r="G25" i="50"/>
  <c r="H26" i="50"/>
  <c r="E27" i="50"/>
  <c r="I27" i="50"/>
  <c r="F28" i="50"/>
  <c r="G29" i="50"/>
  <c r="H30" i="50"/>
  <c r="E31" i="50"/>
  <c r="I31" i="50"/>
  <c r="F32" i="50"/>
  <c r="G33" i="50"/>
  <c r="H34" i="50"/>
  <c r="E35" i="50"/>
  <c r="I35" i="50"/>
  <c r="F36" i="50"/>
  <c r="G37" i="50"/>
  <c r="H38" i="50"/>
  <c r="E39" i="50"/>
  <c r="I39" i="50"/>
  <c r="F40" i="50"/>
  <c r="G41" i="50"/>
  <c r="H42" i="50"/>
  <c r="E43" i="50"/>
  <c r="J43" i="50" s="1"/>
  <c r="I43" i="50"/>
  <c r="F44" i="50"/>
  <c r="G45" i="50"/>
  <c r="H46" i="50"/>
  <c r="J11" i="51"/>
  <c r="G17" i="51"/>
  <c r="E18" i="51"/>
  <c r="F23" i="50"/>
  <c r="J23" i="50" s="1"/>
  <c r="G24" i="50"/>
  <c r="H25" i="50"/>
  <c r="E26" i="50"/>
  <c r="I26" i="50"/>
  <c r="F27" i="50"/>
  <c r="G28" i="50"/>
  <c r="H29" i="50"/>
  <c r="E30" i="50"/>
  <c r="I30" i="50"/>
  <c r="F31" i="50"/>
  <c r="G32" i="50"/>
  <c r="H33" i="50"/>
  <c r="E34" i="50"/>
  <c r="I34" i="50"/>
  <c r="F35" i="50"/>
  <c r="G36" i="50"/>
  <c r="H37" i="50"/>
  <c r="E38" i="50"/>
  <c r="J38" i="50" s="1"/>
  <c r="I38" i="50"/>
  <c r="F39" i="50"/>
  <c r="G40" i="50"/>
  <c r="H41" i="50"/>
  <c r="E42" i="50"/>
  <c r="I42" i="50"/>
  <c r="F43" i="50"/>
  <c r="G44" i="50"/>
  <c r="H45" i="50"/>
  <c r="E46" i="50"/>
  <c r="J46" i="50" s="1"/>
  <c r="G15" i="51"/>
  <c r="J15" i="51" s="1"/>
  <c r="F16" i="51"/>
  <c r="H17" i="51"/>
  <c r="H18" i="51"/>
  <c r="E19" i="51"/>
  <c r="F7" i="52"/>
  <c r="G8" i="52"/>
  <c r="H9" i="52"/>
  <c r="E10" i="52"/>
  <c r="I10" i="52"/>
  <c r="G12" i="52"/>
  <c r="H13" i="52"/>
  <c r="E14" i="52"/>
  <c r="I14" i="52"/>
  <c r="F15" i="52"/>
  <c r="G16" i="52"/>
  <c r="H17" i="52"/>
  <c r="I18" i="52"/>
  <c r="F19" i="52"/>
  <c r="G20" i="52"/>
  <c r="H21" i="52"/>
  <c r="E22" i="52"/>
  <c r="I22" i="52"/>
  <c r="F23" i="52"/>
  <c r="G24" i="52"/>
  <c r="H25" i="52"/>
  <c r="E26" i="52"/>
  <c r="I26" i="52"/>
  <c r="F27" i="52"/>
  <c r="H29" i="52"/>
  <c r="E30" i="52"/>
  <c r="I30" i="52"/>
  <c r="F31" i="52"/>
  <c r="G32" i="52"/>
  <c r="H33" i="52"/>
  <c r="E34" i="52"/>
  <c r="H35" i="52"/>
  <c r="E36" i="52"/>
  <c r="I46" i="52"/>
  <c r="E46" i="52"/>
  <c r="H45" i="52"/>
  <c r="G44" i="52"/>
  <c r="F43" i="52"/>
  <c r="I42" i="52"/>
  <c r="E42" i="52"/>
  <c r="H41" i="52"/>
  <c r="G40" i="52"/>
  <c r="F39" i="52"/>
  <c r="I38" i="52"/>
  <c r="E38" i="52"/>
  <c r="H37" i="52"/>
  <c r="G36" i="52"/>
  <c r="F35" i="52"/>
  <c r="I34" i="52"/>
  <c r="H46" i="52"/>
  <c r="G45" i="52"/>
  <c r="F44" i="52"/>
  <c r="I43" i="52"/>
  <c r="E43" i="52"/>
  <c r="H42" i="52"/>
  <c r="G41" i="52"/>
  <c r="F40" i="52"/>
  <c r="I39" i="52"/>
  <c r="E39" i="52"/>
  <c r="H38" i="52"/>
  <c r="F46" i="52"/>
  <c r="I45" i="52"/>
  <c r="E45" i="52"/>
  <c r="H44" i="52"/>
  <c r="G43" i="52"/>
  <c r="F42" i="52"/>
  <c r="I41" i="52"/>
  <c r="E41" i="52"/>
  <c r="H40" i="52"/>
  <c r="I37" i="52"/>
  <c r="E37" i="52"/>
  <c r="H36" i="52"/>
  <c r="G7" i="52"/>
  <c r="H8" i="52"/>
  <c r="E9" i="52"/>
  <c r="I9" i="52"/>
  <c r="G11" i="52"/>
  <c r="H12" i="52"/>
  <c r="E13" i="52"/>
  <c r="I13" i="52"/>
  <c r="F14" i="52"/>
  <c r="H16" i="52"/>
  <c r="E17" i="52"/>
  <c r="I17" i="52"/>
  <c r="J18" i="52"/>
  <c r="G19" i="52"/>
  <c r="H20" i="52"/>
  <c r="E21" i="52"/>
  <c r="I21" i="52"/>
  <c r="F22" i="52"/>
  <c r="G23" i="52"/>
  <c r="H24" i="52"/>
  <c r="E25" i="52"/>
  <c r="I25" i="52"/>
  <c r="F26" i="52"/>
  <c r="G27" i="52"/>
  <c r="H28" i="52"/>
  <c r="E29" i="52"/>
  <c r="I29" i="52"/>
  <c r="F30" i="52"/>
  <c r="G31" i="52"/>
  <c r="H32" i="52"/>
  <c r="E33" i="52"/>
  <c r="I33" i="52"/>
  <c r="F34" i="52"/>
  <c r="I35" i="52"/>
  <c r="F37" i="52"/>
  <c r="E40" i="52"/>
  <c r="F41" i="52"/>
  <c r="G46" i="52"/>
  <c r="H7" i="52"/>
  <c r="E8" i="52"/>
  <c r="I8" i="52"/>
  <c r="G10" i="52"/>
  <c r="J10" i="52" s="1"/>
  <c r="H11" i="52"/>
  <c r="E12" i="52"/>
  <c r="I12" i="52"/>
  <c r="F13" i="52"/>
  <c r="G14" i="52"/>
  <c r="H15" i="52"/>
  <c r="E16" i="52"/>
  <c r="I16" i="52"/>
  <c r="F17" i="52"/>
  <c r="H19" i="52"/>
  <c r="E20" i="52"/>
  <c r="I20" i="52"/>
  <c r="F21" i="52"/>
  <c r="G22" i="52"/>
  <c r="H23" i="52"/>
  <c r="E24" i="52"/>
  <c r="I24" i="52"/>
  <c r="F25" i="52"/>
  <c r="G26" i="52"/>
  <c r="H27" i="52"/>
  <c r="E28" i="52"/>
  <c r="I28" i="52"/>
  <c r="F29" i="52"/>
  <c r="G30" i="52"/>
  <c r="H31" i="52"/>
  <c r="E32" i="52"/>
  <c r="I32" i="52"/>
  <c r="F33" i="52"/>
  <c r="G34" i="52"/>
  <c r="E35" i="52"/>
  <c r="I36" i="52"/>
  <c r="G38" i="52"/>
  <c r="H39" i="52"/>
  <c r="I40" i="52"/>
  <c r="E44" i="52"/>
  <c r="F45" i="52"/>
  <c r="E7" i="52"/>
  <c r="I7" i="52"/>
  <c r="G9" i="52"/>
  <c r="H10" i="52"/>
  <c r="E11" i="52"/>
  <c r="I11" i="52"/>
  <c r="G13" i="52"/>
  <c r="H14" i="52"/>
  <c r="E15" i="52"/>
  <c r="J15" i="52" s="1"/>
  <c r="I15" i="52"/>
  <c r="F16" i="52"/>
  <c r="G17" i="52"/>
  <c r="E19" i="52"/>
  <c r="I19" i="52"/>
  <c r="F20" i="52"/>
  <c r="G21" i="52"/>
  <c r="H22" i="52"/>
  <c r="E23" i="52"/>
  <c r="I23" i="52"/>
  <c r="F24" i="52"/>
  <c r="G25" i="52"/>
  <c r="H26" i="52"/>
  <c r="E27" i="52"/>
  <c r="I27" i="52"/>
  <c r="F28" i="52"/>
  <c r="G29" i="52"/>
  <c r="H30" i="52"/>
  <c r="E31" i="52"/>
  <c r="I31" i="52"/>
  <c r="F32" i="52"/>
  <c r="G33" i="52"/>
  <c r="H34" i="52"/>
  <c r="G35" i="52"/>
  <c r="J35" i="52" s="1"/>
  <c r="H43" i="52"/>
  <c r="I44" i="52"/>
  <c r="J38" i="52"/>
  <c r="J39" i="52"/>
  <c r="G7" i="53"/>
  <c r="H8" i="53"/>
  <c r="E9" i="53"/>
  <c r="I9" i="53"/>
  <c r="F10" i="53"/>
  <c r="G11" i="53"/>
  <c r="H12" i="53"/>
  <c r="E13" i="53"/>
  <c r="I13" i="53"/>
  <c r="F14" i="53"/>
  <c r="G15" i="53"/>
  <c r="H16" i="53"/>
  <c r="E17" i="53"/>
  <c r="I17" i="53"/>
  <c r="F18" i="53"/>
  <c r="G19" i="53"/>
  <c r="H20" i="53"/>
  <c r="E21" i="53"/>
  <c r="I21" i="53"/>
  <c r="F22" i="53"/>
  <c r="G23" i="53"/>
  <c r="H24" i="53"/>
  <c r="E25" i="53"/>
  <c r="I25" i="53"/>
  <c r="F26" i="53"/>
  <c r="G27" i="53"/>
  <c r="H28" i="53"/>
  <c r="E29" i="53"/>
  <c r="I29" i="53"/>
  <c r="F30" i="53"/>
  <c r="G31" i="53"/>
  <c r="H32" i="53"/>
  <c r="E33" i="53"/>
  <c r="I33" i="53"/>
  <c r="F34" i="53"/>
  <c r="G35" i="53"/>
  <c r="H36" i="53"/>
  <c r="E37" i="53"/>
  <c r="I37" i="53"/>
  <c r="F38" i="53"/>
  <c r="G39" i="53"/>
  <c r="H40" i="53"/>
  <c r="E41" i="53"/>
  <c r="I41" i="53"/>
  <c r="F42" i="53"/>
  <c r="G43" i="53"/>
  <c r="H44" i="53"/>
  <c r="E45" i="53"/>
  <c r="I45" i="53"/>
  <c r="F46" i="53"/>
  <c r="H23" i="54"/>
  <c r="G24" i="54"/>
  <c r="F51" i="54"/>
  <c r="G58" i="54"/>
  <c r="E28" i="53"/>
  <c r="I28" i="53"/>
  <c r="F29" i="53"/>
  <c r="G30" i="53"/>
  <c r="H31" i="53"/>
  <c r="E32" i="53"/>
  <c r="I32" i="53"/>
  <c r="F33" i="53"/>
  <c r="G34" i="53"/>
  <c r="H35" i="53"/>
  <c r="E36" i="53"/>
  <c r="I36" i="53"/>
  <c r="F37" i="53"/>
  <c r="G38" i="53"/>
  <c r="H39" i="53"/>
  <c r="E40" i="53"/>
  <c r="I40" i="53"/>
  <c r="F41" i="53"/>
  <c r="G42" i="53"/>
  <c r="H43" i="53"/>
  <c r="E44" i="53"/>
  <c r="I44" i="53"/>
  <c r="F45" i="53"/>
  <c r="G46" i="53"/>
  <c r="G66" i="54"/>
  <c r="G59" i="54"/>
  <c r="F60" i="54"/>
  <c r="F61" i="54"/>
  <c r="F62" i="54"/>
  <c r="F63" i="54"/>
  <c r="F64" i="54"/>
  <c r="F65" i="54"/>
  <c r="F39" i="54"/>
  <c r="F40" i="54"/>
  <c r="F41" i="54"/>
  <c r="F42" i="54"/>
  <c r="F43" i="54"/>
  <c r="F34" i="54"/>
  <c r="F35" i="54"/>
  <c r="F36" i="54"/>
  <c r="F37" i="54"/>
  <c r="F38" i="54"/>
  <c r="F12" i="54"/>
  <c r="F14" i="54"/>
  <c r="F16" i="54"/>
  <c r="H59" i="54"/>
  <c r="G60" i="54"/>
  <c r="G61" i="54"/>
  <c r="G62" i="54"/>
  <c r="G63" i="54"/>
  <c r="G64" i="54"/>
  <c r="G65" i="54"/>
  <c r="G39" i="54"/>
  <c r="G40" i="54"/>
  <c r="G41" i="54"/>
  <c r="G42" i="54"/>
  <c r="G43" i="54"/>
  <c r="G34" i="54"/>
  <c r="G35" i="54"/>
  <c r="G36" i="54"/>
  <c r="G37" i="54"/>
  <c r="G38" i="54"/>
  <c r="G12" i="54"/>
  <c r="G13" i="54"/>
  <c r="G14" i="54"/>
  <c r="G15" i="54"/>
  <c r="G16" i="54"/>
  <c r="E14" i="54"/>
  <c r="E16" i="54"/>
  <c r="F13" i="54"/>
  <c r="F15" i="54"/>
  <c r="E59" i="54"/>
  <c r="J59" i="54" s="1"/>
  <c r="I59" i="54"/>
  <c r="H60" i="54"/>
  <c r="H61" i="54"/>
  <c r="H62" i="54"/>
  <c r="H63" i="54"/>
  <c r="H64" i="54"/>
  <c r="H65" i="54"/>
  <c r="H39" i="54"/>
  <c r="H40" i="54"/>
  <c r="H41" i="54"/>
  <c r="H42" i="54"/>
  <c r="H43" i="54"/>
  <c r="H34" i="54"/>
  <c r="H35" i="54"/>
  <c r="H36" i="54"/>
  <c r="H37" i="54"/>
  <c r="H38" i="54"/>
  <c r="H12" i="54"/>
  <c r="H13" i="54"/>
  <c r="H14" i="54"/>
  <c r="H15" i="54"/>
  <c r="H16" i="54"/>
  <c r="E13" i="54"/>
  <c r="J13" i="54" s="1"/>
  <c r="E15" i="54"/>
  <c r="I16" i="54"/>
  <c r="F59" i="54"/>
  <c r="E60" i="54"/>
  <c r="I60" i="54"/>
  <c r="E61" i="54"/>
  <c r="I61" i="54"/>
  <c r="E62" i="54"/>
  <c r="I62" i="54"/>
  <c r="E63" i="54"/>
  <c r="I63" i="54"/>
  <c r="E64" i="54"/>
  <c r="I64" i="54"/>
  <c r="E65" i="54"/>
  <c r="I65" i="54"/>
  <c r="E39" i="54"/>
  <c r="I39" i="54"/>
  <c r="E40" i="54"/>
  <c r="I40" i="54"/>
  <c r="E41" i="54"/>
  <c r="I41" i="54"/>
  <c r="E42" i="54"/>
  <c r="I42" i="54"/>
  <c r="E43" i="54"/>
  <c r="I43" i="54"/>
  <c r="E34" i="54"/>
  <c r="I34" i="54"/>
  <c r="E35" i="54"/>
  <c r="J35" i="54" s="1"/>
  <c r="I35" i="54"/>
  <c r="E36" i="54"/>
  <c r="I36" i="54"/>
  <c r="E37" i="54"/>
  <c r="J37" i="54" s="1"/>
  <c r="I37" i="54"/>
  <c r="E38" i="54"/>
  <c r="I38" i="54"/>
  <c r="E12" i="54"/>
  <c r="J12" i="54" s="1"/>
  <c r="I12" i="54"/>
  <c r="I13" i="54"/>
  <c r="I14" i="54"/>
  <c r="I15" i="54"/>
  <c r="G20" i="54"/>
  <c r="G21" i="54"/>
  <c r="G22" i="54"/>
  <c r="E23" i="54"/>
  <c r="E7" i="53"/>
  <c r="I7" i="53"/>
  <c r="F8" i="53"/>
  <c r="H10" i="53"/>
  <c r="E11" i="53"/>
  <c r="I11" i="53"/>
  <c r="G13" i="53"/>
  <c r="H14" i="53"/>
  <c r="E15" i="53"/>
  <c r="J15" i="53" s="1"/>
  <c r="I15" i="53"/>
  <c r="F16" i="53"/>
  <c r="G17" i="53"/>
  <c r="H18" i="53"/>
  <c r="E19" i="53"/>
  <c r="I19" i="53"/>
  <c r="F20" i="53"/>
  <c r="G21" i="53"/>
  <c r="H22" i="53"/>
  <c r="E23" i="53"/>
  <c r="I23" i="53"/>
  <c r="F24" i="53"/>
  <c r="G25" i="53"/>
  <c r="E27" i="53"/>
  <c r="I27" i="53"/>
  <c r="F28" i="53"/>
  <c r="G29" i="53"/>
  <c r="H30" i="53"/>
  <c r="E31" i="53"/>
  <c r="I31" i="53"/>
  <c r="F32" i="53"/>
  <c r="G33" i="53"/>
  <c r="H34" i="53"/>
  <c r="E35" i="53"/>
  <c r="I35" i="53"/>
  <c r="F36" i="53"/>
  <c r="G37" i="53"/>
  <c r="H38" i="53"/>
  <c r="E39" i="53"/>
  <c r="I39" i="53"/>
  <c r="F40" i="53"/>
  <c r="G41" i="53"/>
  <c r="H42" i="53"/>
  <c r="E43" i="53"/>
  <c r="F44" i="53"/>
  <c r="G45" i="53"/>
  <c r="H46" i="53"/>
  <c r="F23" i="54"/>
  <c r="G54" i="54"/>
  <c r="G55" i="54"/>
  <c r="F7" i="53"/>
  <c r="G8" i="53"/>
  <c r="H9" i="53"/>
  <c r="E10" i="53"/>
  <c r="I10" i="53"/>
  <c r="G12" i="53"/>
  <c r="E14" i="53"/>
  <c r="J14" i="53" s="1"/>
  <c r="I14" i="53"/>
  <c r="F15" i="53"/>
  <c r="G16" i="53"/>
  <c r="H17" i="53"/>
  <c r="E18" i="53"/>
  <c r="J18" i="53" s="1"/>
  <c r="I18" i="53"/>
  <c r="F19" i="53"/>
  <c r="G20" i="53"/>
  <c r="H21" i="53"/>
  <c r="E22" i="53"/>
  <c r="I22" i="53"/>
  <c r="F23" i="53"/>
  <c r="G24" i="53"/>
  <c r="H25" i="53"/>
  <c r="E26" i="53"/>
  <c r="I26" i="53"/>
  <c r="F27" i="53"/>
  <c r="G28" i="53"/>
  <c r="H29" i="53"/>
  <c r="E30" i="53"/>
  <c r="I30" i="53"/>
  <c r="F31" i="53"/>
  <c r="G32" i="53"/>
  <c r="H33" i="53"/>
  <c r="E34" i="53"/>
  <c r="I34" i="53"/>
  <c r="F35" i="53"/>
  <c r="G36" i="53"/>
  <c r="E38" i="53"/>
  <c r="I38" i="53"/>
  <c r="F39" i="53"/>
  <c r="G40" i="53"/>
  <c r="H41" i="53"/>
  <c r="E42" i="53"/>
  <c r="I42" i="53"/>
  <c r="F43" i="53"/>
  <c r="G44" i="53"/>
  <c r="H45" i="53"/>
  <c r="E46" i="53"/>
  <c r="F9" i="54"/>
  <c r="F10" i="54"/>
  <c r="F11" i="54"/>
  <c r="F17" i="54"/>
  <c r="G23" i="54"/>
  <c r="F48" i="54"/>
  <c r="F49" i="54"/>
  <c r="F50" i="54"/>
  <c r="E51" i="54"/>
  <c r="E30" i="54"/>
  <c r="I17" i="54"/>
  <c r="I18" i="54"/>
  <c r="I22" i="54"/>
  <c r="G50" i="54"/>
  <c r="G28" i="54"/>
  <c r="H8" i="54"/>
  <c r="I9" i="54"/>
  <c r="E21" i="54"/>
  <c r="I26" i="54"/>
  <c r="H51" i="54"/>
  <c r="E32" i="54"/>
  <c r="F47" i="54"/>
  <c r="E7" i="54"/>
  <c r="I8" i="54"/>
  <c r="E17" i="54"/>
  <c r="E22" i="54"/>
  <c r="H25" i="54"/>
  <c r="I30" i="54"/>
  <c r="I32" i="54"/>
  <c r="G44" i="54"/>
  <c r="E46" i="54"/>
  <c r="F53" i="54"/>
  <c r="I56" i="54"/>
  <c r="E56" i="54"/>
  <c r="H7" i="54"/>
  <c r="E9" i="54"/>
  <c r="G11" i="54"/>
  <c r="E18" i="54"/>
  <c r="F19" i="54"/>
  <c r="H20" i="54"/>
  <c r="H21" i="54"/>
  <c r="F22" i="54"/>
  <c r="F27" i="54"/>
  <c r="H29" i="54"/>
  <c r="H31" i="54"/>
  <c r="I46" i="54"/>
  <c r="H49" i="54"/>
  <c r="E52" i="54"/>
  <c r="H55" i="54"/>
  <c r="I7" i="54"/>
  <c r="E8" i="54"/>
  <c r="G10" i="54"/>
  <c r="H11" i="54"/>
  <c r="H17" i="54"/>
  <c r="F18" i="54"/>
  <c r="G19" i="54"/>
  <c r="I21" i="54"/>
  <c r="E26" i="54"/>
  <c r="F33" i="54"/>
  <c r="H45" i="54"/>
  <c r="G48" i="54"/>
  <c r="I52" i="54"/>
  <c r="F57" i="54"/>
  <c r="G104" i="54"/>
  <c r="E104" i="54"/>
  <c r="F104" i="54" s="1"/>
  <c r="H24" i="54"/>
  <c r="E25" i="54"/>
  <c r="I25" i="54"/>
  <c r="F26" i="54"/>
  <c r="G27" i="54"/>
  <c r="H28" i="54"/>
  <c r="E29" i="54"/>
  <c r="I29" i="54"/>
  <c r="F30" i="54"/>
  <c r="E31" i="54"/>
  <c r="I31" i="54"/>
  <c r="F32" i="54"/>
  <c r="G33" i="54"/>
  <c r="H44" i="54"/>
  <c r="E45" i="54"/>
  <c r="I45" i="54"/>
  <c r="F46" i="54"/>
  <c r="G47" i="54"/>
  <c r="H48" i="54"/>
  <c r="E49" i="54"/>
  <c r="I49" i="54"/>
  <c r="H50" i="54"/>
  <c r="I51" i="54"/>
  <c r="F52" i="54"/>
  <c r="G53" i="54"/>
  <c r="H54" i="54"/>
  <c r="E55" i="54"/>
  <c r="I55" i="54"/>
  <c r="F56" i="54"/>
  <c r="G57" i="54"/>
  <c r="H58" i="54"/>
  <c r="E66" i="54"/>
  <c r="I66" i="54"/>
  <c r="F7" i="54"/>
  <c r="F8" i="54"/>
  <c r="G9" i="54"/>
  <c r="H10" i="54"/>
  <c r="E11" i="54"/>
  <c r="I11" i="54"/>
  <c r="G18" i="54"/>
  <c r="H19" i="54"/>
  <c r="E20" i="54"/>
  <c r="I20" i="54"/>
  <c r="F21" i="54"/>
  <c r="E24" i="54"/>
  <c r="I24" i="54"/>
  <c r="F25" i="54"/>
  <c r="G26" i="54"/>
  <c r="H27" i="54"/>
  <c r="E28" i="54"/>
  <c r="I28" i="54"/>
  <c r="F29" i="54"/>
  <c r="G30" i="54"/>
  <c r="F31" i="54"/>
  <c r="G32" i="54"/>
  <c r="H33" i="54"/>
  <c r="E44" i="54"/>
  <c r="I44" i="54"/>
  <c r="F45" i="54"/>
  <c r="G46" i="54"/>
  <c r="H47" i="54"/>
  <c r="E48" i="54"/>
  <c r="I48" i="54"/>
  <c r="E50" i="54"/>
  <c r="I50" i="54"/>
  <c r="G52" i="54"/>
  <c r="H53" i="54"/>
  <c r="E54" i="54"/>
  <c r="I54" i="54"/>
  <c r="F55" i="54"/>
  <c r="G56" i="54"/>
  <c r="H57" i="54"/>
  <c r="E58" i="54"/>
  <c r="I58" i="54"/>
  <c r="F66" i="54"/>
  <c r="G7" i="54"/>
  <c r="G8" i="54"/>
  <c r="H9" i="54"/>
  <c r="E10" i="54"/>
  <c r="I10" i="54"/>
  <c r="G17" i="54"/>
  <c r="H18" i="54"/>
  <c r="E19" i="54"/>
  <c r="I19" i="54"/>
  <c r="F20" i="54"/>
  <c r="H22" i="54"/>
  <c r="I23" i="54"/>
  <c r="J23" i="54" s="1"/>
  <c r="F24" i="54"/>
  <c r="G25" i="54"/>
  <c r="H26" i="54"/>
  <c r="E27" i="54"/>
  <c r="I27" i="54"/>
  <c r="F28" i="54"/>
  <c r="G29" i="54"/>
  <c r="H30" i="54"/>
  <c r="G31" i="54"/>
  <c r="H32" i="54"/>
  <c r="E33" i="54"/>
  <c r="I33" i="54"/>
  <c r="F44" i="54"/>
  <c r="G45" i="54"/>
  <c r="H46" i="54"/>
  <c r="E47" i="54"/>
  <c r="I47" i="54"/>
  <c r="G49" i="54"/>
  <c r="G51" i="54"/>
  <c r="H52" i="54"/>
  <c r="E53" i="54"/>
  <c r="I53" i="54"/>
  <c r="F54" i="54"/>
  <c r="H56" i="54"/>
  <c r="E57" i="54"/>
  <c r="I57" i="54"/>
  <c r="F58" i="54"/>
  <c r="AA48" i="53"/>
  <c r="AA50" i="53" s="1"/>
  <c r="AA48" i="52"/>
  <c r="AA50" i="52" s="1"/>
  <c r="AA48" i="51"/>
  <c r="AA50" i="51" s="1"/>
  <c r="L48" i="50"/>
  <c r="AA48" i="50"/>
  <c r="AA50" i="50" s="1"/>
  <c r="L49" i="50"/>
  <c r="L50" i="50" s="1"/>
  <c r="E84" i="50"/>
  <c r="F84" i="50" s="1"/>
  <c r="G84" i="50"/>
  <c r="I48" i="49"/>
  <c r="D46" i="49"/>
  <c r="C46" i="49"/>
  <c r="D45" i="49"/>
  <c r="C45" i="49"/>
  <c r="D44" i="49"/>
  <c r="C44" i="49"/>
  <c r="D43" i="49"/>
  <c r="C43" i="49"/>
  <c r="D42" i="49"/>
  <c r="C42" i="49"/>
  <c r="D41" i="49"/>
  <c r="C41" i="49"/>
  <c r="D40" i="49"/>
  <c r="C40" i="49"/>
  <c r="D39" i="49"/>
  <c r="C39" i="49"/>
  <c r="D38" i="49"/>
  <c r="C38" i="49"/>
  <c r="D37" i="49"/>
  <c r="C37" i="49"/>
  <c r="D36" i="49"/>
  <c r="C36" i="49"/>
  <c r="D33" i="49"/>
  <c r="C33" i="49"/>
  <c r="D32" i="49"/>
  <c r="C32" i="49"/>
  <c r="D31" i="49"/>
  <c r="C31" i="49"/>
  <c r="D30" i="49"/>
  <c r="C30" i="49"/>
  <c r="D29" i="49"/>
  <c r="C29" i="49"/>
  <c r="D28" i="49"/>
  <c r="C28" i="49"/>
  <c r="D27" i="49"/>
  <c r="C27" i="49"/>
  <c r="D35" i="49"/>
  <c r="C35" i="49"/>
  <c r="D34" i="49"/>
  <c r="C34" i="49"/>
  <c r="D26" i="49"/>
  <c r="C26" i="49"/>
  <c r="D25" i="49"/>
  <c r="C25" i="49"/>
  <c r="D24" i="49"/>
  <c r="C24" i="49"/>
  <c r="D23" i="49"/>
  <c r="C23" i="49"/>
  <c r="D22" i="49"/>
  <c r="C22" i="49"/>
  <c r="D21" i="49"/>
  <c r="C21" i="49"/>
  <c r="D20" i="49"/>
  <c r="C20" i="49"/>
  <c r="D19" i="49"/>
  <c r="C19" i="49"/>
  <c r="H18" i="49"/>
  <c r="G18" i="49"/>
  <c r="F18" i="49"/>
  <c r="E18" i="49"/>
  <c r="D18" i="49"/>
  <c r="C18" i="49"/>
  <c r="D17" i="49"/>
  <c r="C17" i="49"/>
  <c r="D16" i="49"/>
  <c r="C16" i="49"/>
  <c r="G15" i="49"/>
  <c r="D15" i="49"/>
  <c r="C15" i="49"/>
  <c r="D14" i="49"/>
  <c r="C14" i="49"/>
  <c r="D13" i="49"/>
  <c r="C13" i="49"/>
  <c r="F12" i="49"/>
  <c r="D12" i="49"/>
  <c r="C12" i="49"/>
  <c r="F11" i="49"/>
  <c r="D11" i="49"/>
  <c r="C11" i="49"/>
  <c r="F10" i="49"/>
  <c r="D10" i="49"/>
  <c r="C10" i="49"/>
  <c r="F9" i="49"/>
  <c r="D9" i="49"/>
  <c r="C9" i="49"/>
  <c r="F8" i="49"/>
  <c r="D8" i="49"/>
  <c r="C8" i="49"/>
  <c r="D7" i="49"/>
  <c r="C7" i="49"/>
  <c r="I6" i="49"/>
  <c r="H6" i="49"/>
  <c r="G6" i="49"/>
  <c r="F6" i="49"/>
  <c r="E6" i="49"/>
  <c r="D6" i="49"/>
  <c r="C6" i="49"/>
  <c r="I2" i="49"/>
  <c r="G20" i="49" s="1"/>
  <c r="L96" i="49"/>
  <c r="B84" i="49"/>
  <c r="C84" i="49" s="1"/>
  <c r="D84" i="49" s="1"/>
  <c r="K53" i="49"/>
  <c r="I53" i="49"/>
  <c r="A53" i="49"/>
  <c r="A52" i="49"/>
  <c r="L54" i="49" s="1"/>
  <c r="Y47" i="49"/>
  <c r="AA47" i="49" s="1"/>
  <c r="J47" i="49"/>
  <c r="L47" i="49" s="1"/>
  <c r="AA46" i="49"/>
  <c r="Y46" i="49"/>
  <c r="L46" i="49"/>
  <c r="AA45" i="49"/>
  <c r="Y45" i="49"/>
  <c r="L45" i="49"/>
  <c r="AA44" i="49"/>
  <c r="Y44" i="49"/>
  <c r="L44" i="49"/>
  <c r="AA43" i="49"/>
  <c r="Y43" i="49"/>
  <c r="L43" i="49"/>
  <c r="AA42" i="49"/>
  <c r="Y42" i="49"/>
  <c r="L42" i="49"/>
  <c r="AA41" i="49"/>
  <c r="Y41" i="49"/>
  <c r="L41" i="49"/>
  <c r="AA40" i="49"/>
  <c r="Y40" i="49"/>
  <c r="L40" i="49"/>
  <c r="AA39" i="49"/>
  <c r="Y39" i="49"/>
  <c r="L39" i="49"/>
  <c r="AA38" i="49"/>
  <c r="Y38" i="49"/>
  <c r="L38" i="49"/>
  <c r="AA37" i="49"/>
  <c r="Y37" i="49"/>
  <c r="L37" i="49"/>
  <c r="AA36" i="49"/>
  <c r="Y36" i="49"/>
  <c r="L36" i="49"/>
  <c r="AA35" i="49"/>
  <c r="Y35" i="49"/>
  <c r="L35" i="49"/>
  <c r="AA34" i="49"/>
  <c r="L34" i="49"/>
  <c r="AA33" i="49"/>
  <c r="Y33" i="49"/>
  <c r="L33" i="49"/>
  <c r="AA32" i="49"/>
  <c r="Y32" i="49"/>
  <c r="L32" i="49"/>
  <c r="AA31" i="49"/>
  <c r="Y31" i="49"/>
  <c r="L31" i="49"/>
  <c r="AA30" i="49"/>
  <c r="Y30" i="49"/>
  <c r="L30" i="49"/>
  <c r="AA29" i="49"/>
  <c r="Y29" i="49"/>
  <c r="L29" i="49"/>
  <c r="AA28" i="49"/>
  <c r="Y28" i="49"/>
  <c r="L28" i="49"/>
  <c r="AA27" i="49"/>
  <c r="Y27" i="49"/>
  <c r="L27" i="49"/>
  <c r="AA26" i="49"/>
  <c r="Y26" i="49"/>
  <c r="L26" i="49"/>
  <c r="AA25" i="49"/>
  <c r="L25" i="49"/>
  <c r="AA24" i="49"/>
  <c r="Y24" i="49"/>
  <c r="L24" i="49"/>
  <c r="AA23" i="49"/>
  <c r="Y23" i="49"/>
  <c r="L23" i="49"/>
  <c r="AA22" i="49"/>
  <c r="Y22" i="49"/>
  <c r="L22" i="49"/>
  <c r="AA21" i="49"/>
  <c r="Y21" i="49"/>
  <c r="L21" i="49"/>
  <c r="AA20" i="49"/>
  <c r="Y20" i="49"/>
  <c r="L20" i="49"/>
  <c r="AA19" i="49"/>
  <c r="Y19" i="49"/>
  <c r="L19" i="49"/>
  <c r="AA18" i="49"/>
  <c r="Y18" i="49"/>
  <c r="L18" i="49"/>
  <c r="AA17" i="49"/>
  <c r="Y17" i="49"/>
  <c r="L17" i="49"/>
  <c r="AA16" i="49"/>
  <c r="Y16" i="49"/>
  <c r="L16" i="49"/>
  <c r="AA15" i="49"/>
  <c r="Y15" i="49"/>
  <c r="L15" i="49"/>
  <c r="AA14" i="49"/>
  <c r="Y14" i="49"/>
  <c r="L14" i="49"/>
  <c r="AA13" i="49"/>
  <c r="Y13" i="49"/>
  <c r="L13" i="49"/>
  <c r="AA12" i="49"/>
  <c r="Y12" i="49"/>
  <c r="L12" i="49"/>
  <c r="AA11" i="49"/>
  <c r="Y11" i="49"/>
  <c r="L11" i="49"/>
  <c r="AA10" i="49"/>
  <c r="Y10" i="49"/>
  <c r="L10" i="49"/>
  <c r="AA9" i="49"/>
  <c r="Y9" i="49"/>
  <c r="L9" i="49"/>
  <c r="AA8" i="49"/>
  <c r="Y8" i="49"/>
  <c r="L8" i="49"/>
  <c r="AA7" i="49"/>
  <c r="I48" i="48"/>
  <c r="D46" i="48"/>
  <c r="C46" i="48"/>
  <c r="D45" i="48"/>
  <c r="C45" i="48"/>
  <c r="D44" i="48"/>
  <c r="C44" i="48"/>
  <c r="D43" i="48"/>
  <c r="C43" i="48"/>
  <c r="D42" i="48"/>
  <c r="C42" i="48"/>
  <c r="E41" i="48"/>
  <c r="D41" i="48"/>
  <c r="C41" i="48"/>
  <c r="D40" i="48"/>
  <c r="C40" i="48"/>
  <c r="D39" i="48"/>
  <c r="C39" i="48"/>
  <c r="D38" i="48"/>
  <c r="C38" i="48"/>
  <c r="D37" i="48"/>
  <c r="C37" i="48"/>
  <c r="D36" i="48"/>
  <c r="C36" i="48"/>
  <c r="D35" i="48"/>
  <c r="C35" i="48"/>
  <c r="D34" i="48"/>
  <c r="C34" i="48"/>
  <c r="D33" i="48"/>
  <c r="C33" i="48"/>
  <c r="D32" i="48"/>
  <c r="C32" i="48"/>
  <c r="D31" i="48"/>
  <c r="C31" i="48"/>
  <c r="D30" i="48"/>
  <c r="C30" i="48"/>
  <c r="D29" i="48"/>
  <c r="C29" i="48"/>
  <c r="D28" i="48"/>
  <c r="C28" i="48"/>
  <c r="D27" i="48"/>
  <c r="C27" i="48"/>
  <c r="D26" i="48"/>
  <c r="C26" i="48"/>
  <c r="D25" i="48"/>
  <c r="C25" i="48"/>
  <c r="D24" i="48"/>
  <c r="C24" i="48"/>
  <c r="D23" i="48"/>
  <c r="C23" i="48"/>
  <c r="D22" i="48"/>
  <c r="C22" i="48"/>
  <c r="D21" i="48"/>
  <c r="C21" i="48"/>
  <c r="D20" i="48"/>
  <c r="C20" i="48"/>
  <c r="D19" i="48"/>
  <c r="C19" i="48"/>
  <c r="H18" i="48"/>
  <c r="G18" i="48"/>
  <c r="F18" i="48"/>
  <c r="E18" i="48"/>
  <c r="D18" i="48"/>
  <c r="C18" i="48"/>
  <c r="D17" i="48"/>
  <c r="C17" i="48"/>
  <c r="D16" i="48"/>
  <c r="C16" i="48"/>
  <c r="G15" i="48"/>
  <c r="D15" i="48"/>
  <c r="C15" i="48"/>
  <c r="D14" i="48"/>
  <c r="C14" i="48"/>
  <c r="D13" i="48"/>
  <c r="C13" i="48"/>
  <c r="F12" i="48"/>
  <c r="D12" i="48"/>
  <c r="C12" i="48"/>
  <c r="F11" i="48"/>
  <c r="D11" i="48"/>
  <c r="C11" i="48"/>
  <c r="F10" i="48"/>
  <c r="D10" i="48"/>
  <c r="C10" i="48"/>
  <c r="F9" i="48"/>
  <c r="D9" i="48"/>
  <c r="C9" i="48"/>
  <c r="D8" i="48"/>
  <c r="C8" i="48"/>
  <c r="D7" i="48"/>
  <c r="C7" i="48"/>
  <c r="I6" i="48"/>
  <c r="H6" i="48"/>
  <c r="G6" i="48"/>
  <c r="F6" i="48"/>
  <c r="E6" i="48"/>
  <c r="D6" i="48"/>
  <c r="C6" i="48"/>
  <c r="I2" i="48"/>
  <c r="F46" i="48" s="1"/>
  <c r="L96" i="48"/>
  <c r="B84" i="48"/>
  <c r="C84" i="48" s="1"/>
  <c r="D84" i="48" s="1"/>
  <c r="K53" i="48"/>
  <c r="I53" i="48"/>
  <c r="A53" i="48"/>
  <c r="A52" i="48"/>
  <c r="L54" i="48" s="1"/>
  <c r="Y47" i="48"/>
  <c r="AA47" i="48" s="1"/>
  <c r="J47" i="48"/>
  <c r="L47" i="48" s="1"/>
  <c r="AA46" i="48"/>
  <c r="Y46" i="48"/>
  <c r="L46" i="48"/>
  <c r="AA45" i="48"/>
  <c r="Y45" i="48"/>
  <c r="L45" i="48"/>
  <c r="AA44" i="48"/>
  <c r="Y44" i="48"/>
  <c r="L44" i="48"/>
  <c r="AA43" i="48"/>
  <c r="Y43" i="48"/>
  <c r="L43" i="48"/>
  <c r="AA42" i="48"/>
  <c r="Y42" i="48"/>
  <c r="L42" i="48"/>
  <c r="AA41" i="48"/>
  <c r="Y41" i="48"/>
  <c r="L41" i="48"/>
  <c r="AA40" i="48"/>
  <c r="Y40" i="48"/>
  <c r="L40" i="48"/>
  <c r="AA39" i="48"/>
  <c r="Y39" i="48"/>
  <c r="L39" i="48"/>
  <c r="AA38" i="48"/>
  <c r="Y38" i="48"/>
  <c r="L38" i="48"/>
  <c r="AA37" i="48"/>
  <c r="Y37" i="48"/>
  <c r="L37" i="48"/>
  <c r="AA36" i="48"/>
  <c r="Y36" i="48"/>
  <c r="L36" i="48"/>
  <c r="AA35" i="48"/>
  <c r="Y35" i="48"/>
  <c r="L35" i="48"/>
  <c r="AA34" i="48"/>
  <c r="L34" i="48"/>
  <c r="AA33" i="48"/>
  <c r="Y33" i="48"/>
  <c r="L33" i="48"/>
  <c r="AA32" i="48"/>
  <c r="Y32" i="48"/>
  <c r="L32" i="48"/>
  <c r="AA31" i="48"/>
  <c r="Y31" i="48"/>
  <c r="L31" i="48"/>
  <c r="AA30" i="48"/>
  <c r="Y30" i="48"/>
  <c r="L30" i="48"/>
  <c r="AA29" i="48"/>
  <c r="Y29" i="48"/>
  <c r="L29" i="48"/>
  <c r="AA28" i="48"/>
  <c r="Y28" i="48"/>
  <c r="L28" i="48"/>
  <c r="AA27" i="48"/>
  <c r="Y27" i="48"/>
  <c r="L27" i="48"/>
  <c r="AA26" i="48"/>
  <c r="Y26" i="48"/>
  <c r="L26" i="48"/>
  <c r="AA25" i="48"/>
  <c r="L25" i="48"/>
  <c r="AA24" i="48"/>
  <c r="Y24" i="48"/>
  <c r="L24" i="48"/>
  <c r="AA23" i="48"/>
  <c r="Y23" i="48"/>
  <c r="L23" i="48"/>
  <c r="AA22" i="48"/>
  <c r="Y22" i="48"/>
  <c r="L22" i="48"/>
  <c r="AA21" i="48"/>
  <c r="Y21" i="48"/>
  <c r="L21" i="48"/>
  <c r="AA20" i="48"/>
  <c r="Y20" i="48"/>
  <c r="L20" i="48"/>
  <c r="AA19" i="48"/>
  <c r="Y19" i="48"/>
  <c r="L19" i="48"/>
  <c r="AA18" i="48"/>
  <c r="Y18" i="48"/>
  <c r="L18" i="48"/>
  <c r="AA17" i="48"/>
  <c r="Y17" i="48"/>
  <c r="L17" i="48"/>
  <c r="AA16" i="48"/>
  <c r="Y16" i="48"/>
  <c r="L16" i="48"/>
  <c r="AA15" i="48"/>
  <c r="Y15" i="48"/>
  <c r="L15" i="48"/>
  <c r="AA14" i="48"/>
  <c r="Y14" i="48"/>
  <c r="L14" i="48"/>
  <c r="AA13" i="48"/>
  <c r="Y13" i="48"/>
  <c r="L13" i="48"/>
  <c r="AA12" i="48"/>
  <c r="Y12" i="48"/>
  <c r="L12" i="48"/>
  <c r="AA11" i="48"/>
  <c r="Y11" i="48"/>
  <c r="L11" i="48"/>
  <c r="AA10" i="48"/>
  <c r="Y10" i="48"/>
  <c r="L10" i="48"/>
  <c r="AA9" i="48"/>
  <c r="Y9" i="48"/>
  <c r="L9" i="48"/>
  <c r="AA8" i="48"/>
  <c r="Y8" i="48"/>
  <c r="L8" i="48"/>
  <c r="AA7" i="48"/>
  <c r="L7" i="48"/>
  <c r="V12" i="63" l="1"/>
  <c r="V13" i="63"/>
  <c r="K696" i="62"/>
  <c r="E689" i="62" s="1"/>
  <c r="C689" i="62" s="1"/>
  <c r="B22" i="63"/>
  <c r="D5" i="63" s="1"/>
  <c r="L20" i="63"/>
  <c r="L21" i="63" s="1"/>
  <c r="V15" i="63"/>
  <c r="V16" i="63" s="1"/>
  <c r="V14" i="63"/>
  <c r="E692" i="62"/>
  <c r="I692" i="62"/>
  <c r="D694" i="62"/>
  <c r="H692" i="62"/>
  <c r="C692" i="62"/>
  <c r="C694" i="62"/>
  <c r="G692" i="62"/>
  <c r="K692" i="62" s="1"/>
  <c r="AH10" i="63"/>
  <c r="J19" i="37"/>
  <c r="J20" i="37"/>
  <c r="A254" i="34"/>
  <c r="A150" i="34"/>
  <c r="A151" i="34"/>
  <c r="A149" i="34"/>
  <c r="A152" i="34" s="1"/>
  <c r="A153" i="34" s="1"/>
  <c r="A154" i="34" s="1"/>
  <c r="E87" i="54"/>
  <c r="E88" i="54" s="1"/>
  <c r="E89" i="54" s="1"/>
  <c r="A83" i="54"/>
  <c r="A14" i="54"/>
  <c r="B133" i="4"/>
  <c r="H7" i="48"/>
  <c r="E8" i="48"/>
  <c r="I8" i="48"/>
  <c r="G10" i="48"/>
  <c r="H11" i="48"/>
  <c r="E12" i="48"/>
  <c r="I12" i="48"/>
  <c r="F13" i="48"/>
  <c r="G14" i="48"/>
  <c r="H15" i="48"/>
  <c r="E16" i="48"/>
  <c r="I16" i="48"/>
  <c r="F17" i="48"/>
  <c r="H19" i="48"/>
  <c r="E20" i="48"/>
  <c r="I20" i="48"/>
  <c r="F21" i="48"/>
  <c r="G22" i="48"/>
  <c r="H23" i="48"/>
  <c r="E24" i="48"/>
  <c r="I24" i="48"/>
  <c r="F25" i="48"/>
  <c r="G26" i="48"/>
  <c r="H27" i="48"/>
  <c r="E28" i="48"/>
  <c r="I28" i="48"/>
  <c r="F29" i="48"/>
  <c r="G30" i="48"/>
  <c r="H31" i="48"/>
  <c r="E32" i="48"/>
  <c r="I32" i="48"/>
  <c r="F33" i="48"/>
  <c r="G34" i="48"/>
  <c r="H35" i="48"/>
  <c r="E36" i="48"/>
  <c r="I36" i="48"/>
  <c r="F37" i="48"/>
  <c r="G38" i="48"/>
  <c r="H39" i="48"/>
  <c r="E40" i="48"/>
  <c r="I40" i="48"/>
  <c r="F41" i="48"/>
  <c r="G42" i="48"/>
  <c r="H43" i="48"/>
  <c r="E44" i="48"/>
  <c r="I44" i="48"/>
  <c r="F45" i="48"/>
  <c r="G46" i="48"/>
  <c r="F7" i="49"/>
  <c r="G8" i="49"/>
  <c r="H9" i="49"/>
  <c r="E10" i="49"/>
  <c r="G11" i="49"/>
  <c r="I13" i="49"/>
  <c r="F14" i="49"/>
  <c r="I15" i="49"/>
  <c r="G16" i="49"/>
  <c r="E7" i="48"/>
  <c r="I7" i="48"/>
  <c r="F8" i="48"/>
  <c r="G9" i="48"/>
  <c r="H10" i="48"/>
  <c r="E11" i="48"/>
  <c r="I11" i="48"/>
  <c r="G13" i="48"/>
  <c r="H14" i="48"/>
  <c r="E15" i="48"/>
  <c r="I15" i="48"/>
  <c r="F16" i="48"/>
  <c r="G17" i="48"/>
  <c r="E19" i="48"/>
  <c r="I19" i="48"/>
  <c r="F20" i="48"/>
  <c r="G21" i="48"/>
  <c r="H22" i="48"/>
  <c r="E23" i="48"/>
  <c r="I23" i="48"/>
  <c r="F24" i="48"/>
  <c r="G25" i="48"/>
  <c r="H26" i="48"/>
  <c r="E27" i="48"/>
  <c r="I27" i="48"/>
  <c r="F28" i="48"/>
  <c r="G29" i="48"/>
  <c r="H30" i="48"/>
  <c r="E31" i="48"/>
  <c r="I31" i="48"/>
  <c r="F32" i="48"/>
  <c r="G33" i="48"/>
  <c r="H34" i="48"/>
  <c r="E35" i="48"/>
  <c r="I35" i="48"/>
  <c r="F36" i="48"/>
  <c r="G37" i="48"/>
  <c r="H38" i="48"/>
  <c r="E39" i="48"/>
  <c r="I39" i="48"/>
  <c r="F40" i="48"/>
  <c r="G41" i="48"/>
  <c r="H42" i="48"/>
  <c r="E43" i="48"/>
  <c r="I43" i="48"/>
  <c r="F44" i="48"/>
  <c r="G45" i="48"/>
  <c r="H46" i="48"/>
  <c r="AA48" i="49"/>
  <c r="AA50" i="49" s="1"/>
  <c r="G46" i="49"/>
  <c r="F45" i="49"/>
  <c r="I44" i="49"/>
  <c r="E44" i="49"/>
  <c r="H43" i="49"/>
  <c r="G42" i="49"/>
  <c r="F41" i="49"/>
  <c r="I40" i="49"/>
  <c r="E40" i="49"/>
  <c r="H39" i="49"/>
  <c r="G38" i="49"/>
  <c r="F37" i="49"/>
  <c r="I36" i="49"/>
  <c r="E36" i="49"/>
  <c r="H33" i="49"/>
  <c r="G32" i="49"/>
  <c r="F31" i="49"/>
  <c r="I30" i="49"/>
  <c r="E30" i="49"/>
  <c r="H29" i="49"/>
  <c r="G28" i="49"/>
  <c r="F27" i="49"/>
  <c r="I35" i="49"/>
  <c r="E35" i="49"/>
  <c r="H34" i="49"/>
  <c r="G26" i="49"/>
  <c r="F25" i="49"/>
  <c r="I24" i="49"/>
  <c r="E24" i="49"/>
  <c r="H23" i="49"/>
  <c r="G22" i="49"/>
  <c r="F21" i="49"/>
  <c r="I20" i="49"/>
  <c r="E20" i="49"/>
  <c r="H19" i="49"/>
  <c r="F17" i="49"/>
  <c r="I16" i="49"/>
  <c r="E16" i="49"/>
  <c r="H15" i="49"/>
  <c r="G14" i="49"/>
  <c r="F13" i="49"/>
  <c r="I12" i="49"/>
  <c r="E12" i="49"/>
  <c r="H11" i="49"/>
  <c r="G10" i="49"/>
  <c r="F46" i="49"/>
  <c r="I45" i="49"/>
  <c r="E45" i="49"/>
  <c r="H44" i="49"/>
  <c r="G43" i="49"/>
  <c r="F42" i="49"/>
  <c r="I41" i="49"/>
  <c r="E41" i="49"/>
  <c r="H40" i="49"/>
  <c r="G39" i="49"/>
  <c r="F38" i="49"/>
  <c r="I37" i="49"/>
  <c r="E37" i="49"/>
  <c r="H36" i="49"/>
  <c r="G33" i="49"/>
  <c r="F32" i="49"/>
  <c r="I31" i="49"/>
  <c r="E31" i="49"/>
  <c r="H30" i="49"/>
  <c r="G29" i="49"/>
  <c r="F28" i="49"/>
  <c r="I27" i="49"/>
  <c r="E27" i="49"/>
  <c r="H35" i="49"/>
  <c r="G34" i="49"/>
  <c r="F26" i="49"/>
  <c r="I25" i="49"/>
  <c r="E25" i="49"/>
  <c r="H24" i="49"/>
  <c r="G23" i="49"/>
  <c r="F22" i="49"/>
  <c r="I21" i="49"/>
  <c r="E21" i="49"/>
  <c r="H20" i="49"/>
  <c r="G19" i="49"/>
  <c r="I17" i="49"/>
  <c r="E17" i="49"/>
  <c r="H16" i="49"/>
  <c r="I46" i="49"/>
  <c r="E46" i="49"/>
  <c r="H45" i="49"/>
  <c r="G44" i="49"/>
  <c r="F43" i="49"/>
  <c r="I42" i="49"/>
  <c r="E42" i="49"/>
  <c r="H41" i="49"/>
  <c r="G40" i="49"/>
  <c r="F39" i="49"/>
  <c r="I38" i="49"/>
  <c r="E38" i="49"/>
  <c r="H37" i="49"/>
  <c r="G36" i="49"/>
  <c r="F33" i="49"/>
  <c r="I32" i="49"/>
  <c r="E32" i="49"/>
  <c r="H31" i="49"/>
  <c r="G30" i="49"/>
  <c r="F29" i="49"/>
  <c r="I28" i="49"/>
  <c r="E28" i="49"/>
  <c r="H27" i="49"/>
  <c r="G35" i="49"/>
  <c r="F34" i="49"/>
  <c r="I26" i="49"/>
  <c r="E26" i="49"/>
  <c r="H25" i="49"/>
  <c r="G24" i="49"/>
  <c r="F23" i="49"/>
  <c r="I22" i="49"/>
  <c r="E22" i="49"/>
  <c r="J22" i="49" s="1"/>
  <c r="H46" i="49"/>
  <c r="G45" i="49"/>
  <c r="F44" i="49"/>
  <c r="I43" i="49"/>
  <c r="E43" i="49"/>
  <c r="H42" i="49"/>
  <c r="G41" i="49"/>
  <c r="F40" i="49"/>
  <c r="I39" i="49"/>
  <c r="E39" i="49"/>
  <c r="H38" i="49"/>
  <c r="G37" i="49"/>
  <c r="F36" i="49"/>
  <c r="I33" i="49"/>
  <c r="E33" i="49"/>
  <c r="H32" i="49"/>
  <c r="G31" i="49"/>
  <c r="F30" i="49"/>
  <c r="I29" i="49"/>
  <c r="E29" i="49"/>
  <c r="H28" i="49"/>
  <c r="G27" i="49"/>
  <c r="F35" i="49"/>
  <c r="I34" i="49"/>
  <c r="E34" i="49"/>
  <c r="H26" i="49"/>
  <c r="G25" i="49"/>
  <c r="F24" i="49"/>
  <c r="I23" i="49"/>
  <c r="E23" i="49"/>
  <c r="J23" i="49" s="1"/>
  <c r="H22" i="49"/>
  <c r="G21" i="49"/>
  <c r="F20" i="49"/>
  <c r="I19" i="49"/>
  <c r="E19" i="49"/>
  <c r="G17" i="49"/>
  <c r="G7" i="49"/>
  <c r="H8" i="49"/>
  <c r="E9" i="49"/>
  <c r="I9" i="49"/>
  <c r="I11" i="49"/>
  <c r="G12" i="49"/>
  <c r="E13" i="49"/>
  <c r="H14" i="49"/>
  <c r="E15" i="49"/>
  <c r="F19" i="49"/>
  <c r="F7" i="48"/>
  <c r="G8" i="48"/>
  <c r="H9" i="48"/>
  <c r="E10" i="48"/>
  <c r="I10" i="48"/>
  <c r="G12" i="48"/>
  <c r="H13" i="48"/>
  <c r="E14" i="48"/>
  <c r="I14" i="48"/>
  <c r="F15" i="48"/>
  <c r="G16" i="48"/>
  <c r="H17" i="48"/>
  <c r="I18" i="48"/>
  <c r="J18" i="48" s="1"/>
  <c r="F19" i="48"/>
  <c r="G20" i="48"/>
  <c r="H21" i="48"/>
  <c r="E22" i="48"/>
  <c r="I22" i="48"/>
  <c r="F23" i="48"/>
  <c r="G24" i="48"/>
  <c r="H25" i="48"/>
  <c r="E26" i="48"/>
  <c r="I26" i="48"/>
  <c r="F27" i="48"/>
  <c r="G28" i="48"/>
  <c r="H29" i="48"/>
  <c r="E30" i="48"/>
  <c r="I30" i="48"/>
  <c r="F31" i="48"/>
  <c r="G32" i="48"/>
  <c r="H33" i="48"/>
  <c r="E34" i="48"/>
  <c r="I34" i="48"/>
  <c r="F35" i="48"/>
  <c r="G36" i="48"/>
  <c r="H37" i="48"/>
  <c r="E38" i="48"/>
  <c r="I38" i="48"/>
  <c r="F39" i="48"/>
  <c r="G40" i="48"/>
  <c r="H41" i="48"/>
  <c r="E42" i="48"/>
  <c r="I42" i="48"/>
  <c r="F43" i="48"/>
  <c r="G44" i="48"/>
  <c r="H45" i="48"/>
  <c r="E46" i="48"/>
  <c r="I46" i="48"/>
  <c r="H7" i="49"/>
  <c r="E8" i="49"/>
  <c r="J8" i="49" s="1"/>
  <c r="I8" i="49"/>
  <c r="H10" i="49"/>
  <c r="E11" i="49"/>
  <c r="J11" i="49" s="1"/>
  <c r="H12" i="49"/>
  <c r="G13" i="49"/>
  <c r="I14" i="49"/>
  <c r="F15" i="49"/>
  <c r="I18" i="49"/>
  <c r="J18" i="49" s="1"/>
  <c r="G7" i="48"/>
  <c r="H8" i="48"/>
  <c r="E9" i="48"/>
  <c r="I9" i="48"/>
  <c r="G11" i="48"/>
  <c r="H12" i="48"/>
  <c r="E13" i="48"/>
  <c r="I13" i="48"/>
  <c r="F14" i="48"/>
  <c r="H16" i="48"/>
  <c r="E17" i="48"/>
  <c r="I17" i="48"/>
  <c r="G19" i="48"/>
  <c r="H20" i="48"/>
  <c r="E21" i="48"/>
  <c r="I21" i="48"/>
  <c r="F22" i="48"/>
  <c r="G23" i="48"/>
  <c r="H24" i="48"/>
  <c r="E25" i="48"/>
  <c r="I25" i="48"/>
  <c r="F26" i="48"/>
  <c r="J26" i="48" s="1"/>
  <c r="G27" i="48"/>
  <c r="H28" i="48"/>
  <c r="E29" i="48"/>
  <c r="I29" i="48"/>
  <c r="F30" i="48"/>
  <c r="G31" i="48"/>
  <c r="H32" i="48"/>
  <c r="E33" i="48"/>
  <c r="J33" i="48" s="1"/>
  <c r="I33" i="48"/>
  <c r="F34" i="48"/>
  <c r="G35" i="48"/>
  <c r="H36" i="48"/>
  <c r="E37" i="48"/>
  <c r="I37" i="48"/>
  <c r="F38" i="48"/>
  <c r="G39" i="48"/>
  <c r="H40" i="48"/>
  <c r="I41" i="48"/>
  <c r="F42" i="48"/>
  <c r="G43" i="48"/>
  <c r="H44" i="48"/>
  <c r="E45" i="48"/>
  <c r="J45" i="48" s="1"/>
  <c r="I45" i="48"/>
  <c r="E7" i="49"/>
  <c r="I7" i="49"/>
  <c r="G9" i="49"/>
  <c r="I10" i="49"/>
  <c r="H13" i="49"/>
  <c r="E14" i="49"/>
  <c r="F16" i="49"/>
  <c r="H17" i="49"/>
  <c r="H21" i="49"/>
  <c r="J24" i="53"/>
  <c r="J15" i="54"/>
  <c r="J14" i="54"/>
  <c r="J40" i="53"/>
  <c r="J46" i="53"/>
  <c r="J43" i="53"/>
  <c r="J37" i="53"/>
  <c r="J30" i="53"/>
  <c r="J27" i="53"/>
  <c r="J21" i="53"/>
  <c r="J11" i="53"/>
  <c r="J8" i="53"/>
  <c r="J31" i="52"/>
  <c r="J9" i="52"/>
  <c r="J37" i="52"/>
  <c r="J45" i="52"/>
  <c r="J17" i="51"/>
  <c r="J40" i="50"/>
  <c r="J24" i="50"/>
  <c r="J42" i="51"/>
  <c r="J16" i="51"/>
  <c r="J20" i="51"/>
  <c r="J35" i="51"/>
  <c r="J41" i="50"/>
  <c r="J31" i="50"/>
  <c r="J28" i="50"/>
  <c r="J20" i="53"/>
  <c r="J43" i="54"/>
  <c r="J39" i="54"/>
  <c r="J64" i="54"/>
  <c r="J62" i="54"/>
  <c r="J60" i="54"/>
  <c r="J36" i="53"/>
  <c r="J42" i="53"/>
  <c r="J39" i="53"/>
  <c r="J33" i="53"/>
  <c r="J26" i="53"/>
  <c r="J17" i="53"/>
  <c r="J10" i="53"/>
  <c r="J32" i="52"/>
  <c r="J12" i="52"/>
  <c r="L12" i="52" s="1"/>
  <c r="J30" i="52"/>
  <c r="J27" i="52"/>
  <c r="L27" i="52" s="1"/>
  <c r="J24" i="52"/>
  <c r="J21" i="52"/>
  <c r="J14" i="52"/>
  <c r="L14" i="52" s="1"/>
  <c r="J11" i="52"/>
  <c r="J42" i="52"/>
  <c r="J42" i="50"/>
  <c r="J39" i="50"/>
  <c r="J36" i="50"/>
  <c r="J20" i="50"/>
  <c r="J16" i="50"/>
  <c r="J22" i="51"/>
  <c r="J21" i="51"/>
  <c r="J27" i="51"/>
  <c r="J37" i="51"/>
  <c r="J40" i="51"/>
  <c r="J46" i="51"/>
  <c r="J24" i="51"/>
  <c r="J23" i="51"/>
  <c r="J39" i="51"/>
  <c r="J43" i="51"/>
  <c r="J37" i="50"/>
  <c r="J30" i="50"/>
  <c r="J27" i="50"/>
  <c r="J21" i="50"/>
  <c r="J23" i="53"/>
  <c r="J16" i="53"/>
  <c r="J41" i="54"/>
  <c r="J45" i="53"/>
  <c r="J38" i="53"/>
  <c r="J35" i="53"/>
  <c r="J32" i="53"/>
  <c r="J29" i="53"/>
  <c r="J13" i="53"/>
  <c r="J28" i="52"/>
  <c r="J33" i="52"/>
  <c r="J26" i="52"/>
  <c r="L26" i="52" s="1"/>
  <c r="J23" i="52"/>
  <c r="J20" i="52"/>
  <c r="J17" i="52"/>
  <c r="J43" i="52"/>
  <c r="J46" i="52"/>
  <c r="J36" i="52"/>
  <c r="L36" i="52" s="1"/>
  <c r="J35" i="50"/>
  <c r="J26" i="51"/>
  <c r="J18" i="51"/>
  <c r="J31" i="51"/>
  <c r="J41" i="51"/>
  <c r="J44" i="51"/>
  <c r="J28" i="51"/>
  <c r="J33" i="50"/>
  <c r="J26" i="50"/>
  <c r="J17" i="50"/>
  <c r="H84" i="50"/>
  <c r="I84" i="50" s="1"/>
  <c r="J84" i="50" s="1"/>
  <c r="K84" i="50" s="1"/>
  <c r="J22" i="53"/>
  <c r="J19" i="53"/>
  <c r="J38" i="54"/>
  <c r="J36" i="54"/>
  <c r="J34" i="54"/>
  <c r="J42" i="54"/>
  <c r="J40" i="54"/>
  <c r="J65" i="54"/>
  <c r="J63" i="54"/>
  <c r="J61" i="54"/>
  <c r="J16" i="54"/>
  <c r="J44" i="53"/>
  <c r="J41" i="53"/>
  <c r="J31" i="53"/>
  <c r="J28" i="53"/>
  <c r="J12" i="53"/>
  <c r="L12" i="53" s="1"/>
  <c r="L48" i="53" s="1"/>
  <c r="J9" i="53"/>
  <c r="J29" i="52"/>
  <c r="J22" i="52"/>
  <c r="J19" i="52"/>
  <c r="J16" i="52"/>
  <c r="J13" i="52"/>
  <c r="L13" i="52" s="1"/>
  <c r="J41" i="52"/>
  <c r="L41" i="52" s="1"/>
  <c r="J44" i="52"/>
  <c r="J44" i="50"/>
  <c r="J30" i="51"/>
  <c r="J19" i="51"/>
  <c r="J29" i="51"/>
  <c r="J38" i="51"/>
  <c r="J45" i="51"/>
  <c r="J12" i="51"/>
  <c r="L12" i="51" s="1"/>
  <c r="L48" i="51" s="1"/>
  <c r="L49" i="51" s="1"/>
  <c r="L50" i="51" s="1"/>
  <c r="J32" i="51"/>
  <c r="J45" i="50"/>
  <c r="J32" i="50"/>
  <c r="J29" i="50"/>
  <c r="J22" i="50"/>
  <c r="J19" i="50"/>
  <c r="J17" i="54"/>
  <c r="J51" i="54"/>
  <c r="J53" i="54"/>
  <c r="J22" i="54"/>
  <c r="J21" i="54"/>
  <c r="J26" i="54"/>
  <c r="J46" i="54"/>
  <c r="J57" i="54"/>
  <c r="J54" i="54"/>
  <c r="J50" i="54"/>
  <c r="J18" i="54"/>
  <c r="J9" i="54"/>
  <c r="J66" i="54"/>
  <c r="J52" i="54"/>
  <c r="J32" i="54"/>
  <c r="J56" i="54"/>
  <c r="J8" i="54"/>
  <c r="L8" i="54" s="1"/>
  <c r="L68" i="54" s="1"/>
  <c r="L69" i="54" s="1"/>
  <c r="L70" i="54" s="1"/>
  <c r="J33" i="54"/>
  <c r="J48" i="54"/>
  <c r="J28" i="54"/>
  <c r="J20" i="54"/>
  <c r="J11" i="54"/>
  <c r="J31" i="54"/>
  <c r="J25" i="54"/>
  <c r="J47" i="54"/>
  <c r="J27" i="54"/>
  <c r="J19" i="54"/>
  <c r="J10" i="54"/>
  <c r="J55" i="54"/>
  <c r="J45" i="54"/>
  <c r="J29" i="54"/>
  <c r="H104" i="54"/>
  <c r="I104" i="54" s="1"/>
  <c r="J104" i="54" s="1"/>
  <c r="K104" i="54" s="1"/>
  <c r="J58" i="54"/>
  <c r="J44" i="54"/>
  <c r="J24" i="54"/>
  <c r="L49" i="53"/>
  <c r="L50" i="53" s="1"/>
  <c r="L48" i="49"/>
  <c r="L49" i="49" s="1"/>
  <c r="L50" i="49" s="1"/>
  <c r="G84" i="49"/>
  <c r="E84" i="49"/>
  <c r="F84" i="49" s="1"/>
  <c r="L48" i="48"/>
  <c r="L49" i="48" s="1"/>
  <c r="L50" i="48" s="1"/>
  <c r="AA48" i="48"/>
  <c r="AA50" i="48" s="1"/>
  <c r="G84" i="48"/>
  <c r="E84" i="48"/>
  <c r="F84" i="48" s="1"/>
  <c r="I46" i="47"/>
  <c r="H44" i="47"/>
  <c r="D44" i="47"/>
  <c r="C44" i="47"/>
  <c r="G43" i="47"/>
  <c r="D43" i="47"/>
  <c r="C43" i="47"/>
  <c r="D42" i="47"/>
  <c r="C42" i="47"/>
  <c r="D41" i="47"/>
  <c r="C41" i="47"/>
  <c r="G40" i="47"/>
  <c r="D40" i="47"/>
  <c r="C40" i="47"/>
  <c r="G39" i="47"/>
  <c r="D39" i="47"/>
  <c r="C39" i="47"/>
  <c r="D38" i="47"/>
  <c r="C38" i="47"/>
  <c r="D37" i="47"/>
  <c r="C37" i="47"/>
  <c r="F36" i="47"/>
  <c r="E36" i="47"/>
  <c r="D36" i="47"/>
  <c r="C36" i="47"/>
  <c r="F35" i="47"/>
  <c r="D35" i="47"/>
  <c r="C35" i="47"/>
  <c r="F34" i="47"/>
  <c r="D34" i="47"/>
  <c r="C34" i="47"/>
  <c r="F33" i="47"/>
  <c r="D33" i="47"/>
  <c r="C33" i="47"/>
  <c r="D32" i="47"/>
  <c r="C32" i="47"/>
  <c r="D31" i="47"/>
  <c r="C31" i="47"/>
  <c r="D30" i="47"/>
  <c r="C30" i="47"/>
  <c r="D29" i="47"/>
  <c r="C29" i="47"/>
  <c r="D28" i="47"/>
  <c r="C28" i="47"/>
  <c r="D27" i="47"/>
  <c r="C27" i="47"/>
  <c r="D26" i="47"/>
  <c r="C26" i="47"/>
  <c r="D25" i="47"/>
  <c r="C25" i="47"/>
  <c r="D24" i="47"/>
  <c r="C24" i="47"/>
  <c r="D23" i="47"/>
  <c r="C23" i="47"/>
  <c r="D22" i="47"/>
  <c r="C22" i="47"/>
  <c r="D21" i="47"/>
  <c r="C21" i="47"/>
  <c r="D20" i="47"/>
  <c r="C20" i="47"/>
  <c r="G19" i="47"/>
  <c r="D19" i="47"/>
  <c r="C19" i="47"/>
  <c r="H18" i="47"/>
  <c r="G18" i="47"/>
  <c r="F18" i="47"/>
  <c r="E18" i="47"/>
  <c r="D18" i="47"/>
  <c r="C18" i="47"/>
  <c r="G17" i="47"/>
  <c r="D17" i="47"/>
  <c r="C17" i="47"/>
  <c r="G16" i="47"/>
  <c r="D16" i="47"/>
  <c r="C16" i="47"/>
  <c r="G15" i="47"/>
  <c r="D15" i="47"/>
  <c r="C15" i="47"/>
  <c r="D14" i="47"/>
  <c r="C14" i="47"/>
  <c r="D13" i="47"/>
  <c r="C13" i="47"/>
  <c r="F12" i="47"/>
  <c r="D12" i="47"/>
  <c r="C12" i="47"/>
  <c r="F11" i="47"/>
  <c r="D11" i="47"/>
  <c r="C11" i="47"/>
  <c r="F10" i="47"/>
  <c r="D10" i="47"/>
  <c r="C10" i="47"/>
  <c r="F9" i="47"/>
  <c r="D9" i="47"/>
  <c r="C9" i="47"/>
  <c r="D8" i="47"/>
  <c r="C8" i="47"/>
  <c r="G7" i="47"/>
  <c r="D7" i="47"/>
  <c r="C7" i="47"/>
  <c r="I6" i="47"/>
  <c r="H6" i="47"/>
  <c r="G6" i="47"/>
  <c r="F6" i="47"/>
  <c r="E6" i="47"/>
  <c r="D6" i="47"/>
  <c r="C6" i="47"/>
  <c r="I6" i="42"/>
  <c r="H6" i="42"/>
  <c r="G6" i="42"/>
  <c r="F6" i="42"/>
  <c r="E6" i="42"/>
  <c r="D6" i="42"/>
  <c r="C6" i="42"/>
  <c r="J45" i="47"/>
  <c r="L45" i="47" s="1"/>
  <c r="I2" i="47"/>
  <c r="G44" i="47" s="1"/>
  <c r="L94" i="47"/>
  <c r="B82" i="47"/>
  <c r="C82" i="47" s="1"/>
  <c r="D82" i="47" s="1"/>
  <c r="K51" i="47"/>
  <c r="I51" i="47"/>
  <c r="A51" i="47"/>
  <c r="A50" i="47"/>
  <c r="L52" i="47" s="1"/>
  <c r="Y45" i="47"/>
  <c r="AA45" i="47" s="1"/>
  <c r="AA44" i="47"/>
  <c r="Y44" i="47"/>
  <c r="L44" i="47"/>
  <c r="AA43" i="47"/>
  <c r="Y43" i="47"/>
  <c r="L43" i="47"/>
  <c r="AA42" i="47"/>
  <c r="Y42" i="47"/>
  <c r="L42" i="47"/>
  <c r="AA41" i="47"/>
  <c r="Y41" i="47"/>
  <c r="L41" i="47"/>
  <c r="AA40" i="47"/>
  <c r="Y40" i="47"/>
  <c r="L40" i="47"/>
  <c r="AA39" i="47"/>
  <c r="Y39" i="47"/>
  <c r="L39" i="47"/>
  <c r="AA38" i="47"/>
  <c r="Y38" i="47"/>
  <c r="L38" i="47"/>
  <c r="AA37" i="47"/>
  <c r="Y37" i="47"/>
  <c r="L37" i="47"/>
  <c r="AA36" i="47"/>
  <c r="Y36" i="47"/>
  <c r="L36" i="47"/>
  <c r="AA35" i="47"/>
  <c r="Y35" i="47"/>
  <c r="L35" i="47"/>
  <c r="AA34" i="47"/>
  <c r="L34" i="47"/>
  <c r="AA33" i="47"/>
  <c r="Y33" i="47"/>
  <c r="L33" i="47"/>
  <c r="AA32" i="47"/>
  <c r="Y32" i="47"/>
  <c r="L32" i="47"/>
  <c r="AA31" i="47"/>
  <c r="Y31" i="47"/>
  <c r="L31" i="47"/>
  <c r="AA30" i="47"/>
  <c r="Y30" i="47"/>
  <c r="L30" i="47"/>
  <c r="AA29" i="47"/>
  <c r="Y29" i="47"/>
  <c r="L29" i="47"/>
  <c r="AA28" i="47"/>
  <c r="Y28" i="47"/>
  <c r="L28" i="47"/>
  <c r="AA27" i="47"/>
  <c r="Y27" i="47"/>
  <c r="L27" i="47"/>
  <c r="AA26" i="47"/>
  <c r="Y26" i="47"/>
  <c r="L26" i="47"/>
  <c r="AA25" i="47"/>
  <c r="L25" i="47"/>
  <c r="AA24" i="47"/>
  <c r="Y24" i="47"/>
  <c r="L24" i="47"/>
  <c r="AA23" i="47"/>
  <c r="Y23" i="47"/>
  <c r="L23" i="47"/>
  <c r="AA22" i="47"/>
  <c r="Y22" i="47"/>
  <c r="L22" i="47"/>
  <c r="AA21" i="47"/>
  <c r="Y21" i="47"/>
  <c r="L21" i="47"/>
  <c r="AA20" i="47"/>
  <c r="Y20" i="47"/>
  <c r="L20" i="47"/>
  <c r="AA19" i="47"/>
  <c r="Y19" i="47"/>
  <c r="L19" i="47"/>
  <c r="AA18" i="47"/>
  <c r="Y18" i="47"/>
  <c r="L18" i="47"/>
  <c r="AA17" i="47"/>
  <c r="Y17" i="47"/>
  <c r="L17" i="47"/>
  <c r="AA16" i="47"/>
  <c r="Y16" i="47"/>
  <c r="L16" i="47"/>
  <c r="AA15" i="47"/>
  <c r="Y15" i="47"/>
  <c r="L15" i="47"/>
  <c r="AA14" i="47"/>
  <c r="Y14" i="47"/>
  <c r="L14" i="47"/>
  <c r="AA13" i="47"/>
  <c r="Y13" i="47"/>
  <c r="L13" i="47"/>
  <c r="AA12" i="47"/>
  <c r="Y12" i="47"/>
  <c r="L12" i="47"/>
  <c r="AA11" i="47"/>
  <c r="Y11" i="47"/>
  <c r="L11" i="47"/>
  <c r="AA10" i="47"/>
  <c r="Y10" i="47"/>
  <c r="L10" i="47"/>
  <c r="AA9" i="47"/>
  <c r="Y9" i="47"/>
  <c r="L9" i="47"/>
  <c r="AA8" i="47"/>
  <c r="Y8" i="47"/>
  <c r="AA7" i="47"/>
  <c r="I48" i="46"/>
  <c r="D46" i="46"/>
  <c r="C46" i="46"/>
  <c r="D45" i="46"/>
  <c r="C45" i="46"/>
  <c r="D44" i="46"/>
  <c r="C44" i="46"/>
  <c r="D43" i="46"/>
  <c r="C43" i="46"/>
  <c r="D42" i="46"/>
  <c r="C42" i="46"/>
  <c r="D41" i="46"/>
  <c r="C41" i="46"/>
  <c r="D40" i="46"/>
  <c r="C40" i="46"/>
  <c r="D39" i="46"/>
  <c r="C39" i="46"/>
  <c r="F38" i="46"/>
  <c r="D38" i="46"/>
  <c r="C38" i="46"/>
  <c r="D37" i="46"/>
  <c r="C37" i="46"/>
  <c r="D36" i="46"/>
  <c r="C36" i="46"/>
  <c r="D35" i="46"/>
  <c r="C35" i="46"/>
  <c r="D34" i="46"/>
  <c r="C34" i="46"/>
  <c r="D33" i="46"/>
  <c r="C33" i="46"/>
  <c r="D32" i="46"/>
  <c r="C32" i="46"/>
  <c r="D31" i="46"/>
  <c r="C31" i="46"/>
  <c r="D30" i="46"/>
  <c r="C30" i="46"/>
  <c r="D29" i="46"/>
  <c r="C29" i="46"/>
  <c r="D28" i="46"/>
  <c r="C28" i="46"/>
  <c r="D27" i="46"/>
  <c r="C27" i="46"/>
  <c r="D26" i="46"/>
  <c r="C26" i="46"/>
  <c r="D25" i="46"/>
  <c r="C25" i="46"/>
  <c r="D24" i="46"/>
  <c r="C24" i="46"/>
  <c r="D23" i="46"/>
  <c r="C23" i="46"/>
  <c r="D22" i="46"/>
  <c r="C22" i="46"/>
  <c r="D21" i="46"/>
  <c r="C21" i="46"/>
  <c r="D20" i="46"/>
  <c r="C20" i="46"/>
  <c r="D19" i="46"/>
  <c r="C19" i="46"/>
  <c r="H18" i="46"/>
  <c r="G18" i="46"/>
  <c r="F18" i="46"/>
  <c r="E18" i="46"/>
  <c r="D18" i="46"/>
  <c r="C18" i="46"/>
  <c r="D17" i="46"/>
  <c r="C17" i="46"/>
  <c r="D16" i="46"/>
  <c r="C16" i="46"/>
  <c r="D15" i="46"/>
  <c r="C15" i="46"/>
  <c r="D14" i="46"/>
  <c r="C14" i="46"/>
  <c r="D13" i="46"/>
  <c r="C13" i="46"/>
  <c r="F12" i="46"/>
  <c r="D12" i="46"/>
  <c r="C12" i="46"/>
  <c r="F11" i="46"/>
  <c r="D11" i="46"/>
  <c r="C11" i="46"/>
  <c r="F10" i="46"/>
  <c r="D10" i="46"/>
  <c r="C10" i="46"/>
  <c r="F9" i="46"/>
  <c r="D9" i="46"/>
  <c r="C9" i="46"/>
  <c r="F8" i="46"/>
  <c r="D8" i="46"/>
  <c r="C8" i="46"/>
  <c r="I7" i="46"/>
  <c r="E7" i="46"/>
  <c r="D7" i="46"/>
  <c r="C7" i="46"/>
  <c r="I6" i="46"/>
  <c r="H6" i="46"/>
  <c r="G6" i="46"/>
  <c r="F6" i="46"/>
  <c r="E6" i="46"/>
  <c r="D6" i="46"/>
  <c r="I2" i="46"/>
  <c r="I35" i="46" s="1"/>
  <c r="Y47" i="46"/>
  <c r="AA47" i="46" s="1"/>
  <c r="AA48" i="46" s="1"/>
  <c r="AA50" i="46" s="1"/>
  <c r="J47" i="46"/>
  <c r="L47" i="46" s="1"/>
  <c r="Y46" i="46"/>
  <c r="L46" i="46"/>
  <c r="Y45" i="46"/>
  <c r="L45" i="46"/>
  <c r="Y44" i="46"/>
  <c r="L44" i="46"/>
  <c r="Y43" i="46"/>
  <c r="L43" i="46"/>
  <c r="Y42" i="46"/>
  <c r="L42" i="46"/>
  <c r="Y41" i="46"/>
  <c r="L41" i="46"/>
  <c r="Y40" i="46"/>
  <c r="L40" i="46"/>
  <c r="Y39" i="46"/>
  <c r="L39" i="46"/>
  <c r="Y38" i="46"/>
  <c r="L38" i="46"/>
  <c r="Y37" i="46"/>
  <c r="L37" i="46"/>
  <c r="Y36" i="46"/>
  <c r="L36" i="46"/>
  <c r="Y35" i="46"/>
  <c r="L35" i="46"/>
  <c r="L34" i="46"/>
  <c r="Y33" i="46"/>
  <c r="L33" i="46"/>
  <c r="Y32" i="46"/>
  <c r="L32" i="46"/>
  <c r="Y31" i="46"/>
  <c r="L31" i="46"/>
  <c r="Y30" i="46"/>
  <c r="L30" i="46"/>
  <c r="Y29" i="46"/>
  <c r="L29" i="46"/>
  <c r="Y28" i="46"/>
  <c r="L28" i="46"/>
  <c r="Y27" i="46"/>
  <c r="L27" i="46"/>
  <c r="Y26" i="46"/>
  <c r="L26" i="46"/>
  <c r="L25" i="46"/>
  <c r="Y24" i="46"/>
  <c r="L24" i="46"/>
  <c r="Y23" i="46"/>
  <c r="L23" i="46"/>
  <c r="Y22" i="46"/>
  <c r="L22" i="46"/>
  <c r="Y21" i="46"/>
  <c r="L21" i="46"/>
  <c r="Y20" i="46"/>
  <c r="L20" i="46"/>
  <c r="Y19" i="46"/>
  <c r="L19" i="46"/>
  <c r="Y18" i="46"/>
  <c r="L18" i="46"/>
  <c r="Y17" i="46"/>
  <c r="L17" i="46"/>
  <c r="Y16" i="46"/>
  <c r="L16" i="46"/>
  <c r="Y15" i="46"/>
  <c r="L15" i="46"/>
  <c r="Y14" i="46"/>
  <c r="L14" i="46"/>
  <c r="Y13" i="46"/>
  <c r="L13" i="46"/>
  <c r="Y12" i="46"/>
  <c r="L12" i="46"/>
  <c r="Y11" i="46"/>
  <c r="L11" i="46"/>
  <c r="Y10" i="46"/>
  <c r="L10" i="46"/>
  <c r="Y9" i="46"/>
  <c r="L9" i="46"/>
  <c r="Y8" i="46"/>
  <c r="L8" i="46"/>
  <c r="L7" i="46"/>
  <c r="I48" i="45"/>
  <c r="I6" i="45"/>
  <c r="H6" i="45"/>
  <c r="G6" i="45"/>
  <c r="F6" i="45"/>
  <c r="E6" i="45"/>
  <c r="D6" i="45"/>
  <c r="E6" i="44"/>
  <c r="D46" i="45"/>
  <c r="C46" i="45"/>
  <c r="F45" i="45"/>
  <c r="D45" i="45"/>
  <c r="C45" i="45"/>
  <c r="F44" i="45"/>
  <c r="D44" i="45"/>
  <c r="C44" i="45"/>
  <c r="F43" i="45"/>
  <c r="D43" i="45"/>
  <c r="C43" i="45"/>
  <c r="F42" i="45"/>
  <c r="D42" i="45"/>
  <c r="C42" i="45"/>
  <c r="D41" i="45"/>
  <c r="C41" i="45"/>
  <c r="F40" i="45"/>
  <c r="D40" i="45"/>
  <c r="C40" i="45"/>
  <c r="F39" i="45"/>
  <c r="D39" i="45"/>
  <c r="C39" i="45"/>
  <c r="D38" i="45"/>
  <c r="C38" i="45"/>
  <c r="D37" i="45"/>
  <c r="C37" i="45"/>
  <c r="D36" i="45"/>
  <c r="C36" i="45"/>
  <c r="D35" i="45"/>
  <c r="C35" i="45"/>
  <c r="D34" i="45"/>
  <c r="C34" i="45"/>
  <c r="D33" i="45"/>
  <c r="C33" i="45"/>
  <c r="D32" i="45"/>
  <c r="C32" i="45"/>
  <c r="D31" i="45"/>
  <c r="C31" i="45"/>
  <c r="D30" i="45"/>
  <c r="C30" i="45"/>
  <c r="D29" i="45"/>
  <c r="C29" i="45"/>
  <c r="D28" i="45"/>
  <c r="C28" i="45"/>
  <c r="D27" i="45"/>
  <c r="C27" i="45"/>
  <c r="D26" i="45"/>
  <c r="C26" i="45"/>
  <c r="D25" i="45"/>
  <c r="C25" i="45"/>
  <c r="D24" i="45"/>
  <c r="C24" i="45"/>
  <c r="D23" i="45"/>
  <c r="C23" i="45"/>
  <c r="D22" i="45"/>
  <c r="C22" i="45"/>
  <c r="D21" i="45"/>
  <c r="C21" i="45"/>
  <c r="D20" i="45"/>
  <c r="C20" i="45"/>
  <c r="D19" i="45"/>
  <c r="C19" i="45"/>
  <c r="F18" i="45"/>
  <c r="D18" i="45"/>
  <c r="C18" i="45"/>
  <c r="D17" i="45"/>
  <c r="C17" i="45"/>
  <c r="D16" i="45"/>
  <c r="C16" i="45"/>
  <c r="D15" i="45"/>
  <c r="C15" i="45"/>
  <c r="D14" i="45"/>
  <c r="C14" i="45"/>
  <c r="D13" i="45"/>
  <c r="C13" i="45"/>
  <c r="F12" i="45"/>
  <c r="D12" i="45"/>
  <c r="C12" i="45"/>
  <c r="D11" i="45"/>
  <c r="C11" i="45"/>
  <c r="D10" i="45"/>
  <c r="C10" i="45"/>
  <c r="D9" i="45"/>
  <c r="C9" i="45"/>
  <c r="D8" i="45"/>
  <c r="C8" i="45"/>
  <c r="G7" i="45"/>
  <c r="D7" i="45"/>
  <c r="C7" i="45"/>
  <c r="I2" i="45"/>
  <c r="G46" i="45" s="1"/>
  <c r="Y47" i="45"/>
  <c r="J47" i="45"/>
  <c r="L47" i="45" s="1"/>
  <c r="AA46" i="45"/>
  <c r="L46" i="45"/>
  <c r="L45" i="45"/>
  <c r="AA44" i="45"/>
  <c r="L44" i="45"/>
  <c r="AA43" i="45"/>
  <c r="L43" i="45"/>
  <c r="AA42" i="45"/>
  <c r="L42" i="45"/>
  <c r="Y41" i="45"/>
  <c r="AA41" i="45" s="1"/>
  <c r="Y40" i="45"/>
  <c r="L40" i="45"/>
  <c r="Y39" i="45"/>
  <c r="L39" i="45"/>
  <c r="Y38" i="45"/>
  <c r="AA38" i="45" s="1"/>
  <c r="Y37" i="45"/>
  <c r="L37" i="45"/>
  <c r="AA36" i="45"/>
  <c r="Y36" i="45"/>
  <c r="AA35" i="45"/>
  <c r="Y35" i="45"/>
  <c r="L34" i="45"/>
  <c r="Y33" i="45"/>
  <c r="AA33" i="45" s="1"/>
  <c r="L33" i="45"/>
  <c r="Y32" i="45"/>
  <c r="AA32" i="45" s="1"/>
  <c r="L32" i="45"/>
  <c r="Y31" i="45"/>
  <c r="AA31" i="45" s="1"/>
  <c r="L31" i="45"/>
  <c r="Y30" i="45"/>
  <c r="AA30" i="45" s="1"/>
  <c r="L30" i="45"/>
  <c r="Y29" i="45"/>
  <c r="AA29" i="45" s="1"/>
  <c r="L29" i="45"/>
  <c r="Y28" i="45"/>
  <c r="AA28" i="45" s="1"/>
  <c r="L28" i="45"/>
  <c r="Y27" i="45"/>
  <c r="L27" i="45"/>
  <c r="Y26" i="45"/>
  <c r="L26" i="45"/>
  <c r="L25" i="45"/>
  <c r="Y24" i="45"/>
  <c r="AA24" i="45" s="1"/>
  <c r="L24" i="45"/>
  <c r="Y23" i="45"/>
  <c r="AA23" i="45" s="1"/>
  <c r="L23" i="45"/>
  <c r="AA22" i="45"/>
  <c r="Y22" i="45"/>
  <c r="L22" i="45"/>
  <c r="Y21" i="45"/>
  <c r="AA21" i="45" s="1"/>
  <c r="L21" i="45"/>
  <c r="Y20" i="45"/>
  <c r="L20" i="45"/>
  <c r="Y19" i="45"/>
  <c r="AA19" i="45" s="1"/>
  <c r="Y18" i="45"/>
  <c r="L18" i="45"/>
  <c r="AA17" i="45"/>
  <c r="Y17" i="45"/>
  <c r="Y16" i="45"/>
  <c r="AA16" i="45" s="1"/>
  <c r="AA15" i="45"/>
  <c r="Y15" i="45"/>
  <c r="Y14" i="45"/>
  <c r="L14" i="45"/>
  <c r="Y13" i="45"/>
  <c r="AA13" i="45" s="1"/>
  <c r="Y12" i="45"/>
  <c r="L12" i="45"/>
  <c r="Y11" i="45"/>
  <c r="L11" i="45"/>
  <c r="Y10" i="45"/>
  <c r="L10" i="45"/>
  <c r="Y9" i="45"/>
  <c r="L9" i="45"/>
  <c r="Y8" i="45"/>
  <c r="AA8" i="45" s="1"/>
  <c r="L7" i="45"/>
  <c r="I6" i="44"/>
  <c r="H6" i="44"/>
  <c r="G6" i="44"/>
  <c r="F6" i="44"/>
  <c r="I48" i="44"/>
  <c r="D6" i="44"/>
  <c r="I6" i="43"/>
  <c r="H6" i="43"/>
  <c r="G6" i="43"/>
  <c r="F6" i="43"/>
  <c r="E6" i="43"/>
  <c r="D6" i="43"/>
  <c r="D46" i="44"/>
  <c r="C46" i="44"/>
  <c r="D45" i="44"/>
  <c r="C45" i="44"/>
  <c r="D44" i="44"/>
  <c r="C44" i="44"/>
  <c r="D43" i="44"/>
  <c r="C43" i="44"/>
  <c r="H42" i="44"/>
  <c r="G42" i="44"/>
  <c r="E42" i="44"/>
  <c r="D42" i="44"/>
  <c r="C42" i="44"/>
  <c r="H41" i="44"/>
  <c r="G41" i="44"/>
  <c r="E41" i="44"/>
  <c r="D41" i="44"/>
  <c r="C41" i="44"/>
  <c r="D40" i="44"/>
  <c r="C40" i="44"/>
  <c r="D39" i="44"/>
  <c r="C39" i="44"/>
  <c r="H38" i="44"/>
  <c r="D38" i="44"/>
  <c r="C38" i="44"/>
  <c r="D37" i="44"/>
  <c r="C37" i="44"/>
  <c r="D36" i="44"/>
  <c r="C36" i="44"/>
  <c r="E35" i="44"/>
  <c r="D35" i="44"/>
  <c r="C35" i="44"/>
  <c r="D34" i="44"/>
  <c r="C34" i="44"/>
  <c r="D33" i="44"/>
  <c r="C33" i="44"/>
  <c r="D32" i="44"/>
  <c r="C32" i="44"/>
  <c r="D31" i="44"/>
  <c r="C31" i="44"/>
  <c r="D30" i="44"/>
  <c r="C30" i="44"/>
  <c r="D29" i="44"/>
  <c r="C29" i="44"/>
  <c r="D28" i="44"/>
  <c r="C28" i="44"/>
  <c r="D27" i="44"/>
  <c r="C27" i="44"/>
  <c r="D26" i="44"/>
  <c r="C26" i="44"/>
  <c r="D25" i="44"/>
  <c r="C25" i="44"/>
  <c r="D24" i="44"/>
  <c r="C24" i="44"/>
  <c r="D23" i="44"/>
  <c r="C23" i="44"/>
  <c r="D22" i="44"/>
  <c r="C22" i="44"/>
  <c r="D21" i="44"/>
  <c r="C21" i="44"/>
  <c r="D20" i="44"/>
  <c r="C20" i="44"/>
  <c r="D19" i="44"/>
  <c r="C19" i="44"/>
  <c r="D18" i="44"/>
  <c r="C18" i="44"/>
  <c r="D17" i="44"/>
  <c r="C17" i="44"/>
  <c r="G16" i="44"/>
  <c r="D16" i="44"/>
  <c r="C16" i="44"/>
  <c r="D15" i="44"/>
  <c r="C15" i="44"/>
  <c r="D14" i="44"/>
  <c r="C14" i="44"/>
  <c r="D13" i="44"/>
  <c r="C13" i="44"/>
  <c r="F12" i="44"/>
  <c r="D12" i="44"/>
  <c r="C12" i="44"/>
  <c r="D11" i="44"/>
  <c r="C11" i="44"/>
  <c r="D10" i="44"/>
  <c r="C10" i="44"/>
  <c r="D9" i="44"/>
  <c r="C9" i="44"/>
  <c r="D8" i="44"/>
  <c r="C8" i="44"/>
  <c r="D7" i="44"/>
  <c r="C7" i="44"/>
  <c r="I2" i="44"/>
  <c r="F46" i="44" s="1"/>
  <c r="Y47" i="44"/>
  <c r="AA47" i="44" s="1"/>
  <c r="J47" i="44"/>
  <c r="L47" i="44" s="1"/>
  <c r="Y46" i="44"/>
  <c r="AA46" i="44" s="1"/>
  <c r="L46" i="44"/>
  <c r="Y45" i="44"/>
  <c r="AA45" i="44" s="1"/>
  <c r="L45" i="44"/>
  <c r="Y44" i="44"/>
  <c r="AA44" i="44" s="1"/>
  <c r="L44" i="44"/>
  <c r="Y43" i="44"/>
  <c r="AA43" i="44" s="1"/>
  <c r="L43" i="44"/>
  <c r="L42" i="44"/>
  <c r="L41" i="44"/>
  <c r="Y40" i="44"/>
  <c r="AA40" i="44" s="1"/>
  <c r="Y39" i="44"/>
  <c r="AA39" i="44" s="1"/>
  <c r="Y38" i="44"/>
  <c r="AA38" i="44" s="1"/>
  <c r="Y37" i="44"/>
  <c r="AA37" i="44" s="1"/>
  <c r="Y36" i="44"/>
  <c r="AA36" i="44" s="1"/>
  <c r="L35" i="44"/>
  <c r="L34" i="44"/>
  <c r="Y33" i="44"/>
  <c r="L33" i="44"/>
  <c r="Y32" i="44"/>
  <c r="L32" i="44"/>
  <c r="Y31" i="44"/>
  <c r="L31" i="44"/>
  <c r="Y30" i="44"/>
  <c r="L30" i="44"/>
  <c r="Y29" i="44"/>
  <c r="AA29" i="44" s="1"/>
  <c r="Y28" i="44"/>
  <c r="AA28" i="44" s="1"/>
  <c r="Y27" i="44"/>
  <c r="AA27" i="44" s="1"/>
  <c r="Y26" i="44"/>
  <c r="AA26" i="44" s="1"/>
  <c r="L25" i="44"/>
  <c r="Y24" i="44"/>
  <c r="L24" i="44"/>
  <c r="Y23" i="44"/>
  <c r="L23" i="44"/>
  <c r="Y22" i="44"/>
  <c r="L22" i="44"/>
  <c r="Y21" i="44"/>
  <c r="L21" i="44"/>
  <c r="Y20" i="44"/>
  <c r="L20" i="44"/>
  <c r="Y19" i="44"/>
  <c r="L19" i="44"/>
  <c r="AA18" i="44"/>
  <c r="Y18" i="44"/>
  <c r="Y17" i="44"/>
  <c r="AA17" i="44" s="1"/>
  <c r="L16" i="44"/>
  <c r="Y15" i="44"/>
  <c r="AA15" i="44" s="1"/>
  <c r="Y14" i="44"/>
  <c r="AA14" i="44" s="1"/>
  <c r="Y13" i="44"/>
  <c r="AA13" i="44" s="1"/>
  <c r="Y12" i="44"/>
  <c r="L12" i="44"/>
  <c r="Y11" i="44"/>
  <c r="L11" i="44"/>
  <c r="Y10" i="44"/>
  <c r="L10" i="44"/>
  <c r="Y9" i="44"/>
  <c r="AA9" i="44" s="1"/>
  <c r="AA8" i="44"/>
  <c r="Y8" i="44"/>
  <c r="L7" i="44"/>
  <c r="V17" i="63" l="1"/>
  <c r="V19" i="63" s="1"/>
  <c r="V20" i="63" s="1"/>
  <c r="V21" i="63" s="1"/>
  <c r="V22" i="63" s="1"/>
  <c r="V23" i="63" s="1"/>
  <c r="V24" i="63" s="1"/>
  <c r="V25" i="63" s="1"/>
  <c r="V26" i="63" s="1"/>
  <c r="V27" i="63" s="1"/>
  <c r="V28" i="63" s="1"/>
  <c r="V31" i="63" s="1"/>
  <c r="V32" i="63" s="1"/>
  <c r="V33" i="63" s="1"/>
  <c r="V34" i="63" s="1"/>
  <c r="V35" i="63" s="1"/>
  <c r="V36" i="63" s="1"/>
  <c r="V37" i="63" s="1"/>
  <c r="V38" i="63" s="1"/>
  <c r="V39" i="63" s="1"/>
  <c r="V40" i="63" s="1"/>
  <c r="V41" i="63" s="1"/>
  <c r="V42" i="63" s="1"/>
  <c r="V43" i="63" s="1"/>
  <c r="V44" i="63" s="1"/>
  <c r="V45" i="63" s="1"/>
  <c r="V46" i="63" s="1"/>
  <c r="V47" i="63" s="1"/>
  <c r="V48" i="63" s="1"/>
  <c r="V49" i="63" s="1"/>
  <c r="V50" i="63" s="1"/>
  <c r="V51" i="63" s="1"/>
  <c r="V52" i="63" s="1"/>
  <c r="V53" i="63" s="1"/>
  <c r="V54" i="63" s="1"/>
  <c r="V55" i="63" s="1"/>
  <c r="V56" i="63" s="1"/>
  <c r="V57" i="63" s="1"/>
  <c r="V58" i="63" s="1"/>
  <c r="V59" i="63" s="1"/>
  <c r="V60" i="63" s="1"/>
  <c r="V61" i="63" s="1"/>
  <c r="V62" i="63" s="1"/>
  <c r="X5" i="63" s="1"/>
  <c r="L22" i="63"/>
  <c r="L23" i="63" s="1"/>
  <c r="L24" i="63" s="1"/>
  <c r="L25" i="63" s="1"/>
  <c r="L26" i="63" s="1"/>
  <c r="L27" i="63" s="1"/>
  <c r="L28" i="63" s="1"/>
  <c r="L29" i="63"/>
  <c r="L30" i="63" s="1"/>
  <c r="L31" i="63" s="1"/>
  <c r="L32" i="63" s="1"/>
  <c r="L33" i="63" s="1"/>
  <c r="L34" i="63" s="1"/>
  <c r="L35" i="63" s="1"/>
  <c r="L36" i="63" s="1"/>
  <c r="L37" i="63" s="1"/>
  <c r="L38" i="63" s="1"/>
  <c r="L40" i="63" s="1"/>
  <c r="L41" i="63" s="1"/>
  <c r="L42" i="63" s="1"/>
  <c r="L43" i="63" s="1"/>
  <c r="L44" i="63" s="1"/>
  <c r="L45" i="63" s="1"/>
  <c r="L46" i="63" s="1"/>
  <c r="L47" i="63" s="1"/>
  <c r="L48" i="63" s="1"/>
  <c r="L49" i="63" s="1"/>
  <c r="L50" i="63" s="1"/>
  <c r="L51" i="63" s="1"/>
  <c r="L52" i="63" s="1"/>
  <c r="N5" i="63" s="1"/>
  <c r="AH11" i="63"/>
  <c r="E694" i="62"/>
  <c r="J694" i="62"/>
  <c r="AH12" i="63"/>
  <c r="AH13" i="63"/>
  <c r="D8" i="63"/>
  <c r="D7" i="63"/>
  <c r="D6" i="63"/>
  <c r="D9" i="63"/>
  <c r="J21" i="37"/>
  <c r="J22" i="37" s="1"/>
  <c r="A255" i="34"/>
  <c r="E90" i="54"/>
  <c r="E91" i="54" s="1"/>
  <c r="E92" i="54" s="1"/>
  <c r="E93" i="54" s="1"/>
  <c r="E94" i="54" s="1"/>
  <c r="E95" i="54" s="1"/>
  <c r="A84" i="54"/>
  <c r="A15" i="54"/>
  <c r="B134" i="4"/>
  <c r="H7" i="44"/>
  <c r="E8" i="44"/>
  <c r="I8" i="44"/>
  <c r="F9" i="44"/>
  <c r="G10" i="44"/>
  <c r="H11" i="44"/>
  <c r="E12" i="44"/>
  <c r="I12" i="44"/>
  <c r="F13" i="44"/>
  <c r="G14" i="44"/>
  <c r="H15" i="44"/>
  <c r="E16" i="44"/>
  <c r="I16" i="44"/>
  <c r="F17" i="44"/>
  <c r="G18" i="44"/>
  <c r="H19" i="44"/>
  <c r="E20" i="44"/>
  <c r="I20" i="44"/>
  <c r="F21" i="44"/>
  <c r="G22" i="44"/>
  <c r="H23" i="44"/>
  <c r="E24" i="44"/>
  <c r="I24" i="44"/>
  <c r="F25" i="44"/>
  <c r="G26" i="44"/>
  <c r="H27" i="44"/>
  <c r="E28" i="44"/>
  <c r="I28" i="44"/>
  <c r="F29" i="44"/>
  <c r="G30" i="44"/>
  <c r="H31" i="44"/>
  <c r="E32" i="44"/>
  <c r="I32" i="44"/>
  <c r="F33" i="44"/>
  <c r="G34" i="44"/>
  <c r="H35" i="44"/>
  <c r="E36" i="44"/>
  <c r="I36" i="44"/>
  <c r="F37" i="44"/>
  <c r="G38" i="44"/>
  <c r="H39" i="44"/>
  <c r="E40" i="44"/>
  <c r="I40" i="44"/>
  <c r="F41" i="44"/>
  <c r="H43" i="44"/>
  <c r="E44" i="44"/>
  <c r="I44" i="44"/>
  <c r="F45" i="44"/>
  <c r="G46" i="44"/>
  <c r="E7" i="45"/>
  <c r="I7" i="45"/>
  <c r="F8" i="45"/>
  <c r="G9" i="45"/>
  <c r="H10" i="45"/>
  <c r="E11" i="45"/>
  <c r="I11" i="45"/>
  <c r="G13" i="45"/>
  <c r="H14" i="45"/>
  <c r="E15" i="45"/>
  <c r="I15" i="45"/>
  <c r="F16" i="45"/>
  <c r="G17" i="45"/>
  <c r="H18" i="45"/>
  <c r="E19" i="45"/>
  <c r="I19" i="45"/>
  <c r="F20" i="45"/>
  <c r="G21" i="45"/>
  <c r="H22" i="45"/>
  <c r="E23" i="45"/>
  <c r="I23" i="45"/>
  <c r="F24" i="45"/>
  <c r="G25" i="45"/>
  <c r="H26" i="45"/>
  <c r="E27" i="45"/>
  <c r="I27" i="45"/>
  <c r="F28" i="45"/>
  <c r="G29" i="45"/>
  <c r="H30" i="45"/>
  <c r="E31" i="45"/>
  <c r="I31" i="45"/>
  <c r="F32" i="45"/>
  <c r="G33" i="45"/>
  <c r="H34" i="45"/>
  <c r="E35" i="45"/>
  <c r="I35" i="45"/>
  <c r="F36" i="45"/>
  <c r="G37" i="45"/>
  <c r="H38" i="45"/>
  <c r="E39" i="45"/>
  <c r="I39" i="45"/>
  <c r="G41" i="45"/>
  <c r="H42" i="45"/>
  <c r="E43" i="45"/>
  <c r="I43" i="45"/>
  <c r="G45" i="45"/>
  <c r="H46" i="45"/>
  <c r="G7" i="46"/>
  <c r="H8" i="46"/>
  <c r="E9" i="46"/>
  <c r="I9" i="46"/>
  <c r="G11" i="46"/>
  <c r="H12" i="46"/>
  <c r="E13" i="46"/>
  <c r="I13" i="46"/>
  <c r="F14" i="46"/>
  <c r="G15" i="46"/>
  <c r="H16" i="46"/>
  <c r="E17" i="46"/>
  <c r="I17" i="46"/>
  <c r="I19" i="46"/>
  <c r="F20" i="46"/>
  <c r="I21" i="46"/>
  <c r="G22" i="46"/>
  <c r="E23" i="46"/>
  <c r="H24" i="46"/>
  <c r="E25" i="46"/>
  <c r="H26" i="46"/>
  <c r="H27" i="46"/>
  <c r="E28" i="46"/>
  <c r="G29" i="46"/>
  <c r="H34" i="46"/>
  <c r="E7" i="44"/>
  <c r="I7" i="44"/>
  <c r="F8" i="44"/>
  <c r="G9" i="44"/>
  <c r="H10" i="44"/>
  <c r="E11" i="44"/>
  <c r="I11" i="44"/>
  <c r="G13" i="44"/>
  <c r="H14" i="44"/>
  <c r="E15" i="44"/>
  <c r="I15" i="44"/>
  <c r="F16" i="44"/>
  <c r="G17" i="44"/>
  <c r="H18" i="44"/>
  <c r="E19" i="44"/>
  <c r="I19" i="44"/>
  <c r="F20" i="44"/>
  <c r="G21" i="44"/>
  <c r="H22" i="44"/>
  <c r="E23" i="44"/>
  <c r="I23" i="44"/>
  <c r="F24" i="44"/>
  <c r="G25" i="44"/>
  <c r="H26" i="44"/>
  <c r="E27" i="44"/>
  <c r="I27" i="44"/>
  <c r="F28" i="44"/>
  <c r="G29" i="44"/>
  <c r="H30" i="44"/>
  <c r="E31" i="44"/>
  <c r="I31" i="44"/>
  <c r="F32" i="44"/>
  <c r="G33" i="44"/>
  <c r="H34" i="44"/>
  <c r="I35" i="44"/>
  <c r="F36" i="44"/>
  <c r="G37" i="44"/>
  <c r="E39" i="44"/>
  <c r="I39" i="44"/>
  <c r="F40" i="44"/>
  <c r="E43" i="44"/>
  <c r="I43" i="44"/>
  <c r="F44" i="44"/>
  <c r="G45" i="44"/>
  <c r="H46" i="44"/>
  <c r="F7" i="45"/>
  <c r="G8" i="45"/>
  <c r="H9" i="45"/>
  <c r="E10" i="45"/>
  <c r="I10" i="45"/>
  <c r="F11" i="45"/>
  <c r="G12" i="45"/>
  <c r="H13" i="45"/>
  <c r="E14" i="45"/>
  <c r="I14" i="45"/>
  <c r="F15" i="45"/>
  <c r="G16" i="45"/>
  <c r="H17" i="45"/>
  <c r="E18" i="45"/>
  <c r="I18" i="45"/>
  <c r="F19" i="45"/>
  <c r="G20" i="45"/>
  <c r="H21" i="45"/>
  <c r="E22" i="45"/>
  <c r="I22" i="45"/>
  <c r="F23" i="45"/>
  <c r="G24" i="45"/>
  <c r="H25" i="45"/>
  <c r="E26" i="45"/>
  <c r="I26" i="45"/>
  <c r="F27" i="45"/>
  <c r="G28" i="45"/>
  <c r="H29" i="45"/>
  <c r="E30" i="45"/>
  <c r="I30" i="45"/>
  <c r="F31" i="45"/>
  <c r="G32" i="45"/>
  <c r="H33" i="45"/>
  <c r="E34" i="45"/>
  <c r="I34" i="45"/>
  <c r="F35" i="45"/>
  <c r="G36" i="45"/>
  <c r="H37" i="45"/>
  <c r="E38" i="45"/>
  <c r="I38" i="45"/>
  <c r="G40" i="45"/>
  <c r="H41" i="45"/>
  <c r="E42" i="45"/>
  <c r="I42" i="45"/>
  <c r="G44" i="45"/>
  <c r="H45" i="45"/>
  <c r="E46" i="45"/>
  <c r="I46" i="45"/>
  <c r="G46" i="46"/>
  <c r="F45" i="46"/>
  <c r="I44" i="46"/>
  <c r="E44" i="46"/>
  <c r="H43" i="46"/>
  <c r="G42" i="46"/>
  <c r="G41" i="46"/>
  <c r="G40" i="46"/>
  <c r="F39" i="46"/>
  <c r="I38" i="46"/>
  <c r="E38" i="46"/>
  <c r="H37" i="46"/>
  <c r="G36" i="46"/>
  <c r="F35" i="46"/>
  <c r="I34" i="46"/>
  <c r="E34" i="46"/>
  <c r="H33" i="46"/>
  <c r="G32" i="46"/>
  <c r="F31" i="46"/>
  <c r="I30" i="46"/>
  <c r="E30" i="46"/>
  <c r="H29" i="46"/>
  <c r="G28" i="46"/>
  <c r="F27" i="46"/>
  <c r="I26" i="46"/>
  <c r="E26" i="46"/>
  <c r="H25" i="46"/>
  <c r="G24" i="46"/>
  <c r="F23" i="46"/>
  <c r="I22" i="46"/>
  <c r="E22" i="46"/>
  <c r="H21" i="46"/>
  <c r="G20" i="46"/>
  <c r="F19" i="46"/>
  <c r="I18" i="46"/>
  <c r="F46" i="46"/>
  <c r="I45" i="46"/>
  <c r="E45" i="46"/>
  <c r="H44" i="46"/>
  <c r="G43" i="46"/>
  <c r="F42" i="46"/>
  <c r="F41" i="46"/>
  <c r="F40" i="46"/>
  <c r="I46" i="46"/>
  <c r="E46" i="46"/>
  <c r="H45" i="46"/>
  <c r="G44" i="46"/>
  <c r="F43" i="46"/>
  <c r="I42" i="46"/>
  <c r="E42" i="46"/>
  <c r="I41" i="46"/>
  <c r="E41" i="46"/>
  <c r="J41" i="46" s="1"/>
  <c r="I40" i="46"/>
  <c r="E40" i="46"/>
  <c r="H39" i="46"/>
  <c r="G38" i="46"/>
  <c r="F37" i="46"/>
  <c r="I36" i="46"/>
  <c r="E36" i="46"/>
  <c r="H35" i="46"/>
  <c r="G34" i="46"/>
  <c r="F33" i="46"/>
  <c r="I32" i="46"/>
  <c r="E32" i="46"/>
  <c r="H31" i="46"/>
  <c r="G30" i="46"/>
  <c r="F29" i="46"/>
  <c r="I28" i="46"/>
  <c r="H46" i="46"/>
  <c r="G45" i="46"/>
  <c r="F44" i="46"/>
  <c r="I43" i="46"/>
  <c r="E43" i="46"/>
  <c r="H42" i="46"/>
  <c r="H41" i="46"/>
  <c r="H40" i="46"/>
  <c r="G39" i="46"/>
  <c r="I37" i="46"/>
  <c r="E37" i="46"/>
  <c r="H36" i="46"/>
  <c r="G35" i="46"/>
  <c r="F34" i="46"/>
  <c r="I33" i="46"/>
  <c r="E33" i="46"/>
  <c r="J33" i="46" s="1"/>
  <c r="H32" i="46"/>
  <c r="G31" i="46"/>
  <c r="F30" i="46"/>
  <c r="I29" i="46"/>
  <c r="E29" i="46"/>
  <c r="H28" i="46"/>
  <c r="G27" i="46"/>
  <c r="H7" i="46"/>
  <c r="E8" i="46"/>
  <c r="I8" i="46"/>
  <c r="G10" i="46"/>
  <c r="H11" i="46"/>
  <c r="E12" i="46"/>
  <c r="I12" i="46"/>
  <c r="F13" i="46"/>
  <c r="G14" i="46"/>
  <c r="H15" i="46"/>
  <c r="E16" i="46"/>
  <c r="I16" i="46"/>
  <c r="F17" i="46"/>
  <c r="E19" i="46"/>
  <c r="H20" i="46"/>
  <c r="E21" i="46"/>
  <c r="H22" i="46"/>
  <c r="G23" i="46"/>
  <c r="I24" i="46"/>
  <c r="F25" i="46"/>
  <c r="I27" i="46"/>
  <c r="F28" i="46"/>
  <c r="G33" i="46"/>
  <c r="E39" i="46"/>
  <c r="F7" i="44"/>
  <c r="G8" i="44"/>
  <c r="H9" i="44"/>
  <c r="E10" i="44"/>
  <c r="I10" i="44"/>
  <c r="F11" i="44"/>
  <c r="G12" i="44"/>
  <c r="H13" i="44"/>
  <c r="E14" i="44"/>
  <c r="I14" i="44"/>
  <c r="F15" i="44"/>
  <c r="H17" i="44"/>
  <c r="E18" i="44"/>
  <c r="I18" i="44"/>
  <c r="F19" i="44"/>
  <c r="G20" i="44"/>
  <c r="H21" i="44"/>
  <c r="E22" i="44"/>
  <c r="I22" i="44"/>
  <c r="F23" i="44"/>
  <c r="G24" i="44"/>
  <c r="H25" i="44"/>
  <c r="E26" i="44"/>
  <c r="I26" i="44"/>
  <c r="F27" i="44"/>
  <c r="G28" i="44"/>
  <c r="H29" i="44"/>
  <c r="E30" i="44"/>
  <c r="I30" i="44"/>
  <c r="F31" i="44"/>
  <c r="G32" i="44"/>
  <c r="H33" i="44"/>
  <c r="E34" i="44"/>
  <c r="I34" i="44"/>
  <c r="F35" i="44"/>
  <c r="G36" i="44"/>
  <c r="H37" i="44"/>
  <c r="E38" i="44"/>
  <c r="I38" i="44"/>
  <c r="F39" i="44"/>
  <c r="G40" i="44"/>
  <c r="I42" i="44"/>
  <c r="F43" i="44"/>
  <c r="G44" i="44"/>
  <c r="H45" i="44"/>
  <c r="E46" i="44"/>
  <c r="I46" i="44"/>
  <c r="H8" i="45"/>
  <c r="E9" i="45"/>
  <c r="I9" i="45"/>
  <c r="F10" i="45"/>
  <c r="G11" i="45"/>
  <c r="H12" i="45"/>
  <c r="E13" i="45"/>
  <c r="I13" i="45"/>
  <c r="F14" i="45"/>
  <c r="G15" i="45"/>
  <c r="H16" i="45"/>
  <c r="E17" i="45"/>
  <c r="I17" i="45"/>
  <c r="G19" i="45"/>
  <c r="H20" i="45"/>
  <c r="E21" i="45"/>
  <c r="I21" i="45"/>
  <c r="F22" i="45"/>
  <c r="G23" i="45"/>
  <c r="H24" i="45"/>
  <c r="E25" i="45"/>
  <c r="I25" i="45"/>
  <c r="F26" i="45"/>
  <c r="G27" i="45"/>
  <c r="H28" i="45"/>
  <c r="E29" i="45"/>
  <c r="I29" i="45"/>
  <c r="F30" i="45"/>
  <c r="G31" i="45"/>
  <c r="H32" i="45"/>
  <c r="E33" i="45"/>
  <c r="I33" i="45"/>
  <c r="F34" i="45"/>
  <c r="G35" i="45"/>
  <c r="H36" i="45"/>
  <c r="E37" i="45"/>
  <c r="I37" i="45"/>
  <c r="F38" i="45"/>
  <c r="G39" i="45"/>
  <c r="H40" i="45"/>
  <c r="E41" i="45"/>
  <c r="I41" i="45"/>
  <c r="G43" i="45"/>
  <c r="H44" i="45"/>
  <c r="E45" i="45"/>
  <c r="I45" i="45"/>
  <c r="F46" i="45"/>
  <c r="G9" i="46"/>
  <c r="H10" i="46"/>
  <c r="E11" i="46"/>
  <c r="J11" i="46" s="1"/>
  <c r="I11" i="46"/>
  <c r="G13" i="46"/>
  <c r="H14" i="46"/>
  <c r="E15" i="46"/>
  <c r="I15" i="46"/>
  <c r="F16" i="46"/>
  <c r="G17" i="46"/>
  <c r="G19" i="46"/>
  <c r="I20" i="46"/>
  <c r="F21" i="46"/>
  <c r="H23" i="46"/>
  <c r="E24" i="46"/>
  <c r="G25" i="46"/>
  <c r="F26" i="46"/>
  <c r="E31" i="46"/>
  <c r="F32" i="46"/>
  <c r="G37" i="46"/>
  <c r="H38" i="46"/>
  <c r="I39" i="46"/>
  <c r="G7" i="44"/>
  <c r="H8" i="44"/>
  <c r="E9" i="44"/>
  <c r="I9" i="44"/>
  <c r="F10" i="44"/>
  <c r="G11" i="44"/>
  <c r="H12" i="44"/>
  <c r="E13" i="44"/>
  <c r="I13" i="44"/>
  <c r="F14" i="44"/>
  <c r="G15" i="44"/>
  <c r="H16" i="44"/>
  <c r="E17" i="44"/>
  <c r="I17" i="44"/>
  <c r="F18" i="44"/>
  <c r="G19" i="44"/>
  <c r="H20" i="44"/>
  <c r="E21" i="44"/>
  <c r="I21" i="44"/>
  <c r="F22" i="44"/>
  <c r="G23" i="44"/>
  <c r="H24" i="44"/>
  <c r="E25" i="44"/>
  <c r="I25" i="44"/>
  <c r="F26" i="44"/>
  <c r="G27" i="44"/>
  <c r="H28" i="44"/>
  <c r="E29" i="44"/>
  <c r="I29" i="44"/>
  <c r="F30" i="44"/>
  <c r="G31" i="44"/>
  <c r="H32" i="44"/>
  <c r="E33" i="44"/>
  <c r="I33" i="44"/>
  <c r="F34" i="44"/>
  <c r="G35" i="44"/>
  <c r="H36" i="44"/>
  <c r="E37" i="44"/>
  <c r="I37" i="44"/>
  <c r="F38" i="44"/>
  <c r="G39" i="44"/>
  <c r="H40" i="44"/>
  <c r="I41" i="44"/>
  <c r="F42" i="44"/>
  <c r="G43" i="44"/>
  <c r="H44" i="44"/>
  <c r="E45" i="44"/>
  <c r="I45" i="44"/>
  <c r="H7" i="45"/>
  <c r="E8" i="45"/>
  <c r="J8" i="45" s="1"/>
  <c r="L8" i="45" s="1"/>
  <c r="I8" i="45"/>
  <c r="F9" i="45"/>
  <c r="G10" i="45"/>
  <c r="H11" i="45"/>
  <c r="E12" i="45"/>
  <c r="I12" i="45"/>
  <c r="F13" i="45"/>
  <c r="G14" i="45"/>
  <c r="H15" i="45"/>
  <c r="E16" i="45"/>
  <c r="I16" i="45"/>
  <c r="F17" i="45"/>
  <c r="G18" i="45"/>
  <c r="J18" i="45" s="1"/>
  <c r="H19" i="45"/>
  <c r="E20" i="45"/>
  <c r="J20" i="45" s="1"/>
  <c r="I20" i="45"/>
  <c r="F21" i="45"/>
  <c r="G22" i="45"/>
  <c r="H23" i="45"/>
  <c r="E24" i="45"/>
  <c r="I24" i="45"/>
  <c r="F25" i="45"/>
  <c r="G26" i="45"/>
  <c r="H27" i="45"/>
  <c r="E28" i="45"/>
  <c r="I28" i="45"/>
  <c r="F29" i="45"/>
  <c r="G30" i="45"/>
  <c r="H31" i="45"/>
  <c r="E32" i="45"/>
  <c r="I32" i="45"/>
  <c r="F33" i="45"/>
  <c r="G34" i="45"/>
  <c r="H35" i="45"/>
  <c r="E36" i="45"/>
  <c r="I36" i="45"/>
  <c r="F37" i="45"/>
  <c r="G38" i="45"/>
  <c r="H39" i="45"/>
  <c r="E40" i="45"/>
  <c r="I40" i="45"/>
  <c r="F41" i="45"/>
  <c r="G42" i="45"/>
  <c r="H43" i="45"/>
  <c r="E44" i="45"/>
  <c r="I44" i="45"/>
  <c r="F7" i="46"/>
  <c r="G8" i="46"/>
  <c r="H9" i="46"/>
  <c r="E10" i="46"/>
  <c r="I10" i="46"/>
  <c r="G12" i="46"/>
  <c r="H13" i="46"/>
  <c r="E14" i="46"/>
  <c r="I14" i="46"/>
  <c r="F15" i="46"/>
  <c r="G16" i="46"/>
  <c r="H17" i="46"/>
  <c r="H19" i="46"/>
  <c r="E20" i="46"/>
  <c r="J20" i="46" s="1"/>
  <c r="G21" i="46"/>
  <c r="F22" i="46"/>
  <c r="I23" i="46"/>
  <c r="F24" i="46"/>
  <c r="I25" i="46"/>
  <c r="G26" i="46"/>
  <c r="E27" i="46"/>
  <c r="J27" i="46" s="1"/>
  <c r="H30" i="46"/>
  <c r="I31" i="46"/>
  <c r="E35" i="46"/>
  <c r="F36" i="46"/>
  <c r="J36" i="46" s="1"/>
  <c r="J38" i="46"/>
  <c r="AA46" i="47"/>
  <c r="AA48" i="47" s="1"/>
  <c r="H8" i="47"/>
  <c r="E9" i="47"/>
  <c r="I9" i="47"/>
  <c r="G11" i="47"/>
  <c r="H12" i="47"/>
  <c r="E13" i="47"/>
  <c r="I13" i="47"/>
  <c r="F14" i="47"/>
  <c r="H16" i="47"/>
  <c r="E17" i="47"/>
  <c r="I17" i="47"/>
  <c r="H20" i="47"/>
  <c r="E21" i="47"/>
  <c r="I21" i="47"/>
  <c r="F22" i="47"/>
  <c r="G23" i="47"/>
  <c r="H24" i="47"/>
  <c r="E25" i="47"/>
  <c r="I25" i="47"/>
  <c r="F26" i="47"/>
  <c r="G27" i="47"/>
  <c r="H28" i="47"/>
  <c r="E29" i="47"/>
  <c r="I29" i="47"/>
  <c r="F30" i="47"/>
  <c r="G31" i="47"/>
  <c r="H32" i="47"/>
  <c r="E33" i="47"/>
  <c r="I33" i="47"/>
  <c r="G35" i="47"/>
  <c r="H36" i="47"/>
  <c r="E37" i="47"/>
  <c r="I37" i="47"/>
  <c r="F38" i="47"/>
  <c r="H40" i="47"/>
  <c r="E41" i="47"/>
  <c r="I41" i="47"/>
  <c r="F42" i="47"/>
  <c r="J28" i="49"/>
  <c r="J31" i="49"/>
  <c r="J41" i="49"/>
  <c r="J44" i="49"/>
  <c r="J13" i="49"/>
  <c r="J35" i="48"/>
  <c r="J22" i="48"/>
  <c r="J19" i="48"/>
  <c r="J8" i="48"/>
  <c r="J10" i="49"/>
  <c r="J40" i="48"/>
  <c r="J10" i="48"/>
  <c r="H7" i="47"/>
  <c r="E8" i="47"/>
  <c r="I8" i="47"/>
  <c r="G10" i="47"/>
  <c r="H11" i="47"/>
  <c r="E12" i="47"/>
  <c r="I12" i="47"/>
  <c r="F13" i="47"/>
  <c r="G14" i="47"/>
  <c r="H15" i="47"/>
  <c r="E16" i="47"/>
  <c r="I16" i="47"/>
  <c r="F17" i="47"/>
  <c r="H19" i="47"/>
  <c r="E20" i="47"/>
  <c r="I20" i="47"/>
  <c r="F21" i="47"/>
  <c r="G22" i="47"/>
  <c r="H23" i="47"/>
  <c r="E24" i="47"/>
  <c r="I24" i="47"/>
  <c r="F25" i="47"/>
  <c r="G26" i="47"/>
  <c r="H27" i="47"/>
  <c r="E28" i="47"/>
  <c r="I28" i="47"/>
  <c r="F29" i="47"/>
  <c r="G30" i="47"/>
  <c r="H31" i="47"/>
  <c r="E32" i="47"/>
  <c r="I32" i="47"/>
  <c r="G34" i="47"/>
  <c r="H35" i="47"/>
  <c r="I36" i="47"/>
  <c r="F37" i="47"/>
  <c r="G38" i="47"/>
  <c r="H39" i="47"/>
  <c r="E40" i="47"/>
  <c r="I40" i="47"/>
  <c r="F41" i="47"/>
  <c r="G42" i="47"/>
  <c r="H43" i="47"/>
  <c r="E44" i="47"/>
  <c r="I44" i="47"/>
  <c r="H84" i="49"/>
  <c r="I84" i="49" s="1"/>
  <c r="J84" i="49" s="1"/>
  <c r="K84" i="49" s="1"/>
  <c r="J29" i="48"/>
  <c r="J46" i="48"/>
  <c r="J30" i="48"/>
  <c r="J15" i="49"/>
  <c r="J32" i="49"/>
  <c r="J38" i="49"/>
  <c r="J45" i="49"/>
  <c r="J35" i="49"/>
  <c r="J31" i="48"/>
  <c r="J24" i="48"/>
  <c r="J21" i="48"/>
  <c r="J15" i="48"/>
  <c r="J11" i="48"/>
  <c r="J36" i="48"/>
  <c r="E7" i="47"/>
  <c r="I7" i="47"/>
  <c r="F8" i="47"/>
  <c r="G9" i="47"/>
  <c r="H10" i="47"/>
  <c r="E11" i="47"/>
  <c r="I11" i="47"/>
  <c r="G13" i="47"/>
  <c r="H14" i="47"/>
  <c r="E15" i="47"/>
  <c r="I15" i="47"/>
  <c r="F16" i="47"/>
  <c r="E19" i="47"/>
  <c r="I19" i="47"/>
  <c r="F20" i="47"/>
  <c r="G21" i="47"/>
  <c r="H22" i="47"/>
  <c r="E23" i="47"/>
  <c r="I23" i="47"/>
  <c r="F24" i="47"/>
  <c r="G25" i="47"/>
  <c r="H26" i="47"/>
  <c r="E27" i="47"/>
  <c r="I27" i="47"/>
  <c r="F28" i="47"/>
  <c r="G29" i="47"/>
  <c r="H30" i="47"/>
  <c r="E31" i="47"/>
  <c r="I31" i="47"/>
  <c r="F32" i="47"/>
  <c r="G33" i="47"/>
  <c r="H34" i="47"/>
  <c r="E35" i="47"/>
  <c r="I35" i="47"/>
  <c r="G37" i="47"/>
  <c r="H38" i="47"/>
  <c r="E39" i="47"/>
  <c r="I39" i="47"/>
  <c r="F40" i="47"/>
  <c r="G41" i="47"/>
  <c r="H42" i="47"/>
  <c r="E43" i="47"/>
  <c r="I43" i="47"/>
  <c r="F44" i="47"/>
  <c r="J42" i="48"/>
  <c r="J29" i="49"/>
  <c r="J36" i="49"/>
  <c r="J39" i="49"/>
  <c r="J42" i="49"/>
  <c r="J12" i="49"/>
  <c r="J43" i="48"/>
  <c r="J27" i="48"/>
  <c r="J20" i="48"/>
  <c r="J17" i="48"/>
  <c r="J14" i="48"/>
  <c r="J41" i="48"/>
  <c r="J32" i="48"/>
  <c r="J12" i="48"/>
  <c r="J18" i="46"/>
  <c r="F7" i="47"/>
  <c r="G8" i="47"/>
  <c r="H9" i="47"/>
  <c r="J9" i="47" s="1"/>
  <c r="E10" i="47"/>
  <c r="I10" i="47"/>
  <c r="J11" i="47"/>
  <c r="G12" i="47"/>
  <c r="H13" i="47"/>
  <c r="E14" i="47"/>
  <c r="J14" i="47" s="1"/>
  <c r="I14" i="47"/>
  <c r="F15" i="47"/>
  <c r="J15" i="47" s="1"/>
  <c r="H17" i="47"/>
  <c r="I18" i="47"/>
  <c r="F19" i="47"/>
  <c r="J19" i="47" s="1"/>
  <c r="G20" i="47"/>
  <c r="J20" i="47" s="1"/>
  <c r="H21" i="47"/>
  <c r="E22" i="47"/>
  <c r="I22" i="47"/>
  <c r="F23" i="47"/>
  <c r="G24" i="47"/>
  <c r="H25" i="47"/>
  <c r="E26" i="47"/>
  <c r="I26" i="47"/>
  <c r="F27" i="47"/>
  <c r="G28" i="47"/>
  <c r="H29" i="47"/>
  <c r="E30" i="47"/>
  <c r="J30" i="47" s="1"/>
  <c r="I30" i="47"/>
  <c r="F31" i="47"/>
  <c r="G32" i="47"/>
  <c r="J32" i="47" s="1"/>
  <c r="H33" i="47"/>
  <c r="E34" i="47"/>
  <c r="I34" i="47"/>
  <c r="G36" i="47"/>
  <c r="H37" i="47"/>
  <c r="E38" i="47"/>
  <c r="I38" i="47"/>
  <c r="F39" i="47"/>
  <c r="J39" i="47" s="1"/>
  <c r="H41" i="47"/>
  <c r="E42" i="47"/>
  <c r="I42" i="47"/>
  <c r="F43" i="47"/>
  <c r="L48" i="52"/>
  <c r="L49" i="52" s="1"/>
  <c r="L50" i="52" s="1"/>
  <c r="J14" i="49"/>
  <c r="J37" i="48"/>
  <c r="J13" i="48"/>
  <c r="J9" i="48"/>
  <c r="J38" i="48"/>
  <c r="J9" i="49"/>
  <c r="J19" i="49"/>
  <c r="J26" i="49"/>
  <c r="J27" i="49"/>
  <c r="J30" i="49"/>
  <c r="J33" i="49"/>
  <c r="J17" i="49"/>
  <c r="J21" i="49"/>
  <c r="J24" i="49"/>
  <c r="J37" i="49"/>
  <c r="J40" i="49"/>
  <c r="J43" i="49"/>
  <c r="J46" i="49"/>
  <c r="J16" i="49"/>
  <c r="J20" i="49"/>
  <c r="J39" i="48"/>
  <c r="J23" i="48"/>
  <c r="J16" i="48"/>
  <c r="J44" i="48"/>
  <c r="J28" i="48"/>
  <c r="H84" i="48"/>
  <c r="I84" i="48" s="1"/>
  <c r="J84" i="48" s="1"/>
  <c r="K84" i="48" s="1"/>
  <c r="J26" i="47"/>
  <c r="J29" i="47"/>
  <c r="J12" i="47"/>
  <c r="J13" i="47"/>
  <c r="J8" i="47"/>
  <c r="L8" i="47" s="1"/>
  <c r="J16" i="47"/>
  <c r="J17" i="47"/>
  <c r="J18" i="47"/>
  <c r="J21" i="47"/>
  <c r="J22" i="47"/>
  <c r="J23" i="47"/>
  <c r="J24" i="47"/>
  <c r="J27" i="47"/>
  <c r="J28" i="47"/>
  <c r="J31" i="47"/>
  <c r="J35" i="47"/>
  <c r="J36" i="47"/>
  <c r="J37" i="47"/>
  <c r="J40" i="47"/>
  <c r="J41" i="47"/>
  <c r="J43" i="47"/>
  <c r="J44" i="47"/>
  <c r="L46" i="47"/>
  <c r="L47" i="47" s="1"/>
  <c r="L48" i="47" s="1"/>
  <c r="E82" i="47"/>
  <c r="F82" i="47" s="1"/>
  <c r="G82" i="47"/>
  <c r="L48" i="46"/>
  <c r="L49" i="46"/>
  <c r="L50" i="46" s="1"/>
  <c r="AA48" i="45"/>
  <c r="AA50" i="45" s="1"/>
  <c r="J19" i="44"/>
  <c r="J40" i="44"/>
  <c r="L40" i="44" s="1"/>
  <c r="J24" i="44"/>
  <c r="J29" i="44"/>
  <c r="L29" i="44" s="1"/>
  <c r="J36" i="44"/>
  <c r="L36" i="44" s="1"/>
  <c r="J13" i="44"/>
  <c r="L13" i="44" s="1"/>
  <c r="J18" i="44"/>
  <c r="L18" i="44" s="1"/>
  <c r="J9" i="44"/>
  <c r="L9" i="44" s="1"/>
  <c r="J10" i="44"/>
  <c r="J11" i="44"/>
  <c r="J12" i="44"/>
  <c r="J14" i="44"/>
  <c r="L14" i="44" s="1"/>
  <c r="J15" i="44"/>
  <c r="L15" i="44" s="1"/>
  <c r="J17" i="44"/>
  <c r="L17" i="44" s="1"/>
  <c r="J20" i="44"/>
  <c r="J21" i="44"/>
  <c r="J22" i="44"/>
  <c r="J23" i="44"/>
  <c r="J26" i="44"/>
  <c r="L26" i="44" s="1"/>
  <c r="J27" i="44"/>
  <c r="L27" i="44" s="1"/>
  <c r="J28" i="44"/>
  <c r="L28" i="44" s="1"/>
  <c r="J30" i="44"/>
  <c r="J31" i="44"/>
  <c r="J32" i="44"/>
  <c r="J33" i="44"/>
  <c r="J37" i="44"/>
  <c r="L37" i="44" s="1"/>
  <c r="J38" i="44"/>
  <c r="L38" i="44" s="1"/>
  <c r="J39" i="44"/>
  <c r="L39" i="44" s="1"/>
  <c r="J43" i="44"/>
  <c r="J44" i="44"/>
  <c r="J45" i="44"/>
  <c r="J46" i="44"/>
  <c r="AA48" i="44"/>
  <c r="AA50" i="44" s="1"/>
  <c r="L46" i="43"/>
  <c r="L45" i="43"/>
  <c r="L44" i="43"/>
  <c r="L43" i="43"/>
  <c r="L42" i="43"/>
  <c r="L40" i="43"/>
  <c r="L39" i="43"/>
  <c r="L38" i="43"/>
  <c r="L37" i="43"/>
  <c r="L36" i="43"/>
  <c r="L35" i="43"/>
  <c r="L34" i="43"/>
  <c r="L33" i="43"/>
  <c r="L32" i="43"/>
  <c r="L31" i="43"/>
  <c r="L30" i="43"/>
  <c r="L29" i="43"/>
  <c r="L28" i="43"/>
  <c r="L27" i="43"/>
  <c r="L26" i="43"/>
  <c r="L25" i="43"/>
  <c r="L24" i="43"/>
  <c r="L23" i="43"/>
  <c r="L22" i="43"/>
  <c r="L21" i="43"/>
  <c r="L20" i="43"/>
  <c r="L19" i="43"/>
  <c r="L18" i="43"/>
  <c r="L17" i="43"/>
  <c r="L16" i="43"/>
  <c r="L15" i="43"/>
  <c r="L14" i="43"/>
  <c r="L13" i="43"/>
  <c r="L12" i="43"/>
  <c r="L11" i="43"/>
  <c r="L10" i="43"/>
  <c r="L9" i="43"/>
  <c r="L8" i="43"/>
  <c r="L7" i="43"/>
  <c r="I2" i="43"/>
  <c r="H46" i="43" s="1"/>
  <c r="G46" i="43"/>
  <c r="F46" i="43"/>
  <c r="D46" i="43"/>
  <c r="C46" i="43"/>
  <c r="I45" i="43"/>
  <c r="H45" i="43"/>
  <c r="F45" i="43"/>
  <c r="E45" i="43"/>
  <c r="D45" i="43"/>
  <c r="C45" i="43"/>
  <c r="I44" i="43"/>
  <c r="H44" i="43"/>
  <c r="G44" i="43"/>
  <c r="E44" i="43"/>
  <c r="D44" i="43"/>
  <c r="C44" i="43"/>
  <c r="H43" i="43"/>
  <c r="G43" i="43"/>
  <c r="F43" i="43"/>
  <c r="E43" i="43"/>
  <c r="D43" i="43"/>
  <c r="C43" i="43"/>
  <c r="I42" i="43"/>
  <c r="G42" i="43"/>
  <c r="F42" i="43"/>
  <c r="E42" i="43"/>
  <c r="D42" i="43"/>
  <c r="C42" i="43"/>
  <c r="I41" i="43"/>
  <c r="H41" i="43"/>
  <c r="F41" i="43"/>
  <c r="E41" i="43"/>
  <c r="D41" i="43"/>
  <c r="C41" i="43"/>
  <c r="I40" i="43"/>
  <c r="H40" i="43"/>
  <c r="G40" i="43"/>
  <c r="E40" i="43"/>
  <c r="D40" i="43"/>
  <c r="C40" i="43"/>
  <c r="H39" i="43"/>
  <c r="G39" i="43"/>
  <c r="F39" i="43"/>
  <c r="D39" i="43"/>
  <c r="C39" i="43"/>
  <c r="I38" i="43"/>
  <c r="G38" i="43"/>
  <c r="F38" i="43"/>
  <c r="E38" i="43"/>
  <c r="D38" i="43"/>
  <c r="C38" i="43"/>
  <c r="I37" i="43"/>
  <c r="H37" i="43"/>
  <c r="F37" i="43"/>
  <c r="E37" i="43"/>
  <c r="D37" i="43"/>
  <c r="C37" i="43"/>
  <c r="I36" i="43"/>
  <c r="H36" i="43"/>
  <c r="G36" i="43"/>
  <c r="F36" i="43"/>
  <c r="E36" i="43"/>
  <c r="J36" i="43" s="1"/>
  <c r="D36" i="43"/>
  <c r="C36" i="43"/>
  <c r="H35" i="43"/>
  <c r="G35" i="43"/>
  <c r="F35" i="43"/>
  <c r="D35" i="43"/>
  <c r="C35" i="43"/>
  <c r="I34" i="43"/>
  <c r="G34" i="43"/>
  <c r="F34" i="43"/>
  <c r="E34" i="43"/>
  <c r="D34" i="43"/>
  <c r="C34" i="43"/>
  <c r="I33" i="43"/>
  <c r="H33" i="43"/>
  <c r="F33" i="43"/>
  <c r="E33" i="43"/>
  <c r="D33" i="43"/>
  <c r="C33" i="43"/>
  <c r="I32" i="43"/>
  <c r="H32" i="43"/>
  <c r="G32" i="43"/>
  <c r="F32" i="43"/>
  <c r="E32" i="43"/>
  <c r="J32" i="43" s="1"/>
  <c r="D32" i="43"/>
  <c r="C32" i="43"/>
  <c r="H31" i="43"/>
  <c r="G31" i="43"/>
  <c r="F31" i="43"/>
  <c r="D31" i="43"/>
  <c r="C31" i="43"/>
  <c r="I30" i="43"/>
  <c r="G30" i="43"/>
  <c r="F30" i="43"/>
  <c r="E30" i="43"/>
  <c r="D30" i="43"/>
  <c r="C30" i="43"/>
  <c r="I29" i="43"/>
  <c r="H29" i="43"/>
  <c r="F29" i="43"/>
  <c r="E29" i="43"/>
  <c r="D29" i="43"/>
  <c r="C29" i="43"/>
  <c r="I28" i="43"/>
  <c r="H28" i="43"/>
  <c r="G28" i="43"/>
  <c r="F28" i="43"/>
  <c r="E28" i="43"/>
  <c r="J28" i="43" s="1"/>
  <c r="D28" i="43"/>
  <c r="C28" i="43"/>
  <c r="I27" i="43"/>
  <c r="H27" i="43"/>
  <c r="G27" i="43"/>
  <c r="F27" i="43"/>
  <c r="E27" i="43"/>
  <c r="J27" i="43" s="1"/>
  <c r="D27" i="43"/>
  <c r="C27" i="43"/>
  <c r="I26" i="43"/>
  <c r="H26" i="43"/>
  <c r="G26" i="43"/>
  <c r="F26" i="43"/>
  <c r="E26" i="43"/>
  <c r="J26" i="43" s="1"/>
  <c r="D26" i="43"/>
  <c r="C26" i="43"/>
  <c r="I25" i="43"/>
  <c r="H25" i="43"/>
  <c r="G25" i="43"/>
  <c r="F25" i="43"/>
  <c r="E25" i="43"/>
  <c r="J25" i="43" s="1"/>
  <c r="D25" i="43"/>
  <c r="C25" i="43"/>
  <c r="I24" i="43"/>
  <c r="H24" i="43"/>
  <c r="G24" i="43"/>
  <c r="F24" i="43"/>
  <c r="E24" i="43"/>
  <c r="J24" i="43" s="1"/>
  <c r="D24" i="43"/>
  <c r="C24" i="43"/>
  <c r="I23" i="43"/>
  <c r="H23" i="43"/>
  <c r="G23" i="43"/>
  <c r="F23" i="43"/>
  <c r="E23" i="43"/>
  <c r="J23" i="43" s="1"/>
  <c r="D23" i="43"/>
  <c r="C23" i="43"/>
  <c r="I22" i="43"/>
  <c r="H22" i="43"/>
  <c r="G22" i="43"/>
  <c r="F22" i="43"/>
  <c r="E22" i="43"/>
  <c r="J22" i="43" s="1"/>
  <c r="D22" i="43"/>
  <c r="C22" i="43"/>
  <c r="I21" i="43"/>
  <c r="H21" i="43"/>
  <c r="G21" i="43"/>
  <c r="F21" i="43"/>
  <c r="E21" i="43"/>
  <c r="J21" i="43" s="1"/>
  <c r="D21" i="43"/>
  <c r="C21" i="43"/>
  <c r="I20" i="43"/>
  <c r="H20" i="43"/>
  <c r="G20" i="43"/>
  <c r="F20" i="43"/>
  <c r="E20" i="43"/>
  <c r="J20" i="43" s="1"/>
  <c r="D20" i="43"/>
  <c r="C20" i="43"/>
  <c r="I19" i="43"/>
  <c r="H19" i="43"/>
  <c r="G19" i="43"/>
  <c r="F19" i="43"/>
  <c r="E19" i="43"/>
  <c r="J19" i="43" s="1"/>
  <c r="D19" i="43"/>
  <c r="C19" i="43"/>
  <c r="I18" i="43"/>
  <c r="H18" i="43"/>
  <c r="G18" i="43"/>
  <c r="F18" i="43"/>
  <c r="E18" i="43"/>
  <c r="J18" i="43" s="1"/>
  <c r="D18" i="43"/>
  <c r="C18" i="43"/>
  <c r="I17" i="43"/>
  <c r="H17" i="43"/>
  <c r="G17" i="43"/>
  <c r="F17" i="43"/>
  <c r="E17" i="43"/>
  <c r="J17" i="43" s="1"/>
  <c r="D17" i="43"/>
  <c r="C17" i="43"/>
  <c r="I16" i="43"/>
  <c r="H16" i="43"/>
  <c r="G16" i="43"/>
  <c r="F16" i="43"/>
  <c r="E16" i="43"/>
  <c r="J16" i="43" s="1"/>
  <c r="D16" i="43"/>
  <c r="C16" i="43"/>
  <c r="I15" i="43"/>
  <c r="H15" i="43"/>
  <c r="G15" i="43"/>
  <c r="F15" i="43"/>
  <c r="E15" i="43"/>
  <c r="J15" i="43" s="1"/>
  <c r="D15" i="43"/>
  <c r="C15" i="43"/>
  <c r="I14" i="43"/>
  <c r="H14" i="43"/>
  <c r="G14" i="43"/>
  <c r="F14" i="43"/>
  <c r="E14" i="43"/>
  <c r="J14" i="43" s="1"/>
  <c r="D14" i="43"/>
  <c r="C14" i="43"/>
  <c r="I13" i="43"/>
  <c r="H13" i="43"/>
  <c r="G13" i="43"/>
  <c r="F13" i="43"/>
  <c r="E13" i="43"/>
  <c r="J13" i="43" s="1"/>
  <c r="D13" i="43"/>
  <c r="C13" i="43"/>
  <c r="I12" i="43"/>
  <c r="H12" i="43"/>
  <c r="G12" i="43"/>
  <c r="F12" i="43"/>
  <c r="E12" i="43"/>
  <c r="J12" i="43" s="1"/>
  <c r="D12" i="43"/>
  <c r="C12" i="43"/>
  <c r="I11" i="43"/>
  <c r="H11" i="43"/>
  <c r="G11" i="43"/>
  <c r="F11" i="43"/>
  <c r="E11" i="43"/>
  <c r="J11" i="43" s="1"/>
  <c r="D11" i="43"/>
  <c r="C11" i="43"/>
  <c r="I10" i="43"/>
  <c r="H10" i="43"/>
  <c r="G10" i="43"/>
  <c r="F10" i="43"/>
  <c r="E10" i="43"/>
  <c r="J10" i="43" s="1"/>
  <c r="D10" i="43"/>
  <c r="C10" i="43"/>
  <c r="I9" i="43"/>
  <c r="H9" i="43"/>
  <c r="G9" i="43"/>
  <c r="F9" i="43"/>
  <c r="E9" i="43"/>
  <c r="J9" i="43" s="1"/>
  <c r="D9" i="43"/>
  <c r="C9" i="43"/>
  <c r="I8" i="43"/>
  <c r="H8" i="43"/>
  <c r="G8" i="43"/>
  <c r="F8" i="43"/>
  <c r="E8" i="43"/>
  <c r="J8" i="43" s="1"/>
  <c r="D8" i="43"/>
  <c r="C8" i="43"/>
  <c r="I7" i="43"/>
  <c r="H7" i="43"/>
  <c r="G7" i="43"/>
  <c r="F7" i="43"/>
  <c r="E7" i="43"/>
  <c r="J7" i="43" s="1"/>
  <c r="D7" i="43"/>
  <c r="C7" i="43"/>
  <c r="I48" i="43"/>
  <c r="J47" i="43"/>
  <c r="L47" i="43" s="1"/>
  <c r="Y45" i="43"/>
  <c r="AA45" i="43" s="1"/>
  <c r="Y44" i="43"/>
  <c r="Y43" i="43"/>
  <c r="AA43" i="43" s="1"/>
  <c r="Y42" i="43"/>
  <c r="Y41" i="43"/>
  <c r="AA41" i="43" s="1"/>
  <c r="Y40" i="43"/>
  <c r="Y39" i="43"/>
  <c r="AA39" i="43" s="1"/>
  <c r="Y38" i="43"/>
  <c r="Y36" i="43"/>
  <c r="Y33" i="43"/>
  <c r="Y32" i="43"/>
  <c r="Y31" i="43"/>
  <c r="Y30" i="43"/>
  <c r="Y28" i="43"/>
  <c r="AA28" i="43" s="1"/>
  <c r="Y27" i="43"/>
  <c r="Y26" i="43"/>
  <c r="Y24" i="43"/>
  <c r="AA24" i="43" s="1"/>
  <c r="Y23" i="43"/>
  <c r="AA23" i="43" s="1"/>
  <c r="Y22" i="43"/>
  <c r="AA22" i="43" s="1"/>
  <c r="Y21" i="43"/>
  <c r="AA21" i="43" s="1"/>
  <c r="Y20" i="43"/>
  <c r="Y19" i="43"/>
  <c r="Y18" i="43"/>
  <c r="Y17" i="43"/>
  <c r="Y16" i="43"/>
  <c r="Y15" i="43"/>
  <c r="Y14" i="43"/>
  <c r="Y13" i="43"/>
  <c r="Y12" i="43"/>
  <c r="AA12" i="43" s="1"/>
  <c r="Y11" i="43"/>
  <c r="AA11" i="43" s="1"/>
  <c r="Y10" i="43"/>
  <c r="Y9" i="43"/>
  <c r="Y8" i="43"/>
  <c r="N7" i="63" l="1"/>
  <c r="N6" i="63"/>
  <c r="X7" i="63"/>
  <c r="X8" i="63" s="1"/>
  <c r="X6" i="63"/>
  <c r="AH15" i="63"/>
  <c r="AH16" i="63" s="1"/>
  <c r="AH17" i="63" s="1"/>
  <c r="AH18" i="63" s="1"/>
  <c r="AH19" i="63" s="1"/>
  <c r="AH20" i="63" s="1"/>
  <c r="AH21" i="63" s="1"/>
  <c r="AH22" i="63" s="1"/>
  <c r="AH23" i="63" s="1"/>
  <c r="AH24" i="63" s="1"/>
  <c r="AH25" i="63" s="1"/>
  <c r="AH26" i="63" s="1"/>
  <c r="AH27" i="63" s="1"/>
  <c r="AH28" i="63" s="1"/>
  <c r="AH29" i="63" s="1"/>
  <c r="AH30" i="63" s="1"/>
  <c r="AH31" i="63" s="1"/>
  <c r="AH32" i="63" s="1"/>
  <c r="AH33" i="63" s="1"/>
  <c r="AH34" i="63" s="1"/>
  <c r="AH35" i="63" s="1"/>
  <c r="AH36" i="63" s="1"/>
  <c r="AH37" i="63" s="1"/>
  <c r="AH38" i="63" s="1"/>
  <c r="AH39" i="63" s="1"/>
  <c r="AH40" i="63" s="1"/>
  <c r="AH41" i="63" s="1"/>
  <c r="AH42" i="63" s="1"/>
  <c r="AH43" i="63" s="1"/>
  <c r="AH44" i="63" s="1"/>
  <c r="AH45" i="63" s="1"/>
  <c r="AH46" i="63" s="1"/>
  <c r="AH47" i="63" s="1"/>
  <c r="AH48" i="63" s="1"/>
  <c r="AH49" i="63" s="1"/>
  <c r="AH50" i="63" s="1"/>
  <c r="AH51" i="63" s="1"/>
  <c r="AH52" i="63" s="1"/>
  <c r="AH53" i="63" s="1"/>
  <c r="AH54" i="63" s="1"/>
  <c r="AH55" i="63" s="1"/>
  <c r="AH56" i="63" s="1"/>
  <c r="AH57" i="63" s="1"/>
  <c r="AH58" i="63" s="1"/>
  <c r="AH59" i="63" s="1"/>
  <c r="AK4" i="63" s="1"/>
  <c r="G694" i="62"/>
  <c r="K694" i="62"/>
  <c r="H694" i="62"/>
  <c r="D11" i="63"/>
  <c r="AH14" i="63"/>
  <c r="J23" i="37"/>
  <c r="J24" i="37" s="1"/>
  <c r="J25" i="37" s="1"/>
  <c r="J26" i="37" s="1"/>
  <c r="J27" i="37" s="1"/>
  <c r="J28" i="37" s="1"/>
  <c r="J29" i="37" s="1"/>
  <c r="J30" i="37" s="1"/>
  <c r="J31" i="37" s="1"/>
  <c r="J32" i="37" s="1"/>
  <c r="J33" i="37" s="1"/>
  <c r="J34" i="37" s="1"/>
  <c r="J35" i="37" s="1"/>
  <c r="J36" i="37" s="1"/>
  <c r="J37" i="37" s="1"/>
  <c r="J38" i="37" s="1"/>
  <c r="J39" i="37" s="1"/>
  <c r="J40" i="37" s="1"/>
  <c r="J41" i="37" s="1"/>
  <c r="J42" i="37" s="1"/>
  <c r="J43" i="37" s="1"/>
  <c r="J44" i="37" s="1"/>
  <c r="J45" i="37" s="1"/>
  <c r="J46" i="37" s="1"/>
  <c r="J47" i="37" s="1"/>
  <c r="J48" i="37" s="1"/>
  <c r="J49" i="37" s="1"/>
  <c r="J50" i="37" s="1"/>
  <c r="J51" i="37" s="1"/>
  <c r="J52" i="37" s="1"/>
  <c r="J53" i="37" s="1"/>
  <c r="J54" i="37" s="1"/>
  <c r="J55" i="37" s="1"/>
  <c r="J56" i="37" s="1"/>
  <c r="J57" i="37" s="1"/>
  <c r="J58" i="37" s="1"/>
  <c r="J59" i="37" s="1"/>
  <c r="J60" i="37" s="1"/>
  <c r="J61" i="37" s="1"/>
  <c r="J62" i="37" s="1"/>
  <c r="J63" i="37" s="1"/>
  <c r="A256" i="34"/>
  <c r="A257" i="34" s="1"/>
  <c r="A85" i="54"/>
  <c r="A86" i="54" s="1"/>
  <c r="A87" i="54" s="1"/>
  <c r="A88" i="54" s="1"/>
  <c r="A16" i="54"/>
  <c r="A17" i="54" s="1"/>
  <c r="B135" i="4"/>
  <c r="B136" i="4" s="1"/>
  <c r="B137" i="4" s="1"/>
  <c r="B138" i="4" s="1"/>
  <c r="B139" i="4" s="1"/>
  <c r="B140" i="4" s="1"/>
  <c r="B141" i="4" s="1"/>
  <c r="B142" i="4" s="1"/>
  <c r="B143" i="4" s="1"/>
  <c r="B144" i="4" s="1"/>
  <c r="B145" i="4" s="1"/>
  <c r="B146" i="4" s="1"/>
  <c r="B147" i="4" s="1"/>
  <c r="B148" i="4" s="1"/>
  <c r="B149" i="4" s="1"/>
  <c r="B150" i="4" s="1"/>
  <c r="B151" i="4" s="1"/>
  <c r="B152" i="4" s="1"/>
  <c r="B153" i="4" s="1"/>
  <c r="B154" i="4" s="1"/>
  <c r="B155" i="4" s="1"/>
  <c r="B156" i="4" s="1"/>
  <c r="B157" i="4" s="1"/>
  <c r="B158" i="4" s="1"/>
  <c r="E46" i="43"/>
  <c r="I46" i="43"/>
  <c r="H82" i="47"/>
  <c r="I82" i="47" s="1"/>
  <c r="J82" i="47" s="1"/>
  <c r="K82" i="47" s="1"/>
  <c r="J39" i="45"/>
  <c r="J36" i="45"/>
  <c r="L36" i="45" s="1"/>
  <c r="J33" i="45"/>
  <c r="J23" i="45"/>
  <c r="J17" i="45"/>
  <c r="L17" i="45" s="1"/>
  <c r="J10" i="45"/>
  <c r="J16" i="46"/>
  <c r="J40" i="46"/>
  <c r="J26" i="46"/>
  <c r="J35" i="46"/>
  <c r="J17" i="46"/>
  <c r="J24" i="46"/>
  <c r="J15" i="46"/>
  <c r="J35" i="45"/>
  <c r="L35" i="45" s="1"/>
  <c r="J32" i="45"/>
  <c r="J29" i="45"/>
  <c r="J22" i="45"/>
  <c r="J19" i="45"/>
  <c r="L19" i="45" s="1"/>
  <c r="J16" i="45"/>
  <c r="L16" i="45" s="1"/>
  <c r="J13" i="45"/>
  <c r="L13" i="45" s="1"/>
  <c r="J19" i="46"/>
  <c r="J12" i="46"/>
  <c r="J8" i="46"/>
  <c r="J29" i="46"/>
  <c r="J37" i="46"/>
  <c r="J30" i="46"/>
  <c r="J39" i="46"/>
  <c r="J30" i="45"/>
  <c r="J14" i="45"/>
  <c r="J28" i="46"/>
  <c r="J13" i="46"/>
  <c r="J9" i="46"/>
  <c r="J11" i="45"/>
  <c r="J14" i="46"/>
  <c r="J10" i="46"/>
  <c r="J31" i="46"/>
  <c r="J41" i="45"/>
  <c r="L41" i="45" s="1"/>
  <c r="J31" i="45"/>
  <c r="J28" i="45"/>
  <c r="J15" i="45"/>
  <c r="L15" i="45" s="1"/>
  <c r="J12" i="45"/>
  <c r="J9" i="45"/>
  <c r="J32" i="46"/>
  <c r="J26" i="45"/>
  <c r="J23" i="46"/>
  <c r="J8" i="44"/>
  <c r="L8" i="44" s="1"/>
  <c r="G29" i="43"/>
  <c r="J29" i="43" s="1"/>
  <c r="H30" i="43"/>
  <c r="J30" i="43" s="1"/>
  <c r="E31" i="43"/>
  <c r="J31" i="43" s="1"/>
  <c r="I31" i="43"/>
  <c r="G33" i="43"/>
  <c r="J33" i="43" s="1"/>
  <c r="H34" i="43"/>
  <c r="J34" i="43" s="1"/>
  <c r="E35" i="43"/>
  <c r="J35" i="43" s="1"/>
  <c r="I35" i="43"/>
  <c r="G37" i="43"/>
  <c r="J37" i="43" s="1"/>
  <c r="H38" i="43"/>
  <c r="J38" i="43" s="1"/>
  <c r="E39" i="43"/>
  <c r="J39" i="43" s="1"/>
  <c r="I39" i="43"/>
  <c r="F40" i="43"/>
  <c r="J40" i="43" s="1"/>
  <c r="G41" i="43"/>
  <c r="J41" i="43" s="1"/>
  <c r="L41" i="43" s="1"/>
  <c r="L48" i="43" s="1"/>
  <c r="L49" i="43" s="1"/>
  <c r="L50" i="43" s="1"/>
  <c r="H42" i="43"/>
  <c r="J42" i="43" s="1"/>
  <c r="I43" i="43"/>
  <c r="J43" i="43" s="1"/>
  <c r="F44" i="43"/>
  <c r="J44" i="43" s="1"/>
  <c r="G45" i="43"/>
  <c r="J45" i="43" s="1"/>
  <c r="J42" i="47"/>
  <c r="J38" i="47"/>
  <c r="J10" i="47"/>
  <c r="J33" i="47"/>
  <c r="J40" i="45"/>
  <c r="J37" i="45"/>
  <c r="J27" i="45"/>
  <c r="J24" i="45"/>
  <c r="J21" i="45"/>
  <c r="J21" i="46"/>
  <c r="J22" i="46"/>
  <c r="J38" i="45"/>
  <c r="L38" i="45" s="1"/>
  <c r="L48" i="44"/>
  <c r="L49" i="44" s="1"/>
  <c r="L50" i="44" s="1"/>
  <c r="Z46" i="22"/>
  <c r="Z45" i="22"/>
  <c r="Z44" i="22"/>
  <c r="Z43" i="22"/>
  <c r="Z42" i="22"/>
  <c r="Z41" i="22"/>
  <c r="Z40" i="22"/>
  <c r="Z39" i="22"/>
  <c r="Z38" i="22"/>
  <c r="Z35" i="22"/>
  <c r="Z34" i="22"/>
  <c r="Z33" i="22"/>
  <c r="Z32" i="22"/>
  <c r="Z31" i="22"/>
  <c r="Z30" i="22"/>
  <c r="Z29" i="22"/>
  <c r="Z28" i="22"/>
  <c r="Z25" i="22"/>
  <c r="Z24" i="22"/>
  <c r="Z23" i="22"/>
  <c r="Z22" i="22"/>
  <c r="Z21" i="22"/>
  <c r="Z12" i="22"/>
  <c r="Z11" i="22"/>
  <c r="Z10" i="22"/>
  <c r="Z9" i="22"/>
  <c r="Z7" i="22"/>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AA7" i="40"/>
  <c r="AA46" i="41"/>
  <c r="AA45" i="41"/>
  <c r="AA44" i="41"/>
  <c r="AA43" i="41"/>
  <c r="AA42" i="41"/>
  <c r="AA41" i="41"/>
  <c r="AA40" i="41"/>
  <c r="AA39" i="41"/>
  <c r="AA38" i="41"/>
  <c r="AA37" i="41"/>
  <c r="AA36" i="41"/>
  <c r="AA35" i="41"/>
  <c r="AA34" i="41"/>
  <c r="AA33" i="41"/>
  <c r="AA32" i="41"/>
  <c r="AA31" i="41"/>
  <c r="AA30" i="41"/>
  <c r="AA29" i="41"/>
  <c r="AA28" i="41"/>
  <c r="AA27" i="41"/>
  <c r="AA26" i="41"/>
  <c r="AA25" i="41"/>
  <c r="AA24" i="41"/>
  <c r="AA23" i="41"/>
  <c r="AA22" i="41"/>
  <c r="AA21" i="41"/>
  <c r="AA20" i="41"/>
  <c r="AA19" i="41"/>
  <c r="AA18" i="41"/>
  <c r="AA17" i="41"/>
  <c r="AA16" i="41"/>
  <c r="AA15" i="41"/>
  <c r="AA14" i="41"/>
  <c r="AA13" i="41"/>
  <c r="AA12" i="41"/>
  <c r="AA11" i="41"/>
  <c r="AA10" i="41"/>
  <c r="AA9" i="41"/>
  <c r="AA8" i="41"/>
  <c r="AA7" i="41"/>
  <c r="AA46" i="42"/>
  <c r="AA45" i="42"/>
  <c r="AA44" i="42"/>
  <c r="AA43" i="42"/>
  <c r="AA42" i="42"/>
  <c r="AA41" i="42"/>
  <c r="AA40" i="42"/>
  <c r="AA39" i="42"/>
  <c r="AA38" i="42"/>
  <c r="AA37" i="42"/>
  <c r="AA36" i="42"/>
  <c r="AA35" i="42"/>
  <c r="AA34" i="42"/>
  <c r="AA33" i="42"/>
  <c r="AA32" i="42"/>
  <c r="AA31" i="42"/>
  <c r="AA30" i="42"/>
  <c r="AA29" i="42"/>
  <c r="AA28" i="42"/>
  <c r="AA27" i="42"/>
  <c r="AA26" i="42"/>
  <c r="AA25" i="42"/>
  <c r="AA24" i="42"/>
  <c r="AA23" i="42"/>
  <c r="AA22" i="42"/>
  <c r="AA21" i="42"/>
  <c r="AA20" i="42"/>
  <c r="AA19" i="42"/>
  <c r="AA18" i="42"/>
  <c r="AA17" i="42"/>
  <c r="AA16" i="42"/>
  <c r="AA15" i="42"/>
  <c r="AA14" i="42"/>
  <c r="AA13" i="42"/>
  <c r="AA12" i="42"/>
  <c r="AA11" i="42"/>
  <c r="AA10" i="42"/>
  <c r="AA9" i="42"/>
  <c r="AA8" i="42"/>
  <c r="AA7" i="42"/>
  <c r="X9" i="63" l="1"/>
  <c r="X10" i="63"/>
  <c r="AK5" i="63"/>
  <c r="D13" i="63"/>
  <c r="X11" i="63"/>
  <c r="N8" i="63"/>
  <c r="X12" i="63"/>
  <c r="N9" i="63"/>
  <c r="X13" i="63"/>
  <c r="A258" i="34"/>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92" i="54"/>
  <c r="A93" i="54" s="1"/>
  <c r="A94" i="54" s="1"/>
  <c r="A95" i="54" s="1"/>
  <c r="A89" i="54"/>
  <c r="A90" i="54" s="1"/>
  <c r="A91" i="54" s="1"/>
  <c r="A18" i="54"/>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L48" i="45"/>
  <c r="L49" i="45" s="1"/>
  <c r="L50" i="45" s="1"/>
  <c r="J46" i="43"/>
  <c r="L46" i="42"/>
  <c r="D46" i="42"/>
  <c r="C46" i="42"/>
  <c r="L45" i="42"/>
  <c r="D45" i="42"/>
  <c r="C45" i="42"/>
  <c r="L44" i="42"/>
  <c r="D44" i="42"/>
  <c r="C44" i="42"/>
  <c r="L43" i="42"/>
  <c r="D43" i="42"/>
  <c r="C43" i="42"/>
  <c r="L42" i="42"/>
  <c r="D42" i="42"/>
  <c r="C42" i="42"/>
  <c r="L41" i="42"/>
  <c r="D41" i="42"/>
  <c r="C41" i="42"/>
  <c r="L40" i="42"/>
  <c r="D40" i="42"/>
  <c r="C40" i="42"/>
  <c r="L39" i="42"/>
  <c r="D39" i="42"/>
  <c r="C39" i="42"/>
  <c r="L38" i="42"/>
  <c r="D38" i="42"/>
  <c r="C38" i="42"/>
  <c r="L37" i="42"/>
  <c r="D37" i="42"/>
  <c r="C37" i="42"/>
  <c r="L36" i="42"/>
  <c r="D36" i="42"/>
  <c r="C36" i="42"/>
  <c r="L35" i="42"/>
  <c r="D35" i="42"/>
  <c r="C35" i="42"/>
  <c r="L34" i="42"/>
  <c r="D34" i="42"/>
  <c r="C34" i="42"/>
  <c r="L33" i="42"/>
  <c r="D33" i="42"/>
  <c r="C33" i="42"/>
  <c r="L32" i="42"/>
  <c r="D32" i="42"/>
  <c r="C32" i="42"/>
  <c r="L31" i="42"/>
  <c r="D31" i="42"/>
  <c r="C31" i="42"/>
  <c r="L30" i="42"/>
  <c r="D30" i="42"/>
  <c r="C30" i="42"/>
  <c r="L29" i="42"/>
  <c r="D29" i="42"/>
  <c r="C29" i="42"/>
  <c r="L28" i="42"/>
  <c r="D28" i="42"/>
  <c r="C28" i="42"/>
  <c r="L27" i="42"/>
  <c r="D27" i="42"/>
  <c r="C27" i="42"/>
  <c r="L26" i="42"/>
  <c r="D26" i="42"/>
  <c r="C26" i="42"/>
  <c r="L25" i="42"/>
  <c r="D25" i="42"/>
  <c r="C25" i="42"/>
  <c r="L24" i="42"/>
  <c r="D24" i="42"/>
  <c r="C24" i="42"/>
  <c r="L23" i="42"/>
  <c r="D23" i="42"/>
  <c r="C23" i="42"/>
  <c r="L22" i="42"/>
  <c r="D22" i="42"/>
  <c r="C22" i="42"/>
  <c r="L21" i="42"/>
  <c r="D21" i="42"/>
  <c r="C21" i="42"/>
  <c r="L20" i="42"/>
  <c r="D20" i="42"/>
  <c r="C20" i="42"/>
  <c r="L19" i="42"/>
  <c r="D19" i="42"/>
  <c r="C19" i="42"/>
  <c r="L18" i="42"/>
  <c r="D18" i="42"/>
  <c r="C18" i="42"/>
  <c r="L17" i="42"/>
  <c r="D17" i="42"/>
  <c r="C17" i="42"/>
  <c r="L16" i="42"/>
  <c r="D16" i="42"/>
  <c r="C16" i="42"/>
  <c r="L15" i="42"/>
  <c r="D15" i="42"/>
  <c r="C15" i="42"/>
  <c r="L14" i="42"/>
  <c r="D14" i="42"/>
  <c r="C14" i="42"/>
  <c r="D13" i="42"/>
  <c r="C13" i="42"/>
  <c r="L12" i="42"/>
  <c r="F12" i="42"/>
  <c r="D12" i="42"/>
  <c r="C12" i="42"/>
  <c r="L11" i="42"/>
  <c r="F11" i="42"/>
  <c r="D11" i="42"/>
  <c r="C11" i="42"/>
  <c r="L10" i="42"/>
  <c r="F10" i="42"/>
  <c r="D10" i="42"/>
  <c r="C10" i="42"/>
  <c r="L9" i="42"/>
  <c r="F9" i="42"/>
  <c r="D9" i="42"/>
  <c r="C9" i="42"/>
  <c r="L8" i="42"/>
  <c r="G8" i="42"/>
  <c r="F8" i="42"/>
  <c r="D8" i="42"/>
  <c r="C8" i="42"/>
  <c r="L7" i="42"/>
  <c r="G7" i="42"/>
  <c r="F7" i="42"/>
  <c r="D7" i="42"/>
  <c r="C7" i="42"/>
  <c r="I48" i="42"/>
  <c r="I2" i="42"/>
  <c r="H46" i="42" s="1"/>
  <c r="Y47" i="42"/>
  <c r="AA47" i="42" s="1"/>
  <c r="J47" i="42"/>
  <c r="L47" i="42" s="1"/>
  <c r="Y46" i="42"/>
  <c r="Y45" i="42"/>
  <c r="Y44" i="42"/>
  <c r="Y43" i="42"/>
  <c r="Y42" i="42"/>
  <c r="Y39" i="42"/>
  <c r="Y38" i="42"/>
  <c r="Y37" i="42"/>
  <c r="Y36" i="42"/>
  <c r="Y35" i="42"/>
  <c r="Y33" i="42"/>
  <c r="Y32" i="42"/>
  <c r="Y31" i="42"/>
  <c r="Y30" i="42"/>
  <c r="Y29" i="42"/>
  <c r="Y28" i="42"/>
  <c r="Y27" i="42"/>
  <c r="Y26" i="42"/>
  <c r="Y24" i="42"/>
  <c r="Y23" i="42"/>
  <c r="Y22" i="42"/>
  <c r="Y21" i="42"/>
  <c r="Y20" i="42"/>
  <c r="Y19" i="42"/>
  <c r="Y18" i="42"/>
  <c r="Y17" i="42"/>
  <c r="Y16" i="42"/>
  <c r="Y15" i="42"/>
  <c r="Y14" i="42"/>
  <c r="Y13" i="42"/>
  <c r="Y12" i="42"/>
  <c r="Y11" i="42"/>
  <c r="Y10" i="42"/>
  <c r="Y9" i="42"/>
  <c r="AA48" i="42"/>
  <c r="AA50" i="42" s="1"/>
  <c r="Y8" i="42"/>
  <c r="I48" i="41"/>
  <c r="F39" i="41"/>
  <c r="L46" i="41"/>
  <c r="L45" i="41"/>
  <c r="L44" i="41"/>
  <c r="L43" i="41"/>
  <c r="L42" i="41"/>
  <c r="L41" i="41"/>
  <c r="L40" i="41"/>
  <c r="L39" i="41"/>
  <c r="L38" i="41"/>
  <c r="L37" i="41"/>
  <c r="L36" i="41"/>
  <c r="L35" i="41"/>
  <c r="L34" i="41"/>
  <c r="L33" i="41"/>
  <c r="L32" i="41"/>
  <c r="L31" i="41"/>
  <c r="L30" i="41"/>
  <c r="L29" i="41"/>
  <c r="L28" i="41"/>
  <c r="L27" i="41"/>
  <c r="L26" i="41"/>
  <c r="L25" i="41"/>
  <c r="L24" i="41"/>
  <c r="L23" i="41"/>
  <c r="L22" i="41"/>
  <c r="L21" i="41"/>
  <c r="L20" i="41"/>
  <c r="L19" i="41"/>
  <c r="L18" i="41"/>
  <c r="L17" i="41"/>
  <c r="L16" i="41"/>
  <c r="L15" i="41"/>
  <c r="L14" i="41"/>
  <c r="L12" i="41"/>
  <c r="L11" i="41"/>
  <c r="L10" i="41"/>
  <c r="L9" i="41"/>
  <c r="L8" i="41"/>
  <c r="L7" i="41"/>
  <c r="D46" i="41"/>
  <c r="C46" i="41"/>
  <c r="D45" i="41"/>
  <c r="C45" i="41"/>
  <c r="D44" i="41"/>
  <c r="C44" i="41"/>
  <c r="D43" i="41"/>
  <c r="C43" i="41"/>
  <c r="D42" i="41"/>
  <c r="C42" i="41"/>
  <c r="D41" i="41"/>
  <c r="C41" i="41"/>
  <c r="D40" i="41"/>
  <c r="C40" i="41"/>
  <c r="D39" i="41"/>
  <c r="C39" i="41"/>
  <c r="D38" i="41"/>
  <c r="C38" i="41"/>
  <c r="D37" i="41"/>
  <c r="C37" i="41"/>
  <c r="D36" i="41"/>
  <c r="C36" i="41"/>
  <c r="D35" i="41"/>
  <c r="C35" i="41"/>
  <c r="D34" i="41"/>
  <c r="C34" i="41"/>
  <c r="D33" i="41"/>
  <c r="C33" i="41"/>
  <c r="D32" i="41"/>
  <c r="C32" i="41"/>
  <c r="D31" i="41"/>
  <c r="C31" i="41"/>
  <c r="D30" i="41"/>
  <c r="C30" i="41"/>
  <c r="D29" i="41"/>
  <c r="C29" i="41"/>
  <c r="D28" i="41"/>
  <c r="C28" i="41"/>
  <c r="D27" i="41"/>
  <c r="C27" i="41"/>
  <c r="D26" i="41"/>
  <c r="C26" i="41"/>
  <c r="D25" i="41"/>
  <c r="C25" i="41"/>
  <c r="D24" i="41"/>
  <c r="C24" i="41"/>
  <c r="D23" i="41"/>
  <c r="C23" i="41"/>
  <c r="D22" i="41"/>
  <c r="C22" i="41"/>
  <c r="D21" i="41"/>
  <c r="C21" i="41"/>
  <c r="D20" i="41"/>
  <c r="C20" i="41"/>
  <c r="D19" i="41"/>
  <c r="C19" i="41"/>
  <c r="D18" i="41"/>
  <c r="C18" i="41"/>
  <c r="D17" i="41"/>
  <c r="C17" i="41"/>
  <c r="D16" i="41"/>
  <c r="C16" i="41"/>
  <c r="D15" i="41"/>
  <c r="C15" i="41"/>
  <c r="D14" i="41"/>
  <c r="C14" i="41"/>
  <c r="D13" i="41"/>
  <c r="C13" i="41"/>
  <c r="D12" i="41"/>
  <c r="C12" i="41"/>
  <c r="D11" i="41"/>
  <c r="C11" i="41"/>
  <c r="D10" i="41"/>
  <c r="C10" i="41"/>
  <c r="D9" i="41"/>
  <c r="C9" i="41"/>
  <c r="D8" i="41"/>
  <c r="C8" i="41"/>
  <c r="D7" i="41"/>
  <c r="C7" i="41"/>
  <c r="I2" i="41"/>
  <c r="Y47" i="41"/>
  <c r="AA47" i="41" s="1"/>
  <c r="J47" i="41"/>
  <c r="L47" i="41" s="1"/>
  <c r="Y46" i="41"/>
  <c r="Y45" i="41"/>
  <c r="Y44" i="41"/>
  <c r="Y43" i="41"/>
  <c r="Y42" i="41"/>
  <c r="Y39" i="41"/>
  <c r="Y38" i="41"/>
  <c r="Y37" i="41"/>
  <c r="Y36" i="41"/>
  <c r="Y35" i="41"/>
  <c r="Y33" i="41"/>
  <c r="Y32" i="41"/>
  <c r="Y31" i="41"/>
  <c r="Y30" i="41"/>
  <c r="Y29" i="41"/>
  <c r="Y28" i="41"/>
  <c r="Y27" i="41"/>
  <c r="Y26" i="41"/>
  <c r="Y24" i="41"/>
  <c r="Y23" i="41"/>
  <c r="Y22" i="41"/>
  <c r="Y21" i="41"/>
  <c r="Y20" i="41"/>
  <c r="Y19" i="41"/>
  <c r="Y18" i="41"/>
  <c r="Y17" i="41"/>
  <c r="Y16" i="41"/>
  <c r="Y15" i="41"/>
  <c r="Y14" i="41"/>
  <c r="Y13" i="41"/>
  <c r="Y12" i="41"/>
  <c r="Y11" i="41"/>
  <c r="Y10" i="41"/>
  <c r="Y9" i="41"/>
  <c r="Y8" i="41"/>
  <c r="AA48" i="41" s="1"/>
  <c r="AA50" i="41" s="1"/>
  <c r="I48" i="40"/>
  <c r="L46" i="40"/>
  <c r="L45" i="40"/>
  <c r="L44" i="40"/>
  <c r="L43" i="40"/>
  <c r="L42" i="40"/>
  <c r="L41" i="40"/>
  <c r="L40" i="40"/>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1" i="40"/>
  <c r="L10" i="40"/>
  <c r="L9" i="40"/>
  <c r="L8" i="40"/>
  <c r="L7" i="40"/>
  <c r="L12" i="40"/>
  <c r="C10"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I2" i="40"/>
  <c r="C7" i="40"/>
  <c r="D7" i="40"/>
  <c r="C8" i="40"/>
  <c r="D8" i="40"/>
  <c r="C9" i="40"/>
  <c r="D9" i="40"/>
  <c r="D10" i="40"/>
  <c r="C11" i="40"/>
  <c r="D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D6" i="40"/>
  <c r="E6" i="40"/>
  <c r="F6" i="40"/>
  <c r="G6" i="40"/>
  <c r="H6" i="40"/>
  <c r="I6" i="40"/>
  <c r="Y47" i="40"/>
  <c r="AA47" i="40" s="1"/>
  <c r="J47" i="40"/>
  <c r="L47" i="40" s="1"/>
  <c r="Y46" i="40"/>
  <c r="Y45" i="40"/>
  <c r="Y44" i="40"/>
  <c r="Y43" i="40"/>
  <c r="Y42" i="40"/>
  <c r="Y39" i="40"/>
  <c r="Y38" i="40"/>
  <c r="Y37" i="40"/>
  <c r="Y36" i="40"/>
  <c r="Y35" i="40"/>
  <c r="Y33" i="40"/>
  <c r="Y32" i="40"/>
  <c r="Y31" i="40"/>
  <c r="Y30" i="40"/>
  <c r="Y29" i="40"/>
  <c r="Y28" i="40"/>
  <c r="Y27" i="40"/>
  <c r="Y26" i="40"/>
  <c r="Y24" i="40"/>
  <c r="Y23" i="40"/>
  <c r="Y22" i="40"/>
  <c r="Y21" i="40"/>
  <c r="Y20" i="40"/>
  <c r="Y19" i="40"/>
  <c r="Y18" i="40"/>
  <c r="Y17" i="40"/>
  <c r="Y16" i="40"/>
  <c r="Y15" i="40"/>
  <c r="Y14" i="40"/>
  <c r="Y13" i="40"/>
  <c r="X14" i="63" l="1"/>
  <c r="D15" i="63"/>
  <c r="X15" i="63"/>
  <c r="AK6" i="63"/>
  <c r="N10" i="63"/>
  <c r="I44" i="41"/>
  <c r="I40" i="41"/>
  <c r="I36" i="41"/>
  <c r="I32" i="41"/>
  <c r="I28" i="41"/>
  <c r="I24" i="41"/>
  <c r="I20" i="41"/>
  <c r="I16" i="41"/>
  <c r="I12" i="41"/>
  <c r="I8" i="41"/>
  <c r="H44" i="41"/>
  <c r="H40" i="41"/>
  <c r="H36" i="41"/>
  <c r="H32" i="41"/>
  <c r="H28" i="41"/>
  <c r="H24" i="41"/>
  <c r="H20" i="41"/>
  <c r="H16" i="41"/>
  <c r="H12" i="41"/>
  <c r="H8" i="41"/>
  <c r="G44" i="41"/>
  <c r="G40" i="41"/>
  <c r="G36" i="41"/>
  <c r="G32" i="41"/>
  <c r="G28" i="41"/>
  <c r="G24" i="41"/>
  <c r="G20" i="41"/>
  <c r="G16" i="41"/>
  <c r="G12" i="41"/>
  <c r="G8" i="41"/>
  <c r="F44" i="41"/>
  <c r="F40" i="41"/>
  <c r="F36" i="41"/>
  <c r="F32" i="41"/>
  <c r="F28" i="41"/>
  <c r="F24" i="41"/>
  <c r="F20" i="41"/>
  <c r="F16" i="41"/>
  <c r="F12" i="41"/>
  <c r="F8" i="41"/>
  <c r="E44" i="41"/>
  <c r="E40" i="41"/>
  <c r="E36" i="41"/>
  <c r="E32" i="41"/>
  <c r="E28" i="41"/>
  <c r="E24" i="41"/>
  <c r="E20" i="41"/>
  <c r="E16" i="41"/>
  <c r="I43" i="41"/>
  <c r="I39" i="41"/>
  <c r="I35" i="41"/>
  <c r="I31" i="41"/>
  <c r="I27" i="41"/>
  <c r="I23" i="41"/>
  <c r="I19" i="41"/>
  <c r="I15" i="41"/>
  <c r="I11" i="41"/>
  <c r="I7" i="41"/>
  <c r="H43" i="41"/>
  <c r="H39" i="41"/>
  <c r="H35" i="41"/>
  <c r="H31" i="41"/>
  <c r="H27" i="41"/>
  <c r="H23" i="41"/>
  <c r="H19" i="41"/>
  <c r="H15" i="41"/>
  <c r="H11" i="41"/>
  <c r="H7" i="41"/>
  <c r="G43" i="41"/>
  <c r="G39" i="41"/>
  <c r="G35" i="41"/>
  <c r="G31" i="41"/>
  <c r="G27" i="41"/>
  <c r="G23" i="41"/>
  <c r="G19" i="41"/>
  <c r="G15" i="41"/>
  <c r="G11" i="41"/>
  <c r="G7" i="41"/>
  <c r="F43" i="41"/>
  <c r="F35" i="41"/>
  <c r="F31" i="41"/>
  <c r="F27" i="41"/>
  <c r="F23" i="41"/>
  <c r="F19" i="41"/>
  <c r="F15" i="41"/>
  <c r="F11" i="41"/>
  <c r="F7" i="41"/>
  <c r="E43" i="41"/>
  <c r="E39" i="41"/>
  <c r="J39" i="41" s="1"/>
  <c r="E35" i="41"/>
  <c r="I46" i="41"/>
  <c r="I42" i="41"/>
  <c r="I38" i="41"/>
  <c r="I34" i="41"/>
  <c r="I30" i="41"/>
  <c r="I26" i="41"/>
  <c r="I22" i="41"/>
  <c r="I18" i="41"/>
  <c r="I14" i="41"/>
  <c r="I10" i="41"/>
  <c r="H46" i="41"/>
  <c r="H42" i="41"/>
  <c r="H38" i="41"/>
  <c r="H34" i="41"/>
  <c r="H30" i="41"/>
  <c r="H26" i="41"/>
  <c r="H22" i="41"/>
  <c r="H18" i="41"/>
  <c r="H14" i="41"/>
  <c r="H10" i="41"/>
  <c r="G46" i="41"/>
  <c r="G42" i="41"/>
  <c r="G38" i="41"/>
  <c r="G34" i="41"/>
  <c r="G30" i="41"/>
  <c r="G26" i="41"/>
  <c r="G22" i="41"/>
  <c r="G18" i="41"/>
  <c r="G14" i="41"/>
  <c r="G10" i="41"/>
  <c r="F46" i="41"/>
  <c r="F42" i="41"/>
  <c r="F38" i="41"/>
  <c r="F34" i="41"/>
  <c r="F30" i="41"/>
  <c r="F26" i="41"/>
  <c r="F22" i="41"/>
  <c r="F18" i="41"/>
  <c r="F14" i="41"/>
  <c r="F10" i="41"/>
  <c r="E46" i="41"/>
  <c r="E42" i="41"/>
  <c r="J42" i="41" s="1"/>
  <c r="E38" i="41"/>
  <c r="E34" i="41"/>
  <c r="E30" i="41"/>
  <c r="I45" i="41"/>
  <c r="I41" i="41"/>
  <c r="I37" i="41"/>
  <c r="I33" i="41"/>
  <c r="I29" i="41"/>
  <c r="I25" i="41"/>
  <c r="I21" i="41"/>
  <c r="I17" i="41"/>
  <c r="I13" i="41"/>
  <c r="I9" i="41"/>
  <c r="H45" i="41"/>
  <c r="H41" i="41"/>
  <c r="H37" i="41"/>
  <c r="H33" i="41"/>
  <c r="H29" i="41"/>
  <c r="H25" i="41"/>
  <c r="H21" i="41"/>
  <c r="H17" i="41"/>
  <c r="H13" i="41"/>
  <c r="H9" i="41"/>
  <c r="G45" i="41"/>
  <c r="G41" i="41"/>
  <c r="G37" i="41"/>
  <c r="G33" i="41"/>
  <c r="G29" i="41"/>
  <c r="G25" i="41"/>
  <c r="G21" i="41"/>
  <c r="G17" i="41"/>
  <c r="G13" i="41"/>
  <c r="G9" i="41"/>
  <c r="F45" i="41"/>
  <c r="F41" i="41"/>
  <c r="F37" i="41"/>
  <c r="F33" i="41"/>
  <c r="F29" i="41"/>
  <c r="F25" i="41"/>
  <c r="F21" i="41"/>
  <c r="F17" i="41"/>
  <c r="F13" i="41"/>
  <c r="F9" i="41"/>
  <c r="E45" i="41"/>
  <c r="E41" i="41"/>
  <c r="E37" i="41"/>
  <c r="E33" i="41"/>
  <c r="E29" i="41"/>
  <c r="E25" i="41"/>
  <c r="E21" i="41"/>
  <c r="E7" i="41"/>
  <c r="E11" i="41"/>
  <c r="E15" i="41"/>
  <c r="E22" i="41"/>
  <c r="E31" i="41"/>
  <c r="E8" i="41"/>
  <c r="E12" i="41"/>
  <c r="E17" i="41"/>
  <c r="J17" i="41" s="1"/>
  <c r="E23" i="41"/>
  <c r="G46" i="40"/>
  <c r="H45" i="40"/>
  <c r="I44" i="40"/>
  <c r="E44" i="40"/>
  <c r="F43" i="40"/>
  <c r="G42" i="40"/>
  <c r="H41" i="40"/>
  <c r="I40" i="40"/>
  <c r="E40" i="40"/>
  <c r="F39" i="40"/>
  <c r="G38" i="40"/>
  <c r="H37" i="40"/>
  <c r="I36" i="40"/>
  <c r="E36" i="40"/>
  <c r="F35" i="40"/>
  <c r="G34" i="40"/>
  <c r="H33" i="40"/>
  <c r="I32" i="40"/>
  <c r="E32" i="40"/>
  <c r="F31" i="40"/>
  <c r="G30" i="40"/>
  <c r="H29" i="40"/>
  <c r="I28" i="40"/>
  <c r="E28" i="40"/>
  <c r="F27" i="40"/>
  <c r="G26" i="40"/>
  <c r="H25" i="40"/>
  <c r="I24" i="40"/>
  <c r="E24" i="40"/>
  <c r="F23" i="40"/>
  <c r="G22" i="40"/>
  <c r="H21" i="40"/>
  <c r="I20" i="40"/>
  <c r="E20" i="40"/>
  <c r="F19" i="40"/>
  <c r="G18" i="40"/>
  <c r="H17" i="40"/>
  <c r="I16" i="40"/>
  <c r="E16" i="40"/>
  <c r="F15" i="40"/>
  <c r="G14" i="40"/>
  <c r="H13" i="40"/>
  <c r="I12" i="40"/>
  <c r="E12" i="40"/>
  <c r="F11" i="40"/>
  <c r="G10" i="40"/>
  <c r="H9" i="40"/>
  <c r="I8" i="40"/>
  <c r="E8" i="40"/>
  <c r="F7" i="40"/>
  <c r="F46" i="40"/>
  <c r="G45" i="40"/>
  <c r="H44" i="40"/>
  <c r="I43" i="40"/>
  <c r="E43" i="40"/>
  <c r="F42" i="40"/>
  <c r="G41" i="40"/>
  <c r="H40" i="40"/>
  <c r="I39" i="40"/>
  <c r="E39" i="40"/>
  <c r="F38" i="40"/>
  <c r="G37" i="40"/>
  <c r="H36" i="40"/>
  <c r="I35" i="40"/>
  <c r="E35" i="40"/>
  <c r="F34" i="40"/>
  <c r="G33" i="40"/>
  <c r="H32" i="40"/>
  <c r="I31" i="40"/>
  <c r="E31" i="40"/>
  <c r="F30" i="40"/>
  <c r="G29" i="40"/>
  <c r="H28" i="40"/>
  <c r="I27" i="40"/>
  <c r="E27" i="40"/>
  <c r="F26" i="40"/>
  <c r="G25" i="40"/>
  <c r="H24" i="40"/>
  <c r="I23" i="40"/>
  <c r="E23" i="40"/>
  <c r="F22" i="40"/>
  <c r="G21" i="40"/>
  <c r="H20" i="40"/>
  <c r="I19" i="40"/>
  <c r="E19" i="40"/>
  <c r="F18" i="40"/>
  <c r="G17" i="40"/>
  <c r="H16" i="40"/>
  <c r="I15" i="40"/>
  <c r="E15" i="40"/>
  <c r="F14" i="40"/>
  <c r="G13" i="40"/>
  <c r="H12" i="40"/>
  <c r="I11" i="40"/>
  <c r="E11" i="40"/>
  <c r="F10" i="40"/>
  <c r="G9" i="40"/>
  <c r="H8" i="40"/>
  <c r="I7" i="40"/>
  <c r="E7" i="40"/>
  <c r="I46" i="40"/>
  <c r="E46" i="40"/>
  <c r="F45" i="40"/>
  <c r="G44" i="40"/>
  <c r="H43" i="40"/>
  <c r="I42" i="40"/>
  <c r="E42" i="40"/>
  <c r="F41" i="40"/>
  <c r="G40" i="40"/>
  <c r="H39" i="40"/>
  <c r="I38" i="40"/>
  <c r="E38" i="40"/>
  <c r="F37" i="40"/>
  <c r="G36" i="40"/>
  <c r="H35" i="40"/>
  <c r="I34" i="40"/>
  <c r="E34" i="40"/>
  <c r="F33" i="40"/>
  <c r="G32" i="40"/>
  <c r="H31" i="40"/>
  <c r="I30" i="40"/>
  <c r="E30" i="40"/>
  <c r="F29" i="40"/>
  <c r="G28" i="40"/>
  <c r="H27" i="40"/>
  <c r="I26" i="40"/>
  <c r="E26" i="40"/>
  <c r="F25" i="40"/>
  <c r="G24" i="40"/>
  <c r="H23" i="40"/>
  <c r="I22" i="40"/>
  <c r="E22" i="40"/>
  <c r="F21" i="40"/>
  <c r="G20" i="40"/>
  <c r="H19" i="40"/>
  <c r="I18" i="40"/>
  <c r="E18" i="40"/>
  <c r="F17" i="40"/>
  <c r="G16" i="40"/>
  <c r="H15" i="40"/>
  <c r="I14" i="40"/>
  <c r="E14" i="40"/>
  <c r="F13" i="40"/>
  <c r="G12" i="40"/>
  <c r="H11" i="40"/>
  <c r="I10" i="40"/>
  <c r="E10" i="40"/>
  <c r="F9" i="40"/>
  <c r="G8" i="40"/>
  <c r="H7" i="40"/>
  <c r="H46" i="40"/>
  <c r="I45" i="40"/>
  <c r="E45" i="40"/>
  <c r="F44" i="40"/>
  <c r="G43" i="40"/>
  <c r="H42" i="40"/>
  <c r="I41" i="40"/>
  <c r="E41" i="40"/>
  <c r="F40" i="40"/>
  <c r="G39" i="40"/>
  <c r="H38" i="40"/>
  <c r="I37" i="40"/>
  <c r="E37" i="40"/>
  <c r="J37" i="40" s="1"/>
  <c r="F36" i="40"/>
  <c r="G35" i="40"/>
  <c r="H34" i="40"/>
  <c r="I33" i="40"/>
  <c r="E33" i="40"/>
  <c r="F32" i="40"/>
  <c r="G31" i="40"/>
  <c r="H30" i="40"/>
  <c r="I29" i="40"/>
  <c r="E29" i="40"/>
  <c r="F28" i="40"/>
  <c r="G27" i="40"/>
  <c r="H26" i="40"/>
  <c r="I25" i="40"/>
  <c r="E25" i="40"/>
  <c r="F24" i="40"/>
  <c r="G23" i="40"/>
  <c r="H22" i="40"/>
  <c r="I21" i="40"/>
  <c r="E21" i="40"/>
  <c r="J21" i="40" s="1"/>
  <c r="F20" i="40"/>
  <c r="G19" i="40"/>
  <c r="H18" i="40"/>
  <c r="I17" i="40"/>
  <c r="E17" i="40"/>
  <c r="F16" i="40"/>
  <c r="G15" i="40"/>
  <c r="H14" i="40"/>
  <c r="I13" i="40"/>
  <c r="E13" i="40"/>
  <c r="F12" i="40"/>
  <c r="G11" i="40"/>
  <c r="H10" i="40"/>
  <c r="I9" i="40"/>
  <c r="E9" i="40"/>
  <c r="F8" i="40"/>
  <c r="G7" i="40"/>
  <c r="E9" i="41"/>
  <c r="E13" i="41"/>
  <c r="J13" i="41" s="1"/>
  <c r="L13" i="41" s="1"/>
  <c r="E18" i="41"/>
  <c r="E26" i="41"/>
  <c r="E10" i="41"/>
  <c r="E14" i="41"/>
  <c r="E19" i="41"/>
  <c r="E27" i="41"/>
  <c r="H7" i="42"/>
  <c r="H8" i="42"/>
  <c r="H9" i="42"/>
  <c r="H10" i="42"/>
  <c r="H11" i="42"/>
  <c r="H12" i="42"/>
  <c r="H13" i="42"/>
  <c r="E14" i="42"/>
  <c r="I14" i="42"/>
  <c r="E15" i="42"/>
  <c r="I15" i="42"/>
  <c r="E16" i="42"/>
  <c r="I16" i="42"/>
  <c r="E17" i="42"/>
  <c r="I17" i="42"/>
  <c r="E18" i="42"/>
  <c r="I18" i="42"/>
  <c r="E19" i="42"/>
  <c r="I19" i="42"/>
  <c r="E20" i="42"/>
  <c r="I20" i="42"/>
  <c r="E21" i="42"/>
  <c r="I21" i="42"/>
  <c r="E22" i="42"/>
  <c r="I22" i="42"/>
  <c r="E23" i="42"/>
  <c r="I23" i="42"/>
  <c r="E24" i="42"/>
  <c r="I24" i="42"/>
  <c r="E25" i="42"/>
  <c r="I25" i="42"/>
  <c r="E26" i="42"/>
  <c r="I26" i="42"/>
  <c r="E27" i="42"/>
  <c r="I27" i="42"/>
  <c r="E28" i="42"/>
  <c r="I28" i="42"/>
  <c r="E29" i="42"/>
  <c r="I29" i="42"/>
  <c r="E30" i="42"/>
  <c r="I30" i="42"/>
  <c r="E31" i="42"/>
  <c r="I31" i="42"/>
  <c r="E32" i="42"/>
  <c r="I32" i="42"/>
  <c r="E33" i="42"/>
  <c r="I33" i="42"/>
  <c r="E34" i="42"/>
  <c r="I34" i="42"/>
  <c r="E35" i="42"/>
  <c r="I35" i="42"/>
  <c r="E36" i="42"/>
  <c r="I36" i="42"/>
  <c r="E37" i="42"/>
  <c r="I37" i="42"/>
  <c r="E38" i="42"/>
  <c r="I38" i="42"/>
  <c r="E39" i="42"/>
  <c r="I39" i="42"/>
  <c r="E40" i="42"/>
  <c r="I40" i="42"/>
  <c r="E41" i="42"/>
  <c r="I41" i="42"/>
  <c r="E42" i="42"/>
  <c r="I42" i="42"/>
  <c r="E43" i="42"/>
  <c r="I43" i="42"/>
  <c r="E44" i="42"/>
  <c r="I44" i="42"/>
  <c r="E45" i="42"/>
  <c r="I45" i="42"/>
  <c r="E46" i="42"/>
  <c r="I46" i="42"/>
  <c r="E7" i="42"/>
  <c r="J7" i="42" s="1"/>
  <c r="I7" i="42"/>
  <c r="E8" i="42"/>
  <c r="J8" i="42" s="1"/>
  <c r="I8" i="42"/>
  <c r="E9" i="42"/>
  <c r="I9" i="42"/>
  <c r="E10" i="42"/>
  <c r="I10" i="42"/>
  <c r="E11" i="42"/>
  <c r="I11" i="42"/>
  <c r="E12" i="42"/>
  <c r="I12" i="42"/>
  <c r="E13" i="42"/>
  <c r="I13" i="42"/>
  <c r="F14" i="42"/>
  <c r="F15" i="42"/>
  <c r="F16" i="42"/>
  <c r="J16" i="42" s="1"/>
  <c r="F17" i="42"/>
  <c r="F18" i="42"/>
  <c r="F19" i="42"/>
  <c r="F20" i="42"/>
  <c r="J20" i="42" s="1"/>
  <c r="F21" i="42"/>
  <c r="F22" i="42"/>
  <c r="F23" i="42"/>
  <c r="F24" i="42"/>
  <c r="J24" i="42" s="1"/>
  <c r="F25" i="42"/>
  <c r="F26" i="42"/>
  <c r="F27" i="42"/>
  <c r="F28" i="42"/>
  <c r="J28" i="42" s="1"/>
  <c r="F29" i="42"/>
  <c r="F30" i="42"/>
  <c r="F31" i="42"/>
  <c r="F32" i="42"/>
  <c r="J32" i="42" s="1"/>
  <c r="F33" i="42"/>
  <c r="F34" i="42"/>
  <c r="F35" i="42"/>
  <c r="F36" i="42"/>
  <c r="J36" i="42" s="1"/>
  <c r="F37" i="42"/>
  <c r="F38" i="42"/>
  <c r="F39" i="42"/>
  <c r="F40" i="42"/>
  <c r="J40" i="42" s="1"/>
  <c r="F41" i="42"/>
  <c r="F42" i="42"/>
  <c r="F43" i="42"/>
  <c r="F44" i="42"/>
  <c r="J44" i="42" s="1"/>
  <c r="F45" i="42"/>
  <c r="F46" i="42"/>
  <c r="J11" i="42"/>
  <c r="F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9" i="42"/>
  <c r="G10" i="42"/>
  <c r="G11" i="42"/>
  <c r="G12" i="42"/>
  <c r="J12" i="42" s="1"/>
  <c r="G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H42" i="42"/>
  <c r="H43" i="42"/>
  <c r="H44" i="42"/>
  <c r="H45" i="42"/>
  <c r="J36" i="41"/>
  <c r="J19" i="41"/>
  <c r="J7" i="41"/>
  <c r="J11" i="41"/>
  <c r="J18" i="41"/>
  <c r="J15" i="41"/>
  <c r="J23" i="41"/>
  <c r="J27" i="41"/>
  <c r="J35" i="41"/>
  <c r="J31" i="41"/>
  <c r="J20" i="41"/>
  <c r="J24" i="41"/>
  <c r="J26" i="41"/>
  <c r="J28" i="41"/>
  <c r="J32" i="41"/>
  <c r="J38" i="41"/>
  <c r="J45" i="41"/>
  <c r="J25" i="41"/>
  <c r="J29" i="41"/>
  <c r="J33" i="41"/>
  <c r="J37" i="41"/>
  <c r="J41" i="41"/>
  <c r="J16" i="41"/>
  <c r="J43" i="41"/>
  <c r="J46" i="41"/>
  <c r="J10" i="41"/>
  <c r="J14" i="41"/>
  <c r="J22" i="41"/>
  <c r="J30" i="41"/>
  <c r="J34" i="41"/>
  <c r="J44" i="41"/>
  <c r="J40" i="41"/>
  <c r="J9" i="41"/>
  <c r="J8" i="41"/>
  <c r="J12" i="41"/>
  <c r="L48" i="41"/>
  <c r="L49" i="41" s="1"/>
  <c r="L50" i="41" s="1"/>
  <c r="J8" i="40"/>
  <c r="J12" i="40"/>
  <c r="J18" i="40"/>
  <c r="J20" i="40"/>
  <c r="J22" i="40"/>
  <c r="J24" i="40"/>
  <c r="J30" i="40"/>
  <c r="J34" i="40"/>
  <c r="J38" i="40"/>
  <c r="J42" i="40"/>
  <c r="J46" i="40"/>
  <c r="J9" i="40"/>
  <c r="J14" i="40"/>
  <c r="J16" i="40"/>
  <c r="J10" i="40"/>
  <c r="AA48" i="40"/>
  <c r="AA50" i="40" s="1"/>
  <c r="AK8" i="63" l="1"/>
  <c r="X16" i="63"/>
  <c r="AK7" i="63"/>
  <c r="N11" i="63"/>
  <c r="X18" i="63"/>
  <c r="AK9" i="63"/>
  <c r="AK10" i="63" s="1"/>
  <c r="X17" i="63"/>
  <c r="D16" i="63"/>
  <c r="J23" i="42"/>
  <c r="J19" i="42"/>
  <c r="J15" i="42"/>
  <c r="J13" i="40"/>
  <c r="L13" i="40" s="1"/>
  <c r="L48" i="40" s="1"/>
  <c r="L49" i="40" s="1"/>
  <c r="L50" i="40" s="1"/>
  <c r="J11" i="40"/>
  <c r="J19" i="40"/>
  <c r="J25" i="40"/>
  <c r="J35" i="40"/>
  <c r="J41" i="40"/>
  <c r="J40" i="40"/>
  <c r="J10" i="42"/>
  <c r="J46" i="42"/>
  <c r="J42" i="42"/>
  <c r="J38" i="42"/>
  <c r="J34" i="42"/>
  <c r="J30" i="42"/>
  <c r="J26" i="42"/>
  <c r="J22" i="42"/>
  <c r="J18" i="42"/>
  <c r="J14" i="42"/>
  <c r="J33" i="40"/>
  <c r="J7" i="40"/>
  <c r="J23" i="40"/>
  <c r="J29" i="40"/>
  <c r="J39" i="40"/>
  <c r="J45" i="40"/>
  <c r="J28" i="40"/>
  <c r="J44" i="40"/>
  <c r="J26" i="40"/>
  <c r="J17" i="40"/>
  <c r="J27" i="40"/>
  <c r="J36" i="40"/>
  <c r="J43" i="40"/>
  <c r="J32" i="40"/>
  <c r="J21" i="41"/>
  <c r="J13" i="42"/>
  <c r="L13" i="42" s="1"/>
  <c r="L48" i="42" s="1"/>
  <c r="L49" i="42" s="1"/>
  <c r="L50" i="42" s="1"/>
  <c r="J9" i="42"/>
  <c r="J45" i="42"/>
  <c r="J43" i="42"/>
  <c r="J41" i="42"/>
  <c r="J39" i="42"/>
  <c r="J37" i="42"/>
  <c r="J35" i="42"/>
  <c r="J33" i="42"/>
  <c r="J31" i="42"/>
  <c r="J29" i="42"/>
  <c r="J27" i="42"/>
  <c r="J25" i="42"/>
  <c r="J21" i="42"/>
  <c r="J17" i="42"/>
  <c r="J15" i="40"/>
  <c r="J31" i="40"/>
  <c r="J463" i="38"/>
  <c r="A463" i="38"/>
  <c r="J462" i="38"/>
  <c r="A462" i="38"/>
  <c r="J461" i="38"/>
  <c r="A461" i="38"/>
  <c r="J460" i="38"/>
  <c r="A460" i="38"/>
  <c r="J459" i="38"/>
  <c r="A459" i="38"/>
  <c r="J458" i="38"/>
  <c r="A458" i="38"/>
  <c r="J457" i="38"/>
  <c r="A457" i="38"/>
  <c r="J456" i="38"/>
  <c r="A456" i="38"/>
  <c r="J455" i="38"/>
  <c r="A455" i="38"/>
  <c r="J454" i="38"/>
  <c r="A454" i="38"/>
  <c r="J453" i="38"/>
  <c r="A453" i="38"/>
  <c r="J452" i="38"/>
  <c r="A452" i="38"/>
  <c r="J451" i="38"/>
  <c r="A451" i="38"/>
  <c r="J450" i="38"/>
  <c r="A450" i="38"/>
  <c r="J449" i="38"/>
  <c r="A449" i="38"/>
  <c r="J448" i="38"/>
  <c r="A448" i="38"/>
  <c r="J447" i="38"/>
  <c r="A447" i="38"/>
  <c r="J446" i="38"/>
  <c r="A446" i="38"/>
  <c r="J445" i="38"/>
  <c r="A445" i="38"/>
  <c r="J444" i="38"/>
  <c r="A444" i="38"/>
  <c r="J443" i="38"/>
  <c r="A443" i="38"/>
  <c r="J442" i="38"/>
  <c r="A442" i="38"/>
  <c r="J441" i="38"/>
  <c r="A441" i="38"/>
  <c r="J440" i="38"/>
  <c r="A440" i="38"/>
  <c r="J439" i="38"/>
  <c r="A439" i="38"/>
  <c r="J438" i="38"/>
  <c r="A438" i="38"/>
  <c r="J437" i="38"/>
  <c r="A437" i="38"/>
  <c r="J436" i="38"/>
  <c r="A436" i="38"/>
  <c r="J435" i="38"/>
  <c r="A435" i="38"/>
  <c r="J434" i="38"/>
  <c r="A434" i="38"/>
  <c r="J433" i="38"/>
  <c r="A433" i="38"/>
  <c r="J432" i="38"/>
  <c r="A432" i="38"/>
  <c r="J431" i="38"/>
  <c r="A431" i="38"/>
  <c r="J430" i="38"/>
  <c r="A430" i="38"/>
  <c r="J429" i="38"/>
  <c r="A429" i="38"/>
  <c r="J428" i="38"/>
  <c r="A428" i="38"/>
  <c r="J427" i="38"/>
  <c r="A427" i="38"/>
  <c r="J426" i="38"/>
  <c r="A426" i="38"/>
  <c r="J425" i="38"/>
  <c r="A425" i="38"/>
  <c r="J424" i="38"/>
  <c r="A424" i="38"/>
  <c r="J423" i="38"/>
  <c r="A423" i="38"/>
  <c r="J422" i="38"/>
  <c r="A422" i="38"/>
  <c r="J421" i="38"/>
  <c r="A421" i="38"/>
  <c r="J420" i="38"/>
  <c r="A420" i="38"/>
  <c r="J419" i="38"/>
  <c r="A419" i="38"/>
  <c r="J418" i="38"/>
  <c r="A418" i="38"/>
  <c r="J417" i="38"/>
  <c r="A417" i="38"/>
  <c r="J416" i="38"/>
  <c r="A416" i="38"/>
  <c r="J415" i="38"/>
  <c r="A415" i="38"/>
  <c r="J414" i="38"/>
  <c r="A414" i="38"/>
  <c r="J413" i="38"/>
  <c r="A413" i="38"/>
  <c r="J412" i="38"/>
  <c r="A412" i="38"/>
  <c r="J411" i="38"/>
  <c r="A411" i="38"/>
  <c r="J410" i="38"/>
  <c r="A410" i="38"/>
  <c r="J409" i="38"/>
  <c r="A409" i="38"/>
  <c r="J408" i="38"/>
  <c r="A408" i="38"/>
  <c r="J407" i="38"/>
  <c r="A407" i="38"/>
  <c r="J406" i="38"/>
  <c r="A406" i="38"/>
  <c r="J405" i="38"/>
  <c r="A405" i="38"/>
  <c r="J404" i="38"/>
  <c r="A404" i="38"/>
  <c r="J403" i="38"/>
  <c r="A403" i="38"/>
  <c r="J402" i="38"/>
  <c r="A402" i="38"/>
  <c r="J401" i="38"/>
  <c r="A401" i="38"/>
  <c r="J400" i="38"/>
  <c r="A400" i="38"/>
  <c r="J399" i="38"/>
  <c r="A399" i="38"/>
  <c r="J398" i="38"/>
  <c r="A398" i="38"/>
  <c r="J397" i="38"/>
  <c r="A397" i="38"/>
  <c r="J396" i="38"/>
  <c r="A396" i="38"/>
  <c r="J395" i="38"/>
  <c r="A395" i="38"/>
  <c r="J394" i="38"/>
  <c r="A394" i="38"/>
  <c r="J393" i="38"/>
  <c r="A393" i="38"/>
  <c r="J392" i="38"/>
  <c r="A392" i="38"/>
  <c r="J391" i="38"/>
  <c r="A391" i="38"/>
  <c r="J390" i="38"/>
  <c r="A390" i="38"/>
  <c r="J389" i="38"/>
  <c r="A389" i="38"/>
  <c r="J388" i="38"/>
  <c r="A388" i="38"/>
  <c r="J387" i="38"/>
  <c r="A387" i="38"/>
  <c r="J386" i="38"/>
  <c r="A386" i="38"/>
  <c r="J385" i="38"/>
  <c r="A385" i="38"/>
  <c r="J384" i="38"/>
  <c r="A384" i="38"/>
  <c r="J383" i="38"/>
  <c r="A383" i="38"/>
  <c r="J382" i="38"/>
  <c r="A382" i="38"/>
  <c r="J381" i="38"/>
  <c r="A381" i="38"/>
  <c r="J380" i="38"/>
  <c r="A380" i="38"/>
  <c r="J379" i="38"/>
  <c r="A379" i="38"/>
  <c r="J378" i="38"/>
  <c r="A378" i="38"/>
  <c r="J377" i="38"/>
  <c r="A377" i="38"/>
  <c r="J376" i="38"/>
  <c r="A376" i="38"/>
  <c r="J375" i="38"/>
  <c r="A375" i="38"/>
  <c r="J374" i="38"/>
  <c r="A374" i="38"/>
  <c r="J373" i="38"/>
  <c r="A373" i="38"/>
  <c r="J372" i="38"/>
  <c r="A372" i="38"/>
  <c r="J371" i="38"/>
  <c r="A371" i="38"/>
  <c r="J370" i="38"/>
  <c r="A370" i="38"/>
  <c r="J369" i="38"/>
  <c r="A369" i="38"/>
  <c r="J368" i="38"/>
  <c r="A368" i="38"/>
  <c r="J367" i="38"/>
  <c r="A367" i="38"/>
  <c r="J366" i="38"/>
  <c r="A366" i="38"/>
  <c r="J365" i="38"/>
  <c r="A365" i="38"/>
  <c r="J364" i="38"/>
  <c r="A364" i="38"/>
  <c r="J363" i="38"/>
  <c r="A363" i="38"/>
  <c r="J362" i="38"/>
  <c r="A362" i="38"/>
  <c r="J361" i="38"/>
  <c r="A361" i="38"/>
  <c r="J360" i="38"/>
  <c r="A360" i="38"/>
  <c r="J359" i="38"/>
  <c r="A359" i="38"/>
  <c r="J358" i="38"/>
  <c r="A358" i="38"/>
  <c r="J357" i="38"/>
  <c r="A357" i="38"/>
  <c r="J356" i="38"/>
  <c r="A356" i="38"/>
  <c r="J355" i="38"/>
  <c r="A355" i="38"/>
  <c r="J354" i="38"/>
  <c r="A354" i="38"/>
  <c r="J353" i="38"/>
  <c r="A353" i="38"/>
  <c r="J352" i="38"/>
  <c r="A352" i="38"/>
  <c r="J351" i="38"/>
  <c r="A351" i="38"/>
  <c r="J350" i="38"/>
  <c r="A350" i="38"/>
  <c r="J349" i="38"/>
  <c r="A349" i="38"/>
  <c r="J348" i="38"/>
  <c r="A348" i="38"/>
  <c r="J347" i="38"/>
  <c r="A347" i="38"/>
  <c r="J346" i="38"/>
  <c r="A346" i="38"/>
  <c r="J345" i="38"/>
  <c r="A345" i="38"/>
  <c r="J344" i="38"/>
  <c r="A344" i="38"/>
  <c r="J343" i="38"/>
  <c r="A343" i="38"/>
  <c r="J342" i="38"/>
  <c r="A342" i="38"/>
  <c r="J341" i="38"/>
  <c r="A341" i="38"/>
  <c r="J340" i="38"/>
  <c r="A340" i="38"/>
  <c r="J339" i="38"/>
  <c r="A339" i="38"/>
  <c r="J338" i="38"/>
  <c r="A338" i="38"/>
  <c r="J337" i="38"/>
  <c r="A337" i="38"/>
  <c r="J336" i="38"/>
  <c r="A336" i="38"/>
  <c r="J335" i="38"/>
  <c r="A335" i="38"/>
  <c r="J334" i="38"/>
  <c r="A334" i="38"/>
  <c r="J333" i="38"/>
  <c r="A333" i="38"/>
  <c r="J332" i="38"/>
  <c r="A332" i="38"/>
  <c r="J331" i="38"/>
  <c r="A331" i="38"/>
  <c r="J330" i="38"/>
  <c r="A330" i="38"/>
  <c r="J329" i="38"/>
  <c r="A329" i="38"/>
  <c r="J328" i="38"/>
  <c r="A328" i="38"/>
  <c r="J327" i="38"/>
  <c r="A327" i="38"/>
  <c r="J326" i="38"/>
  <c r="A326" i="38"/>
  <c r="J325" i="38"/>
  <c r="A325" i="38"/>
  <c r="J324" i="38"/>
  <c r="A324" i="38"/>
  <c r="J323" i="38"/>
  <c r="A323" i="38"/>
  <c r="J322" i="38"/>
  <c r="A322" i="38"/>
  <c r="J321" i="38"/>
  <c r="A321" i="38"/>
  <c r="J320" i="38"/>
  <c r="A320" i="38"/>
  <c r="J319" i="38"/>
  <c r="A319" i="38"/>
  <c r="J318" i="38"/>
  <c r="A318" i="38"/>
  <c r="J317" i="38"/>
  <c r="A317" i="38"/>
  <c r="J316" i="38"/>
  <c r="A316" i="38"/>
  <c r="J315" i="38"/>
  <c r="A315" i="38"/>
  <c r="J314" i="38"/>
  <c r="A314" i="38"/>
  <c r="J313" i="38"/>
  <c r="A313" i="38"/>
  <c r="J312" i="38"/>
  <c r="A312" i="38"/>
  <c r="J311" i="38"/>
  <c r="A311" i="38"/>
  <c r="J310" i="38"/>
  <c r="A310" i="38"/>
  <c r="J309" i="38"/>
  <c r="A309" i="38"/>
  <c r="J308" i="38"/>
  <c r="A308" i="38"/>
  <c r="J307" i="38"/>
  <c r="A307" i="38"/>
  <c r="J306" i="38"/>
  <c r="A306" i="38"/>
  <c r="J305" i="38"/>
  <c r="A305" i="38"/>
  <c r="J304" i="38"/>
  <c r="A304" i="38"/>
  <c r="J303" i="38"/>
  <c r="A303" i="38"/>
  <c r="J302" i="38"/>
  <c r="A302" i="38"/>
  <c r="J301" i="38"/>
  <c r="A301" i="38"/>
  <c r="J300" i="38"/>
  <c r="A300" i="38"/>
  <c r="J299" i="38"/>
  <c r="A299" i="38"/>
  <c r="J298" i="38"/>
  <c r="A298" i="38"/>
  <c r="J297" i="38"/>
  <c r="A297" i="38"/>
  <c r="J296" i="38"/>
  <c r="A296" i="38"/>
  <c r="J295" i="38"/>
  <c r="A295" i="38"/>
  <c r="J294" i="38"/>
  <c r="A294" i="38"/>
  <c r="J293" i="38"/>
  <c r="A293" i="38"/>
  <c r="J292" i="38"/>
  <c r="A292" i="38"/>
  <c r="J291" i="38"/>
  <c r="A291" i="38"/>
  <c r="J290" i="38"/>
  <c r="A290" i="38"/>
  <c r="J289" i="38"/>
  <c r="A289" i="38"/>
  <c r="J288" i="38"/>
  <c r="A288" i="38"/>
  <c r="J287" i="38"/>
  <c r="A287" i="38"/>
  <c r="J286" i="38"/>
  <c r="A286" i="38"/>
  <c r="J285" i="38"/>
  <c r="A285" i="38"/>
  <c r="J284" i="38"/>
  <c r="A284" i="38"/>
  <c r="J283" i="38"/>
  <c r="A283" i="38"/>
  <c r="J282" i="38"/>
  <c r="A282" i="38"/>
  <c r="J281" i="38"/>
  <c r="A281" i="38"/>
  <c r="J280" i="38"/>
  <c r="A280" i="38"/>
  <c r="J279" i="38"/>
  <c r="A279" i="38"/>
  <c r="J278" i="38"/>
  <c r="A278" i="38"/>
  <c r="J277" i="38"/>
  <c r="A277" i="38"/>
  <c r="J276" i="38"/>
  <c r="A276" i="38"/>
  <c r="J275" i="38"/>
  <c r="A275" i="38"/>
  <c r="J274" i="38"/>
  <c r="A274" i="38"/>
  <c r="J273" i="38"/>
  <c r="A273" i="38"/>
  <c r="J272" i="38"/>
  <c r="A272" i="38"/>
  <c r="J271" i="38"/>
  <c r="A271" i="38"/>
  <c r="J270" i="38"/>
  <c r="A270" i="38"/>
  <c r="J269" i="38"/>
  <c r="A269" i="38"/>
  <c r="J268" i="38"/>
  <c r="A268" i="38"/>
  <c r="J267" i="38"/>
  <c r="A267" i="38"/>
  <c r="J266" i="38"/>
  <c r="A266" i="38"/>
  <c r="J265" i="38"/>
  <c r="A265" i="38"/>
  <c r="J264" i="38"/>
  <c r="A264" i="38"/>
  <c r="J263" i="38"/>
  <c r="A263" i="38"/>
  <c r="J262" i="38"/>
  <c r="A262" i="38"/>
  <c r="J261" i="38"/>
  <c r="A261" i="38"/>
  <c r="J260" i="38"/>
  <c r="A260" i="38"/>
  <c r="J259" i="38"/>
  <c r="A259" i="38"/>
  <c r="J258" i="38"/>
  <c r="A258" i="38"/>
  <c r="J257" i="38"/>
  <c r="A257" i="38"/>
  <c r="J256" i="38"/>
  <c r="A256" i="38"/>
  <c r="J255" i="38"/>
  <c r="A255" i="38"/>
  <c r="J254" i="38"/>
  <c r="A254" i="38"/>
  <c r="J253" i="38"/>
  <c r="A253" i="38"/>
  <c r="J252" i="38"/>
  <c r="A252" i="38"/>
  <c r="J251" i="38"/>
  <c r="A251" i="38"/>
  <c r="J250" i="38"/>
  <c r="A250" i="38"/>
  <c r="J249" i="38"/>
  <c r="A249" i="38"/>
  <c r="J248" i="38"/>
  <c r="A248" i="38"/>
  <c r="J247" i="38"/>
  <c r="A247" i="38"/>
  <c r="J246" i="38"/>
  <c r="A246" i="38"/>
  <c r="J245" i="38"/>
  <c r="A245" i="38"/>
  <c r="J244" i="38"/>
  <c r="A244" i="38"/>
  <c r="J243" i="38"/>
  <c r="A243" i="38"/>
  <c r="J242" i="38"/>
  <c r="A242" i="38"/>
  <c r="J241" i="38"/>
  <c r="A241" i="38"/>
  <c r="J240" i="38"/>
  <c r="A240" i="38"/>
  <c r="J239" i="38"/>
  <c r="A239" i="38"/>
  <c r="J238" i="38"/>
  <c r="A238" i="38"/>
  <c r="J237" i="38"/>
  <c r="A237" i="38"/>
  <c r="J236" i="38"/>
  <c r="A236" i="38"/>
  <c r="J235" i="38"/>
  <c r="A235" i="38"/>
  <c r="J234" i="38"/>
  <c r="A234" i="38"/>
  <c r="J233" i="38"/>
  <c r="A233" i="38"/>
  <c r="J232" i="38"/>
  <c r="A232" i="38"/>
  <c r="J231" i="38"/>
  <c r="A231" i="38"/>
  <c r="J230" i="38"/>
  <c r="A230" i="38"/>
  <c r="J229" i="38"/>
  <c r="A229" i="38"/>
  <c r="J228" i="38"/>
  <c r="A228" i="38"/>
  <c r="J227" i="38"/>
  <c r="A227" i="38"/>
  <c r="J226" i="38"/>
  <c r="A226" i="38"/>
  <c r="J225" i="38"/>
  <c r="A225" i="38"/>
  <c r="J224" i="38"/>
  <c r="A224" i="38"/>
  <c r="J223" i="38"/>
  <c r="A223" i="38"/>
  <c r="J222" i="38"/>
  <c r="A222" i="38"/>
  <c r="J221" i="38"/>
  <c r="A221" i="38"/>
  <c r="J220" i="38"/>
  <c r="A220" i="38"/>
  <c r="J219" i="38"/>
  <c r="A219" i="38"/>
  <c r="J218" i="38"/>
  <c r="A218" i="38"/>
  <c r="J217" i="38"/>
  <c r="A217" i="38"/>
  <c r="J216" i="38"/>
  <c r="A216" i="38"/>
  <c r="J215" i="38"/>
  <c r="A215" i="38"/>
  <c r="J214" i="38"/>
  <c r="A214" i="38"/>
  <c r="J213" i="38"/>
  <c r="A213" i="38"/>
  <c r="J212" i="38"/>
  <c r="A212" i="38"/>
  <c r="J211" i="38"/>
  <c r="A211" i="38"/>
  <c r="J210" i="38"/>
  <c r="A210" i="38"/>
  <c r="J209" i="38"/>
  <c r="A209" i="38"/>
  <c r="J208" i="38"/>
  <c r="A208" i="38"/>
  <c r="J207" i="38"/>
  <c r="A207" i="38"/>
  <c r="J206" i="38"/>
  <c r="A206" i="38"/>
  <c r="J205" i="38"/>
  <c r="A205" i="38"/>
  <c r="J204" i="38"/>
  <c r="A204" i="38"/>
  <c r="J203" i="38"/>
  <c r="A203" i="38"/>
  <c r="J202" i="38"/>
  <c r="A202" i="38"/>
  <c r="J201" i="38"/>
  <c r="A201" i="38"/>
  <c r="J200" i="38"/>
  <c r="A200" i="38"/>
  <c r="J199" i="38"/>
  <c r="A199" i="38"/>
  <c r="J198" i="38"/>
  <c r="A198" i="38"/>
  <c r="J197" i="38"/>
  <c r="A197" i="38"/>
  <c r="J196" i="38"/>
  <c r="A196" i="38"/>
  <c r="J195" i="38"/>
  <c r="A195" i="38"/>
  <c r="J194" i="38"/>
  <c r="A194" i="38"/>
  <c r="J193" i="38"/>
  <c r="A193" i="38"/>
  <c r="J192" i="38"/>
  <c r="A192" i="38"/>
  <c r="J191" i="38"/>
  <c r="A191" i="38"/>
  <c r="J190" i="38"/>
  <c r="A190" i="38"/>
  <c r="J189" i="38"/>
  <c r="A189" i="38"/>
  <c r="J188" i="38"/>
  <c r="A188" i="38"/>
  <c r="J187" i="38"/>
  <c r="A187" i="38"/>
  <c r="J186" i="38"/>
  <c r="A186" i="38"/>
  <c r="J185" i="38"/>
  <c r="A185" i="38"/>
  <c r="J184" i="38"/>
  <c r="A184" i="38"/>
  <c r="J183" i="38"/>
  <c r="A183" i="38"/>
  <c r="J182" i="38"/>
  <c r="A182" i="38"/>
  <c r="J181" i="38"/>
  <c r="A181" i="38"/>
  <c r="J180" i="38"/>
  <c r="A180" i="38"/>
  <c r="J179" i="38"/>
  <c r="A179" i="38"/>
  <c r="J178" i="38"/>
  <c r="A178" i="38"/>
  <c r="J177" i="38"/>
  <c r="A177" i="38"/>
  <c r="J176" i="38"/>
  <c r="A176" i="38"/>
  <c r="J175" i="38"/>
  <c r="A175" i="38"/>
  <c r="J174" i="38"/>
  <c r="A174" i="38"/>
  <c r="J173" i="38"/>
  <c r="A173" i="38"/>
  <c r="J172" i="38"/>
  <c r="A172" i="38"/>
  <c r="J171" i="38"/>
  <c r="A171" i="38"/>
  <c r="J170" i="38"/>
  <c r="A170" i="38"/>
  <c r="J169" i="38"/>
  <c r="A169" i="38"/>
  <c r="J168" i="38"/>
  <c r="A168" i="38"/>
  <c r="J167" i="38"/>
  <c r="A167" i="38"/>
  <c r="J166" i="38"/>
  <c r="A166" i="38"/>
  <c r="J165" i="38"/>
  <c r="A165" i="38"/>
  <c r="J164" i="38"/>
  <c r="A164" i="38"/>
  <c r="J163" i="38"/>
  <c r="A163" i="38"/>
  <c r="J162" i="38"/>
  <c r="A162" i="38"/>
  <c r="J161" i="38"/>
  <c r="A161" i="38"/>
  <c r="J160" i="38"/>
  <c r="A160" i="38"/>
  <c r="J159" i="38"/>
  <c r="A159" i="38"/>
  <c r="J158" i="38"/>
  <c r="A158" i="38"/>
  <c r="J157" i="38"/>
  <c r="A157" i="38"/>
  <c r="J156" i="38"/>
  <c r="A156" i="38"/>
  <c r="J155" i="38"/>
  <c r="A155" i="38"/>
  <c r="J154" i="38"/>
  <c r="A154" i="38"/>
  <c r="J153" i="38"/>
  <c r="A153" i="38"/>
  <c r="J152" i="38"/>
  <c r="A152" i="38"/>
  <c r="J151" i="38"/>
  <c r="A151" i="38"/>
  <c r="J150" i="38"/>
  <c r="A150" i="38"/>
  <c r="J149" i="38"/>
  <c r="A149" i="38"/>
  <c r="J148" i="38"/>
  <c r="A148" i="38"/>
  <c r="J147" i="38"/>
  <c r="A147" i="38"/>
  <c r="J146" i="38"/>
  <c r="A146" i="38"/>
  <c r="J145" i="38"/>
  <c r="A145" i="38"/>
  <c r="J144" i="38"/>
  <c r="A144" i="38"/>
  <c r="J143" i="38"/>
  <c r="A143" i="38"/>
  <c r="J142" i="38"/>
  <c r="A142" i="38"/>
  <c r="J141" i="38"/>
  <c r="A141" i="38"/>
  <c r="J140" i="38"/>
  <c r="A140" i="38"/>
  <c r="J139" i="38"/>
  <c r="A139" i="38"/>
  <c r="J138" i="38"/>
  <c r="A138" i="38"/>
  <c r="J137" i="38"/>
  <c r="A137" i="38"/>
  <c r="J136" i="38"/>
  <c r="A136" i="38"/>
  <c r="J135" i="38"/>
  <c r="A135" i="38"/>
  <c r="J134" i="38"/>
  <c r="A134" i="38"/>
  <c r="J133" i="38"/>
  <c r="A133" i="38"/>
  <c r="J132" i="38"/>
  <c r="A132" i="38"/>
  <c r="J131" i="38"/>
  <c r="A131" i="38"/>
  <c r="J130" i="38"/>
  <c r="A130" i="38"/>
  <c r="J129" i="38"/>
  <c r="A129" i="38"/>
  <c r="J128" i="38"/>
  <c r="A128" i="38"/>
  <c r="J127" i="38"/>
  <c r="A127" i="38"/>
  <c r="J126" i="38"/>
  <c r="A126" i="38"/>
  <c r="J125" i="38"/>
  <c r="A125" i="38"/>
  <c r="J124" i="38"/>
  <c r="A124" i="38"/>
  <c r="J123" i="38"/>
  <c r="A123" i="38"/>
  <c r="J122" i="38"/>
  <c r="A122" i="38"/>
  <c r="J121" i="38"/>
  <c r="A121" i="38"/>
  <c r="J120" i="38"/>
  <c r="A120" i="38"/>
  <c r="J119" i="38"/>
  <c r="A119" i="38"/>
  <c r="J118" i="38"/>
  <c r="A118" i="38"/>
  <c r="J117" i="38"/>
  <c r="A117" i="38"/>
  <c r="J116" i="38"/>
  <c r="A116" i="38"/>
  <c r="J115" i="38"/>
  <c r="A115" i="38"/>
  <c r="J114" i="38"/>
  <c r="A114" i="38"/>
  <c r="J113" i="38"/>
  <c r="A113" i="38"/>
  <c r="J112" i="38"/>
  <c r="A112" i="38"/>
  <c r="J111" i="38"/>
  <c r="A111" i="38"/>
  <c r="J110" i="38"/>
  <c r="A110" i="38"/>
  <c r="J109" i="38"/>
  <c r="A109" i="38"/>
  <c r="J108" i="38"/>
  <c r="A108" i="38"/>
  <c r="J107" i="38"/>
  <c r="A107" i="38"/>
  <c r="J106" i="38"/>
  <c r="A106" i="38"/>
  <c r="J105" i="38"/>
  <c r="A105" i="38"/>
  <c r="J104" i="38"/>
  <c r="A104" i="38"/>
  <c r="J103" i="38"/>
  <c r="A103" i="38"/>
  <c r="J102" i="38"/>
  <c r="A102" i="38"/>
  <c r="J101" i="38"/>
  <c r="A101" i="38"/>
  <c r="J100" i="38"/>
  <c r="A100" i="38"/>
  <c r="J99" i="38"/>
  <c r="A99" i="38"/>
  <c r="J98" i="38"/>
  <c r="A98" i="38"/>
  <c r="J97" i="38"/>
  <c r="A97" i="38"/>
  <c r="J96" i="38"/>
  <c r="A96" i="38"/>
  <c r="J95" i="38"/>
  <c r="A95" i="38"/>
  <c r="J94" i="38"/>
  <c r="A94" i="38"/>
  <c r="J93" i="38"/>
  <c r="A93" i="38"/>
  <c r="J92" i="38"/>
  <c r="A92" i="38"/>
  <c r="J91" i="38"/>
  <c r="A91" i="38"/>
  <c r="J90" i="38"/>
  <c r="A90" i="38"/>
  <c r="J89" i="38"/>
  <c r="A89" i="38"/>
  <c r="J88" i="38"/>
  <c r="A88" i="38"/>
  <c r="J87" i="38"/>
  <c r="A87" i="38"/>
  <c r="J86" i="38"/>
  <c r="A86" i="38"/>
  <c r="J85" i="38"/>
  <c r="A85" i="38"/>
  <c r="J84" i="38"/>
  <c r="A84" i="38"/>
  <c r="J83" i="38"/>
  <c r="A83" i="38"/>
  <c r="J82" i="38"/>
  <c r="A82" i="38"/>
  <c r="J81" i="38"/>
  <c r="A81" i="38"/>
  <c r="J80" i="38"/>
  <c r="A80" i="38"/>
  <c r="J79" i="38"/>
  <c r="A79" i="38"/>
  <c r="J78" i="38"/>
  <c r="A78" i="38"/>
  <c r="J77" i="38"/>
  <c r="A77" i="38"/>
  <c r="J76" i="38"/>
  <c r="A76" i="38"/>
  <c r="J75" i="38"/>
  <c r="A75" i="38"/>
  <c r="J74" i="38"/>
  <c r="A74" i="38"/>
  <c r="J73" i="38"/>
  <c r="A73" i="38"/>
  <c r="J72" i="38"/>
  <c r="A72" i="38"/>
  <c r="J71" i="38"/>
  <c r="A71" i="38"/>
  <c r="J70" i="38"/>
  <c r="A70" i="38"/>
  <c r="J69" i="38"/>
  <c r="A69" i="38"/>
  <c r="J68" i="38"/>
  <c r="A68" i="38"/>
  <c r="J67" i="38"/>
  <c r="A67" i="38"/>
  <c r="J66" i="38"/>
  <c r="A66" i="38"/>
  <c r="J65" i="38"/>
  <c r="A65" i="38"/>
  <c r="J64" i="38"/>
  <c r="A64" i="38"/>
  <c r="J63" i="38"/>
  <c r="A63" i="38"/>
  <c r="J62" i="38"/>
  <c r="A62" i="38"/>
  <c r="J61" i="38"/>
  <c r="A61" i="38"/>
  <c r="J60" i="38"/>
  <c r="A60" i="38"/>
  <c r="J59" i="38"/>
  <c r="A59" i="38"/>
  <c r="J58" i="38"/>
  <c r="A58" i="38"/>
  <c r="J57" i="38"/>
  <c r="A57" i="38"/>
  <c r="J56" i="38"/>
  <c r="A56" i="38"/>
  <c r="J55" i="38"/>
  <c r="A55" i="38"/>
  <c r="J54" i="38"/>
  <c r="A54" i="38"/>
  <c r="J53" i="38"/>
  <c r="A53" i="38"/>
  <c r="J52" i="38"/>
  <c r="A52" i="38"/>
  <c r="J51" i="38"/>
  <c r="A51" i="38"/>
  <c r="J50" i="38"/>
  <c r="A50" i="38"/>
  <c r="J49" i="38"/>
  <c r="A49" i="38"/>
  <c r="J48" i="38"/>
  <c r="A48" i="38"/>
  <c r="J47" i="38"/>
  <c r="A47" i="38"/>
  <c r="J46" i="38"/>
  <c r="A46" i="38"/>
  <c r="J45" i="38"/>
  <c r="A45" i="38"/>
  <c r="J44" i="38"/>
  <c r="A44" i="38"/>
  <c r="J43" i="38"/>
  <c r="A43" i="38"/>
  <c r="J42" i="38"/>
  <c r="A42" i="38"/>
  <c r="J41" i="38"/>
  <c r="A41" i="38"/>
  <c r="J40" i="38"/>
  <c r="A40" i="38"/>
  <c r="J39" i="38"/>
  <c r="A39" i="38"/>
  <c r="J38" i="38"/>
  <c r="A38" i="38"/>
  <c r="J37" i="38"/>
  <c r="A37" i="38"/>
  <c r="J36" i="38"/>
  <c r="A36" i="38"/>
  <c r="J35" i="38"/>
  <c r="A35" i="38"/>
  <c r="J34" i="38"/>
  <c r="A34" i="38"/>
  <c r="J33" i="38"/>
  <c r="A33" i="38"/>
  <c r="J32" i="38"/>
  <c r="A32" i="38"/>
  <c r="J31" i="38"/>
  <c r="A31" i="38"/>
  <c r="J30" i="38"/>
  <c r="A30" i="38"/>
  <c r="J29" i="38"/>
  <c r="A29" i="38"/>
  <c r="J28" i="38"/>
  <c r="A28" i="38"/>
  <c r="J27" i="38"/>
  <c r="A27" i="38"/>
  <c r="J26" i="38"/>
  <c r="A26" i="38"/>
  <c r="J25" i="38"/>
  <c r="A25" i="38"/>
  <c r="J24" i="38"/>
  <c r="A24" i="38"/>
  <c r="J23" i="38"/>
  <c r="A23" i="38"/>
  <c r="J22" i="38"/>
  <c r="A22" i="38"/>
  <c r="J21" i="38"/>
  <c r="A21" i="38"/>
  <c r="J20" i="38"/>
  <c r="A20" i="38"/>
  <c r="J19" i="38"/>
  <c r="A19" i="38"/>
  <c r="J18" i="38"/>
  <c r="A18" i="38"/>
  <c r="J17" i="38"/>
  <c r="A17" i="38"/>
  <c r="J16" i="38"/>
  <c r="A16" i="38"/>
  <c r="J15" i="38"/>
  <c r="A15" i="38"/>
  <c r="J14" i="38"/>
  <c r="A14" i="38"/>
  <c r="J13" i="38"/>
  <c r="A13" i="38"/>
  <c r="B12" i="38"/>
  <c r="A12" i="38"/>
  <c r="A11" i="38"/>
  <c r="A10" i="38"/>
  <c r="A9" i="38"/>
  <c r="G8" i="38"/>
  <c r="G7" i="38"/>
  <c r="G6" i="38"/>
  <c r="E8" i="38"/>
  <c r="A8" i="38"/>
  <c r="I7" i="38"/>
  <c r="E7" i="38"/>
  <c r="A7" i="38"/>
  <c r="I6" i="38"/>
  <c r="E6" i="38"/>
  <c r="A6" i="38"/>
  <c r="I5" i="38"/>
  <c r="A5" i="38"/>
  <c r="AK11" i="63" l="1"/>
  <c r="AK12" i="63"/>
  <c r="N13" i="63"/>
  <c r="X19" i="63"/>
  <c r="D18" i="63"/>
  <c r="D20" i="63" s="1"/>
  <c r="D22" i="63" s="1"/>
  <c r="D23" i="63" s="1"/>
  <c r="D24" i="63" s="1"/>
  <c r="D25" i="63" s="1"/>
  <c r="D26" i="63" s="1"/>
  <c r="F5" i="63" s="1"/>
  <c r="B13" i="38"/>
  <c r="A232" i="34"/>
  <c r="I211" i="34"/>
  <c r="G211" i="34"/>
  <c r="J211" i="34" s="1"/>
  <c r="I212" i="34"/>
  <c r="J212" i="34" s="1"/>
  <c r="G212" i="34"/>
  <c r="I213" i="34"/>
  <c r="G213" i="34"/>
  <c r="I214" i="34"/>
  <c r="J214" i="34" s="1"/>
  <c r="G214" i="34"/>
  <c r="I216" i="34"/>
  <c r="C215" i="34"/>
  <c r="H214" i="34"/>
  <c r="H213" i="34"/>
  <c r="H212" i="34"/>
  <c r="H211" i="34"/>
  <c r="A200" i="34"/>
  <c r="I185" i="34"/>
  <c r="J185" i="34" s="1"/>
  <c r="G185" i="34"/>
  <c r="I186" i="34"/>
  <c r="G186" i="34"/>
  <c r="I187" i="34"/>
  <c r="G187" i="34"/>
  <c r="I189" i="34"/>
  <c r="C188" i="34"/>
  <c r="H187" i="34"/>
  <c r="H186" i="34"/>
  <c r="H185" i="34"/>
  <c r="A174" i="34"/>
  <c r="I137" i="34"/>
  <c r="G137" i="34"/>
  <c r="J137" i="34"/>
  <c r="I138" i="34"/>
  <c r="G138" i="34"/>
  <c r="J138" i="34"/>
  <c r="I139" i="34"/>
  <c r="J139" i="34" s="1"/>
  <c r="G139" i="34"/>
  <c r="I140" i="34"/>
  <c r="G140" i="34"/>
  <c r="I141" i="34"/>
  <c r="J141" i="34" s="1"/>
  <c r="G141" i="34"/>
  <c r="I142" i="34"/>
  <c r="J142" i="34" s="1"/>
  <c r="G142" i="34"/>
  <c r="I143" i="34"/>
  <c r="G143" i="34"/>
  <c r="I144" i="34"/>
  <c r="J144" i="34" s="1"/>
  <c r="G144" i="34"/>
  <c r="I145" i="34"/>
  <c r="G145" i="34"/>
  <c r="J145" i="34"/>
  <c r="I146" i="34"/>
  <c r="G146" i="34"/>
  <c r="J146" i="34"/>
  <c r="I147" i="34"/>
  <c r="J147" i="34" s="1"/>
  <c r="G147" i="34"/>
  <c r="I148" i="34"/>
  <c r="G148" i="34"/>
  <c r="I149" i="34"/>
  <c r="J149" i="34" s="1"/>
  <c r="G149" i="34"/>
  <c r="I150" i="34"/>
  <c r="J150" i="34" s="1"/>
  <c r="G150" i="34"/>
  <c r="I151" i="34"/>
  <c r="J151" i="34" s="1"/>
  <c r="G151" i="34"/>
  <c r="I152" i="34"/>
  <c r="J152" i="34" s="1"/>
  <c r="G152" i="34"/>
  <c r="I153" i="34"/>
  <c r="G153" i="34"/>
  <c r="J153" i="34"/>
  <c r="I154" i="34"/>
  <c r="G154" i="34"/>
  <c r="J154" i="34" s="1"/>
  <c r="I156" i="34"/>
  <c r="C155" i="34"/>
  <c r="H154" i="34"/>
  <c r="H153" i="34"/>
  <c r="H152" i="34"/>
  <c r="H151" i="34"/>
  <c r="H150" i="34"/>
  <c r="H149" i="34"/>
  <c r="H148" i="34"/>
  <c r="H147" i="34"/>
  <c r="H146" i="34"/>
  <c r="H145" i="34"/>
  <c r="H144" i="34"/>
  <c r="H143" i="34"/>
  <c r="H142" i="34"/>
  <c r="H141" i="34"/>
  <c r="H140" i="34"/>
  <c r="H139" i="34"/>
  <c r="H138" i="34"/>
  <c r="H137" i="34"/>
  <c r="A126" i="34"/>
  <c r="A97" i="34"/>
  <c r="A67" i="34"/>
  <c r="I108" i="34"/>
  <c r="G108" i="34"/>
  <c r="J108" i="34" s="1"/>
  <c r="I109" i="34"/>
  <c r="J109" i="34" s="1"/>
  <c r="G109" i="34"/>
  <c r="I110" i="34"/>
  <c r="G110" i="34"/>
  <c r="I111" i="34"/>
  <c r="J111" i="34" s="1"/>
  <c r="G111" i="34"/>
  <c r="I113" i="34"/>
  <c r="C112" i="34"/>
  <c r="H111" i="34"/>
  <c r="H110" i="34"/>
  <c r="H109" i="34"/>
  <c r="H108" i="34"/>
  <c r="I75" i="34"/>
  <c r="J75" i="34" s="1"/>
  <c r="G75" i="34"/>
  <c r="I76" i="34"/>
  <c r="J76" i="34" s="1"/>
  <c r="G76" i="34"/>
  <c r="I77" i="34"/>
  <c r="G77" i="34"/>
  <c r="J77" i="34"/>
  <c r="I78" i="34"/>
  <c r="J78" i="34" s="1"/>
  <c r="G78" i="34"/>
  <c r="I79" i="34"/>
  <c r="J79" i="34" s="1"/>
  <c r="G79" i="34"/>
  <c r="I80" i="34"/>
  <c r="J80" i="34" s="1"/>
  <c r="G80" i="34"/>
  <c r="I81" i="34"/>
  <c r="J81" i="34" s="1"/>
  <c r="G81" i="34"/>
  <c r="I83" i="34"/>
  <c r="C82" i="34"/>
  <c r="H81" i="34"/>
  <c r="H80" i="34"/>
  <c r="H79" i="34"/>
  <c r="H78" i="34"/>
  <c r="H77" i="34"/>
  <c r="H76" i="34"/>
  <c r="H75" i="34"/>
  <c r="W152" i="37"/>
  <c r="W150" i="37"/>
  <c r="S150" i="37"/>
  <c r="W148" i="37"/>
  <c r="S148" i="37"/>
  <c r="W125" i="37"/>
  <c r="W123" i="37"/>
  <c r="W116" i="37"/>
  <c r="W111" i="37"/>
  <c r="W109" i="37"/>
  <c r="W104" i="37"/>
  <c r="W102" i="37"/>
  <c r="U99" i="37"/>
  <c r="T99" i="37"/>
  <c r="S99" i="37"/>
  <c r="Z92" i="37"/>
  <c r="AC95" i="37" s="1"/>
  <c r="AD95" i="37" s="1"/>
  <c r="AC94" i="37"/>
  <c r="AD94" i="37" s="1"/>
  <c r="W93" i="37"/>
  <c r="AC92" i="37"/>
  <c r="AD92" i="37" s="1"/>
  <c r="W90" i="37"/>
  <c r="AC88" i="37"/>
  <c r="AD88" i="37"/>
  <c r="W88" i="37"/>
  <c r="AC87" i="37"/>
  <c r="AD87" i="37" s="1"/>
  <c r="AC86" i="37"/>
  <c r="AD86" i="37" s="1"/>
  <c r="W86" i="37"/>
  <c r="AC85" i="37"/>
  <c r="AD85" i="37" s="1"/>
  <c r="W85" i="37"/>
  <c r="AC84" i="37"/>
  <c r="AD84" i="37"/>
  <c r="Z84" i="37"/>
  <c r="AC80" i="37"/>
  <c r="AD80" i="37" s="1"/>
  <c r="AC79" i="37"/>
  <c r="AD79" i="37" s="1"/>
  <c r="AC78" i="37"/>
  <c r="AD78" i="37" s="1"/>
  <c r="AC77" i="37"/>
  <c r="AD77" i="37" s="1"/>
  <c r="AC76" i="37"/>
  <c r="AD76" i="37" s="1"/>
  <c r="Z76" i="37"/>
  <c r="AC72" i="37"/>
  <c r="AD72" i="37" s="1"/>
  <c r="AC71" i="37"/>
  <c r="AD71" i="37" s="1"/>
  <c r="AC70" i="37"/>
  <c r="AD70" i="37" s="1"/>
  <c r="AC69" i="37"/>
  <c r="AD69" i="37"/>
  <c r="AC68" i="37"/>
  <c r="AD68" i="37" s="1"/>
  <c r="Z68" i="37"/>
  <c r="S66" i="37"/>
  <c r="AW64" i="37"/>
  <c r="S61" i="37"/>
  <c r="W64" i="37"/>
  <c r="AW63" i="37"/>
  <c r="AW62" i="37"/>
  <c r="W13" i="37"/>
  <c r="AL11" i="37"/>
  <c r="AB13" i="37"/>
  <c r="AC13" i="37"/>
  <c r="W14" i="37"/>
  <c r="AB14" i="37"/>
  <c r="AC14" i="37"/>
  <c r="W15" i="37"/>
  <c r="AB15" i="37"/>
  <c r="AC15" i="37"/>
  <c r="W16" i="37"/>
  <c r="AB16" i="37"/>
  <c r="AC16" i="37"/>
  <c r="W17" i="37"/>
  <c r="AB17" i="37"/>
  <c r="AC17" i="37" s="1"/>
  <c r="AD17" i="37" s="1"/>
  <c r="W18" i="37"/>
  <c r="AB18" i="37"/>
  <c r="AC18" i="37" s="1"/>
  <c r="W19" i="37"/>
  <c r="AB19" i="37"/>
  <c r="AC19" i="37"/>
  <c r="AD19" i="37" s="1"/>
  <c r="W20" i="37"/>
  <c r="AB20" i="37"/>
  <c r="AC20" i="37"/>
  <c r="W21" i="37"/>
  <c r="AB21" i="37"/>
  <c r="AC21" i="37" s="1"/>
  <c r="W22" i="37"/>
  <c r="AB22" i="37"/>
  <c r="AC22" i="37" s="1"/>
  <c r="AD22" i="37" s="1"/>
  <c r="W23" i="37"/>
  <c r="AB23" i="37"/>
  <c r="AC23" i="37"/>
  <c r="AD23" i="37" s="1"/>
  <c r="W24" i="37"/>
  <c r="AJ24" i="37" s="1"/>
  <c r="AB24" i="37"/>
  <c r="AC24" i="37"/>
  <c r="W25" i="37"/>
  <c r="AB25" i="37"/>
  <c r="AC25" i="37" s="1"/>
  <c r="AD25" i="37" s="1"/>
  <c r="W26" i="37"/>
  <c r="AB26" i="37"/>
  <c r="AC26" i="37"/>
  <c r="W27" i="37"/>
  <c r="AB27" i="37"/>
  <c r="AC27" i="37" s="1"/>
  <c r="AD27" i="37" s="1"/>
  <c r="W28" i="37"/>
  <c r="AB28" i="37"/>
  <c r="AC28" i="37"/>
  <c r="W29" i="37"/>
  <c r="AB29" i="37"/>
  <c r="AC29" i="37" s="1"/>
  <c r="AD29" i="37" s="1"/>
  <c r="W30" i="37"/>
  <c r="AJ30" i="37"/>
  <c r="AB30" i="37"/>
  <c r="AC30" i="37"/>
  <c r="W31" i="37"/>
  <c r="AB31" i="37"/>
  <c r="AC31" i="37" s="1"/>
  <c r="AD31" i="37" s="1"/>
  <c r="W32" i="37"/>
  <c r="AB32" i="37"/>
  <c r="AC32" i="37"/>
  <c r="AD32" i="37" s="1"/>
  <c r="W33" i="37"/>
  <c r="AB33" i="37"/>
  <c r="AC33" i="37" s="1"/>
  <c r="AD33" i="37" s="1"/>
  <c r="W34" i="37"/>
  <c r="AJ34" i="37"/>
  <c r="AB34" i="37"/>
  <c r="AC34" i="37" s="1"/>
  <c r="AD34" i="37" s="1"/>
  <c r="W35" i="37"/>
  <c r="AJ35" i="37"/>
  <c r="AB35" i="37"/>
  <c r="AC35" i="37" s="1"/>
  <c r="AD35" i="37" s="1"/>
  <c r="W36" i="37"/>
  <c r="AB36" i="37"/>
  <c r="AC36" i="37"/>
  <c r="W37" i="37"/>
  <c r="AB37" i="37"/>
  <c r="AC37" i="37" s="1"/>
  <c r="AD37" i="37" s="1"/>
  <c r="W38" i="37"/>
  <c r="AJ38" i="37"/>
  <c r="AB38" i="37"/>
  <c r="AC38" i="37"/>
  <c r="W39" i="37"/>
  <c r="AB39" i="37"/>
  <c r="AC39" i="37" s="1"/>
  <c r="AD39" i="37" s="1"/>
  <c r="W40" i="37"/>
  <c r="AB40" i="37"/>
  <c r="AC40" i="37"/>
  <c r="AD40" i="37" s="1"/>
  <c r="W41" i="37"/>
  <c r="AB41" i="37"/>
  <c r="AC41" i="37" s="1"/>
  <c r="AD41" i="37" s="1"/>
  <c r="W42" i="37"/>
  <c r="AB42" i="37"/>
  <c r="AC42" i="37" s="1"/>
  <c r="AD42" i="37" s="1"/>
  <c r="W43" i="37"/>
  <c r="AB43" i="37"/>
  <c r="AC43" i="37" s="1"/>
  <c r="AD43" i="37" s="1"/>
  <c r="W44" i="37"/>
  <c r="AB44" i="37"/>
  <c r="AC44" i="37"/>
  <c r="AD44" i="37" s="1"/>
  <c r="W45" i="37"/>
  <c r="AB45" i="37"/>
  <c r="AC45" i="37" s="1"/>
  <c r="AD45" i="37" s="1"/>
  <c r="W46" i="37"/>
  <c r="AB46" i="37"/>
  <c r="AC46" i="37" s="1"/>
  <c r="AD46" i="37" s="1"/>
  <c r="W47" i="37"/>
  <c r="AB47" i="37"/>
  <c r="AC47" i="37" s="1"/>
  <c r="AD47" i="37" s="1"/>
  <c r="W48" i="37"/>
  <c r="AB48" i="37"/>
  <c r="AC48" i="37"/>
  <c r="AD48" i="37" s="1"/>
  <c r="W49" i="37"/>
  <c r="AB49" i="37"/>
  <c r="AC49" i="37" s="1"/>
  <c r="AD49" i="37" s="1"/>
  <c r="W50" i="37"/>
  <c r="AB50" i="37"/>
  <c r="AC50" i="37" s="1"/>
  <c r="AD50" i="37" s="1"/>
  <c r="W51" i="37"/>
  <c r="AB51" i="37"/>
  <c r="AC51" i="37" s="1"/>
  <c r="AD51" i="37" s="1"/>
  <c r="W52" i="37"/>
  <c r="AB52" i="37"/>
  <c r="AC52" i="37"/>
  <c r="AD52" i="37" s="1"/>
  <c r="W53" i="37"/>
  <c r="AB53" i="37"/>
  <c r="AC53" i="37" s="1"/>
  <c r="AD53" i="37" s="1"/>
  <c r="W54" i="37"/>
  <c r="AB54" i="37"/>
  <c r="AC54" i="37" s="1"/>
  <c r="AD54" i="37" s="1"/>
  <c r="W55" i="37"/>
  <c r="AB55" i="37"/>
  <c r="AC55" i="37" s="1"/>
  <c r="AD55" i="37" s="1"/>
  <c r="W56" i="37"/>
  <c r="AB56" i="37"/>
  <c r="AC56" i="37"/>
  <c r="AD56" i="37" s="1"/>
  <c r="W57" i="37"/>
  <c r="AB57" i="37"/>
  <c r="AC57" i="37" s="1"/>
  <c r="AD57" i="37" s="1"/>
  <c r="W58" i="37"/>
  <c r="AB58" i="37"/>
  <c r="AC58" i="37" s="1"/>
  <c r="AD58" i="37" s="1"/>
  <c r="W59" i="37"/>
  <c r="AB59" i="37"/>
  <c r="AC59" i="37" s="1"/>
  <c r="W60" i="37"/>
  <c r="AB60" i="37"/>
  <c r="AC60" i="37"/>
  <c r="AD60" i="37" s="1"/>
  <c r="AD14" i="37"/>
  <c r="AD15" i="37"/>
  <c r="AD16" i="37"/>
  <c r="AD18" i="37"/>
  <c r="AD20" i="37"/>
  <c r="AD21" i="37"/>
  <c r="AD24" i="37"/>
  <c r="AD26" i="37"/>
  <c r="AD28" i="37"/>
  <c r="AD30" i="37"/>
  <c r="AD36" i="37"/>
  <c r="AD38" i="37"/>
  <c r="AD59" i="37"/>
  <c r="AH11" i="37"/>
  <c r="AF13" i="37" s="1"/>
  <c r="AF14" i="37"/>
  <c r="AF15" i="37"/>
  <c r="E15" i="37" s="1"/>
  <c r="AF16" i="37"/>
  <c r="AF18" i="37"/>
  <c r="AF19" i="37"/>
  <c r="E19" i="37" s="1"/>
  <c r="AF20" i="37"/>
  <c r="AF22" i="37"/>
  <c r="AF23" i="37"/>
  <c r="E23" i="37" s="1"/>
  <c r="AF24" i="37"/>
  <c r="AF26" i="37"/>
  <c r="AF27" i="37"/>
  <c r="E27" i="37" s="1"/>
  <c r="AF28" i="37"/>
  <c r="AF30" i="37"/>
  <c r="AF31" i="37"/>
  <c r="E31" i="37" s="1"/>
  <c r="AF32" i="37"/>
  <c r="AF33" i="37"/>
  <c r="AF34" i="37"/>
  <c r="AF35" i="37"/>
  <c r="E35" i="37" s="1"/>
  <c r="AF36" i="37"/>
  <c r="AF37" i="37"/>
  <c r="AF38" i="37"/>
  <c r="AF39" i="37"/>
  <c r="E39" i="37" s="1"/>
  <c r="AF40" i="37"/>
  <c r="AF41" i="37"/>
  <c r="AF43" i="37"/>
  <c r="E43" i="37" s="1"/>
  <c r="AF44" i="37"/>
  <c r="AF45" i="37"/>
  <c r="AF47" i="37"/>
  <c r="E47" i="37" s="1"/>
  <c r="AF48" i="37"/>
  <c r="AF49" i="37"/>
  <c r="AF51" i="37"/>
  <c r="E51" i="37" s="1"/>
  <c r="AF52" i="37"/>
  <c r="AF53" i="37"/>
  <c r="AF55" i="37"/>
  <c r="E55" i="37" s="1"/>
  <c r="AF56" i="37"/>
  <c r="AF57" i="37"/>
  <c r="AF59" i="37"/>
  <c r="E59" i="37" s="1"/>
  <c r="Y13" i="37"/>
  <c r="Y15" i="37"/>
  <c r="Y17" i="37"/>
  <c r="Y18" i="37"/>
  <c r="Y19" i="37"/>
  <c r="Y20" i="37"/>
  <c r="Y21" i="37"/>
  <c r="Y22" i="37"/>
  <c r="Y23" i="37"/>
  <c r="Y24" i="37"/>
  <c r="Y25" i="37"/>
  <c r="Y26" i="37"/>
  <c r="Y27" i="37"/>
  <c r="Y28" i="37"/>
  <c r="Y29" i="37"/>
  <c r="Y30" i="37"/>
  <c r="Y31" i="37"/>
  <c r="Y32" i="37"/>
  <c r="Y33" i="37"/>
  <c r="Y34" i="37"/>
  <c r="Y35" i="37"/>
  <c r="Y36" i="37"/>
  <c r="Y37" i="37"/>
  <c r="Y38" i="37"/>
  <c r="Y39" i="37"/>
  <c r="Y40" i="37"/>
  <c r="Y41" i="37"/>
  <c r="Y42" i="37"/>
  <c r="Y43" i="37"/>
  <c r="Y44" i="37"/>
  <c r="Y45" i="37"/>
  <c r="Y46" i="37"/>
  <c r="Y47" i="37"/>
  <c r="Y48" i="37"/>
  <c r="Y49" i="37"/>
  <c r="Y50" i="37"/>
  <c r="Y51" i="37"/>
  <c r="Y52" i="37"/>
  <c r="Y53" i="37"/>
  <c r="Y54" i="37"/>
  <c r="Y55" i="37"/>
  <c r="Y56" i="37"/>
  <c r="Y57" i="37"/>
  <c r="Y58" i="37"/>
  <c r="Y59" i="37"/>
  <c r="Y60"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E13" i="37"/>
  <c r="E14" i="37"/>
  <c r="E16" i="37"/>
  <c r="E18" i="37"/>
  <c r="E20" i="37"/>
  <c r="E22" i="37"/>
  <c r="E24" i="37"/>
  <c r="E26" i="37"/>
  <c r="E28" i="37"/>
  <c r="E30" i="37"/>
  <c r="E32" i="37"/>
  <c r="E33" i="37"/>
  <c r="E34" i="37"/>
  <c r="E36" i="37"/>
  <c r="E37" i="37"/>
  <c r="E38" i="37"/>
  <c r="E40" i="37"/>
  <c r="E41" i="37"/>
  <c r="E44" i="37"/>
  <c r="E45" i="37"/>
  <c r="E48" i="37"/>
  <c r="E49" i="37"/>
  <c r="E52" i="37"/>
  <c r="E53" i="37"/>
  <c r="E56" i="37"/>
  <c r="E57" i="37"/>
  <c r="AG13" i="37"/>
  <c r="C13" i="37"/>
  <c r="AG14" i="37"/>
  <c r="C14" i="37" s="1"/>
  <c r="AG15" i="37"/>
  <c r="C15" i="37"/>
  <c r="AG16" i="37"/>
  <c r="C16" i="37" s="1"/>
  <c r="AG17" i="37"/>
  <c r="C17" i="37" s="1"/>
  <c r="AG18" i="37"/>
  <c r="C18" i="37" s="1"/>
  <c r="AG19" i="37"/>
  <c r="C19" i="37" s="1"/>
  <c r="AG20" i="37"/>
  <c r="C20" i="37" s="1"/>
  <c r="AG21" i="37"/>
  <c r="C21" i="37"/>
  <c r="AG22" i="37"/>
  <c r="C22" i="37" s="1"/>
  <c r="AG23" i="37"/>
  <c r="C23" i="37" s="1"/>
  <c r="AG24" i="37"/>
  <c r="C24" i="37" s="1"/>
  <c r="AG25" i="37"/>
  <c r="C25" i="37" s="1"/>
  <c r="AG26" i="37"/>
  <c r="C26" i="37" s="1"/>
  <c r="AG27" i="37"/>
  <c r="C27" i="37" s="1"/>
  <c r="AG28" i="37"/>
  <c r="C28" i="37" s="1"/>
  <c r="AG29" i="37"/>
  <c r="C29" i="37"/>
  <c r="AG30" i="37"/>
  <c r="C30" i="37" s="1"/>
  <c r="AG31" i="37"/>
  <c r="C31" i="37" s="1"/>
  <c r="AG32" i="37"/>
  <c r="C32" i="37" s="1"/>
  <c r="AG33" i="37"/>
  <c r="C33" i="37" s="1"/>
  <c r="AG34" i="37"/>
  <c r="C34" i="37" s="1"/>
  <c r="AG35" i="37"/>
  <c r="C35" i="37" s="1"/>
  <c r="AG36" i="37"/>
  <c r="C36" i="37" s="1"/>
  <c r="AG37" i="37"/>
  <c r="C37" i="37"/>
  <c r="AG38" i="37"/>
  <c r="C38" i="37" s="1"/>
  <c r="AG39" i="37"/>
  <c r="C39" i="37" s="1"/>
  <c r="AG40" i="37"/>
  <c r="C40" i="37" s="1"/>
  <c r="AG41" i="37"/>
  <c r="C41" i="37" s="1"/>
  <c r="AG42" i="37"/>
  <c r="C42" i="37" s="1"/>
  <c r="AG43" i="37"/>
  <c r="C43" i="37" s="1"/>
  <c r="AG44" i="37"/>
  <c r="C44" i="37" s="1"/>
  <c r="AG45" i="37"/>
  <c r="C45" i="37"/>
  <c r="AG46" i="37"/>
  <c r="C46" i="37" s="1"/>
  <c r="AG47" i="37"/>
  <c r="C47" i="37" s="1"/>
  <c r="AG48" i="37"/>
  <c r="C48" i="37" s="1"/>
  <c r="AG49" i="37"/>
  <c r="C49" i="37" s="1"/>
  <c r="AG50" i="37"/>
  <c r="C50" i="37" s="1"/>
  <c r="AG51" i="37"/>
  <c r="C51" i="37" s="1"/>
  <c r="AG52" i="37"/>
  <c r="C52" i="37" s="1"/>
  <c r="AG53" i="37"/>
  <c r="C53" i="37"/>
  <c r="AG54" i="37"/>
  <c r="C54" i="37" s="1"/>
  <c r="AG55" i="37"/>
  <c r="C55" i="37" s="1"/>
  <c r="AG56" i="37"/>
  <c r="C56" i="37" s="1"/>
  <c r="AG57" i="37"/>
  <c r="C57" i="37" s="1"/>
  <c r="AG58" i="37"/>
  <c r="C58" i="37" s="1"/>
  <c r="AG59" i="37"/>
  <c r="C59" i="37" s="1"/>
  <c r="AG60" i="37"/>
  <c r="C60" i="37" s="1"/>
  <c r="AW61" i="37"/>
  <c r="U61" i="37"/>
  <c r="AW60" i="37"/>
  <c r="AP60" i="37"/>
  <c r="AO60" i="37"/>
  <c r="AL60" i="37"/>
  <c r="AK60" i="37"/>
  <c r="AH60" i="37"/>
  <c r="Z60" i="37"/>
  <c r="F60" i="37"/>
  <c r="D60" i="37"/>
  <c r="B60" i="37"/>
  <c r="AW59" i="37"/>
  <c r="AP59" i="37"/>
  <c r="AO59" i="37"/>
  <c r="AL59" i="37"/>
  <c r="AK59" i="37"/>
  <c r="AH59" i="37"/>
  <c r="D59" i="37" s="1"/>
  <c r="Z59" i="37"/>
  <c r="F59" i="37"/>
  <c r="B59" i="37"/>
  <c r="AW58" i="37"/>
  <c r="AP58" i="37"/>
  <c r="AO58" i="37"/>
  <c r="AL58" i="37"/>
  <c r="AK58" i="37"/>
  <c r="AH58" i="37"/>
  <c r="Z58" i="37"/>
  <c r="F58" i="37"/>
  <c r="D58" i="37"/>
  <c r="B58" i="37"/>
  <c r="AW57" i="37"/>
  <c r="AP57" i="37"/>
  <c r="AO57" i="37"/>
  <c r="AL57" i="37"/>
  <c r="AK57" i="37"/>
  <c r="AH57" i="37"/>
  <c r="D57" i="37" s="1"/>
  <c r="Z57" i="37"/>
  <c r="F57" i="37"/>
  <c r="B57" i="37"/>
  <c r="AW56" i="37"/>
  <c r="AP56" i="37"/>
  <c r="AO56" i="37"/>
  <c r="AL56" i="37"/>
  <c r="AK56" i="37"/>
  <c r="AH56" i="37"/>
  <c r="D56" i="37" s="1"/>
  <c r="Z56" i="37"/>
  <c r="F56" i="37"/>
  <c r="B56" i="37"/>
  <c r="AW55" i="37"/>
  <c r="AP55" i="37"/>
  <c r="AO55" i="37"/>
  <c r="AL55" i="37"/>
  <c r="AK55" i="37"/>
  <c r="AH55" i="37"/>
  <c r="D55" i="37" s="1"/>
  <c r="Z55" i="37"/>
  <c r="F55" i="37"/>
  <c r="B55" i="37"/>
  <c r="AW54" i="37"/>
  <c r="AP54" i="37"/>
  <c r="AO54" i="37"/>
  <c r="AL54" i="37"/>
  <c r="AK54" i="37"/>
  <c r="AH54" i="37"/>
  <c r="Z54" i="37"/>
  <c r="F54" i="37"/>
  <c r="D54" i="37"/>
  <c r="B54" i="37"/>
  <c r="AW53" i="37"/>
  <c r="AP53" i="37"/>
  <c r="AO53" i="37"/>
  <c r="AL53" i="37"/>
  <c r="AK53" i="37"/>
  <c r="AH53" i="37"/>
  <c r="D53" i="37" s="1"/>
  <c r="Z53" i="37"/>
  <c r="F53" i="37"/>
  <c r="B53" i="37"/>
  <c r="AW52" i="37"/>
  <c r="AP52" i="37"/>
  <c r="AO52" i="37"/>
  <c r="AL52" i="37"/>
  <c r="AK52" i="37"/>
  <c r="AH52" i="37"/>
  <c r="Z52" i="37"/>
  <c r="F52" i="37"/>
  <c r="D52" i="37"/>
  <c r="B52" i="37"/>
  <c r="AW51" i="37"/>
  <c r="AP51" i="37"/>
  <c r="AO51" i="37"/>
  <c r="AL51" i="37"/>
  <c r="AK51" i="37"/>
  <c r="AH51" i="37"/>
  <c r="D51" i="37" s="1"/>
  <c r="Z51" i="37"/>
  <c r="F51" i="37"/>
  <c r="B51" i="37"/>
  <c r="AW50" i="37"/>
  <c r="AP50" i="37"/>
  <c r="AO50" i="37"/>
  <c r="AL50" i="37"/>
  <c r="AK50" i="37"/>
  <c r="AH50" i="37"/>
  <c r="Z50" i="37"/>
  <c r="F50" i="37"/>
  <c r="D50" i="37"/>
  <c r="B50" i="37"/>
  <c r="AW49" i="37"/>
  <c r="AP49" i="37"/>
  <c r="AO49" i="37"/>
  <c r="AL49" i="37"/>
  <c r="AK49" i="37"/>
  <c r="AH49" i="37"/>
  <c r="D49" i="37" s="1"/>
  <c r="Z49" i="37"/>
  <c r="F49" i="37"/>
  <c r="B49" i="37"/>
  <c r="AW48" i="37"/>
  <c r="AP48" i="37"/>
  <c r="AO48" i="37"/>
  <c r="AL48" i="37"/>
  <c r="AK48" i="37"/>
  <c r="AH48" i="37"/>
  <c r="D48" i="37" s="1"/>
  <c r="Z48" i="37"/>
  <c r="F48" i="37"/>
  <c r="B48" i="37"/>
  <c r="AW47" i="37"/>
  <c r="AP47" i="37"/>
  <c r="AO47" i="37"/>
  <c r="AL47" i="37"/>
  <c r="AK47" i="37"/>
  <c r="AH47" i="37"/>
  <c r="D47" i="37" s="1"/>
  <c r="Z47" i="37"/>
  <c r="F47" i="37"/>
  <c r="B47" i="37"/>
  <c r="AW46" i="37"/>
  <c r="AP46" i="37"/>
  <c r="AO46" i="37"/>
  <c r="AL46" i="37"/>
  <c r="AK46" i="37"/>
  <c r="AH46" i="37"/>
  <c r="Z46" i="37"/>
  <c r="F46" i="37"/>
  <c r="D46" i="37"/>
  <c r="B46" i="37"/>
  <c r="AW45" i="37"/>
  <c r="AP45" i="37"/>
  <c r="AO45" i="37"/>
  <c r="AL45" i="37"/>
  <c r="AK45" i="37"/>
  <c r="AH45" i="37"/>
  <c r="D45" i="37" s="1"/>
  <c r="Z45" i="37"/>
  <c r="F45" i="37"/>
  <c r="B45" i="37"/>
  <c r="AW44" i="37"/>
  <c r="AP44" i="37"/>
  <c r="AO44" i="37"/>
  <c r="AL44" i="37"/>
  <c r="AK44" i="37"/>
  <c r="AH44" i="37"/>
  <c r="Z44" i="37"/>
  <c r="F44" i="37"/>
  <c r="D44" i="37"/>
  <c r="B44" i="37"/>
  <c r="AW43" i="37"/>
  <c r="AP43" i="37"/>
  <c r="AO43" i="37"/>
  <c r="AL43" i="37"/>
  <c r="AK43" i="37"/>
  <c r="AH43" i="37"/>
  <c r="D43" i="37" s="1"/>
  <c r="Z43" i="37"/>
  <c r="F43" i="37"/>
  <c r="B43" i="37"/>
  <c r="AW42" i="37"/>
  <c r="AP42" i="37"/>
  <c r="AO42" i="37"/>
  <c r="AL42" i="37"/>
  <c r="AK42" i="37"/>
  <c r="AH42" i="37"/>
  <c r="Z42" i="37"/>
  <c r="F42" i="37"/>
  <c r="D42" i="37"/>
  <c r="B42" i="37"/>
  <c r="AW41" i="37"/>
  <c r="AP41" i="37"/>
  <c r="AO41" i="37"/>
  <c r="AL41" i="37"/>
  <c r="AK41" i="37"/>
  <c r="AH41" i="37"/>
  <c r="D41" i="37" s="1"/>
  <c r="Z41" i="37"/>
  <c r="F41" i="37"/>
  <c r="B41" i="37"/>
  <c r="AW40" i="37"/>
  <c r="AP40" i="37"/>
  <c r="AO40" i="37"/>
  <c r="AL40" i="37"/>
  <c r="AK40" i="37"/>
  <c r="AH40" i="37"/>
  <c r="D40" i="37" s="1"/>
  <c r="Z40" i="37"/>
  <c r="F40" i="37"/>
  <c r="B40" i="37"/>
  <c r="AW39" i="37"/>
  <c r="AP39" i="37"/>
  <c r="AO39" i="37"/>
  <c r="AL39" i="37"/>
  <c r="AK39" i="37"/>
  <c r="AH39" i="37"/>
  <c r="D39" i="37" s="1"/>
  <c r="Z39" i="37"/>
  <c r="F39" i="37"/>
  <c r="B39" i="37"/>
  <c r="AW38" i="37"/>
  <c r="AP38" i="37"/>
  <c r="AO38" i="37"/>
  <c r="AL38" i="37"/>
  <c r="AK38" i="37"/>
  <c r="AH38" i="37"/>
  <c r="Z38" i="37"/>
  <c r="F38" i="37"/>
  <c r="D38" i="37"/>
  <c r="B38" i="37"/>
  <c r="AW37" i="37"/>
  <c r="AP37" i="37"/>
  <c r="AO37" i="37"/>
  <c r="AL37" i="37"/>
  <c r="AK37" i="37"/>
  <c r="AH37" i="37"/>
  <c r="D37" i="37" s="1"/>
  <c r="Z37" i="37"/>
  <c r="F37" i="37"/>
  <c r="B37" i="37"/>
  <c r="AW36" i="37"/>
  <c r="AP36" i="37"/>
  <c r="AO36" i="37"/>
  <c r="AL36" i="37"/>
  <c r="AK36" i="37"/>
  <c r="AH36" i="37"/>
  <c r="Z36" i="37"/>
  <c r="F36" i="37"/>
  <c r="D36" i="37"/>
  <c r="B36" i="37"/>
  <c r="AW35" i="37"/>
  <c r="AP35" i="37"/>
  <c r="AO35" i="37"/>
  <c r="AL35" i="37"/>
  <c r="AK35" i="37"/>
  <c r="AH35" i="37"/>
  <c r="D35" i="37" s="1"/>
  <c r="Z35" i="37"/>
  <c r="F35" i="37"/>
  <c r="B35" i="37"/>
  <c r="AW34" i="37"/>
  <c r="AP34" i="37"/>
  <c r="AO34" i="37"/>
  <c r="AL34" i="37"/>
  <c r="AK34" i="37"/>
  <c r="AH34" i="37"/>
  <c r="Z34" i="37"/>
  <c r="F34" i="37"/>
  <c r="D34" i="37"/>
  <c r="B34" i="37"/>
  <c r="AW33" i="37"/>
  <c r="AP33" i="37"/>
  <c r="AO33" i="37"/>
  <c r="AL33" i="37"/>
  <c r="AK33" i="37"/>
  <c r="AH33" i="37"/>
  <c r="D33" i="37" s="1"/>
  <c r="Z33" i="37"/>
  <c r="F33" i="37"/>
  <c r="B33" i="37"/>
  <c r="AW32" i="37"/>
  <c r="AP32" i="37"/>
  <c r="AO32" i="37"/>
  <c r="AL32" i="37"/>
  <c r="AK32" i="37"/>
  <c r="AH32" i="37"/>
  <c r="D32" i="37" s="1"/>
  <c r="Z32" i="37"/>
  <c r="F32" i="37"/>
  <c r="B32" i="37"/>
  <c r="AW31" i="37"/>
  <c r="AP31" i="37"/>
  <c r="AO31" i="37"/>
  <c r="AL31" i="37"/>
  <c r="AK31" i="37"/>
  <c r="AH31" i="37"/>
  <c r="D31" i="37" s="1"/>
  <c r="Z31" i="37"/>
  <c r="F31" i="37"/>
  <c r="B31" i="37"/>
  <c r="AW30" i="37"/>
  <c r="AP30" i="37"/>
  <c r="AO30" i="37"/>
  <c r="AL30" i="37"/>
  <c r="AK30" i="37"/>
  <c r="AH30" i="37"/>
  <c r="Z30" i="37"/>
  <c r="F30" i="37"/>
  <c r="D30" i="37"/>
  <c r="B30" i="37"/>
  <c r="AW29" i="37"/>
  <c r="AP29" i="37"/>
  <c r="AO29" i="37"/>
  <c r="AL29" i="37"/>
  <c r="AK29" i="37"/>
  <c r="AH29" i="37"/>
  <c r="D29" i="37" s="1"/>
  <c r="Z29" i="37"/>
  <c r="F29" i="37"/>
  <c r="B29" i="37"/>
  <c r="AW28" i="37"/>
  <c r="AP28" i="37"/>
  <c r="AO28" i="37"/>
  <c r="AL28" i="37"/>
  <c r="AK28" i="37"/>
  <c r="AH28" i="37"/>
  <c r="Z28" i="37"/>
  <c r="F28" i="37"/>
  <c r="D28" i="37"/>
  <c r="B28" i="37"/>
  <c r="AW27" i="37"/>
  <c r="AP27" i="37"/>
  <c r="AO27" i="37"/>
  <c r="AL27" i="37"/>
  <c r="AK27" i="37"/>
  <c r="AH27" i="37"/>
  <c r="D27" i="37" s="1"/>
  <c r="Z27" i="37"/>
  <c r="F27" i="37"/>
  <c r="B27" i="37"/>
  <c r="AW26" i="37"/>
  <c r="AP26" i="37"/>
  <c r="AO26" i="37"/>
  <c r="AL26" i="37"/>
  <c r="AK26" i="37"/>
  <c r="AH26" i="37"/>
  <c r="Z26" i="37"/>
  <c r="F26" i="37"/>
  <c r="D26" i="37"/>
  <c r="B26" i="37"/>
  <c r="AW25" i="37"/>
  <c r="AP25" i="37"/>
  <c r="AO25" i="37"/>
  <c r="AL25" i="37"/>
  <c r="AK25" i="37"/>
  <c r="AH25" i="37"/>
  <c r="D25" i="37" s="1"/>
  <c r="Z25" i="37"/>
  <c r="F25" i="37"/>
  <c r="B25" i="37"/>
  <c r="AW24" i="37"/>
  <c r="AP24" i="37"/>
  <c r="AO24" i="37"/>
  <c r="AL24" i="37"/>
  <c r="AK24" i="37"/>
  <c r="AH24" i="37"/>
  <c r="D24" i="37" s="1"/>
  <c r="Z24" i="37"/>
  <c r="F24" i="37"/>
  <c r="B24" i="37"/>
  <c r="AW23" i="37"/>
  <c r="AP23" i="37"/>
  <c r="AO23" i="37"/>
  <c r="AL23" i="37"/>
  <c r="AK23" i="37"/>
  <c r="AH23" i="37"/>
  <c r="D23" i="37" s="1"/>
  <c r="Z23" i="37"/>
  <c r="F23" i="37"/>
  <c r="B23" i="37"/>
  <c r="AW22" i="37"/>
  <c r="AP22" i="37"/>
  <c r="AO22" i="37"/>
  <c r="AL22" i="37"/>
  <c r="AK22" i="37"/>
  <c r="AH22" i="37"/>
  <c r="Z22" i="37"/>
  <c r="F22" i="37"/>
  <c r="D22" i="37"/>
  <c r="B22" i="37"/>
  <c r="AW21" i="37"/>
  <c r="AP21" i="37"/>
  <c r="AO21" i="37"/>
  <c r="AL21" i="37"/>
  <c r="AK21" i="37"/>
  <c r="AH21" i="37"/>
  <c r="D21" i="37" s="1"/>
  <c r="Z21" i="37"/>
  <c r="F21" i="37"/>
  <c r="B21" i="37"/>
  <c r="AW20" i="37"/>
  <c r="AP20" i="37"/>
  <c r="AO20" i="37"/>
  <c r="AL20" i="37"/>
  <c r="AK20" i="37"/>
  <c r="AH20" i="37"/>
  <c r="Z20" i="37"/>
  <c r="F20" i="37"/>
  <c r="D20" i="37"/>
  <c r="B20" i="37"/>
  <c r="AW19" i="37"/>
  <c r="AP19" i="37"/>
  <c r="AO19" i="37"/>
  <c r="AL19" i="37"/>
  <c r="AK19" i="37"/>
  <c r="AH19" i="37"/>
  <c r="D19" i="37" s="1"/>
  <c r="Z19" i="37"/>
  <c r="F19" i="37"/>
  <c r="B19" i="37"/>
  <c r="AW18" i="37"/>
  <c r="AP18" i="37"/>
  <c r="AO18" i="37"/>
  <c r="AL18" i="37"/>
  <c r="AK18" i="37"/>
  <c r="AH18" i="37"/>
  <c r="Z18" i="37"/>
  <c r="F18" i="37"/>
  <c r="D18" i="37"/>
  <c r="B18" i="37"/>
  <c r="AW17" i="37"/>
  <c r="AP17" i="37"/>
  <c r="AO17" i="37"/>
  <c r="AL17" i="37"/>
  <c r="AK17" i="37"/>
  <c r="AH17" i="37"/>
  <c r="D17" i="37" s="1"/>
  <c r="Z17" i="37"/>
  <c r="F17" i="37"/>
  <c r="B17" i="37"/>
  <c r="AW16" i="37"/>
  <c r="AP16" i="37"/>
  <c r="AL16" i="37"/>
  <c r="AH16" i="37"/>
  <c r="Z16" i="37"/>
  <c r="F16" i="37"/>
  <c r="D16" i="37"/>
  <c r="B16" i="37"/>
  <c r="AW15" i="37"/>
  <c r="AP15" i="37"/>
  <c r="AO15" i="37"/>
  <c r="AL15" i="37"/>
  <c r="AK15" i="37"/>
  <c r="AH15" i="37"/>
  <c r="D15" i="37" s="1"/>
  <c r="Z15" i="37"/>
  <c r="F15" i="37"/>
  <c r="B15" i="37"/>
  <c r="AW14" i="37"/>
  <c r="AP14" i="37"/>
  <c r="AL14" i="37"/>
  <c r="AK14" i="37"/>
  <c r="AH14" i="37"/>
  <c r="Z14" i="37"/>
  <c r="F14" i="37"/>
  <c r="D14" i="37"/>
  <c r="B14" i="37"/>
  <c r="AW13" i="37"/>
  <c r="AP13" i="37"/>
  <c r="AO13" i="37"/>
  <c r="AL13" i="37"/>
  <c r="AK13" i="37"/>
  <c r="AH13" i="37"/>
  <c r="D13" i="37" s="1"/>
  <c r="Z13" i="37"/>
  <c r="F13" i="37"/>
  <c r="B13" i="37"/>
  <c r="AW12" i="37"/>
  <c r="AW11" i="37"/>
  <c r="AR11" i="37"/>
  <c r="AP11" i="37"/>
  <c r="D11" i="37"/>
  <c r="AW10" i="37"/>
  <c r="AA5" i="37"/>
  <c r="V10" i="37" s="1"/>
  <c r="B10" i="37"/>
  <c r="S10" i="37" s="1"/>
  <c r="C10" i="37"/>
  <c r="AW9" i="37"/>
  <c r="P9" i="37"/>
  <c r="L9" i="37"/>
  <c r="B9" i="37"/>
  <c r="AW8" i="37"/>
  <c r="AW7" i="37"/>
  <c r="K7" i="37"/>
  <c r="B7" i="37"/>
  <c r="AW6" i="37"/>
  <c r="K6" i="37"/>
  <c r="B6" i="37"/>
  <c r="AW5" i="37"/>
  <c r="P5" i="37"/>
  <c r="J5" i="37"/>
  <c r="H5" i="37"/>
  <c r="B5" i="37"/>
  <c r="AW4" i="37"/>
  <c r="AW3" i="37"/>
  <c r="AW2" i="37"/>
  <c r="Q1" i="37"/>
  <c r="P1" i="37"/>
  <c r="O1" i="37"/>
  <c r="N1" i="37"/>
  <c r="M1" i="37"/>
  <c r="L1" i="37"/>
  <c r="K1" i="37"/>
  <c r="J1" i="37"/>
  <c r="I1" i="37"/>
  <c r="H1" i="37"/>
  <c r="G1" i="37"/>
  <c r="F1" i="37"/>
  <c r="E1" i="37"/>
  <c r="D1" i="37"/>
  <c r="C1" i="37"/>
  <c r="B1" i="37"/>
  <c r="AB5" i="34"/>
  <c r="C10" i="34" s="1"/>
  <c r="F167" i="30"/>
  <c r="AP60" i="34"/>
  <c r="AL60" i="34"/>
  <c r="AM11" i="34"/>
  <c r="X60" i="34"/>
  <c r="AK60" i="34"/>
  <c r="AN60" i="34" s="1"/>
  <c r="AH60" i="34"/>
  <c r="AI11" i="34"/>
  <c r="AG60" i="34" s="1"/>
  <c r="E60" i="34" s="1"/>
  <c r="AC60" i="34"/>
  <c r="AD60" i="34" s="1"/>
  <c r="Z60" i="34"/>
  <c r="X20" i="34"/>
  <c r="X21" i="34"/>
  <c r="X22" i="34"/>
  <c r="X23" i="34"/>
  <c r="X24" i="34"/>
  <c r="X25" i="34"/>
  <c r="X26" i="34"/>
  <c r="X27" i="34"/>
  <c r="X28" i="34"/>
  <c r="X29" i="34"/>
  <c r="X30" i="34"/>
  <c r="X31" i="34"/>
  <c r="X32" i="34"/>
  <c r="X33" i="34"/>
  <c r="X34" i="34"/>
  <c r="X35" i="34"/>
  <c r="X36" i="34"/>
  <c r="X37" i="34"/>
  <c r="X38" i="34"/>
  <c r="X39" i="34"/>
  <c r="X40" i="34"/>
  <c r="X41" i="34"/>
  <c r="X42" i="34"/>
  <c r="X43" i="34"/>
  <c r="X44" i="34"/>
  <c r="X45" i="34"/>
  <c r="X46" i="34"/>
  <c r="X47" i="34"/>
  <c r="X48" i="34"/>
  <c r="X49" i="34"/>
  <c r="X50" i="34"/>
  <c r="X51" i="34"/>
  <c r="X13" i="34"/>
  <c r="X14" i="34"/>
  <c r="X15" i="34"/>
  <c r="X16" i="34"/>
  <c r="X17" i="34"/>
  <c r="X18" i="34"/>
  <c r="X19" i="34"/>
  <c r="X52" i="34"/>
  <c r="AK52" i="34" s="1"/>
  <c r="X53" i="34"/>
  <c r="X54" i="34"/>
  <c r="AK54" i="34" s="1"/>
  <c r="X55" i="34"/>
  <c r="X56" i="34"/>
  <c r="AK56" i="34" s="1"/>
  <c r="X57" i="34"/>
  <c r="X58" i="34"/>
  <c r="X59" i="34"/>
  <c r="AK59" i="34" s="1"/>
  <c r="AP59" i="34"/>
  <c r="AL59" i="34"/>
  <c r="AH59" i="34"/>
  <c r="AG59" i="34"/>
  <c r="AC59" i="34"/>
  <c r="Z59" i="34"/>
  <c r="AP58" i="34"/>
  <c r="AL58" i="34"/>
  <c r="AK58" i="34"/>
  <c r="AH58" i="34"/>
  <c r="AG58" i="34"/>
  <c r="AC58" i="34"/>
  <c r="AD58" i="34" s="1"/>
  <c r="Z58" i="34"/>
  <c r="AP57" i="34"/>
  <c r="AL57" i="34"/>
  <c r="AK57" i="34"/>
  <c r="AJ57" i="34" s="1"/>
  <c r="AH57" i="34"/>
  <c r="C57" i="34" s="1"/>
  <c r="AG57" i="34"/>
  <c r="AC57" i="34"/>
  <c r="Z57" i="34"/>
  <c r="AD57" i="34"/>
  <c r="AE57" i="34" s="1"/>
  <c r="G57" i="34"/>
  <c r="E57" i="34"/>
  <c r="F57" i="34"/>
  <c r="AI57" i="34"/>
  <c r="D57" i="34" s="1"/>
  <c r="AP56" i="34"/>
  <c r="AL56" i="34"/>
  <c r="AH56" i="34"/>
  <c r="C56" i="34" s="1"/>
  <c r="AG56" i="34"/>
  <c r="E56" i="34" s="1"/>
  <c r="AC56" i="34"/>
  <c r="AD56" i="34" s="1"/>
  <c r="AE56" i="34" s="1"/>
  <c r="Z56" i="34"/>
  <c r="G56" i="34"/>
  <c r="F56" i="34"/>
  <c r="AI56" i="34"/>
  <c r="D56" i="34" s="1"/>
  <c r="AP55" i="34"/>
  <c r="AL55" i="34"/>
  <c r="AH55" i="34"/>
  <c r="AC55" i="34"/>
  <c r="AD55" i="34" s="1"/>
  <c r="AE55" i="34" s="1"/>
  <c r="Z55" i="34"/>
  <c r="G55" i="34"/>
  <c r="F55" i="34"/>
  <c r="AI55" i="34"/>
  <c r="D55" i="34" s="1"/>
  <c r="C55" i="34"/>
  <c r="AP54" i="34"/>
  <c r="AL54" i="34"/>
  <c r="AH54" i="34"/>
  <c r="C54" i="34" s="1"/>
  <c r="AG54" i="34"/>
  <c r="E54" i="34" s="1"/>
  <c r="AC54" i="34"/>
  <c r="AD54" i="34" s="1"/>
  <c r="AE54" i="34" s="1"/>
  <c r="Z54" i="34"/>
  <c r="G54" i="34"/>
  <c r="F54" i="34"/>
  <c r="AI54" i="34"/>
  <c r="D54" i="34" s="1"/>
  <c r="AP53" i="34"/>
  <c r="AL53" i="34"/>
  <c r="AK53" i="34"/>
  <c r="AH53" i="34"/>
  <c r="AG53" i="34"/>
  <c r="E53" i="34" s="1"/>
  <c r="AC53" i="34"/>
  <c r="AD53" i="34" s="1"/>
  <c r="Z53" i="34"/>
  <c r="AE53" i="34"/>
  <c r="G53" i="34"/>
  <c r="F53" i="34"/>
  <c r="AI53" i="34"/>
  <c r="D53" i="34" s="1"/>
  <c r="C53" i="34"/>
  <c r="AP52" i="34"/>
  <c r="AL52" i="34"/>
  <c r="AH52" i="34"/>
  <c r="C52" i="34" s="1"/>
  <c r="AG52" i="34"/>
  <c r="E52" i="34" s="1"/>
  <c r="AC52" i="34"/>
  <c r="Z52" i="34"/>
  <c r="AD52" i="34"/>
  <c r="AE52" i="34" s="1"/>
  <c r="G52" i="34"/>
  <c r="F52" i="34"/>
  <c r="AI52" i="34"/>
  <c r="D52" i="34"/>
  <c r="AK48" i="34"/>
  <c r="AN48" i="34" s="1"/>
  <c r="AC48" i="34"/>
  <c r="AD48" i="34" s="1"/>
  <c r="AE48" i="34" s="1"/>
  <c r="AJ48" i="34" s="1"/>
  <c r="AK49" i="34"/>
  <c r="AN49" i="34" s="1"/>
  <c r="AO49" i="34" s="1"/>
  <c r="AC49" i="34"/>
  <c r="AD49" i="34" s="1"/>
  <c r="AK50" i="34"/>
  <c r="AN50" i="34" s="1"/>
  <c r="AO50" i="34" s="1"/>
  <c r="AC50" i="34"/>
  <c r="AD50" i="34" s="1"/>
  <c r="AE50" i="34" s="1"/>
  <c r="AK51" i="34"/>
  <c r="AN51" i="34" s="1"/>
  <c r="AC51" i="34"/>
  <c r="AD51" i="34" s="1"/>
  <c r="AE51" i="34" s="1"/>
  <c r="AJ51" i="34" s="1"/>
  <c r="AK13" i="34"/>
  <c r="AN13" i="34" s="1"/>
  <c r="AC13" i="34"/>
  <c r="AD13" i="34" s="1"/>
  <c r="AE13" i="34" s="1"/>
  <c r="AK14" i="34"/>
  <c r="AN14" i="34" s="1"/>
  <c r="AO14" i="34" s="1"/>
  <c r="AC14" i="34"/>
  <c r="AD14" i="34" s="1"/>
  <c r="AK15" i="34"/>
  <c r="AC15" i="34"/>
  <c r="AD15" i="34" s="1"/>
  <c r="AE15" i="34" s="1"/>
  <c r="AK16" i="34"/>
  <c r="AN16" i="34" s="1"/>
  <c r="AC16" i="34"/>
  <c r="AD16" i="34" s="1"/>
  <c r="AE16" i="34" s="1"/>
  <c r="AJ16" i="34" s="1"/>
  <c r="AK17" i="34"/>
  <c r="AN17" i="34" s="1"/>
  <c r="AO17" i="34" s="1"/>
  <c r="AC17" i="34"/>
  <c r="AD17" i="34" s="1"/>
  <c r="AE17" i="34" s="1"/>
  <c r="AJ17" i="34" s="1"/>
  <c r="AK18" i="34"/>
  <c r="AN18" i="34" s="1"/>
  <c r="AC18" i="34"/>
  <c r="AD18" i="34" s="1"/>
  <c r="AK19" i="34"/>
  <c r="AN19" i="34" s="1"/>
  <c r="AO19" i="34" s="1"/>
  <c r="AC19" i="34"/>
  <c r="AD19" i="34" s="1"/>
  <c r="AE19" i="34" s="1"/>
  <c r="AK20" i="34"/>
  <c r="AN20" i="34" s="1"/>
  <c r="AC20" i="34"/>
  <c r="AD20" i="34" s="1"/>
  <c r="AE20" i="34" s="1"/>
  <c r="AJ20" i="34" s="1"/>
  <c r="AK21" i="34"/>
  <c r="AN21" i="34"/>
  <c r="AO21" i="34" s="1"/>
  <c r="AC21" i="34"/>
  <c r="AD21" i="34" s="1"/>
  <c r="AC22" i="34"/>
  <c r="AD22" i="34" s="1"/>
  <c r="AE22" i="34" s="1"/>
  <c r="AK23" i="34"/>
  <c r="AN23" i="34" s="1"/>
  <c r="AC23" i="34"/>
  <c r="AD23" i="34"/>
  <c r="AO23" i="34"/>
  <c r="AK24" i="34"/>
  <c r="AN24" i="34" s="1"/>
  <c r="AC24" i="34"/>
  <c r="AD24" i="34"/>
  <c r="AK25" i="34"/>
  <c r="AC25" i="34"/>
  <c r="AD25" i="34" s="1"/>
  <c r="AC26" i="34"/>
  <c r="AD26" i="34" s="1"/>
  <c r="AK27" i="34"/>
  <c r="AN27" i="34" s="1"/>
  <c r="AC27" i="34"/>
  <c r="AD27" i="34"/>
  <c r="AO27" i="34" s="1"/>
  <c r="AK28" i="34"/>
  <c r="AN28" i="34" s="1"/>
  <c r="AC28" i="34"/>
  <c r="AD28" i="34"/>
  <c r="AE28" i="34" s="1"/>
  <c r="AJ28" i="34" s="1"/>
  <c r="AK29" i="34"/>
  <c r="AN29" i="34" s="1"/>
  <c r="AC29" i="34"/>
  <c r="AD29" i="34" s="1"/>
  <c r="AE29" i="34" s="1"/>
  <c r="AJ29" i="34" s="1"/>
  <c r="AK30" i="34"/>
  <c r="AN30" i="34" s="1"/>
  <c r="AO30" i="34" s="1"/>
  <c r="AC30" i="34"/>
  <c r="AD30" i="34" s="1"/>
  <c r="AK31" i="34"/>
  <c r="AN31" i="34" s="1"/>
  <c r="AC31" i="34"/>
  <c r="AD31" i="34" s="1"/>
  <c r="AE31" i="34" s="1"/>
  <c r="AJ31" i="34" s="1"/>
  <c r="AK32" i="34"/>
  <c r="AN32" i="34" s="1"/>
  <c r="AC32" i="34"/>
  <c r="AD32" i="34"/>
  <c r="AE32" i="34" s="1"/>
  <c r="AJ32" i="34" s="1"/>
  <c r="AK33" i="34"/>
  <c r="AN33" i="34"/>
  <c r="AC33" i="34"/>
  <c r="AD33" i="34" s="1"/>
  <c r="AK34" i="34"/>
  <c r="AN34" i="34" s="1"/>
  <c r="AC34" i="34"/>
  <c r="AD34" i="34" s="1"/>
  <c r="AK35" i="34"/>
  <c r="AN35" i="34" s="1"/>
  <c r="AC35" i="34"/>
  <c r="AD35" i="34" s="1"/>
  <c r="AO35" i="34" s="1"/>
  <c r="AK36" i="34"/>
  <c r="AN36" i="34" s="1"/>
  <c r="AC36" i="34"/>
  <c r="AD36" i="34" s="1"/>
  <c r="AE36" i="34" s="1"/>
  <c r="AJ36" i="34" s="1"/>
  <c r="AK37" i="34"/>
  <c r="AN37" i="34"/>
  <c r="AC37" i="34"/>
  <c r="AD37" i="34" s="1"/>
  <c r="AE37" i="34" s="1"/>
  <c r="AJ37" i="34" s="1"/>
  <c r="AC38" i="34"/>
  <c r="AD38" i="34" s="1"/>
  <c r="AK39" i="34"/>
  <c r="AN39" i="34" s="1"/>
  <c r="AO39" i="34" s="1"/>
  <c r="AC39" i="34"/>
  <c r="AD39" i="34"/>
  <c r="AK40" i="34"/>
  <c r="AN40" i="34" s="1"/>
  <c r="AC40" i="34"/>
  <c r="AD40" i="34"/>
  <c r="AE40" i="34" s="1"/>
  <c r="AK41" i="34"/>
  <c r="AN41" i="34"/>
  <c r="AO41" i="34" s="1"/>
  <c r="AC41" i="34"/>
  <c r="AD41" i="34" s="1"/>
  <c r="AC42" i="34"/>
  <c r="AD42" i="34" s="1"/>
  <c r="AE42" i="34" s="1"/>
  <c r="AK43" i="34"/>
  <c r="AN43" i="34"/>
  <c r="AC43" i="34"/>
  <c r="AD43" i="34"/>
  <c r="AE43" i="34" s="1"/>
  <c r="AJ43" i="34" s="1"/>
  <c r="AK44" i="34"/>
  <c r="AN44" i="34" s="1"/>
  <c r="AC44" i="34"/>
  <c r="AD44" i="34" s="1"/>
  <c r="AK45" i="34"/>
  <c r="AN45" i="34"/>
  <c r="AC45" i="34"/>
  <c r="AD45" i="34" s="1"/>
  <c r="AE45" i="34" s="1"/>
  <c r="AC46" i="34"/>
  <c r="AD46" i="34" s="1"/>
  <c r="AK47" i="34"/>
  <c r="AN47" i="34" s="1"/>
  <c r="AO47" i="34" s="1"/>
  <c r="AC47" i="34"/>
  <c r="AD47" i="34"/>
  <c r="AN52" i="34"/>
  <c r="AN53" i="34"/>
  <c r="AO53" i="34" s="1"/>
  <c r="AN54" i="34"/>
  <c r="AN56" i="34"/>
  <c r="AN58" i="34"/>
  <c r="AD59" i="34"/>
  <c r="AL51" i="34"/>
  <c r="AH51" i="34"/>
  <c r="C51" i="34" s="1"/>
  <c r="AG51" i="34"/>
  <c r="G51" i="34"/>
  <c r="E51" i="34"/>
  <c r="F51" i="34"/>
  <c r="AM51" i="34"/>
  <c r="AI51" i="34"/>
  <c r="D51" i="34" s="1"/>
  <c r="AL50" i="34"/>
  <c r="AH50" i="34"/>
  <c r="AG50" i="34"/>
  <c r="E50" i="34" s="1"/>
  <c r="G50" i="34"/>
  <c r="F50" i="34"/>
  <c r="AM50" i="34"/>
  <c r="AI50" i="34"/>
  <c r="D50" i="34" s="1"/>
  <c r="C50" i="34"/>
  <c r="AL49" i="34"/>
  <c r="AH49" i="34"/>
  <c r="C49" i="34" s="1"/>
  <c r="AG49" i="34"/>
  <c r="E49" i="34" s="1"/>
  <c r="AE49" i="34"/>
  <c r="AJ49" i="34" s="1"/>
  <c r="G49" i="34"/>
  <c r="F49" i="34"/>
  <c r="AM49" i="34"/>
  <c r="AI49" i="34"/>
  <c r="D49" i="34" s="1"/>
  <c r="AP48" i="34"/>
  <c r="AL48" i="34"/>
  <c r="AH48" i="34"/>
  <c r="AG48" i="34"/>
  <c r="E48" i="34" s="1"/>
  <c r="Z48" i="34"/>
  <c r="G48" i="34"/>
  <c r="F48" i="34"/>
  <c r="AM48" i="34"/>
  <c r="AI48" i="34"/>
  <c r="D48" i="34" s="1"/>
  <c r="C48" i="34"/>
  <c r="AP47" i="34"/>
  <c r="AL47" i="34"/>
  <c r="AH47" i="34"/>
  <c r="AG47" i="34"/>
  <c r="E47" i="34" s="1"/>
  <c r="Z47" i="34"/>
  <c r="AE47" i="34"/>
  <c r="G47" i="34"/>
  <c r="F47" i="34"/>
  <c r="AM47" i="34"/>
  <c r="AI47" i="34"/>
  <c r="D47" i="34" s="1"/>
  <c r="C47" i="34"/>
  <c r="AP46" i="34"/>
  <c r="AL46" i="34"/>
  <c r="AH46" i="34"/>
  <c r="Z46" i="34"/>
  <c r="AE46" i="34"/>
  <c r="G46" i="34"/>
  <c r="F46" i="34"/>
  <c r="AM46" i="34"/>
  <c r="AI46" i="34"/>
  <c r="D46" i="34" s="1"/>
  <c r="C46" i="34"/>
  <c r="AP45" i="34"/>
  <c r="AL45" i="34"/>
  <c r="AH45" i="34"/>
  <c r="AG45" i="34"/>
  <c r="E45" i="34" s="1"/>
  <c r="Z45" i="34"/>
  <c r="G45" i="34"/>
  <c r="F45" i="34"/>
  <c r="AM45" i="34"/>
  <c r="AI45" i="34"/>
  <c r="D45" i="34" s="1"/>
  <c r="C45" i="34"/>
  <c r="AP44" i="34"/>
  <c r="AL44" i="34"/>
  <c r="AH44" i="34"/>
  <c r="AG44" i="34"/>
  <c r="E44" i="34" s="1"/>
  <c r="Z44" i="34"/>
  <c r="G44" i="34"/>
  <c r="F44" i="34"/>
  <c r="AM44" i="34"/>
  <c r="AI44" i="34"/>
  <c r="D44" i="34" s="1"/>
  <c r="C44" i="34"/>
  <c r="AP43" i="34"/>
  <c r="AL43" i="34"/>
  <c r="AH43" i="34"/>
  <c r="AG43" i="34"/>
  <c r="E43" i="34" s="1"/>
  <c r="Z43" i="34"/>
  <c r="G43" i="34"/>
  <c r="F43" i="34"/>
  <c r="AM43" i="34"/>
  <c r="AI43" i="34"/>
  <c r="D43" i="34" s="1"/>
  <c r="C43" i="34"/>
  <c r="AP42" i="34"/>
  <c r="AL42" i="34"/>
  <c r="AH42" i="34"/>
  <c r="Z42" i="34"/>
  <c r="G42" i="34"/>
  <c r="F42" i="34"/>
  <c r="AM42" i="34"/>
  <c r="AI42" i="34"/>
  <c r="D42" i="34" s="1"/>
  <c r="C42" i="34"/>
  <c r="AP41" i="34"/>
  <c r="AL41" i="34"/>
  <c r="AH41" i="34"/>
  <c r="AG41" i="34"/>
  <c r="AP40" i="34"/>
  <c r="AL40" i="34"/>
  <c r="AH40" i="34"/>
  <c r="AG40" i="34"/>
  <c r="AL39" i="34"/>
  <c r="AH39" i="34"/>
  <c r="AG39" i="34"/>
  <c r="AP38" i="34"/>
  <c r="AL38" i="34"/>
  <c r="AH38" i="34"/>
  <c r="C38" i="34" s="1"/>
  <c r="AP37" i="34"/>
  <c r="AL37" i="34"/>
  <c r="AH37" i="34"/>
  <c r="C37" i="34" s="1"/>
  <c r="AG37" i="34"/>
  <c r="AP36" i="34"/>
  <c r="AL36" i="34"/>
  <c r="AH36" i="34"/>
  <c r="C36" i="34" s="1"/>
  <c r="AG36" i="34"/>
  <c r="AL35" i="34"/>
  <c r="AH35" i="34"/>
  <c r="AG35" i="34"/>
  <c r="E35" i="34" s="1"/>
  <c r="AL34" i="34"/>
  <c r="AH34" i="34"/>
  <c r="AP33" i="34"/>
  <c r="AL33" i="34"/>
  <c r="AH33" i="34"/>
  <c r="AG33" i="34"/>
  <c r="AP32" i="34"/>
  <c r="AL32" i="34"/>
  <c r="AH32" i="34"/>
  <c r="AG32" i="34"/>
  <c r="AP31" i="34"/>
  <c r="AL31" i="34"/>
  <c r="AH31" i="34"/>
  <c r="AG31" i="34"/>
  <c r="AP30" i="34"/>
  <c r="AL30" i="34"/>
  <c r="AH30" i="34"/>
  <c r="AL29" i="34"/>
  <c r="AH29" i="34"/>
  <c r="AG29" i="34"/>
  <c r="AL28" i="34"/>
  <c r="AH28" i="34"/>
  <c r="C28" i="34" s="1"/>
  <c r="AG28" i="34"/>
  <c r="AL27" i="34"/>
  <c r="AH27" i="34"/>
  <c r="AG27" i="34"/>
  <c r="E27" i="34" s="1"/>
  <c r="AP26" i="34"/>
  <c r="AL26" i="34"/>
  <c r="AH26" i="34"/>
  <c r="AG26" i="34"/>
  <c r="E26" i="34" s="1"/>
  <c r="AP25" i="34"/>
  <c r="AL25" i="34"/>
  <c r="AH25" i="34"/>
  <c r="AG25" i="34"/>
  <c r="E25" i="34" s="1"/>
  <c r="AP24" i="34"/>
  <c r="AL24" i="34"/>
  <c r="AH24" i="34"/>
  <c r="AG24" i="34"/>
  <c r="E24" i="34" s="1"/>
  <c r="AP23" i="34"/>
  <c r="AL23" i="34"/>
  <c r="AH23" i="34"/>
  <c r="AG23" i="34"/>
  <c r="AL22" i="34"/>
  <c r="AH22" i="34"/>
  <c r="AP21" i="34"/>
  <c r="AL21" i="34"/>
  <c r="AH21" i="34"/>
  <c r="AG21" i="34"/>
  <c r="AP20" i="34"/>
  <c r="AL20" i="34"/>
  <c r="AH20" i="34"/>
  <c r="AG20" i="34"/>
  <c r="AP19" i="34"/>
  <c r="AL19" i="34"/>
  <c r="AH19" i="34"/>
  <c r="AP18" i="34"/>
  <c r="AL18" i="34"/>
  <c r="AH18" i="34"/>
  <c r="AG18" i="34"/>
  <c r="AP17" i="34"/>
  <c r="AL17" i="34"/>
  <c r="AH17" i="34"/>
  <c r="AG17" i="34"/>
  <c r="AL16" i="34"/>
  <c r="AH16" i="34"/>
  <c r="AG16" i="34"/>
  <c r="AP15" i="34"/>
  <c r="AL15" i="34"/>
  <c r="AH15" i="34"/>
  <c r="AL14" i="34"/>
  <c r="AH14" i="34"/>
  <c r="C14" i="34" s="1"/>
  <c r="AG14" i="34"/>
  <c r="AP13" i="34"/>
  <c r="AL13" i="34"/>
  <c r="AH13" i="34"/>
  <c r="C13" i="34" s="1"/>
  <c r="AG13" i="34"/>
  <c r="AQ60" i="34"/>
  <c r="AQ59" i="34"/>
  <c r="AQ58" i="34"/>
  <c r="AQ57" i="34"/>
  <c r="AQ56" i="34"/>
  <c r="AQ55" i="34"/>
  <c r="AQ54" i="34"/>
  <c r="AQ53" i="34"/>
  <c r="AQ52" i="34"/>
  <c r="AQ51" i="34"/>
  <c r="AQ50" i="34"/>
  <c r="AQ49" i="34"/>
  <c r="AQ48" i="34"/>
  <c r="AQ47" i="34"/>
  <c r="AQ46" i="34"/>
  <c r="AQ45" i="34"/>
  <c r="AQ44" i="34"/>
  <c r="AQ43" i="34"/>
  <c r="AQ42" i="34"/>
  <c r="AQ41" i="34"/>
  <c r="AQ40" i="34"/>
  <c r="AQ39" i="34"/>
  <c r="AQ38" i="34"/>
  <c r="AQ37" i="34"/>
  <c r="AQ36" i="34"/>
  <c r="AQ35" i="34"/>
  <c r="AQ34" i="34"/>
  <c r="AQ33" i="34"/>
  <c r="AQ32" i="34"/>
  <c r="AQ31" i="34"/>
  <c r="AQ30" i="34"/>
  <c r="AQ29" i="34"/>
  <c r="AQ28" i="34"/>
  <c r="AQ27" i="34"/>
  <c r="AQ26" i="34"/>
  <c r="AQ25" i="34"/>
  <c r="AQ24" i="34"/>
  <c r="AQ23" i="34"/>
  <c r="AQ22" i="34"/>
  <c r="AQ21" i="34"/>
  <c r="AQ20" i="34"/>
  <c r="AQ19" i="34"/>
  <c r="AQ18" i="34"/>
  <c r="AQ17" i="34"/>
  <c r="AQ16" i="34"/>
  <c r="AQ15" i="34"/>
  <c r="AQ14" i="34"/>
  <c r="AM60" i="34"/>
  <c r="AM59" i="34"/>
  <c r="AE59" i="34"/>
  <c r="AM58" i="34"/>
  <c r="AM57" i="34"/>
  <c r="AM56" i="34"/>
  <c r="AM55" i="34"/>
  <c r="AM54" i="34"/>
  <c r="AM53" i="34"/>
  <c r="AM52" i="34"/>
  <c r="AM41" i="34"/>
  <c r="AE41" i="34"/>
  <c r="AJ41" i="34"/>
  <c r="AM40" i="34"/>
  <c r="AM39" i="34"/>
  <c r="AE39" i="34"/>
  <c r="AM38" i="34"/>
  <c r="AE38" i="34"/>
  <c r="AM37" i="34"/>
  <c r="AM36" i="34"/>
  <c r="AM35" i="34"/>
  <c r="AE35" i="34"/>
  <c r="AJ35" i="34" s="1"/>
  <c r="AM34" i="34"/>
  <c r="AE34" i="34"/>
  <c r="AM33" i="34"/>
  <c r="AE33" i="34"/>
  <c r="AJ33" i="34" s="1"/>
  <c r="AM32" i="34"/>
  <c r="AM31" i="34"/>
  <c r="AM30" i="34"/>
  <c r="AE30" i="34"/>
  <c r="AM29" i="34"/>
  <c r="AM28" i="34"/>
  <c r="AM27" i="34"/>
  <c r="AE27" i="34"/>
  <c r="AJ27" i="34" s="1"/>
  <c r="AM26" i="34"/>
  <c r="AE26" i="34"/>
  <c r="AM25" i="34"/>
  <c r="AE25" i="34"/>
  <c r="AM24" i="34"/>
  <c r="AE24" i="34"/>
  <c r="AJ24" i="34" s="1"/>
  <c r="AM23" i="34"/>
  <c r="AE23" i="34"/>
  <c r="AJ23" i="34" s="1"/>
  <c r="AM22" i="34"/>
  <c r="AM21" i="34"/>
  <c r="AE21" i="34"/>
  <c r="AJ21" i="34"/>
  <c r="AM20" i="34"/>
  <c r="AM19" i="34"/>
  <c r="AM18" i="34"/>
  <c r="AE18" i="34"/>
  <c r="AJ18" i="34" s="1"/>
  <c r="AM17" i="34"/>
  <c r="AM16" i="34"/>
  <c r="AM15" i="34"/>
  <c r="AM14" i="34"/>
  <c r="AE14" i="34"/>
  <c r="AJ14" i="34" s="1"/>
  <c r="AI60" i="34"/>
  <c r="AI59" i="34"/>
  <c r="AI58" i="34"/>
  <c r="D58" i="34" s="1"/>
  <c r="AI41" i="34"/>
  <c r="AI40" i="34"/>
  <c r="AI39" i="34"/>
  <c r="AI38" i="34"/>
  <c r="AI37" i="34"/>
  <c r="AI36" i="34"/>
  <c r="AI35" i="34"/>
  <c r="AI34" i="34"/>
  <c r="AI33" i="34"/>
  <c r="AI32" i="34"/>
  <c r="AI31" i="34"/>
  <c r="AI30" i="34"/>
  <c r="AI29" i="34"/>
  <c r="AI28" i="34"/>
  <c r="AI27" i="34"/>
  <c r="AI26" i="34"/>
  <c r="AI25" i="34"/>
  <c r="AI24" i="34"/>
  <c r="AI23" i="34"/>
  <c r="AI22" i="34"/>
  <c r="AI21" i="34"/>
  <c r="AI20" i="34"/>
  <c r="AI19" i="34"/>
  <c r="AI18" i="34"/>
  <c r="AI17" i="34"/>
  <c r="AI16" i="34"/>
  <c r="AI15" i="34"/>
  <c r="AI14" i="34"/>
  <c r="AA43" i="34"/>
  <c r="AA44" i="34"/>
  <c r="AA45" i="34"/>
  <c r="AA46" i="34"/>
  <c r="AA47" i="34"/>
  <c r="AA48" i="34"/>
  <c r="AA49" i="34"/>
  <c r="AA50" i="34"/>
  <c r="AA51" i="34"/>
  <c r="AA52" i="34"/>
  <c r="AA53" i="34"/>
  <c r="AA54" i="34"/>
  <c r="AA55" i="34"/>
  <c r="AA56" i="34"/>
  <c r="AA57" i="34"/>
  <c r="AA58" i="34"/>
  <c r="AA59" i="34"/>
  <c r="AA60" i="34"/>
  <c r="B57" i="34"/>
  <c r="B56" i="34"/>
  <c r="B55" i="34"/>
  <c r="B54" i="34"/>
  <c r="B53" i="34"/>
  <c r="B52" i="34"/>
  <c r="B51" i="34"/>
  <c r="B50" i="34"/>
  <c r="B49" i="34"/>
  <c r="B48" i="34"/>
  <c r="B47" i="34"/>
  <c r="B46" i="34"/>
  <c r="B45" i="34"/>
  <c r="B44" i="34"/>
  <c r="B43" i="34"/>
  <c r="F243" i="34"/>
  <c r="H243" i="34" s="1"/>
  <c r="F244" i="34"/>
  <c r="H244" i="34" s="1"/>
  <c r="F245" i="34"/>
  <c r="H245" i="34"/>
  <c r="F246" i="34"/>
  <c r="H246" i="34" s="1"/>
  <c r="F247" i="34"/>
  <c r="H247" i="34" s="1"/>
  <c r="F248" i="34"/>
  <c r="H248" i="34" s="1"/>
  <c r="F249" i="34"/>
  <c r="H249" i="34"/>
  <c r="F250" i="34"/>
  <c r="H250" i="34" s="1"/>
  <c r="F251" i="34"/>
  <c r="H251" i="34" s="1"/>
  <c r="F252" i="34"/>
  <c r="H252" i="34" s="1"/>
  <c r="F253" i="34"/>
  <c r="H253" i="34" s="1"/>
  <c r="F254" i="34"/>
  <c r="H254" i="34" s="1"/>
  <c r="F255" i="34"/>
  <c r="H255" i="34" s="1"/>
  <c r="F256" i="34"/>
  <c r="H256" i="34" s="1"/>
  <c r="F257" i="34"/>
  <c r="H257" i="34"/>
  <c r="F258" i="34"/>
  <c r="H258" i="34" s="1"/>
  <c r="F259" i="34"/>
  <c r="H259" i="34" s="1"/>
  <c r="F260" i="34"/>
  <c r="H260" i="34" s="1"/>
  <c r="F261" i="34"/>
  <c r="H261" i="34" s="1"/>
  <c r="F262" i="34"/>
  <c r="H262" i="34" s="1"/>
  <c r="F263" i="34"/>
  <c r="H263" i="34" s="1"/>
  <c r="F264" i="34"/>
  <c r="H264" i="34" s="1"/>
  <c r="F265" i="34"/>
  <c r="H265" i="34"/>
  <c r="F266" i="34"/>
  <c r="H266" i="34" s="1"/>
  <c r="F267" i="34"/>
  <c r="H267" i="34" s="1"/>
  <c r="F268" i="34"/>
  <c r="H268" i="34" s="1"/>
  <c r="F269" i="34"/>
  <c r="H269" i="34" s="1"/>
  <c r="F270" i="34"/>
  <c r="H270" i="34" s="1"/>
  <c r="F271" i="34"/>
  <c r="H271" i="34" s="1"/>
  <c r="F272" i="34"/>
  <c r="H272" i="34" s="1"/>
  <c r="F273" i="34"/>
  <c r="H273" i="34"/>
  <c r="F274" i="34"/>
  <c r="H274" i="34" s="1"/>
  <c r="F275" i="34"/>
  <c r="H275" i="34"/>
  <c r="F276" i="34"/>
  <c r="H276" i="34" s="1"/>
  <c r="F277" i="34"/>
  <c r="H277" i="34"/>
  <c r="F278" i="34"/>
  <c r="H278" i="34" s="1"/>
  <c r="F279" i="34"/>
  <c r="H279" i="34" s="1"/>
  <c r="F280" i="34"/>
  <c r="H280" i="34" s="1"/>
  <c r="F281" i="34"/>
  <c r="H281" i="34"/>
  <c r="C282" i="34"/>
  <c r="F175" i="30"/>
  <c r="G175" i="30" s="1"/>
  <c r="F174" i="30"/>
  <c r="G174" i="30" s="1"/>
  <c r="F173" i="30"/>
  <c r="G173" i="30" s="1"/>
  <c r="F172" i="30"/>
  <c r="G172" i="30" s="1"/>
  <c r="F171" i="30"/>
  <c r="G171" i="30" s="1"/>
  <c r="C171" i="30"/>
  <c r="T61" i="34"/>
  <c r="X64" i="34" s="1"/>
  <c r="AJ13" i="34"/>
  <c r="Z13" i="34"/>
  <c r="Z15" i="34"/>
  <c r="Z17" i="34"/>
  <c r="Z18" i="34"/>
  <c r="Z19" i="34"/>
  <c r="Z20" i="34"/>
  <c r="Z21" i="34"/>
  <c r="Z23" i="34"/>
  <c r="Z24" i="34"/>
  <c r="Z25" i="34"/>
  <c r="Z26" i="34"/>
  <c r="Z30" i="34"/>
  <c r="Z31" i="34"/>
  <c r="Z32" i="34"/>
  <c r="Z33" i="34"/>
  <c r="Z36" i="34"/>
  <c r="Z37" i="34"/>
  <c r="Z38" i="34"/>
  <c r="Z40" i="34"/>
  <c r="Z41"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58" i="34"/>
  <c r="G59" i="34"/>
  <c r="G60" i="34"/>
  <c r="E13" i="34"/>
  <c r="E14" i="34"/>
  <c r="E16" i="34"/>
  <c r="E17" i="34"/>
  <c r="E18" i="34"/>
  <c r="E20" i="34"/>
  <c r="E21" i="34"/>
  <c r="E23" i="34"/>
  <c r="E28" i="34"/>
  <c r="E29" i="34"/>
  <c r="E31" i="34"/>
  <c r="E32" i="34"/>
  <c r="E33" i="34"/>
  <c r="E36" i="34"/>
  <c r="E37" i="34"/>
  <c r="E39" i="34"/>
  <c r="E40" i="34"/>
  <c r="E41" i="34"/>
  <c r="E58" i="34"/>
  <c r="E59" i="34"/>
  <c r="C15" i="34"/>
  <c r="C16" i="34"/>
  <c r="C17" i="34"/>
  <c r="C18" i="34"/>
  <c r="C19" i="34"/>
  <c r="C20" i="34"/>
  <c r="C21" i="34"/>
  <c r="C22" i="34"/>
  <c r="C23" i="34"/>
  <c r="C24" i="34"/>
  <c r="C25" i="34"/>
  <c r="C26" i="34"/>
  <c r="C27" i="34"/>
  <c r="C29" i="34"/>
  <c r="C30" i="34"/>
  <c r="C31" i="34"/>
  <c r="C32" i="34"/>
  <c r="C33" i="34"/>
  <c r="C34" i="34"/>
  <c r="C35" i="34"/>
  <c r="C39" i="34"/>
  <c r="C40" i="34"/>
  <c r="C41" i="34"/>
  <c r="C58" i="34"/>
  <c r="C59" i="34"/>
  <c r="C60" i="34"/>
  <c r="V61" i="34"/>
  <c r="F60" i="34"/>
  <c r="D60" i="34"/>
  <c r="B60" i="34"/>
  <c r="F59" i="34"/>
  <c r="D59" i="34"/>
  <c r="B59" i="34"/>
  <c r="F58" i="34"/>
  <c r="B58" i="34"/>
  <c r="AA42" i="34"/>
  <c r="B42" i="34"/>
  <c r="AA41" i="34"/>
  <c r="F41" i="34"/>
  <c r="D41" i="34"/>
  <c r="B41" i="34"/>
  <c r="AA40" i="34"/>
  <c r="F40" i="34"/>
  <c r="D40" i="34"/>
  <c r="B40" i="34"/>
  <c r="AA39" i="34"/>
  <c r="F39" i="34"/>
  <c r="D39" i="34"/>
  <c r="B39" i="34"/>
  <c r="AA38" i="34"/>
  <c r="F38" i="34"/>
  <c r="D38" i="34"/>
  <c r="B38" i="34"/>
  <c r="AA37" i="34"/>
  <c r="F37" i="34"/>
  <c r="D37" i="34"/>
  <c r="B37" i="34"/>
  <c r="AA36" i="34"/>
  <c r="F36" i="34"/>
  <c r="D36" i="34"/>
  <c r="B36" i="34"/>
  <c r="AA35" i="34"/>
  <c r="F35" i="34"/>
  <c r="D35" i="34"/>
  <c r="B35" i="34"/>
  <c r="AA34" i="34"/>
  <c r="F34" i="34"/>
  <c r="D34" i="34"/>
  <c r="B34" i="34"/>
  <c r="AA33" i="34"/>
  <c r="F33" i="34"/>
  <c r="D33" i="34"/>
  <c r="B33" i="34"/>
  <c r="AA32" i="34"/>
  <c r="F32" i="34"/>
  <c r="D32" i="34"/>
  <c r="B32" i="34"/>
  <c r="AA31" i="34"/>
  <c r="F31" i="34"/>
  <c r="D31" i="34"/>
  <c r="B31" i="34"/>
  <c r="AA30" i="34"/>
  <c r="F30" i="34"/>
  <c r="D30" i="34"/>
  <c r="B30" i="34"/>
  <c r="AA29" i="34"/>
  <c r="F29" i="34"/>
  <c r="D29" i="34"/>
  <c r="B29" i="34"/>
  <c r="AA28" i="34"/>
  <c r="F28" i="34"/>
  <c r="D28" i="34"/>
  <c r="B28" i="34"/>
  <c r="AA27" i="34"/>
  <c r="F27" i="34"/>
  <c r="D27" i="34"/>
  <c r="B27" i="34"/>
  <c r="AA26" i="34"/>
  <c r="F26" i="34"/>
  <c r="D26" i="34"/>
  <c r="B26" i="34"/>
  <c r="AA25" i="34"/>
  <c r="F25" i="34"/>
  <c r="D25" i="34"/>
  <c r="B25" i="34"/>
  <c r="AA24" i="34"/>
  <c r="F24" i="34"/>
  <c r="D24" i="34"/>
  <c r="B24" i="34"/>
  <c r="AA23" i="34"/>
  <c r="F23" i="34"/>
  <c r="D23" i="34"/>
  <c r="B23" i="34"/>
  <c r="AA22" i="34"/>
  <c r="F22" i="34"/>
  <c r="D22" i="34"/>
  <c r="B22" i="34"/>
  <c r="AA21" i="34"/>
  <c r="F21" i="34"/>
  <c r="D21" i="34"/>
  <c r="B21" i="34"/>
  <c r="AA20" i="34"/>
  <c r="F20" i="34"/>
  <c r="D20" i="34"/>
  <c r="B20" i="34"/>
  <c r="AA19" i="34"/>
  <c r="F19" i="34"/>
  <c r="D19" i="34"/>
  <c r="B19" i="34"/>
  <c r="AA18" i="34"/>
  <c r="F18" i="34"/>
  <c r="D18" i="34"/>
  <c r="B18" i="34"/>
  <c r="AA17" i="34"/>
  <c r="F17" i="34"/>
  <c r="D17" i="34"/>
  <c r="B17" i="34"/>
  <c r="AA16" i="34"/>
  <c r="F16" i="34"/>
  <c r="D16" i="34"/>
  <c r="B16" i="34"/>
  <c r="AA15" i="34"/>
  <c r="F15" i="34"/>
  <c r="D15" i="34"/>
  <c r="B15" i="34"/>
  <c r="AA14" i="34"/>
  <c r="F14" i="34"/>
  <c r="D14" i="34"/>
  <c r="B14" i="34"/>
  <c r="AQ13" i="34"/>
  <c r="AM13" i="34"/>
  <c r="AI13" i="34"/>
  <c r="D13" i="34" s="1"/>
  <c r="AA13" i="34"/>
  <c r="F13" i="34"/>
  <c r="B13" i="34"/>
  <c r="AS11" i="34"/>
  <c r="AQ11" i="34"/>
  <c r="D11" i="34"/>
  <c r="W10" i="34"/>
  <c r="B10" i="34"/>
  <c r="T10" i="34" s="1"/>
  <c r="R9" i="34"/>
  <c r="N9" i="34"/>
  <c r="B9" i="34"/>
  <c r="M7" i="34"/>
  <c r="B6" i="34"/>
  <c r="M6" i="34"/>
  <c r="B7" i="34"/>
  <c r="R5" i="34"/>
  <c r="L5" i="34"/>
  <c r="H5" i="34"/>
  <c r="B5" i="34"/>
  <c r="I48" i="22"/>
  <c r="J47" i="22"/>
  <c r="L47" i="22" s="1"/>
  <c r="L9" i="22"/>
  <c r="L10" i="22"/>
  <c r="L11" i="22"/>
  <c r="L21" i="22"/>
  <c r="L22" i="22"/>
  <c r="L23" i="22"/>
  <c r="L24" i="22"/>
  <c r="L28" i="22"/>
  <c r="L29" i="22"/>
  <c r="L30" i="22"/>
  <c r="L31" i="22"/>
  <c r="L32" i="22"/>
  <c r="L33" i="22"/>
  <c r="L35" i="22"/>
  <c r="L38" i="22"/>
  <c r="L39" i="22"/>
  <c r="L40" i="22"/>
  <c r="L41" i="22"/>
  <c r="L42" i="22"/>
  <c r="L43" i="22"/>
  <c r="L44" i="22"/>
  <c r="L45" i="22"/>
  <c r="L46" i="22"/>
  <c r="X8" i="22"/>
  <c r="Z8" i="22" s="1"/>
  <c r="X13" i="22"/>
  <c r="Z13" i="22" s="1"/>
  <c r="X14" i="22"/>
  <c r="Z14" i="22" s="1"/>
  <c r="X15" i="22"/>
  <c r="Z15" i="22" s="1"/>
  <c r="X16" i="22"/>
  <c r="Z16" i="22" s="1"/>
  <c r="X17" i="22"/>
  <c r="Z17" i="22" s="1"/>
  <c r="X18" i="22"/>
  <c r="Z18" i="22" s="1"/>
  <c r="X19" i="22"/>
  <c r="Z19" i="22" s="1"/>
  <c r="X20" i="22"/>
  <c r="Z20" i="22" s="1"/>
  <c r="X26" i="22"/>
  <c r="Z26" i="22" s="1"/>
  <c r="X27" i="22"/>
  <c r="Z27" i="22" s="1"/>
  <c r="X35" i="22"/>
  <c r="X36" i="22"/>
  <c r="Z36" i="22" s="1"/>
  <c r="X37" i="22"/>
  <c r="Z37" i="22" s="1"/>
  <c r="X47" i="22"/>
  <c r="Z47" i="22" s="1"/>
  <c r="X46" i="22"/>
  <c r="X45" i="22"/>
  <c r="X44" i="22"/>
  <c r="X43" i="22"/>
  <c r="X42" i="22"/>
  <c r="X41" i="22"/>
  <c r="X40" i="22"/>
  <c r="X39" i="22"/>
  <c r="X38" i="22"/>
  <c r="X33" i="22"/>
  <c r="X32" i="22"/>
  <c r="X31" i="22"/>
  <c r="X30" i="22"/>
  <c r="X29" i="22"/>
  <c r="X28" i="22"/>
  <c r="X24" i="22"/>
  <c r="X23" i="22"/>
  <c r="X22" i="22"/>
  <c r="X21" i="22"/>
  <c r="X12" i="22"/>
  <c r="X11" i="22"/>
  <c r="X10" i="22"/>
  <c r="X9" i="22"/>
  <c r="J8" i="22"/>
  <c r="L8" i="22" s="1"/>
  <c r="J13" i="22"/>
  <c r="L13" i="22" s="1"/>
  <c r="J14" i="22"/>
  <c r="L14" i="22" s="1"/>
  <c r="J15" i="22"/>
  <c r="L15" i="22" s="1"/>
  <c r="J16" i="22"/>
  <c r="L16" i="22" s="1"/>
  <c r="J17" i="22"/>
  <c r="L17" i="22" s="1"/>
  <c r="J18" i="22"/>
  <c r="L18" i="22" s="1"/>
  <c r="J19" i="22"/>
  <c r="L19" i="22" s="1"/>
  <c r="J20" i="22"/>
  <c r="L20" i="22" s="1"/>
  <c r="J26" i="22"/>
  <c r="L26" i="22" s="1"/>
  <c r="J27" i="22"/>
  <c r="L27" i="22" s="1"/>
  <c r="J35" i="22"/>
  <c r="J36" i="22"/>
  <c r="L36" i="22" s="1"/>
  <c r="J37" i="22"/>
  <c r="L37" i="22" s="1"/>
  <c r="J46" i="22"/>
  <c r="J45" i="22"/>
  <c r="J44" i="22"/>
  <c r="J43" i="22"/>
  <c r="J42" i="22"/>
  <c r="J41" i="22"/>
  <c r="J40" i="22"/>
  <c r="J39" i="22"/>
  <c r="J38" i="22"/>
  <c r="J33" i="22"/>
  <c r="J32" i="22"/>
  <c r="J31" i="22"/>
  <c r="J30" i="22"/>
  <c r="J29" i="22"/>
  <c r="J28" i="22"/>
  <c r="J24" i="22"/>
  <c r="J23" i="22"/>
  <c r="J22" i="22"/>
  <c r="J21" i="22"/>
  <c r="J12" i="22"/>
  <c r="L12" i="22" s="1"/>
  <c r="J11" i="22"/>
  <c r="J10" i="22"/>
  <c r="J9" i="22"/>
  <c r="AI1" i="5"/>
  <c r="AH1" i="5"/>
  <c r="AG1" i="5"/>
  <c r="AF1" i="5"/>
  <c r="AE1" i="5"/>
  <c r="AD1" i="5"/>
  <c r="AC1" i="5"/>
  <c r="AB1" i="5"/>
  <c r="AA1" i="5"/>
  <c r="Z1" i="5"/>
  <c r="Y1" i="5"/>
  <c r="X1" i="5"/>
  <c r="W1" i="5"/>
  <c r="V1" i="5"/>
  <c r="U1" i="5"/>
  <c r="T1" i="5"/>
  <c r="S1" i="5"/>
  <c r="R1" i="5"/>
  <c r="Q1" i="5"/>
  <c r="P1" i="5"/>
  <c r="O1" i="5"/>
  <c r="N1" i="5"/>
  <c r="M1" i="5"/>
  <c r="L1" i="5"/>
  <c r="K1" i="5"/>
  <c r="J1" i="5"/>
  <c r="I1" i="5"/>
  <c r="H1" i="5"/>
  <c r="G1" i="5"/>
  <c r="F1" i="5"/>
  <c r="E1" i="5"/>
  <c r="D1" i="5"/>
  <c r="C1" i="5"/>
  <c r="B1" i="5"/>
  <c r="AI1" i="4"/>
  <c r="AH1" i="4"/>
  <c r="AG1" i="4"/>
  <c r="AF1" i="4"/>
  <c r="AE1" i="4"/>
  <c r="AD1" i="4"/>
  <c r="AC1" i="4"/>
  <c r="AB1" i="4"/>
  <c r="AA1" i="4"/>
  <c r="Z1" i="4"/>
  <c r="Y1" i="4"/>
  <c r="X1" i="4"/>
  <c r="W1" i="4"/>
  <c r="V1" i="4"/>
  <c r="U1" i="4"/>
  <c r="T1" i="4"/>
  <c r="S1" i="4"/>
  <c r="R1" i="4"/>
  <c r="Q1" i="4"/>
  <c r="P1" i="4"/>
  <c r="O1" i="4"/>
  <c r="N1" i="4"/>
  <c r="M1" i="4"/>
  <c r="L1" i="4"/>
  <c r="K1" i="4"/>
  <c r="J1" i="4"/>
  <c r="I1" i="4"/>
  <c r="H1" i="4"/>
  <c r="G1" i="4"/>
  <c r="F1" i="4"/>
  <c r="E1" i="4"/>
  <c r="D1" i="4"/>
  <c r="C1" i="4"/>
  <c r="B1" i="4"/>
  <c r="C161" i="4"/>
  <c r="B121" i="4"/>
  <c r="I119" i="4"/>
  <c r="B119" i="4"/>
  <c r="D72" i="10"/>
  <c r="C802" i="10"/>
  <c r="K795" i="10"/>
  <c r="J795" i="10"/>
  <c r="I795" i="10"/>
  <c r="H795" i="10"/>
  <c r="G795" i="10"/>
  <c r="M794" i="10"/>
  <c r="K792" i="10"/>
  <c r="J792" i="10"/>
  <c r="I792" i="10"/>
  <c r="H792" i="10"/>
  <c r="G792" i="10"/>
  <c r="M791" i="10"/>
  <c r="K791" i="10"/>
  <c r="K794" i="10" s="1"/>
  <c r="J791" i="10"/>
  <c r="J794" i="10" s="1"/>
  <c r="I791" i="10"/>
  <c r="I794" i="10" s="1"/>
  <c r="H791" i="10"/>
  <c r="H794" i="10"/>
  <c r="G791" i="10"/>
  <c r="L790" i="10"/>
  <c r="K784" i="10"/>
  <c r="J784" i="10"/>
  <c r="I784" i="10"/>
  <c r="H784" i="10"/>
  <c r="G784" i="10"/>
  <c r="L783" i="10"/>
  <c r="C766" i="10"/>
  <c r="K759" i="10"/>
  <c r="J759" i="10"/>
  <c r="I759" i="10"/>
  <c r="H759" i="10"/>
  <c r="G759" i="10"/>
  <c r="M758" i="10"/>
  <c r="K756" i="10"/>
  <c r="J756" i="10"/>
  <c r="I756" i="10"/>
  <c r="H756" i="10"/>
  <c r="G756" i="10"/>
  <c r="M755" i="10"/>
  <c r="K755" i="10"/>
  <c r="K758" i="10" s="1"/>
  <c r="J755" i="10"/>
  <c r="J758" i="10" s="1"/>
  <c r="I755" i="10"/>
  <c r="I758" i="10" s="1"/>
  <c r="H755" i="10"/>
  <c r="G755" i="10"/>
  <c r="G758" i="10" s="1"/>
  <c r="L754" i="10"/>
  <c r="L753" i="10"/>
  <c r="I732" i="10"/>
  <c r="I733" i="10" s="1"/>
  <c r="H732" i="10"/>
  <c r="H733" i="10" s="1"/>
  <c r="G732" i="10"/>
  <c r="G733" i="10"/>
  <c r="F732" i="10"/>
  <c r="F733" i="10" s="1"/>
  <c r="J729" i="10"/>
  <c r="G716" i="10"/>
  <c r="G715" i="10"/>
  <c r="G714" i="10"/>
  <c r="G713" i="10"/>
  <c r="G712" i="10"/>
  <c r="G711" i="10"/>
  <c r="G710" i="10"/>
  <c r="G709" i="10"/>
  <c r="G708" i="10"/>
  <c r="G707" i="10"/>
  <c r="G706" i="10"/>
  <c r="G705" i="10"/>
  <c r="G702" i="10"/>
  <c r="M696" i="10"/>
  <c r="L696" i="10"/>
  <c r="J696" i="10"/>
  <c r="M695" i="10"/>
  <c r="L695" i="10"/>
  <c r="J695" i="10"/>
  <c r="L689" i="10"/>
  <c r="L688" i="10"/>
  <c r="D679" i="10"/>
  <c r="J679" i="10" s="1"/>
  <c r="I679" i="10" s="1"/>
  <c r="C679" i="10" s="1"/>
  <c r="E679" i="10" s="1"/>
  <c r="D678" i="10"/>
  <c r="J678" i="10" s="1"/>
  <c r="I678" i="10" s="1"/>
  <c r="C678" i="10"/>
  <c r="D677" i="10"/>
  <c r="D676" i="10"/>
  <c r="J676" i="10"/>
  <c r="I676" i="10" s="1"/>
  <c r="C676" i="10" s="1"/>
  <c r="E676" i="10" s="1"/>
  <c r="D675" i="10"/>
  <c r="G649" i="10"/>
  <c r="G647" i="10"/>
  <c r="G645" i="10"/>
  <c r="L643" i="10"/>
  <c r="K643" i="10"/>
  <c r="J643" i="10"/>
  <c r="I643" i="10"/>
  <c r="H643" i="10"/>
  <c r="G641" i="10"/>
  <c r="G640" i="10"/>
  <c r="G639" i="10"/>
  <c r="G638" i="10"/>
  <c r="G637" i="10"/>
  <c r="G634" i="10"/>
  <c r="J631" i="10"/>
  <c r="G631" i="10"/>
  <c r="C629" i="10"/>
  <c r="F622" i="10"/>
  <c r="G614" i="10"/>
  <c r="G612" i="10"/>
  <c r="F577" i="10"/>
  <c r="H577" i="10" s="1"/>
  <c r="F576" i="10"/>
  <c r="H576" i="10" s="1"/>
  <c r="F575" i="10"/>
  <c r="H575" i="10" s="1"/>
  <c r="F574" i="10"/>
  <c r="H574" i="10" s="1"/>
  <c r="F573" i="10"/>
  <c r="H573" i="10" s="1"/>
  <c r="F572" i="10"/>
  <c r="H572" i="10" s="1"/>
  <c r="B571" i="10"/>
  <c r="E570" i="10" s="1"/>
  <c r="G566" i="10"/>
  <c r="H566" i="10" s="1"/>
  <c r="H563" i="10"/>
  <c r="M556" i="10"/>
  <c r="N556" i="10" s="1"/>
  <c r="M553" i="10"/>
  <c r="N553" i="10" s="1"/>
  <c r="H552" i="10"/>
  <c r="H553" i="10" s="1"/>
  <c r="N545" i="10"/>
  <c r="H545" i="10"/>
  <c r="H546" i="10" s="1"/>
  <c r="N544" i="10"/>
  <c r="L521" i="10"/>
  <c r="E521" i="10"/>
  <c r="N520" i="10"/>
  <c r="N521" i="10" s="1"/>
  <c r="L520" i="10"/>
  <c r="J520" i="10"/>
  <c r="J521" i="10" s="1"/>
  <c r="G520" i="10"/>
  <c r="G521" i="10" s="1"/>
  <c r="E520" i="10"/>
  <c r="C520" i="10"/>
  <c r="C521" i="10" s="1"/>
  <c r="N517" i="10"/>
  <c r="G517" i="10"/>
  <c r="G516" i="10" s="1"/>
  <c r="N516" i="10"/>
  <c r="L516" i="10"/>
  <c r="L517" i="10" s="1"/>
  <c r="J516" i="10"/>
  <c r="J517" i="10" s="1"/>
  <c r="E516" i="10"/>
  <c r="E517" i="10" s="1"/>
  <c r="C516" i="10"/>
  <c r="C517" i="10" s="1"/>
  <c r="G508" i="10"/>
  <c r="G507" i="10" s="1"/>
  <c r="J507" i="10"/>
  <c r="J508" i="10"/>
  <c r="D507" i="10"/>
  <c r="D508" i="10" s="1"/>
  <c r="G503" i="10"/>
  <c r="D503" i="10"/>
  <c r="J502" i="10"/>
  <c r="J503" i="10" s="1"/>
  <c r="G502" i="10"/>
  <c r="D502" i="10"/>
  <c r="K489" i="10"/>
  <c r="G489" i="10"/>
  <c r="B489" i="10"/>
  <c r="M486" i="10"/>
  <c r="K488" i="10" s="1"/>
  <c r="I486" i="10"/>
  <c r="G488" i="10" s="1"/>
  <c r="D486" i="10"/>
  <c r="B488" i="10" s="1"/>
  <c r="N485" i="10"/>
  <c r="J485" i="10"/>
  <c r="A479" i="10"/>
  <c r="B478" i="10"/>
  <c r="B474" i="10"/>
  <c r="F469" i="10"/>
  <c r="A453" i="10"/>
  <c r="B452" i="10"/>
  <c r="C445" i="10"/>
  <c r="M441" i="10"/>
  <c r="M444" i="10" s="1"/>
  <c r="I441" i="10"/>
  <c r="I444" i="10" s="1"/>
  <c r="N439" i="10"/>
  <c r="J441" i="10" s="1"/>
  <c r="J444" i="10" s="1"/>
  <c r="K441" i="10"/>
  <c r="K444" i="10" s="1"/>
  <c r="E438" i="10"/>
  <c r="E445" i="10"/>
  <c r="L417" i="10"/>
  <c r="K417" i="10"/>
  <c r="M416" i="10"/>
  <c r="K416" i="10"/>
  <c r="M415" i="10"/>
  <c r="L415" i="10"/>
  <c r="H407" i="10"/>
  <c r="G407" i="10"/>
  <c r="F407" i="10"/>
  <c r="G406" i="10"/>
  <c r="I406" i="10" s="1"/>
  <c r="I405" i="10"/>
  <c r="H405" i="10"/>
  <c r="F405" i="10"/>
  <c r="H404" i="10"/>
  <c r="I404" i="10" s="1"/>
  <c r="G404" i="10"/>
  <c r="M394" i="10"/>
  <c r="N394" i="10" s="1"/>
  <c r="G394" i="10"/>
  <c r="F394" i="10"/>
  <c r="M393" i="10"/>
  <c r="N393" i="10" s="1"/>
  <c r="G393" i="10"/>
  <c r="F393" i="10"/>
  <c r="M392" i="10"/>
  <c r="N392" i="10" s="1"/>
  <c r="G392" i="10"/>
  <c r="F392" i="10"/>
  <c r="M391" i="10"/>
  <c r="N391" i="10" s="1"/>
  <c r="G391" i="10"/>
  <c r="F391" i="10"/>
  <c r="M390" i="10"/>
  <c r="N390" i="10" s="1"/>
  <c r="J390" i="10"/>
  <c r="F390" i="10"/>
  <c r="G390" i="10" s="1"/>
  <c r="C390" i="10"/>
  <c r="J362" i="10"/>
  <c r="H362" i="10"/>
  <c r="E337" i="10"/>
  <c r="L321" i="10" s="1"/>
  <c r="I325" i="10"/>
  <c r="F325" i="10"/>
  <c r="H325" i="10"/>
  <c r="E325" i="10" s="1"/>
  <c r="G325" i="10"/>
  <c r="D325" i="10"/>
  <c r="C325" i="10"/>
  <c r="M325" i="10" s="1"/>
  <c r="M323" i="10"/>
  <c r="C323" i="10"/>
  <c r="I317" i="10"/>
  <c r="F317" i="10" s="1"/>
  <c r="H317" i="10"/>
  <c r="E317" i="10" s="1"/>
  <c r="G317" i="10"/>
  <c r="D317" i="10"/>
  <c r="C317" i="10"/>
  <c r="J296" i="10"/>
  <c r="K289" i="10"/>
  <c r="K285" i="10"/>
  <c r="M275" i="10"/>
  <c r="F273" i="10"/>
  <c r="M271" i="10"/>
  <c r="K267" i="10"/>
  <c r="M267" i="10" s="1"/>
  <c r="M253" i="10"/>
  <c r="K249" i="10"/>
  <c r="M249" i="10" s="1"/>
  <c r="E241" i="10"/>
  <c r="F241" i="10" s="1"/>
  <c r="I238" i="10"/>
  <c r="N234" i="10" s="1"/>
  <c r="E238" i="10"/>
  <c r="F238" i="10" s="1"/>
  <c r="N236" i="10"/>
  <c r="F235" i="10"/>
  <c r="F146" i="10"/>
  <c r="D146" i="10" s="1"/>
  <c r="D143" i="10"/>
  <c r="C95" i="10"/>
  <c r="C92" i="10"/>
  <c r="C89" i="10"/>
  <c r="D82" i="10"/>
  <c r="H80" i="10"/>
  <c r="E80" i="10"/>
  <c r="H78" i="10"/>
  <c r="E78" i="10"/>
  <c r="Q1" i="10"/>
  <c r="P1" i="10"/>
  <c r="O1" i="10"/>
  <c r="N1" i="10"/>
  <c r="M1" i="10"/>
  <c r="L1" i="10"/>
  <c r="K1" i="10"/>
  <c r="J1" i="10"/>
  <c r="I1" i="10"/>
  <c r="H1" i="10"/>
  <c r="G1" i="10"/>
  <c r="F1" i="10"/>
  <c r="E1" i="10"/>
  <c r="D1" i="10"/>
  <c r="C1" i="10"/>
  <c r="B1" i="10"/>
  <c r="A1" i="10"/>
  <c r="G616" i="10"/>
  <c r="H616" i="10" s="1"/>
  <c r="K616" i="10" s="1"/>
  <c r="H441" i="10"/>
  <c r="H444" i="10"/>
  <c r="L441" i="10"/>
  <c r="L444" i="10" s="1"/>
  <c r="G620" i="10"/>
  <c r="H620" i="10" s="1"/>
  <c r="K620" i="10" s="1"/>
  <c r="E678" i="10"/>
  <c r="U346" i="8"/>
  <c r="T346" i="8"/>
  <c r="R346" i="8"/>
  <c r="Q346" i="8"/>
  <c r="P346" i="8"/>
  <c r="O346" i="8"/>
  <c r="I346" i="8"/>
  <c r="S346" i="8" s="1"/>
  <c r="U345" i="8"/>
  <c r="T345" i="8"/>
  <c r="R345" i="8"/>
  <c r="Q345" i="8"/>
  <c r="P345" i="8"/>
  <c r="O345" i="8"/>
  <c r="I345" i="8"/>
  <c r="S345" i="8" s="1"/>
  <c r="U344" i="8"/>
  <c r="T344" i="8"/>
  <c r="V344" i="8" s="1"/>
  <c r="R344" i="8"/>
  <c r="Q344" i="8"/>
  <c r="P344" i="8"/>
  <c r="O344" i="8"/>
  <c r="I344" i="8"/>
  <c r="S344" i="8" s="1"/>
  <c r="U343" i="8"/>
  <c r="T343" i="8"/>
  <c r="R343" i="8"/>
  <c r="Q343" i="8"/>
  <c r="P343" i="8"/>
  <c r="O343" i="8"/>
  <c r="I343" i="8"/>
  <c r="S343" i="8" s="1"/>
  <c r="U342" i="8"/>
  <c r="T342" i="8"/>
  <c r="S342" i="8"/>
  <c r="R342" i="8"/>
  <c r="Q342" i="8"/>
  <c r="P342" i="8"/>
  <c r="O342" i="8"/>
  <c r="I342" i="8"/>
  <c r="U341" i="8"/>
  <c r="T341" i="8"/>
  <c r="S341" i="8"/>
  <c r="R341" i="8"/>
  <c r="Q341" i="8"/>
  <c r="P341" i="8"/>
  <c r="O341" i="8"/>
  <c r="I341" i="8"/>
  <c r="U340" i="8"/>
  <c r="T340" i="8"/>
  <c r="R340" i="8"/>
  <c r="Q340" i="8"/>
  <c r="P340" i="8"/>
  <c r="O340" i="8"/>
  <c r="I340" i="8"/>
  <c r="S340" i="8" s="1"/>
  <c r="U339" i="8"/>
  <c r="T339" i="8"/>
  <c r="R339" i="8"/>
  <c r="Q339" i="8"/>
  <c r="P339" i="8"/>
  <c r="O339" i="8"/>
  <c r="I339" i="8"/>
  <c r="S339" i="8" s="1"/>
  <c r="U338" i="8"/>
  <c r="T338" i="8"/>
  <c r="R338" i="8"/>
  <c r="Q338" i="8"/>
  <c r="P338" i="8"/>
  <c r="O338" i="8"/>
  <c r="I338" i="8"/>
  <c r="S338" i="8" s="1"/>
  <c r="U337" i="8"/>
  <c r="T337" i="8"/>
  <c r="S337" i="8"/>
  <c r="R337" i="8"/>
  <c r="V337" i="8" s="1"/>
  <c r="Q337" i="8"/>
  <c r="P337" i="8"/>
  <c r="O337" i="8"/>
  <c r="I337" i="8"/>
  <c r="P335" i="8"/>
  <c r="U334" i="8"/>
  <c r="T334" i="8"/>
  <c r="V334" i="8" s="1"/>
  <c r="R334" i="8"/>
  <c r="Q334" i="8"/>
  <c r="P334" i="8"/>
  <c r="O334" i="8"/>
  <c r="I334" i="8"/>
  <c r="S334" i="8"/>
  <c r="P332" i="8"/>
  <c r="U331" i="8"/>
  <c r="T331" i="8"/>
  <c r="R331" i="8"/>
  <c r="Q331" i="8"/>
  <c r="P331" i="8"/>
  <c r="O331" i="8"/>
  <c r="I331" i="8"/>
  <c r="S331" i="8" s="1"/>
  <c r="U330" i="8"/>
  <c r="T330" i="8"/>
  <c r="R330" i="8"/>
  <c r="Q330" i="8"/>
  <c r="P330" i="8"/>
  <c r="O330" i="8"/>
  <c r="I330" i="8"/>
  <c r="S330" i="8" s="1"/>
  <c r="U329" i="8"/>
  <c r="T329" i="8"/>
  <c r="R329" i="8"/>
  <c r="Q329" i="8"/>
  <c r="P329" i="8"/>
  <c r="O329" i="8"/>
  <c r="I329" i="8"/>
  <c r="S329" i="8" s="1"/>
  <c r="U328" i="8"/>
  <c r="T328" i="8"/>
  <c r="R328" i="8"/>
  <c r="Q328" i="8"/>
  <c r="P328" i="8"/>
  <c r="O328" i="8"/>
  <c r="I328" i="8"/>
  <c r="S328" i="8" s="1"/>
  <c r="U327" i="8"/>
  <c r="T327" i="8"/>
  <c r="R327" i="8"/>
  <c r="Q327" i="8"/>
  <c r="P327" i="8"/>
  <c r="O327" i="8"/>
  <c r="I327" i="8"/>
  <c r="S327" i="8" s="1"/>
  <c r="U326" i="8"/>
  <c r="T326" i="8"/>
  <c r="R326" i="8"/>
  <c r="Q326" i="8"/>
  <c r="P326" i="8"/>
  <c r="O326" i="8"/>
  <c r="I326" i="8"/>
  <c r="S326" i="8"/>
  <c r="U325" i="8"/>
  <c r="T325" i="8"/>
  <c r="R325" i="8"/>
  <c r="Q325" i="8"/>
  <c r="P325" i="8"/>
  <c r="O325" i="8"/>
  <c r="I325" i="8"/>
  <c r="S325" i="8"/>
  <c r="U324" i="8"/>
  <c r="T324" i="8"/>
  <c r="R324" i="8"/>
  <c r="Q324" i="8"/>
  <c r="P324" i="8"/>
  <c r="O324" i="8"/>
  <c r="I324" i="8"/>
  <c r="S324" i="8" s="1"/>
  <c r="P322" i="8"/>
  <c r="U321" i="8"/>
  <c r="T321" i="8"/>
  <c r="R321" i="8"/>
  <c r="Q321" i="8"/>
  <c r="P321" i="8"/>
  <c r="O321" i="8"/>
  <c r="I321" i="8"/>
  <c r="S321" i="8" s="1"/>
  <c r="U320" i="8"/>
  <c r="T320" i="8"/>
  <c r="R320" i="8"/>
  <c r="Q320" i="8"/>
  <c r="P320" i="8"/>
  <c r="O320" i="8"/>
  <c r="I320" i="8"/>
  <c r="S320" i="8" s="1"/>
  <c r="U319" i="8"/>
  <c r="T319" i="8"/>
  <c r="R319" i="8"/>
  <c r="Q319" i="8"/>
  <c r="P319" i="8"/>
  <c r="V319" i="8" s="1"/>
  <c r="O319" i="8"/>
  <c r="I319" i="8"/>
  <c r="S319" i="8" s="1"/>
  <c r="U318" i="8"/>
  <c r="T318" i="8"/>
  <c r="R318" i="8"/>
  <c r="Q318" i="8"/>
  <c r="P318" i="8"/>
  <c r="O318" i="8"/>
  <c r="I318" i="8"/>
  <c r="S318" i="8" s="1"/>
  <c r="P316" i="8"/>
  <c r="U315" i="8"/>
  <c r="T315" i="8"/>
  <c r="R315" i="8"/>
  <c r="Q315" i="8"/>
  <c r="P315" i="8"/>
  <c r="O315" i="8"/>
  <c r="I315" i="8"/>
  <c r="S315" i="8"/>
  <c r="U314" i="8"/>
  <c r="T314" i="8"/>
  <c r="R314" i="8"/>
  <c r="Q314" i="8"/>
  <c r="P314" i="8"/>
  <c r="O314" i="8"/>
  <c r="I314" i="8"/>
  <c r="S314" i="8" s="1"/>
  <c r="U313" i="8"/>
  <c r="T313" i="8"/>
  <c r="R313" i="8"/>
  <c r="Q313" i="8"/>
  <c r="P313" i="8"/>
  <c r="O313" i="8"/>
  <c r="I313" i="8"/>
  <c r="S313" i="8" s="1"/>
  <c r="U312" i="8"/>
  <c r="T312" i="8"/>
  <c r="R312" i="8"/>
  <c r="Q312" i="8"/>
  <c r="P312" i="8"/>
  <c r="O312" i="8"/>
  <c r="I312" i="8"/>
  <c r="S312" i="8" s="1"/>
  <c r="U311" i="8"/>
  <c r="T311" i="8"/>
  <c r="R311" i="8"/>
  <c r="Q311" i="8"/>
  <c r="P311" i="8"/>
  <c r="O311" i="8"/>
  <c r="I311" i="8"/>
  <c r="S311" i="8" s="1"/>
  <c r="U310" i="8"/>
  <c r="T310" i="8"/>
  <c r="R310" i="8"/>
  <c r="Q310" i="8"/>
  <c r="P310" i="8"/>
  <c r="V310" i="8" s="1"/>
  <c r="O310" i="8"/>
  <c r="I310" i="8"/>
  <c r="S310" i="8" s="1"/>
  <c r="U309" i="8"/>
  <c r="T309" i="8"/>
  <c r="V309" i="8" s="1"/>
  <c r="R309" i="8"/>
  <c r="Q309" i="8"/>
  <c r="P309" i="8"/>
  <c r="O309" i="8"/>
  <c r="I309" i="8"/>
  <c r="S309" i="8" s="1"/>
  <c r="U308" i="8"/>
  <c r="T308" i="8"/>
  <c r="R308" i="8"/>
  <c r="Q308" i="8"/>
  <c r="P308" i="8"/>
  <c r="O308" i="8"/>
  <c r="I308" i="8"/>
  <c r="S308" i="8" s="1"/>
  <c r="U307" i="8"/>
  <c r="T307" i="8"/>
  <c r="R307" i="8"/>
  <c r="Q307" i="8"/>
  <c r="P307" i="8"/>
  <c r="O307" i="8"/>
  <c r="I307" i="8"/>
  <c r="S307" i="8"/>
  <c r="U306" i="8"/>
  <c r="T306" i="8"/>
  <c r="R306" i="8"/>
  <c r="Q306" i="8"/>
  <c r="P306" i="8"/>
  <c r="O306" i="8"/>
  <c r="I306" i="8"/>
  <c r="S306" i="8" s="1"/>
  <c r="P304" i="8"/>
  <c r="U303" i="8"/>
  <c r="T303" i="8"/>
  <c r="R303" i="8"/>
  <c r="Q303" i="8"/>
  <c r="P303" i="8"/>
  <c r="O303" i="8"/>
  <c r="I303" i="8"/>
  <c r="S303" i="8" s="1"/>
  <c r="U302" i="8"/>
  <c r="T302" i="8"/>
  <c r="R302" i="8"/>
  <c r="Q302" i="8"/>
  <c r="P302" i="8"/>
  <c r="V302" i="8" s="1"/>
  <c r="O302" i="8"/>
  <c r="I302" i="8"/>
  <c r="S302" i="8" s="1"/>
  <c r="U301" i="8"/>
  <c r="T301" i="8"/>
  <c r="R301" i="8"/>
  <c r="Q301" i="8"/>
  <c r="P301" i="8"/>
  <c r="O301" i="8"/>
  <c r="I301" i="8"/>
  <c r="S301" i="8" s="1"/>
  <c r="U300" i="8"/>
  <c r="T300" i="8"/>
  <c r="R300" i="8"/>
  <c r="Q300" i="8"/>
  <c r="P300" i="8"/>
  <c r="O300" i="8"/>
  <c r="I300" i="8"/>
  <c r="S300" i="8"/>
  <c r="U299" i="8"/>
  <c r="T299" i="8"/>
  <c r="R299" i="8"/>
  <c r="Q299" i="8"/>
  <c r="P299" i="8"/>
  <c r="O299" i="8"/>
  <c r="I299" i="8"/>
  <c r="S299" i="8"/>
  <c r="U298" i="8"/>
  <c r="T298" i="8"/>
  <c r="R298" i="8"/>
  <c r="Q298" i="8"/>
  <c r="P298" i="8"/>
  <c r="O298" i="8"/>
  <c r="I298" i="8"/>
  <c r="S298" i="8" s="1"/>
  <c r="U297" i="8"/>
  <c r="T297" i="8"/>
  <c r="S297" i="8"/>
  <c r="R297" i="8"/>
  <c r="Q297" i="8"/>
  <c r="P297" i="8"/>
  <c r="O297" i="8"/>
  <c r="I297" i="8"/>
  <c r="U296" i="8"/>
  <c r="T296" i="8"/>
  <c r="R296" i="8"/>
  <c r="Q296" i="8"/>
  <c r="P296" i="8"/>
  <c r="O296" i="8"/>
  <c r="I296" i="8"/>
  <c r="S296" i="8" s="1"/>
  <c r="P294" i="8"/>
  <c r="U293" i="8"/>
  <c r="T293" i="8"/>
  <c r="R293" i="8"/>
  <c r="Q293" i="8"/>
  <c r="P293" i="8"/>
  <c r="O293" i="8"/>
  <c r="I293" i="8"/>
  <c r="S293" i="8" s="1"/>
  <c r="U292" i="8"/>
  <c r="T292" i="8"/>
  <c r="R292" i="8"/>
  <c r="Q292" i="8"/>
  <c r="P292" i="8"/>
  <c r="O292" i="8"/>
  <c r="I292" i="8"/>
  <c r="S292" i="8" s="1"/>
  <c r="U291" i="8"/>
  <c r="T291" i="8"/>
  <c r="R291" i="8"/>
  <c r="Q291" i="8"/>
  <c r="P291" i="8"/>
  <c r="O291" i="8"/>
  <c r="I291" i="8"/>
  <c r="S291" i="8"/>
  <c r="U290" i="8"/>
  <c r="T290" i="8"/>
  <c r="R290" i="8"/>
  <c r="Q290" i="8"/>
  <c r="P290" i="8"/>
  <c r="O290" i="8"/>
  <c r="I290" i="8"/>
  <c r="S290" i="8"/>
  <c r="U289" i="8"/>
  <c r="T289" i="8"/>
  <c r="R289" i="8"/>
  <c r="Q289" i="8"/>
  <c r="P289" i="8"/>
  <c r="O289" i="8"/>
  <c r="I289" i="8"/>
  <c r="S289" i="8"/>
  <c r="P287" i="8"/>
  <c r="U286" i="8"/>
  <c r="T286" i="8"/>
  <c r="R286" i="8"/>
  <c r="Q286" i="8"/>
  <c r="P286" i="8"/>
  <c r="O286" i="8"/>
  <c r="I286" i="8"/>
  <c r="S286" i="8" s="1"/>
  <c r="U285" i="8"/>
  <c r="T285" i="8"/>
  <c r="R285" i="8"/>
  <c r="Q285" i="8"/>
  <c r="V285" i="8" s="1"/>
  <c r="P285" i="8"/>
  <c r="O285" i="8"/>
  <c r="I285" i="8"/>
  <c r="S285" i="8" s="1"/>
  <c r="P283" i="8"/>
  <c r="U282" i="8"/>
  <c r="T282" i="8"/>
  <c r="R282" i="8"/>
  <c r="Q282" i="8"/>
  <c r="P282" i="8"/>
  <c r="O282" i="8"/>
  <c r="I282" i="8"/>
  <c r="S282" i="8" s="1"/>
  <c r="U281" i="8"/>
  <c r="T281" i="8"/>
  <c r="R281" i="8"/>
  <c r="Q281" i="8"/>
  <c r="P281" i="8"/>
  <c r="O281" i="8"/>
  <c r="I281" i="8"/>
  <c r="S281" i="8" s="1"/>
  <c r="P279" i="8"/>
  <c r="U278" i="8"/>
  <c r="T278" i="8"/>
  <c r="R278" i="8"/>
  <c r="Q278" i="8"/>
  <c r="P278" i="8"/>
  <c r="O278" i="8"/>
  <c r="I278" i="8"/>
  <c r="S278" i="8" s="1"/>
  <c r="U277" i="8"/>
  <c r="T277" i="8"/>
  <c r="R277" i="8"/>
  <c r="Q277" i="8"/>
  <c r="P277" i="8"/>
  <c r="O277" i="8"/>
  <c r="I277" i="8"/>
  <c r="S277" i="8" s="1"/>
  <c r="U276" i="8"/>
  <c r="T276" i="8"/>
  <c r="R276" i="8"/>
  <c r="Q276" i="8"/>
  <c r="P276" i="8"/>
  <c r="O276" i="8"/>
  <c r="I276" i="8"/>
  <c r="S276" i="8" s="1"/>
  <c r="U275" i="8"/>
  <c r="T275" i="8"/>
  <c r="R275" i="8"/>
  <c r="Q275" i="8"/>
  <c r="P275" i="8"/>
  <c r="O275" i="8"/>
  <c r="I275" i="8"/>
  <c r="S275" i="8" s="1"/>
  <c r="U274" i="8"/>
  <c r="T274" i="8"/>
  <c r="R274" i="8"/>
  <c r="Q274" i="8"/>
  <c r="P274" i="8"/>
  <c r="O274" i="8"/>
  <c r="I274" i="8"/>
  <c r="S274" i="8"/>
  <c r="U273" i="8"/>
  <c r="T273" i="8"/>
  <c r="R273" i="8"/>
  <c r="Q273" i="8"/>
  <c r="P273" i="8"/>
  <c r="O273" i="8"/>
  <c r="I273" i="8"/>
  <c r="S273" i="8" s="1"/>
  <c r="U272" i="8"/>
  <c r="T272" i="8"/>
  <c r="R272" i="8"/>
  <c r="Q272" i="8"/>
  <c r="P272" i="8"/>
  <c r="O272" i="8"/>
  <c r="I272" i="8"/>
  <c r="S272" i="8" s="1"/>
  <c r="U271" i="8"/>
  <c r="T271" i="8"/>
  <c r="R271" i="8"/>
  <c r="Q271" i="8"/>
  <c r="P271" i="8"/>
  <c r="O271" i="8"/>
  <c r="I271" i="8"/>
  <c r="S271" i="8" s="1"/>
  <c r="U270" i="8"/>
  <c r="T270" i="8"/>
  <c r="R270" i="8"/>
  <c r="Q270" i="8"/>
  <c r="P270" i="8"/>
  <c r="O270" i="8"/>
  <c r="I270" i="8"/>
  <c r="S270" i="8" s="1"/>
  <c r="U269" i="8"/>
  <c r="T269" i="8"/>
  <c r="R269" i="8"/>
  <c r="Q269" i="8"/>
  <c r="P269" i="8"/>
  <c r="O269" i="8"/>
  <c r="I269" i="8"/>
  <c r="S269" i="8" s="1"/>
  <c r="U268" i="8"/>
  <c r="T268" i="8"/>
  <c r="R268" i="8"/>
  <c r="Q268" i="8"/>
  <c r="V268" i="8" s="1"/>
  <c r="P268" i="8"/>
  <c r="O268" i="8"/>
  <c r="I268" i="8"/>
  <c r="S268" i="8" s="1"/>
  <c r="U267" i="8"/>
  <c r="T267" i="8"/>
  <c r="R267" i="8"/>
  <c r="Q267" i="8"/>
  <c r="P267" i="8"/>
  <c r="V267" i="8" s="1"/>
  <c r="O267" i="8"/>
  <c r="I267" i="8"/>
  <c r="S267" i="8" s="1"/>
  <c r="U266" i="8"/>
  <c r="T266" i="8"/>
  <c r="R266" i="8"/>
  <c r="Q266" i="8"/>
  <c r="P266" i="8"/>
  <c r="O266" i="8"/>
  <c r="I266" i="8"/>
  <c r="S266" i="8"/>
  <c r="U265" i="8"/>
  <c r="T265" i="8"/>
  <c r="V265" i="8" s="1"/>
  <c r="R265" i="8"/>
  <c r="Q265" i="8"/>
  <c r="P265" i="8"/>
  <c r="O265" i="8"/>
  <c r="I265" i="8"/>
  <c r="S265" i="8" s="1"/>
  <c r="U264" i="8"/>
  <c r="T264" i="8"/>
  <c r="R264" i="8"/>
  <c r="Q264" i="8"/>
  <c r="P264" i="8"/>
  <c r="O264" i="8"/>
  <c r="I264" i="8"/>
  <c r="S264" i="8" s="1"/>
  <c r="P262" i="8"/>
  <c r="U261" i="8"/>
  <c r="T261" i="8"/>
  <c r="R261" i="8"/>
  <c r="Q261" i="8"/>
  <c r="P261" i="8"/>
  <c r="O261" i="8"/>
  <c r="I261" i="8"/>
  <c r="S261" i="8" s="1"/>
  <c r="U260" i="8"/>
  <c r="T260" i="8"/>
  <c r="S260" i="8"/>
  <c r="R260" i="8"/>
  <c r="Q260" i="8"/>
  <c r="P260" i="8"/>
  <c r="O260" i="8"/>
  <c r="I260" i="8"/>
  <c r="U259" i="8"/>
  <c r="T259" i="8"/>
  <c r="R259" i="8"/>
  <c r="Q259" i="8"/>
  <c r="P259" i="8"/>
  <c r="O259" i="8"/>
  <c r="I259" i="8"/>
  <c r="S259" i="8" s="1"/>
  <c r="U258" i="8"/>
  <c r="T258" i="8"/>
  <c r="R258" i="8"/>
  <c r="Q258" i="8"/>
  <c r="P258" i="8"/>
  <c r="O258" i="8"/>
  <c r="I258" i="8"/>
  <c r="S258" i="8" s="1"/>
  <c r="U257" i="8"/>
  <c r="T257" i="8"/>
  <c r="R257" i="8"/>
  <c r="Q257" i="8"/>
  <c r="P257" i="8"/>
  <c r="V257" i="8" s="1"/>
  <c r="O257" i="8"/>
  <c r="I257" i="8"/>
  <c r="S257" i="8" s="1"/>
  <c r="U256" i="8"/>
  <c r="T256" i="8"/>
  <c r="R256" i="8"/>
  <c r="Q256" i="8"/>
  <c r="P256" i="8"/>
  <c r="O256" i="8"/>
  <c r="I256" i="8"/>
  <c r="S256" i="8" s="1"/>
  <c r="U255" i="8"/>
  <c r="T255" i="8"/>
  <c r="R255" i="8"/>
  <c r="Q255" i="8"/>
  <c r="P255" i="8"/>
  <c r="O255" i="8"/>
  <c r="I255" i="8"/>
  <c r="S255" i="8"/>
  <c r="U254" i="8"/>
  <c r="T254" i="8"/>
  <c r="R254" i="8"/>
  <c r="Q254" i="8"/>
  <c r="P254" i="8"/>
  <c r="O254" i="8"/>
  <c r="I254" i="8"/>
  <c r="S254" i="8"/>
  <c r="U253" i="8"/>
  <c r="T253" i="8"/>
  <c r="R253" i="8"/>
  <c r="Q253" i="8"/>
  <c r="P253" i="8"/>
  <c r="O253" i="8"/>
  <c r="I253" i="8"/>
  <c r="S253" i="8" s="1"/>
  <c r="U252" i="8"/>
  <c r="T252" i="8"/>
  <c r="S252" i="8"/>
  <c r="R252" i="8"/>
  <c r="Q252" i="8"/>
  <c r="P252" i="8"/>
  <c r="O252" i="8"/>
  <c r="I252" i="8"/>
  <c r="P250" i="8"/>
  <c r="U249" i="8"/>
  <c r="T249" i="8"/>
  <c r="R249" i="8"/>
  <c r="Q249" i="8"/>
  <c r="P249" i="8"/>
  <c r="O249" i="8"/>
  <c r="I249" i="8"/>
  <c r="S249" i="8" s="1"/>
  <c r="U248" i="8"/>
  <c r="T248" i="8"/>
  <c r="R248" i="8"/>
  <c r="Q248" i="8"/>
  <c r="P248" i="8"/>
  <c r="O248" i="8"/>
  <c r="I248" i="8"/>
  <c r="S248" i="8" s="1"/>
  <c r="U247" i="8"/>
  <c r="T247" i="8"/>
  <c r="R247" i="8"/>
  <c r="Q247" i="8"/>
  <c r="P247" i="8"/>
  <c r="O247" i="8"/>
  <c r="I247" i="8"/>
  <c r="S247" i="8" s="1"/>
  <c r="U246" i="8"/>
  <c r="T246" i="8"/>
  <c r="R246" i="8"/>
  <c r="Q246" i="8"/>
  <c r="P246" i="8"/>
  <c r="O246" i="8"/>
  <c r="I246" i="8"/>
  <c r="S246" i="8"/>
  <c r="U245" i="8"/>
  <c r="T245" i="8"/>
  <c r="R245" i="8"/>
  <c r="Q245" i="8"/>
  <c r="P245" i="8"/>
  <c r="O245" i="8"/>
  <c r="I245" i="8"/>
  <c r="S245" i="8"/>
  <c r="U244" i="8"/>
  <c r="T244" i="8"/>
  <c r="R244" i="8"/>
  <c r="Q244" i="8"/>
  <c r="P244" i="8"/>
  <c r="O244" i="8"/>
  <c r="I244" i="8"/>
  <c r="S244" i="8"/>
  <c r="U243" i="8"/>
  <c r="T243" i="8"/>
  <c r="R243" i="8"/>
  <c r="Q243" i="8"/>
  <c r="P243" i="8"/>
  <c r="O243" i="8"/>
  <c r="I243" i="8"/>
  <c r="S243" i="8" s="1"/>
  <c r="P241" i="8"/>
  <c r="U240" i="8"/>
  <c r="T240" i="8"/>
  <c r="R240" i="8"/>
  <c r="Q240" i="8"/>
  <c r="P240" i="8"/>
  <c r="O240" i="8"/>
  <c r="I240" i="8"/>
  <c r="S240" i="8" s="1"/>
  <c r="U239" i="8"/>
  <c r="T239" i="8"/>
  <c r="R239" i="8"/>
  <c r="Q239" i="8"/>
  <c r="P239" i="8"/>
  <c r="O239" i="8"/>
  <c r="I239" i="8"/>
  <c r="S239" i="8" s="1"/>
  <c r="U238" i="8"/>
  <c r="T238" i="8"/>
  <c r="R238" i="8"/>
  <c r="Q238" i="8"/>
  <c r="P238" i="8"/>
  <c r="O238" i="8"/>
  <c r="I238" i="8"/>
  <c r="S238" i="8" s="1"/>
  <c r="U237" i="8"/>
  <c r="T237" i="8"/>
  <c r="R237" i="8"/>
  <c r="Q237" i="8"/>
  <c r="P237" i="8"/>
  <c r="O237" i="8"/>
  <c r="I237" i="8"/>
  <c r="S237" i="8" s="1"/>
  <c r="U236" i="8"/>
  <c r="T236" i="8"/>
  <c r="R236" i="8"/>
  <c r="Q236" i="8"/>
  <c r="P236" i="8"/>
  <c r="O236" i="8"/>
  <c r="I236" i="8"/>
  <c r="S236" i="8" s="1"/>
  <c r="P234" i="8"/>
  <c r="U233" i="8"/>
  <c r="T233" i="8"/>
  <c r="S233" i="8"/>
  <c r="V233" i="8" s="1"/>
  <c r="R233" i="8"/>
  <c r="Q233" i="8"/>
  <c r="P233" i="8"/>
  <c r="O233" i="8"/>
  <c r="I233" i="8"/>
  <c r="U232" i="8"/>
  <c r="T232" i="8"/>
  <c r="R232" i="8"/>
  <c r="Q232" i="8"/>
  <c r="P232" i="8"/>
  <c r="O232" i="8"/>
  <c r="I232" i="8"/>
  <c r="S232" i="8" s="1"/>
  <c r="U231" i="8"/>
  <c r="T231" i="8"/>
  <c r="R231" i="8"/>
  <c r="Q231" i="8"/>
  <c r="P231" i="8"/>
  <c r="O231" i="8"/>
  <c r="I231" i="8"/>
  <c r="S231" i="8" s="1"/>
  <c r="U230" i="8"/>
  <c r="T230" i="8"/>
  <c r="R230" i="8"/>
  <c r="Q230" i="8"/>
  <c r="P230" i="8"/>
  <c r="O230" i="8"/>
  <c r="I230" i="8"/>
  <c r="S230" i="8"/>
  <c r="U229" i="8"/>
  <c r="T229" i="8"/>
  <c r="R229" i="8"/>
  <c r="Q229" i="8"/>
  <c r="P229" i="8"/>
  <c r="O229" i="8"/>
  <c r="I229" i="8"/>
  <c r="S229" i="8" s="1"/>
  <c r="U228" i="8"/>
  <c r="T228" i="8"/>
  <c r="R228" i="8"/>
  <c r="Q228" i="8"/>
  <c r="P228" i="8"/>
  <c r="O228" i="8"/>
  <c r="I228" i="8"/>
  <c r="S228" i="8"/>
  <c r="U227" i="8"/>
  <c r="T227" i="8"/>
  <c r="V227" i="8" s="1"/>
  <c r="R227" i="8"/>
  <c r="Q227" i="8"/>
  <c r="P227" i="8"/>
  <c r="O227" i="8"/>
  <c r="I227" i="8"/>
  <c r="S227" i="8"/>
  <c r="P225" i="8"/>
  <c r="P223" i="8"/>
  <c r="U222" i="8"/>
  <c r="T222" i="8"/>
  <c r="R222" i="8"/>
  <c r="Q222" i="8"/>
  <c r="V222" i="8" s="1"/>
  <c r="P222" i="8"/>
  <c r="O222" i="8"/>
  <c r="I222" i="8"/>
  <c r="S222" i="8" s="1"/>
  <c r="U221" i="8"/>
  <c r="T221" i="8"/>
  <c r="R221" i="8"/>
  <c r="Q221" i="8"/>
  <c r="P221" i="8"/>
  <c r="O221" i="8"/>
  <c r="I221" i="8"/>
  <c r="S221" i="8" s="1"/>
  <c r="U220" i="8"/>
  <c r="T220" i="8"/>
  <c r="R220" i="8"/>
  <c r="Q220" i="8"/>
  <c r="P220" i="8"/>
  <c r="V220" i="8" s="1"/>
  <c r="O220" i="8"/>
  <c r="I220" i="8"/>
  <c r="S220" i="8" s="1"/>
  <c r="U219" i="8"/>
  <c r="T219" i="8"/>
  <c r="R219" i="8"/>
  <c r="Q219" i="8"/>
  <c r="P219" i="8"/>
  <c r="O219" i="8"/>
  <c r="I219" i="8"/>
  <c r="S219" i="8" s="1"/>
  <c r="U218" i="8"/>
  <c r="T218" i="8"/>
  <c r="R218" i="8"/>
  <c r="Q218" i="8"/>
  <c r="P218" i="8"/>
  <c r="V218" i="8"/>
  <c r="O218" i="8"/>
  <c r="I218" i="8"/>
  <c r="S218" i="8"/>
  <c r="U217" i="8"/>
  <c r="T217" i="8"/>
  <c r="R217" i="8"/>
  <c r="Q217" i="8"/>
  <c r="P217" i="8"/>
  <c r="V217" i="8" s="1"/>
  <c r="O217" i="8"/>
  <c r="I217" i="8"/>
  <c r="S217" i="8"/>
  <c r="P215" i="8"/>
  <c r="U214" i="8"/>
  <c r="T214" i="8"/>
  <c r="S214" i="8"/>
  <c r="R214" i="8"/>
  <c r="V214" i="8" s="1"/>
  <c r="Q214" i="8"/>
  <c r="P214" i="8"/>
  <c r="O214" i="8"/>
  <c r="U213" i="8"/>
  <c r="T213" i="8"/>
  <c r="S213" i="8"/>
  <c r="R213" i="8"/>
  <c r="V213" i="8" s="1"/>
  <c r="Q213" i="8"/>
  <c r="P213" i="8"/>
  <c r="O213" i="8"/>
  <c r="I213" i="8"/>
  <c r="U212" i="8"/>
  <c r="T212" i="8"/>
  <c r="R212" i="8"/>
  <c r="Q212" i="8"/>
  <c r="P212" i="8"/>
  <c r="O212" i="8"/>
  <c r="I212" i="8"/>
  <c r="S212" i="8" s="1"/>
  <c r="U211" i="8"/>
  <c r="T211" i="8"/>
  <c r="R211" i="8"/>
  <c r="Q211" i="8"/>
  <c r="V211" i="8" s="1"/>
  <c r="P211" i="8"/>
  <c r="O211" i="8"/>
  <c r="I211" i="8"/>
  <c r="S211" i="8" s="1"/>
  <c r="U210" i="8"/>
  <c r="T210" i="8"/>
  <c r="R210" i="8"/>
  <c r="Q210" i="8"/>
  <c r="P210" i="8"/>
  <c r="V210" i="8" s="1"/>
  <c r="O210" i="8"/>
  <c r="I210" i="8"/>
  <c r="S210" i="8" s="1"/>
  <c r="U209" i="8"/>
  <c r="T209" i="8"/>
  <c r="R209" i="8"/>
  <c r="Q209" i="8"/>
  <c r="P209" i="8"/>
  <c r="O209" i="8"/>
  <c r="I209" i="8"/>
  <c r="S209" i="8" s="1"/>
  <c r="U208" i="8"/>
  <c r="T208" i="8"/>
  <c r="R208" i="8"/>
  <c r="Q208" i="8"/>
  <c r="P208" i="8"/>
  <c r="V208" i="8"/>
  <c r="O208" i="8"/>
  <c r="I208" i="8"/>
  <c r="S208" i="8"/>
  <c r="U207" i="8"/>
  <c r="T207" i="8"/>
  <c r="R207" i="8"/>
  <c r="Q207" i="8"/>
  <c r="P207" i="8"/>
  <c r="V207" i="8" s="1"/>
  <c r="O207" i="8"/>
  <c r="I207" i="8"/>
  <c r="S207" i="8"/>
  <c r="U206" i="8"/>
  <c r="T206" i="8"/>
  <c r="R206" i="8"/>
  <c r="Q206" i="8"/>
  <c r="P206" i="8"/>
  <c r="O206" i="8"/>
  <c r="I206" i="8"/>
  <c r="S206" i="8"/>
  <c r="U205" i="8"/>
  <c r="T205" i="8"/>
  <c r="R205" i="8"/>
  <c r="Q205" i="8"/>
  <c r="P205" i="8"/>
  <c r="O205" i="8"/>
  <c r="I205" i="8"/>
  <c r="S205" i="8" s="1"/>
  <c r="U204" i="8"/>
  <c r="T204" i="8"/>
  <c r="R204" i="8"/>
  <c r="Q204" i="8"/>
  <c r="P204" i="8"/>
  <c r="O204" i="8"/>
  <c r="I204" i="8"/>
  <c r="S204" i="8" s="1"/>
  <c r="U203" i="8"/>
  <c r="T203" i="8"/>
  <c r="R203" i="8"/>
  <c r="Q203" i="8"/>
  <c r="P203" i="8"/>
  <c r="O203" i="8"/>
  <c r="I203" i="8"/>
  <c r="S203" i="8" s="1"/>
  <c r="P201" i="8"/>
  <c r="U200" i="8"/>
  <c r="T200" i="8"/>
  <c r="R200" i="8"/>
  <c r="Q200" i="8"/>
  <c r="P200" i="8"/>
  <c r="V200" i="8" s="1"/>
  <c r="I200" i="8"/>
  <c r="S200" i="8" s="1"/>
  <c r="P198" i="8"/>
  <c r="U197" i="8"/>
  <c r="T197" i="8"/>
  <c r="V197" i="8" s="1"/>
  <c r="R197" i="8"/>
  <c r="Q197" i="8"/>
  <c r="P197" i="8"/>
  <c r="O197" i="8"/>
  <c r="I197" i="8"/>
  <c r="S197" i="8"/>
  <c r="U196" i="8"/>
  <c r="T196" i="8"/>
  <c r="V196" i="8" s="1"/>
  <c r="R196" i="8"/>
  <c r="Q196" i="8"/>
  <c r="P196" i="8"/>
  <c r="O196" i="8"/>
  <c r="I196" i="8"/>
  <c r="S196" i="8"/>
  <c r="U195" i="8"/>
  <c r="T195" i="8"/>
  <c r="R195" i="8"/>
  <c r="Q195" i="8"/>
  <c r="P195" i="8"/>
  <c r="O195" i="8"/>
  <c r="I195" i="8"/>
  <c r="S195" i="8"/>
  <c r="U194" i="8"/>
  <c r="T194" i="8"/>
  <c r="R194" i="8"/>
  <c r="Q194" i="8"/>
  <c r="P194" i="8"/>
  <c r="O194" i="8"/>
  <c r="I194" i="8"/>
  <c r="S194" i="8" s="1"/>
  <c r="U193" i="8"/>
  <c r="T193" i="8"/>
  <c r="R193" i="8"/>
  <c r="Q193" i="8"/>
  <c r="P193" i="8"/>
  <c r="O193" i="8"/>
  <c r="I193" i="8"/>
  <c r="S193" i="8" s="1"/>
  <c r="U192" i="8"/>
  <c r="T192" i="8"/>
  <c r="R192" i="8"/>
  <c r="Q192" i="8"/>
  <c r="V192" i="8" s="1"/>
  <c r="P192" i="8"/>
  <c r="O192" i="8"/>
  <c r="I192" i="8"/>
  <c r="S192" i="8" s="1"/>
  <c r="U191" i="8"/>
  <c r="T191" i="8"/>
  <c r="R191" i="8"/>
  <c r="Q191" i="8"/>
  <c r="P191" i="8"/>
  <c r="V191" i="8" s="1"/>
  <c r="O191" i="8"/>
  <c r="I191" i="8"/>
  <c r="S191" i="8"/>
  <c r="U190" i="8"/>
  <c r="T190" i="8"/>
  <c r="R190" i="8"/>
  <c r="Q190" i="8"/>
  <c r="P190" i="8"/>
  <c r="V190" i="8" s="1"/>
  <c r="O190" i="8"/>
  <c r="I190" i="8"/>
  <c r="S190" i="8" s="1"/>
  <c r="U189" i="8"/>
  <c r="T189" i="8"/>
  <c r="V189" i="8" s="1"/>
  <c r="R189" i="8"/>
  <c r="Q189" i="8"/>
  <c r="P189" i="8"/>
  <c r="O189" i="8"/>
  <c r="I189" i="8"/>
  <c r="S189" i="8"/>
  <c r="U188" i="8"/>
  <c r="T188" i="8"/>
  <c r="V188" i="8" s="1"/>
  <c r="R188" i="8"/>
  <c r="Q188" i="8"/>
  <c r="P188" i="8"/>
  <c r="O188" i="8"/>
  <c r="I188" i="8"/>
  <c r="S188" i="8"/>
  <c r="U187" i="8"/>
  <c r="T187" i="8"/>
  <c r="R187" i="8"/>
  <c r="Q187" i="8"/>
  <c r="P187" i="8"/>
  <c r="O187" i="8"/>
  <c r="I187" i="8"/>
  <c r="S187" i="8"/>
  <c r="U186" i="8"/>
  <c r="T186" i="8"/>
  <c r="R186" i="8"/>
  <c r="Q186" i="8"/>
  <c r="P186" i="8"/>
  <c r="O186" i="8"/>
  <c r="I186" i="8"/>
  <c r="S186" i="8" s="1"/>
  <c r="U185" i="8"/>
  <c r="T185" i="8"/>
  <c r="R185" i="8"/>
  <c r="Q185" i="8"/>
  <c r="P185" i="8"/>
  <c r="O185" i="8"/>
  <c r="I185" i="8"/>
  <c r="S185" i="8" s="1"/>
  <c r="U184" i="8"/>
  <c r="T184" i="8"/>
  <c r="R184" i="8"/>
  <c r="Q184" i="8"/>
  <c r="P184" i="8"/>
  <c r="O184" i="8"/>
  <c r="I184" i="8"/>
  <c r="S184" i="8" s="1"/>
  <c r="U183" i="8"/>
  <c r="T183" i="8"/>
  <c r="R183" i="8"/>
  <c r="Q183" i="8"/>
  <c r="P183" i="8"/>
  <c r="O183" i="8"/>
  <c r="I183" i="8"/>
  <c r="S183" i="8"/>
  <c r="P181" i="8"/>
  <c r="U180" i="8"/>
  <c r="T180" i="8"/>
  <c r="R180" i="8"/>
  <c r="Q180" i="8"/>
  <c r="P180" i="8"/>
  <c r="O180" i="8"/>
  <c r="I180" i="8"/>
  <c r="S180" i="8"/>
  <c r="U179" i="8"/>
  <c r="T179" i="8"/>
  <c r="R179" i="8"/>
  <c r="Q179" i="8"/>
  <c r="P179" i="8"/>
  <c r="O179" i="8"/>
  <c r="I179" i="8"/>
  <c r="S179" i="8"/>
  <c r="U178" i="8"/>
  <c r="T178" i="8"/>
  <c r="R178" i="8"/>
  <c r="Q178" i="8"/>
  <c r="P178" i="8"/>
  <c r="O178" i="8"/>
  <c r="I178" i="8"/>
  <c r="S178" i="8"/>
  <c r="U177" i="8"/>
  <c r="T177" i="8"/>
  <c r="R177" i="8"/>
  <c r="Q177" i="8"/>
  <c r="V177" i="8" s="1"/>
  <c r="P177" i="8"/>
  <c r="O177" i="8"/>
  <c r="I177" i="8"/>
  <c r="S177" i="8" s="1"/>
  <c r="U176" i="8"/>
  <c r="T176" i="8"/>
  <c r="R176" i="8"/>
  <c r="Q176" i="8"/>
  <c r="P176" i="8"/>
  <c r="O176" i="8"/>
  <c r="I176" i="8"/>
  <c r="S176" i="8"/>
  <c r="U175" i="8"/>
  <c r="T175" i="8"/>
  <c r="R175" i="8"/>
  <c r="Q175" i="8"/>
  <c r="P175" i="8"/>
  <c r="O175" i="8"/>
  <c r="I175" i="8"/>
  <c r="S175" i="8" s="1"/>
  <c r="U174" i="8"/>
  <c r="T174" i="8"/>
  <c r="R174" i="8"/>
  <c r="Q174" i="8"/>
  <c r="P174" i="8"/>
  <c r="O174" i="8"/>
  <c r="I174" i="8"/>
  <c r="S174" i="8"/>
  <c r="U173" i="8"/>
  <c r="T173" i="8"/>
  <c r="R173" i="8"/>
  <c r="Q173" i="8"/>
  <c r="P173" i="8"/>
  <c r="O173" i="8"/>
  <c r="I173" i="8"/>
  <c r="S173" i="8" s="1"/>
  <c r="U172" i="8"/>
  <c r="T172" i="8"/>
  <c r="R172" i="8"/>
  <c r="Q172" i="8"/>
  <c r="P172" i="8"/>
  <c r="O172" i="8"/>
  <c r="I172" i="8"/>
  <c r="S172" i="8" s="1"/>
  <c r="U171" i="8"/>
  <c r="T171" i="8"/>
  <c r="R171" i="8"/>
  <c r="Q171" i="8"/>
  <c r="P171" i="8"/>
  <c r="O171" i="8"/>
  <c r="I171" i="8"/>
  <c r="S171" i="8" s="1"/>
  <c r="U170" i="8"/>
  <c r="T170" i="8"/>
  <c r="R170" i="8"/>
  <c r="Q170" i="8"/>
  <c r="P170" i="8"/>
  <c r="O170" i="8"/>
  <c r="I170" i="8"/>
  <c r="S170" i="8" s="1"/>
  <c r="U169" i="8"/>
  <c r="T169" i="8"/>
  <c r="R169" i="8"/>
  <c r="Q169" i="8"/>
  <c r="P169" i="8"/>
  <c r="O169" i="8"/>
  <c r="I169" i="8"/>
  <c r="S169" i="8" s="1"/>
  <c r="U168" i="8"/>
  <c r="T168" i="8"/>
  <c r="R168" i="8"/>
  <c r="Q168" i="8"/>
  <c r="P168" i="8"/>
  <c r="O168" i="8"/>
  <c r="I168" i="8"/>
  <c r="S168" i="8" s="1"/>
  <c r="P166" i="8"/>
  <c r="U165" i="8"/>
  <c r="T165" i="8"/>
  <c r="R165" i="8"/>
  <c r="Q165" i="8"/>
  <c r="V165" i="8" s="1"/>
  <c r="P165" i="8"/>
  <c r="O165" i="8"/>
  <c r="I165" i="8"/>
  <c r="S165" i="8" s="1"/>
  <c r="V164" i="8"/>
  <c r="B156" i="8"/>
  <c r="V155" i="8"/>
  <c r="U155" i="8"/>
  <c r="T155" i="8"/>
  <c r="S155" i="8"/>
  <c r="R155" i="8"/>
  <c r="Q155" i="8"/>
  <c r="P155" i="8"/>
  <c r="L155" i="8"/>
  <c r="K155" i="8"/>
  <c r="J155" i="8"/>
  <c r="I155" i="8"/>
  <c r="H155" i="8"/>
  <c r="G155" i="8"/>
  <c r="F155" i="8"/>
  <c r="E155" i="8"/>
  <c r="D155" i="8"/>
  <c r="C155" i="8"/>
  <c r="B155" i="8"/>
  <c r="C150" i="8"/>
  <c r="C145" i="8"/>
  <c r="O143" i="8"/>
  <c r="N143" i="8"/>
  <c r="M143" i="8"/>
  <c r="L143" i="8"/>
  <c r="K143" i="8"/>
  <c r="J143" i="8"/>
  <c r="I143" i="8"/>
  <c r="H143" i="8"/>
  <c r="G143" i="8"/>
  <c r="F143" i="8"/>
  <c r="E143" i="8"/>
  <c r="D143" i="8"/>
  <c r="C143" i="8"/>
  <c r="B143" i="8"/>
  <c r="C123" i="8"/>
  <c r="C122" i="8"/>
  <c r="C121" i="8"/>
  <c r="C120" i="8"/>
  <c r="C119" i="8"/>
  <c r="C118" i="8"/>
  <c r="M131" i="8"/>
  <c r="H98" i="8"/>
  <c r="C98" i="8"/>
  <c r="F98" i="8" s="1"/>
  <c r="K98" i="8" s="1"/>
  <c r="H97" i="8"/>
  <c r="L110" i="8" s="1"/>
  <c r="M110" i="8" s="1"/>
  <c r="N110" i="8" s="1"/>
  <c r="O110" i="8" s="1"/>
  <c r="C97" i="8"/>
  <c r="H96" i="8"/>
  <c r="C96" i="8"/>
  <c r="H95" i="8"/>
  <c r="C95" i="8"/>
  <c r="H94" i="8"/>
  <c r="L107" i="8" s="1"/>
  <c r="M107" i="8" s="1"/>
  <c r="N107" i="8" s="1"/>
  <c r="O107" i="8" s="1"/>
  <c r="F94" i="8"/>
  <c r="K94" i="8" s="1"/>
  <c r="C94" i="8"/>
  <c r="H93" i="8"/>
  <c r="F93" i="8"/>
  <c r="K93" i="8" s="1"/>
  <c r="C93" i="8"/>
  <c r="C106" i="8" s="1"/>
  <c r="F106" i="8" s="1"/>
  <c r="M84" i="8"/>
  <c r="N84" i="8"/>
  <c r="O84" i="8" s="1"/>
  <c r="L84" i="8"/>
  <c r="C84" i="8"/>
  <c r="F84" i="8" s="1"/>
  <c r="H84" i="8" s="1"/>
  <c r="I84" i="8" s="1"/>
  <c r="J84" i="8" s="1"/>
  <c r="M83" i="8"/>
  <c r="N83" i="8" s="1"/>
  <c r="L83" i="8"/>
  <c r="L86" i="8" s="1"/>
  <c r="C83" i="8"/>
  <c r="F83" i="8" s="1"/>
  <c r="M82" i="8"/>
  <c r="N82" i="8" s="1"/>
  <c r="O82" i="8" s="1"/>
  <c r="L82" i="8"/>
  <c r="C82" i="8"/>
  <c r="F82" i="8" s="1"/>
  <c r="H82" i="8" s="1"/>
  <c r="M81" i="8"/>
  <c r="N81" i="8" s="1"/>
  <c r="O81" i="8" s="1"/>
  <c r="L81" i="8"/>
  <c r="C81" i="8"/>
  <c r="F81" i="8"/>
  <c r="M80" i="8"/>
  <c r="N80" i="8" s="1"/>
  <c r="O80" i="8" s="1"/>
  <c r="L80" i="8"/>
  <c r="C80" i="8"/>
  <c r="M79" i="8"/>
  <c r="N79" i="8" s="1"/>
  <c r="O79" i="8" s="1"/>
  <c r="M86" i="8"/>
  <c r="L79" i="8"/>
  <c r="C79" i="8"/>
  <c r="F79" i="8"/>
  <c r="C68" i="8"/>
  <c r="I66" i="8"/>
  <c r="G84" i="8"/>
  <c r="G66" i="8"/>
  <c r="K66" i="8" s="1"/>
  <c r="I65" i="8"/>
  <c r="G65" i="8"/>
  <c r="K65" i="8"/>
  <c r="G64" i="8"/>
  <c r="K64" i="8" s="1"/>
  <c r="D64" i="8"/>
  <c r="I64" i="8"/>
  <c r="G82" i="8" s="1"/>
  <c r="I63" i="8"/>
  <c r="G63" i="8"/>
  <c r="K63" i="8"/>
  <c r="K62" i="8"/>
  <c r="I62" i="8"/>
  <c r="G80" i="8" s="1"/>
  <c r="G62" i="8"/>
  <c r="K61" i="8"/>
  <c r="I61" i="8"/>
  <c r="G61" i="8"/>
  <c r="C52" i="8"/>
  <c r="N44" i="8"/>
  <c r="K44" i="8"/>
  <c r="M44" i="8" s="1"/>
  <c r="O44" i="8" s="1"/>
  <c r="P44" i="8" s="1"/>
  <c r="Q44" i="8" s="1"/>
  <c r="M37" i="8"/>
  <c r="L37" i="8"/>
  <c r="O37" i="8"/>
  <c r="P37" i="8" s="1"/>
  <c r="K37" i="8"/>
  <c r="M31" i="8"/>
  <c r="K31" i="8"/>
  <c r="J31" i="8"/>
  <c r="I31" i="8"/>
  <c r="L31" i="8" s="1"/>
  <c r="O31" i="8" s="1"/>
  <c r="H31" i="8"/>
  <c r="G31" i="8"/>
  <c r="N30" i="8"/>
  <c r="M30" i="8"/>
  <c r="L30" i="8"/>
  <c r="O30" i="8"/>
  <c r="M25" i="8"/>
  <c r="L25" i="8"/>
  <c r="M24" i="8"/>
  <c r="L24" i="8"/>
  <c r="M23" i="8"/>
  <c r="L23" i="8"/>
  <c r="M21" i="8"/>
  <c r="L21" i="8"/>
  <c r="M20" i="8"/>
  <c r="L20" i="8"/>
  <c r="M19" i="8"/>
  <c r="L19" i="8"/>
  <c r="M18" i="8"/>
  <c r="L18" i="8"/>
  <c r="M17" i="8"/>
  <c r="L17" i="8"/>
  <c r="M16" i="8"/>
  <c r="L16" i="8"/>
  <c r="M15" i="8"/>
  <c r="L15" i="8"/>
  <c r="M14" i="8"/>
  <c r="L14" i="8"/>
  <c r="L12" i="8"/>
  <c r="B102" i="7"/>
  <c r="C102" i="7" s="1"/>
  <c r="D102" i="7" s="1"/>
  <c r="AR80" i="7"/>
  <c r="AS80" i="7" s="1"/>
  <c r="AT80" i="7" s="1"/>
  <c r="AU80" i="7" s="1"/>
  <c r="AN80" i="7"/>
  <c r="AO80" i="7" s="1"/>
  <c r="AP80" i="7" s="1"/>
  <c r="AQ80" i="7" s="1"/>
  <c r="M72" i="7"/>
  <c r="J72" i="7"/>
  <c r="C72" i="7"/>
  <c r="M71" i="7"/>
  <c r="AH58" i="7"/>
  <c r="AF58" i="7"/>
  <c r="AF59" i="7" s="1"/>
  <c r="AD58" i="7"/>
  <c r="AE56" i="7" s="1"/>
  <c r="AB58" i="7"/>
  <c r="Z58" i="7"/>
  <c r="AA55" i="7" s="1"/>
  <c r="D57" i="7"/>
  <c r="C57" i="7"/>
  <c r="D56" i="7"/>
  <c r="C56" i="7"/>
  <c r="D55" i="7"/>
  <c r="C55" i="7"/>
  <c r="D54" i="7"/>
  <c r="C54" i="7"/>
  <c r="AI53" i="7"/>
  <c r="D53" i="7"/>
  <c r="C53" i="7"/>
  <c r="AE52" i="7"/>
  <c r="D52" i="7"/>
  <c r="C52" i="7"/>
  <c r="D51" i="7"/>
  <c r="AG50" i="7"/>
  <c r="D50" i="7"/>
  <c r="C50" i="7"/>
  <c r="AG49" i="7"/>
  <c r="D49" i="7"/>
  <c r="C49" i="7"/>
  <c r="AG48" i="7"/>
  <c r="D48" i="7"/>
  <c r="C48" i="7"/>
  <c r="AG47" i="7"/>
  <c r="D47" i="7"/>
  <c r="C47" i="7"/>
  <c r="D46" i="7"/>
  <c r="C46" i="7"/>
  <c r="D45" i="7"/>
  <c r="C45" i="7"/>
  <c r="AG44" i="7"/>
  <c r="AC44" i="7"/>
  <c r="D44" i="7"/>
  <c r="C44" i="7"/>
  <c r="AG43" i="7"/>
  <c r="AC43" i="7"/>
  <c r="D43" i="7"/>
  <c r="C43" i="7"/>
  <c r="AG42" i="7"/>
  <c r="AE42" i="7"/>
  <c r="D42" i="7"/>
  <c r="C42" i="7"/>
  <c r="AE41" i="7"/>
  <c r="AC41" i="7"/>
  <c r="D41" i="7"/>
  <c r="C41" i="7"/>
  <c r="AG40" i="7"/>
  <c r="AE40" i="7"/>
  <c r="D40" i="7"/>
  <c r="C40" i="7"/>
  <c r="AE39" i="7"/>
  <c r="AC39" i="7"/>
  <c r="D39" i="7"/>
  <c r="C39" i="7"/>
  <c r="AG38" i="7"/>
  <c r="AE38" i="7"/>
  <c r="D38" i="7"/>
  <c r="C38" i="7"/>
  <c r="AG37" i="7"/>
  <c r="AE37" i="7"/>
  <c r="AC37" i="7"/>
  <c r="D37" i="7"/>
  <c r="C37" i="7"/>
  <c r="AG36" i="7"/>
  <c r="AE36" i="7"/>
  <c r="D36" i="7"/>
  <c r="C36" i="7"/>
  <c r="AG35" i="7"/>
  <c r="AE35" i="7"/>
  <c r="AC35" i="7"/>
  <c r="D35" i="7"/>
  <c r="C35" i="7"/>
  <c r="AG34" i="7"/>
  <c r="AE34" i="7"/>
  <c r="D34" i="7"/>
  <c r="C34" i="7"/>
  <c r="AG33" i="7"/>
  <c r="AE33" i="7"/>
  <c r="D33" i="7"/>
  <c r="C33" i="7"/>
  <c r="AG32" i="7"/>
  <c r="AE32" i="7"/>
  <c r="D32" i="7"/>
  <c r="C32" i="7"/>
  <c r="AG31" i="7"/>
  <c r="AE31" i="7"/>
  <c r="AC31" i="7"/>
  <c r="D31" i="7"/>
  <c r="C31" i="7"/>
  <c r="AG30" i="7"/>
  <c r="AE30" i="7"/>
  <c r="D30" i="7"/>
  <c r="C30" i="7"/>
  <c r="AG29" i="7"/>
  <c r="AE29" i="7"/>
  <c r="AC29" i="7"/>
  <c r="D29" i="7"/>
  <c r="C29" i="7"/>
  <c r="AG28" i="7"/>
  <c r="AE28" i="7"/>
  <c r="AA28" i="7"/>
  <c r="K28" i="7"/>
  <c r="L28" i="7" s="1"/>
  <c r="F28" i="7"/>
  <c r="E28" i="7"/>
  <c r="D28" i="7"/>
  <c r="C28" i="7"/>
  <c r="AR27" i="7"/>
  <c r="AQ27" i="7"/>
  <c r="AP27" i="7"/>
  <c r="AO27" i="7"/>
  <c r="AG27" i="7"/>
  <c r="AE27" i="7"/>
  <c r="AC27" i="7"/>
  <c r="D27" i="7"/>
  <c r="C27" i="7"/>
  <c r="AG26" i="7"/>
  <c r="AE26" i="7"/>
  <c r="D26" i="7"/>
  <c r="C26" i="7"/>
  <c r="AG25" i="7"/>
  <c r="AE25" i="7"/>
  <c r="D25" i="7"/>
  <c r="C25" i="7"/>
  <c r="AG24" i="7"/>
  <c r="AE24" i="7"/>
  <c r="AA24" i="7"/>
  <c r="F24" i="7"/>
  <c r="E24" i="7"/>
  <c r="D24" i="7"/>
  <c r="C24" i="7"/>
  <c r="AI23" i="7"/>
  <c r="AG23" i="7"/>
  <c r="AE23" i="7"/>
  <c r="AC23" i="7"/>
  <c r="AA23" i="7"/>
  <c r="G23" i="7"/>
  <c r="E23" i="7"/>
  <c r="F23" i="7" s="1"/>
  <c r="D23" i="7"/>
  <c r="C23" i="7"/>
  <c r="AG22" i="7"/>
  <c r="AE22" i="7"/>
  <c r="AA22" i="7"/>
  <c r="D22" i="7"/>
  <c r="C22" i="7"/>
  <c r="AG21" i="7"/>
  <c r="AE21" i="7"/>
  <c r="AC21" i="7"/>
  <c r="D21" i="7"/>
  <c r="C21" i="7"/>
  <c r="AG20" i="7"/>
  <c r="AE20" i="7"/>
  <c r="D20" i="7"/>
  <c r="C20" i="7"/>
  <c r="AG19" i="7"/>
  <c r="AE19" i="7"/>
  <c r="AC19" i="7"/>
  <c r="D19" i="7"/>
  <c r="C19" i="7"/>
  <c r="AI18" i="7"/>
  <c r="AG18" i="7"/>
  <c r="AE18" i="7"/>
  <c r="AA18" i="7"/>
  <c r="D18" i="7"/>
  <c r="C18" i="7"/>
  <c r="AG17" i="7"/>
  <c r="AE17" i="7"/>
  <c r="D17" i="7"/>
  <c r="C17" i="7"/>
  <c r="AG16" i="7"/>
  <c r="AE16" i="7"/>
  <c r="AC16" i="7"/>
  <c r="D16" i="7"/>
  <c r="C16" i="7"/>
  <c r="AG15" i="7"/>
  <c r="AE15" i="7"/>
  <c r="D15" i="7"/>
  <c r="C15" i="7"/>
  <c r="AG14" i="7"/>
  <c r="AE14" i="7"/>
  <c r="AC14" i="7"/>
  <c r="D14" i="7"/>
  <c r="C14" i="7"/>
  <c r="AG13" i="7"/>
  <c r="AE13" i="7"/>
  <c r="AA13" i="7"/>
  <c r="D13" i="7"/>
  <c r="C13" i="7"/>
  <c r="AG12" i="7"/>
  <c r="AE12" i="7"/>
  <c r="D12" i="7"/>
  <c r="C12" i="7"/>
  <c r="AG11" i="7"/>
  <c r="AE11" i="7"/>
  <c r="AC11" i="7"/>
  <c r="AA11" i="7"/>
  <c r="D11" i="7"/>
  <c r="C11" i="7"/>
  <c r="AG10" i="7"/>
  <c r="AE10" i="7"/>
  <c r="I10" i="7"/>
  <c r="J10" i="7" s="1"/>
  <c r="D10" i="7"/>
  <c r="C10" i="7"/>
  <c r="AG9" i="7"/>
  <c r="AE9" i="7"/>
  <c r="D9" i="7"/>
  <c r="C9" i="7"/>
  <c r="AG8" i="7"/>
  <c r="AE8" i="7"/>
  <c r="AC8" i="7"/>
  <c r="I8" i="7"/>
  <c r="D8" i="7"/>
  <c r="C8" i="7"/>
  <c r="M6" i="7"/>
  <c r="K6" i="7"/>
  <c r="K49" i="7" s="1"/>
  <c r="L49" i="7" s="1"/>
  <c r="I6" i="7"/>
  <c r="I15" i="7" s="1"/>
  <c r="J15" i="7" s="1"/>
  <c r="G6" i="7"/>
  <c r="E6" i="7"/>
  <c r="E10" i="7" s="1"/>
  <c r="M5" i="7"/>
  <c r="K5" i="7"/>
  <c r="I5" i="7"/>
  <c r="G5" i="7"/>
  <c r="E5" i="7"/>
  <c r="W4" i="7"/>
  <c r="M4" i="7"/>
  <c r="C4" i="7"/>
  <c r="P3" i="7"/>
  <c r="P71" i="7"/>
  <c r="M3" i="7"/>
  <c r="C3" i="7"/>
  <c r="R2" i="7"/>
  <c r="C2" i="7"/>
  <c r="C70" i="7" s="1"/>
  <c r="W1" i="7"/>
  <c r="C1" i="7"/>
  <c r="AD58" i="5"/>
  <c r="AE55" i="5" s="1"/>
  <c r="AB58" i="5"/>
  <c r="AC20" i="5" s="1"/>
  <c r="Z58" i="5"/>
  <c r="AA55" i="5" s="1"/>
  <c r="X58" i="5"/>
  <c r="X59" i="5" s="1"/>
  <c r="V58" i="5"/>
  <c r="V59" i="5" s="1"/>
  <c r="AE57" i="5"/>
  <c r="D57" i="5"/>
  <c r="C57" i="5"/>
  <c r="Y56" i="5"/>
  <c r="D56" i="5"/>
  <c r="C56" i="5"/>
  <c r="Y55" i="5"/>
  <c r="D55" i="5"/>
  <c r="AE54" i="5"/>
  <c r="Y54" i="5"/>
  <c r="D54" i="5"/>
  <c r="AE53" i="5"/>
  <c r="Y53" i="5"/>
  <c r="W53" i="5"/>
  <c r="D53" i="5"/>
  <c r="Y52" i="5"/>
  <c r="D52" i="5"/>
  <c r="Y51" i="5"/>
  <c r="D51" i="5"/>
  <c r="AE50" i="5"/>
  <c r="Y50" i="5"/>
  <c r="D50" i="5"/>
  <c r="C50" i="5"/>
  <c r="Y49" i="5"/>
  <c r="D49" i="5"/>
  <c r="C49" i="5"/>
  <c r="AE48" i="5"/>
  <c r="Y48" i="5"/>
  <c r="D48" i="5"/>
  <c r="C48" i="5"/>
  <c r="AE47" i="5"/>
  <c r="Y47" i="5"/>
  <c r="D47" i="5"/>
  <c r="C47" i="5"/>
  <c r="AA46" i="5"/>
  <c r="Y46" i="5"/>
  <c r="D46" i="5"/>
  <c r="C46" i="5"/>
  <c r="AE45" i="5"/>
  <c r="Y45" i="5"/>
  <c r="D45" i="5"/>
  <c r="C45" i="5"/>
  <c r="Y44" i="5"/>
  <c r="D44" i="5"/>
  <c r="C44" i="5"/>
  <c r="AE43" i="5"/>
  <c r="Y43" i="5"/>
  <c r="D43" i="5"/>
  <c r="C43" i="5"/>
  <c r="AE42" i="5"/>
  <c r="Y42" i="5"/>
  <c r="D42" i="5"/>
  <c r="C42" i="5"/>
  <c r="Y41" i="5"/>
  <c r="D41" i="5"/>
  <c r="C41" i="5"/>
  <c r="AE40" i="5"/>
  <c r="AA40" i="5"/>
  <c r="Y40" i="5"/>
  <c r="D40" i="5"/>
  <c r="C40" i="5"/>
  <c r="AE39" i="5"/>
  <c r="Y39" i="5"/>
  <c r="D39" i="5"/>
  <c r="C39" i="5"/>
  <c r="Y38" i="5"/>
  <c r="W38" i="5"/>
  <c r="D38" i="5"/>
  <c r="C38" i="5"/>
  <c r="AE37" i="5"/>
  <c r="Y37" i="5"/>
  <c r="W37" i="5"/>
  <c r="D37" i="5"/>
  <c r="C37" i="5"/>
  <c r="Y36" i="5"/>
  <c r="D36" i="5"/>
  <c r="C36" i="5"/>
  <c r="AE35" i="5"/>
  <c r="AA35" i="5"/>
  <c r="Y35" i="5"/>
  <c r="D35" i="5"/>
  <c r="C35" i="5"/>
  <c r="AE34" i="5"/>
  <c r="Y34" i="5"/>
  <c r="D34" i="5"/>
  <c r="C34" i="5"/>
  <c r="Y33" i="5"/>
  <c r="D33" i="5"/>
  <c r="C33" i="5"/>
  <c r="AE32" i="5"/>
  <c r="Y32" i="5"/>
  <c r="D32" i="5"/>
  <c r="C32" i="5"/>
  <c r="AE31" i="5"/>
  <c r="Y31" i="5"/>
  <c r="D31" i="5"/>
  <c r="C31" i="5"/>
  <c r="AA30" i="5"/>
  <c r="Y30" i="5"/>
  <c r="D30" i="5"/>
  <c r="C30" i="5"/>
  <c r="AE29" i="5"/>
  <c r="Y29" i="5"/>
  <c r="D29" i="5"/>
  <c r="C29" i="5"/>
  <c r="AE28" i="5"/>
  <c r="Y28" i="5"/>
  <c r="D28" i="5"/>
  <c r="C28" i="5"/>
  <c r="AE27" i="5"/>
  <c r="Y27" i="5"/>
  <c r="D27" i="5"/>
  <c r="C27" i="5"/>
  <c r="AE26" i="5"/>
  <c r="Y26" i="5"/>
  <c r="E26" i="5"/>
  <c r="D26" i="5"/>
  <c r="C26" i="5"/>
  <c r="AE25" i="5"/>
  <c r="Y25" i="5"/>
  <c r="D25" i="5"/>
  <c r="C25" i="5"/>
  <c r="AE24" i="5"/>
  <c r="AA24" i="5"/>
  <c r="Y24" i="5"/>
  <c r="D24" i="5"/>
  <c r="C24" i="5"/>
  <c r="AE23" i="5"/>
  <c r="Y23" i="5"/>
  <c r="D23" i="5"/>
  <c r="C23" i="5"/>
  <c r="AE22" i="5"/>
  <c r="Y22" i="5"/>
  <c r="W22" i="5"/>
  <c r="D22" i="5"/>
  <c r="C22" i="5"/>
  <c r="AE21" i="5"/>
  <c r="Y21" i="5"/>
  <c r="W21" i="5"/>
  <c r="D21" i="5"/>
  <c r="C21" i="5"/>
  <c r="AE20" i="5"/>
  <c r="Y20" i="5"/>
  <c r="D20" i="5"/>
  <c r="C20" i="5"/>
  <c r="AE19" i="5"/>
  <c r="AA19" i="5"/>
  <c r="Y19" i="5"/>
  <c r="D19" i="5"/>
  <c r="C19" i="5"/>
  <c r="AE18" i="5"/>
  <c r="Y18" i="5"/>
  <c r="D18" i="5"/>
  <c r="C18" i="5"/>
  <c r="AE17" i="5"/>
  <c r="AC17" i="5"/>
  <c r="AA17" i="5"/>
  <c r="Y17" i="5"/>
  <c r="D17" i="5"/>
  <c r="C17" i="5"/>
  <c r="AE16" i="5"/>
  <c r="Y16" i="5"/>
  <c r="D16" i="5"/>
  <c r="C16" i="5"/>
  <c r="AE15" i="5"/>
  <c r="Y15" i="5"/>
  <c r="D15" i="5"/>
  <c r="C15" i="5"/>
  <c r="AE14" i="5"/>
  <c r="AA14" i="5"/>
  <c r="Y14" i="5"/>
  <c r="D14" i="5"/>
  <c r="C14" i="5"/>
  <c r="AE13" i="5"/>
  <c r="Y13" i="5"/>
  <c r="W13" i="5"/>
  <c r="D13" i="5"/>
  <c r="C13" i="5"/>
  <c r="AE12" i="5"/>
  <c r="Y12" i="5"/>
  <c r="W12" i="5"/>
  <c r="D12" i="5"/>
  <c r="C12" i="5"/>
  <c r="AE11" i="5"/>
  <c r="Y11" i="5"/>
  <c r="W11" i="5"/>
  <c r="D11" i="5"/>
  <c r="C11" i="5"/>
  <c r="AE10" i="5"/>
  <c r="AA10" i="5"/>
  <c r="Y10" i="5"/>
  <c r="W10" i="5"/>
  <c r="D10" i="5"/>
  <c r="C10" i="5"/>
  <c r="AE9" i="5"/>
  <c r="AA9" i="5"/>
  <c r="Y9" i="5"/>
  <c r="W9" i="5"/>
  <c r="G9" i="5"/>
  <c r="D9" i="5"/>
  <c r="C9" i="5"/>
  <c r="AE8" i="5"/>
  <c r="AA8" i="5"/>
  <c r="Y8" i="5"/>
  <c r="W8" i="5"/>
  <c r="D8" i="5"/>
  <c r="C8" i="5"/>
  <c r="I6" i="5"/>
  <c r="I16" i="5" s="1"/>
  <c r="H6" i="5"/>
  <c r="H56" i="5"/>
  <c r="G6" i="5"/>
  <c r="G10" i="5" s="1"/>
  <c r="F6" i="5"/>
  <c r="E6" i="5"/>
  <c r="E57" i="5"/>
  <c r="I5" i="5"/>
  <c r="H5" i="5"/>
  <c r="G5" i="5"/>
  <c r="F5" i="5"/>
  <c r="E5" i="5"/>
  <c r="S4" i="5"/>
  <c r="J4" i="5"/>
  <c r="C4" i="5"/>
  <c r="N3" i="5"/>
  <c r="J3" i="5"/>
  <c r="C3" i="5"/>
  <c r="C2" i="5"/>
  <c r="B102" i="4"/>
  <c r="C102" i="4" s="1"/>
  <c r="D102" i="4" s="1"/>
  <c r="M72" i="4"/>
  <c r="J72" i="4"/>
  <c r="C72" i="4"/>
  <c r="M71" i="4"/>
  <c r="AH59" i="4"/>
  <c r="AH58" i="4"/>
  <c r="AI49" i="4" s="1"/>
  <c r="AF58" i="4"/>
  <c r="AF59" i="4" s="1"/>
  <c r="AD58" i="4"/>
  <c r="AB58" i="4"/>
  <c r="AC55" i="4" s="1"/>
  <c r="Z58" i="4"/>
  <c r="AI57" i="4"/>
  <c r="AC57" i="4"/>
  <c r="D57" i="4"/>
  <c r="C57" i="4"/>
  <c r="AI56" i="4"/>
  <c r="AC56" i="4"/>
  <c r="D56" i="4"/>
  <c r="C56" i="4"/>
  <c r="AI55" i="4"/>
  <c r="D55" i="4"/>
  <c r="C55" i="4"/>
  <c r="AI54" i="4"/>
  <c r="D54" i="4"/>
  <c r="C54" i="4"/>
  <c r="AI53" i="4"/>
  <c r="AE53" i="4"/>
  <c r="D53" i="4"/>
  <c r="C53" i="4"/>
  <c r="AI52" i="4"/>
  <c r="D52" i="4"/>
  <c r="C52" i="4"/>
  <c r="AI51" i="4"/>
  <c r="AE51" i="4"/>
  <c r="D51" i="4"/>
  <c r="AG50" i="4"/>
  <c r="D50" i="4"/>
  <c r="C50" i="4"/>
  <c r="AG49" i="4"/>
  <c r="D49" i="4"/>
  <c r="C49" i="4"/>
  <c r="AG48" i="4"/>
  <c r="AC48" i="4"/>
  <c r="D48" i="4"/>
  <c r="C48" i="4"/>
  <c r="AI47" i="4"/>
  <c r="AG47" i="4"/>
  <c r="AC47" i="4"/>
  <c r="D47" i="4"/>
  <c r="C47" i="4"/>
  <c r="AG46" i="4"/>
  <c r="AC46" i="4"/>
  <c r="D46" i="4"/>
  <c r="C46" i="4"/>
  <c r="AI45" i="4"/>
  <c r="AG45" i="4"/>
  <c r="AC45" i="4"/>
  <c r="D45" i="4"/>
  <c r="C45" i="4"/>
  <c r="AG44" i="4"/>
  <c r="AC44" i="4"/>
  <c r="D44" i="4"/>
  <c r="C44" i="4"/>
  <c r="AI43" i="4"/>
  <c r="AG43" i="4"/>
  <c r="AE43" i="4"/>
  <c r="AC43" i="4"/>
  <c r="D43" i="4"/>
  <c r="C43" i="4"/>
  <c r="AG42" i="4"/>
  <c r="AC42" i="4"/>
  <c r="D42" i="4"/>
  <c r="C42" i="4"/>
  <c r="AI41" i="4"/>
  <c r="AG41" i="4"/>
  <c r="AC41" i="4"/>
  <c r="D41" i="4"/>
  <c r="C41" i="4"/>
  <c r="AG40" i="4"/>
  <c r="AC40" i="4"/>
  <c r="D40" i="4"/>
  <c r="C40" i="4"/>
  <c r="AI39" i="4"/>
  <c r="AG39" i="4"/>
  <c r="AC39" i="4"/>
  <c r="D39" i="4"/>
  <c r="C39" i="4"/>
  <c r="AG38" i="4"/>
  <c r="AC38" i="4"/>
  <c r="I38" i="4"/>
  <c r="J38" i="4" s="1"/>
  <c r="D38" i="4"/>
  <c r="C38" i="4"/>
  <c r="AI37" i="4"/>
  <c r="AG37" i="4"/>
  <c r="AC37" i="4"/>
  <c r="D37" i="4"/>
  <c r="C37" i="4"/>
  <c r="AG36" i="4"/>
  <c r="AC36" i="4"/>
  <c r="D36" i="4"/>
  <c r="C36" i="4"/>
  <c r="AI35" i="4"/>
  <c r="AG35" i="4"/>
  <c r="AC35" i="4"/>
  <c r="D35" i="4"/>
  <c r="C35" i="4"/>
  <c r="AG34" i="4"/>
  <c r="AC34" i="4"/>
  <c r="I34" i="4"/>
  <c r="J34" i="4" s="1"/>
  <c r="D34" i="4"/>
  <c r="C34" i="4"/>
  <c r="AI33" i="4"/>
  <c r="AG33" i="4"/>
  <c r="AC33" i="4"/>
  <c r="D33" i="4"/>
  <c r="C33" i="4"/>
  <c r="AG32" i="4"/>
  <c r="AC32" i="4"/>
  <c r="D32" i="4"/>
  <c r="C32" i="4"/>
  <c r="AI31" i="4"/>
  <c r="AG31" i="4"/>
  <c r="AC31" i="4"/>
  <c r="D31" i="4"/>
  <c r="C31" i="4"/>
  <c r="AG30" i="4"/>
  <c r="AC30" i="4"/>
  <c r="I30" i="4"/>
  <c r="J30" i="4" s="1"/>
  <c r="D30" i="4"/>
  <c r="C30" i="4"/>
  <c r="AI29" i="4"/>
  <c r="AG29" i="4"/>
  <c r="AC29" i="4"/>
  <c r="D29" i="4"/>
  <c r="C29" i="4"/>
  <c r="AG28" i="4"/>
  <c r="AC28" i="4"/>
  <c r="D28" i="4"/>
  <c r="C28" i="4"/>
  <c r="AI27" i="4"/>
  <c r="AG27" i="4"/>
  <c r="AC27" i="4"/>
  <c r="D27" i="4"/>
  <c r="C27" i="4"/>
  <c r="AI26" i="4"/>
  <c r="AG26" i="4"/>
  <c r="AC26" i="4"/>
  <c r="D26" i="4"/>
  <c r="C26" i="4"/>
  <c r="AI25" i="4"/>
  <c r="AG25" i="4"/>
  <c r="AC25" i="4"/>
  <c r="E25" i="4"/>
  <c r="F25" i="4" s="1"/>
  <c r="D25" i="4"/>
  <c r="C25" i="4"/>
  <c r="AI24" i="4"/>
  <c r="AG24" i="4"/>
  <c r="AC24" i="4"/>
  <c r="I24" i="4"/>
  <c r="J24" i="4" s="1"/>
  <c r="D24" i="4"/>
  <c r="C24" i="4"/>
  <c r="AI23" i="4"/>
  <c r="AG23" i="4"/>
  <c r="AC23" i="4"/>
  <c r="D23" i="4"/>
  <c r="C23" i="4"/>
  <c r="AI22" i="4"/>
  <c r="AG22" i="4"/>
  <c r="AC22" i="4"/>
  <c r="D22" i="4"/>
  <c r="C22" i="4"/>
  <c r="AI21" i="4"/>
  <c r="AG21" i="4"/>
  <c r="AC21" i="4"/>
  <c r="D21" i="4"/>
  <c r="C21" i="4"/>
  <c r="AI20" i="4"/>
  <c r="AG20" i="4"/>
  <c r="AC20" i="4"/>
  <c r="D20" i="4"/>
  <c r="C20" i="4"/>
  <c r="AI19" i="4"/>
  <c r="AG19" i="4"/>
  <c r="AC19" i="4"/>
  <c r="D19" i="4"/>
  <c r="C19" i="4"/>
  <c r="AI18" i="4"/>
  <c r="AG18" i="4"/>
  <c r="AC18" i="4"/>
  <c r="D18" i="4"/>
  <c r="C18" i="4"/>
  <c r="AI17" i="4"/>
  <c r="AG17" i="4"/>
  <c r="AC17" i="4"/>
  <c r="D17" i="4"/>
  <c r="C17" i="4"/>
  <c r="AI16" i="4"/>
  <c r="AG16" i="4"/>
  <c r="AC16" i="4"/>
  <c r="D16" i="4"/>
  <c r="C16" i="4"/>
  <c r="AI15" i="4"/>
  <c r="AG15" i="4"/>
  <c r="AC15" i="4"/>
  <c r="E15" i="4"/>
  <c r="F15" i="4" s="1"/>
  <c r="D15" i="4"/>
  <c r="C15" i="4"/>
  <c r="AI14" i="4"/>
  <c r="AG14" i="4"/>
  <c r="AC14" i="4"/>
  <c r="I14" i="4"/>
  <c r="J14" i="4" s="1"/>
  <c r="D14" i="4"/>
  <c r="C14" i="4"/>
  <c r="AI13" i="4"/>
  <c r="AG13" i="4"/>
  <c r="AC13" i="4"/>
  <c r="AA13" i="4"/>
  <c r="D13" i="4"/>
  <c r="C13" i="4"/>
  <c r="AI12" i="4"/>
  <c r="AG12" i="4"/>
  <c r="AC12" i="4"/>
  <c r="K12" i="4"/>
  <c r="L12" i="4" s="1"/>
  <c r="D12" i="4"/>
  <c r="C12" i="4"/>
  <c r="AI11" i="4"/>
  <c r="AG11" i="4"/>
  <c r="AC11" i="4"/>
  <c r="E11" i="4"/>
  <c r="D11" i="4"/>
  <c r="C11" i="4"/>
  <c r="AI10" i="4"/>
  <c r="AG10" i="4"/>
  <c r="AC10" i="4"/>
  <c r="M10" i="4"/>
  <c r="N10" i="4" s="1"/>
  <c r="E10" i="4"/>
  <c r="D10" i="4"/>
  <c r="C10" i="4"/>
  <c r="AI9" i="4"/>
  <c r="AG9" i="4"/>
  <c r="AC9" i="4"/>
  <c r="I9" i="4"/>
  <c r="J9" i="4" s="1"/>
  <c r="D9" i="4"/>
  <c r="C9" i="4"/>
  <c r="AI8" i="4"/>
  <c r="AG8" i="4"/>
  <c r="AC8" i="4"/>
  <c r="M8" i="4"/>
  <c r="D8" i="4"/>
  <c r="C8" i="4"/>
  <c r="M6" i="4"/>
  <c r="M19" i="4" s="1"/>
  <c r="N19" i="4" s="1"/>
  <c r="K6" i="4"/>
  <c r="K13" i="4" s="1"/>
  <c r="L13" i="4" s="1"/>
  <c r="I6" i="4"/>
  <c r="I26" i="4" s="1"/>
  <c r="J26" i="4" s="1"/>
  <c r="I48" i="4"/>
  <c r="J48" i="4" s="1"/>
  <c r="G6" i="4"/>
  <c r="G20" i="4" s="1"/>
  <c r="H20" i="4" s="1"/>
  <c r="E6" i="4"/>
  <c r="E27" i="4" s="1"/>
  <c r="F27" i="4" s="1"/>
  <c r="M5" i="4"/>
  <c r="K5" i="4"/>
  <c r="I5" i="4"/>
  <c r="G5" i="4"/>
  <c r="E5" i="4"/>
  <c r="W4" i="4"/>
  <c r="M4" i="4"/>
  <c r="C4" i="4"/>
  <c r="P3" i="4"/>
  <c r="P71" i="4"/>
  <c r="M3" i="4"/>
  <c r="C3" i="4"/>
  <c r="C71" i="4" s="1"/>
  <c r="C2" i="4"/>
  <c r="C70" i="4" s="1"/>
  <c r="H82" i="3"/>
  <c r="I82" i="3" s="1"/>
  <c r="J82" i="3" s="1"/>
  <c r="K82" i="3" s="1"/>
  <c r="D82" i="3"/>
  <c r="E82" i="3" s="1"/>
  <c r="F82" i="3" s="1"/>
  <c r="G82" i="3" s="1"/>
  <c r="H29" i="3"/>
  <c r="G29" i="3"/>
  <c r="F29" i="3"/>
  <c r="E29" i="3"/>
  <c r="P18" i="8"/>
  <c r="O14" i="8"/>
  <c r="P14" i="8"/>
  <c r="R14" i="8" s="1"/>
  <c r="O15" i="8"/>
  <c r="P15" i="8" s="1"/>
  <c r="O16" i="8"/>
  <c r="P16" i="8" s="1"/>
  <c r="Q16" i="8" s="1"/>
  <c r="O17" i="8"/>
  <c r="P17" i="8" s="1"/>
  <c r="Q17" i="8" s="1"/>
  <c r="O18" i="8"/>
  <c r="O19" i="8"/>
  <c r="P19" i="8" s="1"/>
  <c r="Q19" i="8" s="1"/>
  <c r="O20" i="8"/>
  <c r="P20" i="8" s="1"/>
  <c r="O21" i="8"/>
  <c r="P21" i="8"/>
  <c r="O23" i="8"/>
  <c r="P23" i="8" s="1"/>
  <c r="O24" i="8"/>
  <c r="P24" i="8" s="1"/>
  <c r="R24" i="8" s="1"/>
  <c r="O25" i="8"/>
  <c r="P25" i="8" s="1"/>
  <c r="C108" i="8"/>
  <c r="F108" i="8"/>
  <c r="I95" i="8"/>
  <c r="G108" i="8" s="1"/>
  <c r="L108" i="8"/>
  <c r="F95" i="8"/>
  <c r="K95" i="8" s="1"/>
  <c r="M134" i="8"/>
  <c r="N134" i="8" s="1"/>
  <c r="O134" i="8" s="1"/>
  <c r="C134" i="8"/>
  <c r="I121" i="8"/>
  <c r="L134" i="8"/>
  <c r="G121" i="8"/>
  <c r="K121" i="8" s="1"/>
  <c r="P30" i="8"/>
  <c r="R30" i="8" s="1"/>
  <c r="L131" i="8"/>
  <c r="N131" i="8"/>
  <c r="I118" i="8"/>
  <c r="G131" i="8" s="1"/>
  <c r="C131" i="8"/>
  <c r="F131" i="8" s="1"/>
  <c r="H131" i="8" s="1"/>
  <c r="G118" i="8"/>
  <c r="K118" i="8"/>
  <c r="L135" i="8"/>
  <c r="C135" i="8"/>
  <c r="F135" i="8" s="1"/>
  <c r="H135" i="8" s="1"/>
  <c r="I135" i="8" s="1"/>
  <c r="M135" i="8"/>
  <c r="N135" i="8" s="1"/>
  <c r="O135" i="8" s="1"/>
  <c r="I122" i="8"/>
  <c r="G122" i="8"/>
  <c r="K122" i="8" s="1"/>
  <c r="V343" i="8"/>
  <c r="H83" i="8"/>
  <c r="I83" i="8" s="1"/>
  <c r="J83" i="8" s="1"/>
  <c r="G83" i="8"/>
  <c r="L133" i="8"/>
  <c r="C133" i="8"/>
  <c r="F133" i="8" s="1"/>
  <c r="I120" i="8"/>
  <c r="G133" i="8" s="1"/>
  <c r="M133" i="8"/>
  <c r="N133" i="8" s="1"/>
  <c r="O133" i="8" s="1"/>
  <c r="G120" i="8"/>
  <c r="K120" i="8" s="1"/>
  <c r="V329" i="8"/>
  <c r="I93" i="8"/>
  <c r="I97" i="8"/>
  <c r="L106" i="8"/>
  <c r="M106" i="8" s="1"/>
  <c r="N106" i="8" s="1"/>
  <c r="O106" i="8" s="1"/>
  <c r="C107" i="8"/>
  <c r="F107" i="8"/>
  <c r="C111" i="8"/>
  <c r="F111" i="8"/>
  <c r="V184" i="8"/>
  <c r="V204" i="8"/>
  <c r="V229" i="8"/>
  <c r="V247" i="8"/>
  <c r="V249" i="8"/>
  <c r="V252" i="8"/>
  <c r="V254" i="8"/>
  <c r="V260" i="8"/>
  <c r="V273" i="8"/>
  <c r="V275" i="8"/>
  <c r="V292" i="8"/>
  <c r="V297" i="8"/>
  <c r="V299" i="8"/>
  <c r="V312" i="8"/>
  <c r="I94" i="8"/>
  <c r="I98" i="8"/>
  <c r="H111" i="8" s="1"/>
  <c r="V179" i="8"/>
  <c r="V228" i="8"/>
  <c r="V246" i="8"/>
  <c r="V259" i="8"/>
  <c r="V272" i="8"/>
  <c r="V291" i="8"/>
  <c r="V296" i="8"/>
  <c r="V330" i="8"/>
  <c r="V203" i="8"/>
  <c r="V240" i="8"/>
  <c r="V245" i="8"/>
  <c r="V258" i="8"/>
  <c r="V271" i="8"/>
  <c r="V290" i="8"/>
  <c r="V303" i="8"/>
  <c r="V321" i="8"/>
  <c r="V326" i="8"/>
  <c r="V340" i="8"/>
  <c r="E13" i="7"/>
  <c r="F13" i="7" s="1"/>
  <c r="E8" i="7"/>
  <c r="M10" i="7"/>
  <c r="N10" i="7" s="1"/>
  <c r="E12" i="7"/>
  <c r="R4" i="7"/>
  <c r="R72" i="7" s="1"/>
  <c r="C71" i="7"/>
  <c r="F10" i="7"/>
  <c r="E57" i="7"/>
  <c r="E56" i="7"/>
  <c r="E55" i="7"/>
  <c r="E54" i="7"/>
  <c r="F54" i="7" s="1"/>
  <c r="E53" i="7"/>
  <c r="E52" i="7"/>
  <c r="E51" i="7"/>
  <c r="E43" i="7"/>
  <c r="E42" i="7"/>
  <c r="E41" i="7"/>
  <c r="E40" i="7"/>
  <c r="E39" i="7"/>
  <c r="F39" i="7" s="1"/>
  <c r="E38" i="7"/>
  <c r="E37" i="7"/>
  <c r="E36" i="7"/>
  <c r="E35" i="7"/>
  <c r="E34" i="7"/>
  <c r="E33" i="7"/>
  <c r="E32" i="7"/>
  <c r="E31" i="7"/>
  <c r="E30" i="7"/>
  <c r="E29" i="7"/>
  <c r="E27" i="7"/>
  <c r="E26" i="7"/>
  <c r="E25" i="7"/>
  <c r="E22" i="7"/>
  <c r="E21" i="7"/>
  <c r="E20" i="7"/>
  <c r="E19" i="7"/>
  <c r="E18" i="7"/>
  <c r="E17" i="7"/>
  <c r="E48" i="7"/>
  <c r="E44" i="7"/>
  <c r="E46" i="7"/>
  <c r="E49" i="7"/>
  <c r="E45" i="7"/>
  <c r="E50" i="7"/>
  <c r="E47" i="7"/>
  <c r="M54" i="7"/>
  <c r="N54" i="7" s="1"/>
  <c r="M51" i="7"/>
  <c r="N51" i="7" s="1"/>
  <c r="M43" i="7"/>
  <c r="N43" i="7" s="1"/>
  <c r="M38" i="7"/>
  <c r="N38" i="7" s="1"/>
  <c r="M30" i="7"/>
  <c r="N30" i="7" s="1"/>
  <c r="M27" i="7"/>
  <c r="N27" i="7" s="1"/>
  <c r="M22" i="7"/>
  <c r="N22" i="7" s="1"/>
  <c r="M19" i="7"/>
  <c r="N19" i="7" s="1"/>
  <c r="J8" i="7"/>
  <c r="E11" i="7"/>
  <c r="M13" i="7"/>
  <c r="N13" i="7" s="1"/>
  <c r="E15" i="7"/>
  <c r="AA57" i="7"/>
  <c r="AA56" i="7"/>
  <c r="AA52" i="7"/>
  <c r="AA42" i="7"/>
  <c r="AA41" i="7"/>
  <c r="AA40" i="7"/>
  <c r="AA39" i="7"/>
  <c r="AA38" i="7"/>
  <c r="AA37" i="7"/>
  <c r="AA36" i="7"/>
  <c r="AA35" i="7"/>
  <c r="AA34" i="7"/>
  <c r="AA33" i="7"/>
  <c r="AA32" i="7"/>
  <c r="Z59" i="7"/>
  <c r="AA53" i="7"/>
  <c r="AA50" i="7"/>
  <c r="AA49" i="7"/>
  <c r="AA48" i="7"/>
  <c r="AA47" i="7"/>
  <c r="AA46" i="7"/>
  <c r="AA45" i="7"/>
  <c r="AA44" i="7"/>
  <c r="AA43" i="7"/>
  <c r="I57" i="7"/>
  <c r="J57" i="7" s="1"/>
  <c r="I56" i="7"/>
  <c r="J56" i="7" s="1"/>
  <c r="I55" i="7"/>
  <c r="J55" i="7"/>
  <c r="I54" i="7"/>
  <c r="J54" i="7" s="1"/>
  <c r="I53" i="7"/>
  <c r="J53" i="7" s="1"/>
  <c r="I52" i="7"/>
  <c r="J52" i="7" s="1"/>
  <c r="I51" i="7"/>
  <c r="J51" i="7"/>
  <c r="I50" i="7"/>
  <c r="J50" i="7" s="1"/>
  <c r="I49" i="7"/>
  <c r="J49" i="7" s="1"/>
  <c r="I48" i="7"/>
  <c r="J48" i="7" s="1"/>
  <c r="I47" i="7"/>
  <c r="J47" i="7"/>
  <c r="I46" i="7"/>
  <c r="J46" i="7" s="1"/>
  <c r="I45" i="7"/>
  <c r="J45" i="7" s="1"/>
  <c r="I44" i="7"/>
  <c r="J44" i="7" s="1"/>
  <c r="I43" i="7"/>
  <c r="J43" i="7"/>
  <c r="I42" i="7"/>
  <c r="J42" i="7" s="1"/>
  <c r="I41" i="7"/>
  <c r="J41" i="7" s="1"/>
  <c r="I40" i="7"/>
  <c r="J40" i="7" s="1"/>
  <c r="I39" i="7"/>
  <c r="J39" i="7"/>
  <c r="I38" i="7"/>
  <c r="J38" i="7" s="1"/>
  <c r="I37" i="7"/>
  <c r="J37" i="7" s="1"/>
  <c r="I36" i="7"/>
  <c r="J36" i="7" s="1"/>
  <c r="I35" i="7"/>
  <c r="J35" i="7"/>
  <c r="I34" i="7"/>
  <c r="J34" i="7" s="1"/>
  <c r="I33" i="7"/>
  <c r="J33" i="7" s="1"/>
  <c r="I32" i="7"/>
  <c r="J32" i="7" s="1"/>
  <c r="I31" i="7"/>
  <c r="J31" i="7"/>
  <c r="I30" i="7"/>
  <c r="J30" i="7" s="1"/>
  <c r="I29" i="7"/>
  <c r="J29" i="7" s="1"/>
  <c r="I28" i="7"/>
  <c r="J28" i="7" s="1"/>
  <c r="I27" i="7"/>
  <c r="J27" i="7"/>
  <c r="I26" i="7"/>
  <c r="J26" i="7" s="1"/>
  <c r="I25" i="7"/>
  <c r="J25" i="7" s="1"/>
  <c r="I24" i="7"/>
  <c r="J24" i="7" s="1"/>
  <c r="I23" i="7"/>
  <c r="J23" i="7"/>
  <c r="I22" i="7"/>
  <c r="J22" i="7" s="1"/>
  <c r="I21" i="7"/>
  <c r="J21" i="7" s="1"/>
  <c r="I20" i="7"/>
  <c r="J20" i="7" s="1"/>
  <c r="I19" i="7"/>
  <c r="J19" i="7"/>
  <c r="I18" i="7"/>
  <c r="J18" i="7" s="1"/>
  <c r="I17" i="7"/>
  <c r="J17" i="7" s="1"/>
  <c r="G8" i="7"/>
  <c r="K8" i="7"/>
  <c r="K9" i="7"/>
  <c r="L9" i="7" s="1"/>
  <c r="G10" i="7"/>
  <c r="H10" i="7" s="1"/>
  <c r="K10" i="7"/>
  <c r="L10" i="7"/>
  <c r="K11" i="7"/>
  <c r="L11" i="7" s="1"/>
  <c r="G12" i="7"/>
  <c r="H12" i="7" s="1"/>
  <c r="K12" i="7"/>
  <c r="L12" i="7"/>
  <c r="K13" i="7"/>
  <c r="L13" i="7" s="1"/>
  <c r="G14" i="7"/>
  <c r="H14" i="7" s="1"/>
  <c r="K14" i="7"/>
  <c r="L14" i="7"/>
  <c r="K15" i="7"/>
  <c r="L15" i="7" s="1"/>
  <c r="G16" i="7"/>
  <c r="H16" i="7" s="1"/>
  <c r="K16" i="7"/>
  <c r="L16" i="7"/>
  <c r="H23" i="7"/>
  <c r="G24" i="7"/>
  <c r="H24" i="7" s="1"/>
  <c r="AA25" i="7"/>
  <c r="G26" i="7"/>
  <c r="H26" i="7" s="1"/>
  <c r="AA26" i="7"/>
  <c r="G27" i="7"/>
  <c r="H27" i="7" s="1"/>
  <c r="AA27" i="7"/>
  <c r="K29" i="7"/>
  <c r="L29" i="7"/>
  <c r="K30" i="7"/>
  <c r="L30" i="7" s="1"/>
  <c r="K31" i="7"/>
  <c r="L31" i="7"/>
  <c r="K32" i="7"/>
  <c r="L32" i="7" s="1"/>
  <c r="K33" i="7"/>
  <c r="L33" i="7"/>
  <c r="K34" i="7"/>
  <c r="L34" i="7" s="1"/>
  <c r="K35" i="7"/>
  <c r="L35" i="7" s="1"/>
  <c r="K36" i="7"/>
  <c r="L36" i="7" s="1"/>
  <c r="K37" i="7"/>
  <c r="L37" i="7"/>
  <c r="K38" i="7"/>
  <c r="L38" i="7" s="1"/>
  <c r="K39" i="7"/>
  <c r="L39" i="7"/>
  <c r="K40" i="7"/>
  <c r="L40" i="7" s="1"/>
  <c r="K41" i="7"/>
  <c r="L41" i="7"/>
  <c r="K42" i="7"/>
  <c r="L42" i="7" s="1"/>
  <c r="K43" i="7"/>
  <c r="L43" i="7" s="1"/>
  <c r="K44" i="7"/>
  <c r="L44" i="7" s="1"/>
  <c r="K48" i="7"/>
  <c r="L48" i="7"/>
  <c r="K53" i="7"/>
  <c r="L53" i="7" s="1"/>
  <c r="AE53" i="7"/>
  <c r="G56" i="7"/>
  <c r="H56" i="7" s="1"/>
  <c r="G52" i="7"/>
  <c r="H52" i="7" s="1"/>
  <c r="G57" i="7"/>
  <c r="H57" i="7" s="1"/>
  <c r="G53" i="7"/>
  <c r="H53" i="7"/>
  <c r="G50" i="7"/>
  <c r="H50" i="7" s="1"/>
  <c r="G49" i="7"/>
  <c r="H49" i="7"/>
  <c r="G48" i="7"/>
  <c r="H48" i="7" s="1"/>
  <c r="G47" i="7"/>
  <c r="H47" i="7"/>
  <c r="G46" i="7"/>
  <c r="H46" i="7" s="1"/>
  <c r="G45" i="7"/>
  <c r="H45" i="7" s="1"/>
  <c r="G44" i="7"/>
  <c r="H44" i="7" s="1"/>
  <c r="R70" i="7"/>
  <c r="R66" i="7"/>
  <c r="R114" i="7" s="1"/>
  <c r="K55" i="7"/>
  <c r="L55" i="7" s="1"/>
  <c r="K51" i="7"/>
  <c r="L51" i="7"/>
  <c r="K56" i="7"/>
  <c r="L56" i="7" s="1"/>
  <c r="K52" i="7"/>
  <c r="L52" i="7"/>
  <c r="K17" i="7"/>
  <c r="L17" i="7" s="1"/>
  <c r="K18" i="7"/>
  <c r="L18" i="7"/>
  <c r="K19" i="7"/>
  <c r="L19" i="7" s="1"/>
  <c r="K20" i="7"/>
  <c r="L20" i="7" s="1"/>
  <c r="K21" i="7"/>
  <c r="L21" i="7" s="1"/>
  <c r="K22" i="7"/>
  <c r="L22" i="7"/>
  <c r="G28" i="7"/>
  <c r="G29" i="7"/>
  <c r="H29" i="7"/>
  <c r="AA29" i="7"/>
  <c r="G30" i="7"/>
  <c r="H30" i="7" s="1"/>
  <c r="AA30" i="7"/>
  <c r="G31" i="7"/>
  <c r="H31" i="7" s="1"/>
  <c r="AA31" i="7"/>
  <c r="G32" i="7"/>
  <c r="H32" i="7"/>
  <c r="K47" i="7"/>
  <c r="L47" i="7" s="1"/>
  <c r="G51" i="7"/>
  <c r="H51" i="7" s="1"/>
  <c r="AA51" i="7"/>
  <c r="G54" i="7"/>
  <c r="H54" i="7"/>
  <c r="AA54" i="7"/>
  <c r="AD59" i="7"/>
  <c r="AE50" i="7"/>
  <c r="AE49" i="7"/>
  <c r="AE48" i="7"/>
  <c r="AE47" i="7"/>
  <c r="AE46" i="7"/>
  <c r="AE45" i="7"/>
  <c r="AE44" i="7"/>
  <c r="AE43" i="7"/>
  <c r="AE54" i="7"/>
  <c r="AE55" i="7"/>
  <c r="AE51" i="7"/>
  <c r="AI56" i="7"/>
  <c r="AG51" i="7"/>
  <c r="AG52" i="7"/>
  <c r="AG53" i="7"/>
  <c r="AG54" i="7"/>
  <c r="AG55" i="7"/>
  <c r="AG56" i="7"/>
  <c r="AG57" i="7"/>
  <c r="F55" i="5"/>
  <c r="F53" i="5"/>
  <c r="F51" i="5"/>
  <c r="F48" i="5"/>
  <c r="F44" i="5"/>
  <c r="F40" i="5"/>
  <c r="J40" i="5" s="1"/>
  <c r="K40" i="5" s="1"/>
  <c r="F36" i="5"/>
  <c r="F32" i="5"/>
  <c r="F28" i="5"/>
  <c r="F24" i="5"/>
  <c r="J24" i="5" s="1"/>
  <c r="K24" i="5" s="1"/>
  <c r="F20" i="5"/>
  <c r="F56" i="5"/>
  <c r="F49" i="5"/>
  <c r="F45" i="5"/>
  <c r="F41" i="5"/>
  <c r="F37" i="5"/>
  <c r="F33" i="5"/>
  <c r="F29" i="5"/>
  <c r="F25" i="5"/>
  <c r="F21" i="5"/>
  <c r="F57" i="5"/>
  <c r="F54" i="5"/>
  <c r="F52" i="5"/>
  <c r="F50" i="5"/>
  <c r="F46" i="5"/>
  <c r="F42" i="5"/>
  <c r="F38" i="5"/>
  <c r="F34" i="5"/>
  <c r="F30" i="5"/>
  <c r="F26" i="5"/>
  <c r="F22" i="5"/>
  <c r="F11" i="5"/>
  <c r="G56" i="5"/>
  <c r="G49" i="5"/>
  <c r="G45" i="5"/>
  <c r="G41" i="5"/>
  <c r="G37" i="5"/>
  <c r="G33" i="5"/>
  <c r="G29" i="5"/>
  <c r="G25" i="5"/>
  <c r="G21" i="5"/>
  <c r="G57" i="5"/>
  <c r="G54" i="5"/>
  <c r="G52" i="5"/>
  <c r="G50" i="5"/>
  <c r="G46" i="5"/>
  <c r="G42" i="5"/>
  <c r="G38" i="5"/>
  <c r="G34" i="5"/>
  <c r="G30" i="5"/>
  <c r="G26" i="5"/>
  <c r="G22" i="5"/>
  <c r="G47" i="5"/>
  <c r="G43" i="5"/>
  <c r="G39" i="5"/>
  <c r="G35" i="5"/>
  <c r="G31" i="5"/>
  <c r="G27" i="5"/>
  <c r="J27" i="5" s="1"/>
  <c r="K27" i="5" s="1"/>
  <c r="G23" i="5"/>
  <c r="G19" i="5"/>
  <c r="H8" i="5"/>
  <c r="E9" i="5"/>
  <c r="I9" i="5"/>
  <c r="F10" i="5"/>
  <c r="G11" i="5"/>
  <c r="H12" i="5"/>
  <c r="E13" i="5"/>
  <c r="I13" i="5"/>
  <c r="F14" i="5"/>
  <c r="G15" i="5"/>
  <c r="H16" i="5"/>
  <c r="E17" i="5"/>
  <c r="I17" i="5"/>
  <c r="F18" i="5"/>
  <c r="H19" i="5"/>
  <c r="I22" i="5"/>
  <c r="F23" i="5"/>
  <c r="I26" i="5"/>
  <c r="F27" i="5"/>
  <c r="I30" i="5"/>
  <c r="F31" i="5"/>
  <c r="I34" i="5"/>
  <c r="F35" i="5"/>
  <c r="I38" i="5"/>
  <c r="F39" i="5"/>
  <c r="I42" i="5"/>
  <c r="F43" i="5"/>
  <c r="I46" i="5"/>
  <c r="F47" i="5"/>
  <c r="J47" i="5" s="1"/>
  <c r="K47" i="5" s="1"/>
  <c r="I50" i="5"/>
  <c r="I52" i="5"/>
  <c r="I54" i="5"/>
  <c r="F15" i="5"/>
  <c r="H57" i="5"/>
  <c r="H54" i="5"/>
  <c r="H52" i="5"/>
  <c r="H50" i="5"/>
  <c r="H46" i="5"/>
  <c r="H42" i="5"/>
  <c r="H38" i="5"/>
  <c r="H34" i="5"/>
  <c r="H30" i="5"/>
  <c r="H26" i="5"/>
  <c r="H22" i="5"/>
  <c r="H47" i="5"/>
  <c r="H43" i="5"/>
  <c r="H39" i="5"/>
  <c r="H35" i="5"/>
  <c r="H31" i="5"/>
  <c r="H27" i="5"/>
  <c r="H23" i="5"/>
  <c r="H55" i="5"/>
  <c r="H53" i="5"/>
  <c r="H51" i="5"/>
  <c r="H48" i="5"/>
  <c r="H44" i="5"/>
  <c r="H40" i="5"/>
  <c r="H36" i="5"/>
  <c r="H32" i="5"/>
  <c r="H28" i="5"/>
  <c r="H24" i="5"/>
  <c r="H20" i="5"/>
  <c r="E8" i="5"/>
  <c r="I8" i="5"/>
  <c r="F9" i="5"/>
  <c r="H11" i="5"/>
  <c r="E12" i="5"/>
  <c r="I12" i="5"/>
  <c r="F13" i="5"/>
  <c r="H15" i="5"/>
  <c r="E16" i="5"/>
  <c r="F17" i="5"/>
  <c r="G18" i="5"/>
  <c r="G20" i="5"/>
  <c r="G24" i="5"/>
  <c r="G28" i="5"/>
  <c r="G32" i="5"/>
  <c r="G36" i="5"/>
  <c r="G40" i="5"/>
  <c r="G44" i="5"/>
  <c r="G48" i="5"/>
  <c r="F19" i="5"/>
  <c r="E47" i="5"/>
  <c r="E43" i="5"/>
  <c r="E39" i="5"/>
  <c r="E35" i="5"/>
  <c r="E31" i="5"/>
  <c r="E27" i="5"/>
  <c r="E23" i="5"/>
  <c r="E55" i="5"/>
  <c r="E53" i="5"/>
  <c r="E51" i="5"/>
  <c r="E48" i="5"/>
  <c r="E44" i="5"/>
  <c r="E40" i="5"/>
  <c r="E36" i="5"/>
  <c r="E32" i="5"/>
  <c r="J32" i="5" s="1"/>
  <c r="K32" i="5" s="1"/>
  <c r="E28" i="5"/>
  <c r="E24" i="5"/>
  <c r="E20" i="5"/>
  <c r="J20" i="5" s="1"/>
  <c r="K20" i="5" s="1"/>
  <c r="E56" i="5"/>
  <c r="J56" i="5" s="1"/>
  <c r="K56" i="5" s="1"/>
  <c r="E49" i="5"/>
  <c r="E45" i="5"/>
  <c r="J45" i="5" s="1"/>
  <c r="K45" i="5" s="1"/>
  <c r="E41" i="5"/>
  <c r="E37" i="5"/>
  <c r="J37" i="5" s="1"/>
  <c r="K37" i="5" s="1"/>
  <c r="E33" i="5"/>
  <c r="E29" i="5"/>
  <c r="E25" i="5"/>
  <c r="J25" i="5" s="1"/>
  <c r="K25" i="5" s="1"/>
  <c r="E21" i="5"/>
  <c r="J21" i="5" s="1"/>
  <c r="K21" i="5" s="1"/>
  <c r="I47" i="5"/>
  <c r="I43" i="5"/>
  <c r="I39" i="5"/>
  <c r="J39" i="5" s="1"/>
  <c r="K39" i="5" s="1"/>
  <c r="I35" i="5"/>
  <c r="I31" i="5"/>
  <c r="I27" i="5"/>
  <c r="I23" i="5"/>
  <c r="I19" i="5"/>
  <c r="I55" i="5"/>
  <c r="I53" i="5"/>
  <c r="I51" i="5"/>
  <c r="I48" i="5"/>
  <c r="J48" i="5" s="1"/>
  <c r="K48" i="5" s="1"/>
  <c r="I44" i="5"/>
  <c r="I40" i="5"/>
  <c r="I36" i="5"/>
  <c r="I32" i="5"/>
  <c r="I28" i="5"/>
  <c r="I24" i="5"/>
  <c r="I20" i="5"/>
  <c r="I56" i="5"/>
  <c r="I49" i="5"/>
  <c r="I45" i="5"/>
  <c r="I41" i="5"/>
  <c r="I37" i="5"/>
  <c r="I33" i="5"/>
  <c r="I29" i="5"/>
  <c r="I25" i="5"/>
  <c r="I21" i="5"/>
  <c r="F8" i="5"/>
  <c r="H10" i="5"/>
  <c r="E11" i="5"/>
  <c r="I11" i="5"/>
  <c r="F12" i="5"/>
  <c r="H14" i="5"/>
  <c r="E15" i="5"/>
  <c r="I15" i="5"/>
  <c r="F16" i="5"/>
  <c r="H18" i="5"/>
  <c r="E19" i="5"/>
  <c r="J19" i="5" s="1"/>
  <c r="K19" i="5" s="1"/>
  <c r="H21" i="5"/>
  <c r="H25" i="5"/>
  <c r="H29" i="5"/>
  <c r="H33" i="5"/>
  <c r="H37" i="5"/>
  <c r="H41" i="5"/>
  <c r="H45" i="5"/>
  <c r="H49" i="5"/>
  <c r="I57" i="5"/>
  <c r="Y57" i="5"/>
  <c r="N8" i="4"/>
  <c r="E50" i="4"/>
  <c r="E49" i="4"/>
  <c r="E57" i="4"/>
  <c r="F57" i="4" s="1"/>
  <c r="E56" i="4"/>
  <c r="F56" i="4" s="1"/>
  <c r="E55" i="4"/>
  <c r="E54" i="4"/>
  <c r="E53" i="4"/>
  <c r="E52" i="4"/>
  <c r="F52" i="4" s="1"/>
  <c r="E51" i="4"/>
  <c r="E48" i="4"/>
  <c r="E46" i="4"/>
  <c r="E44" i="4"/>
  <c r="E42" i="4"/>
  <c r="E43" i="4"/>
  <c r="F43" i="4" s="1"/>
  <c r="E20" i="4"/>
  <c r="E33" i="4"/>
  <c r="O33" i="4" s="1"/>
  <c r="P33" i="4" s="1"/>
  <c r="E29" i="4"/>
  <c r="E41" i="4"/>
  <c r="E40" i="4"/>
  <c r="F40" i="4" s="1"/>
  <c r="E38" i="4"/>
  <c r="E36" i="4"/>
  <c r="E34" i="4"/>
  <c r="E32" i="4"/>
  <c r="F32" i="4" s="1"/>
  <c r="E30" i="4"/>
  <c r="F30" i="4" s="1"/>
  <c r="E28" i="4"/>
  <c r="E26" i="4"/>
  <c r="E24" i="4"/>
  <c r="E22" i="4"/>
  <c r="F22" i="4" s="1"/>
  <c r="E45" i="4"/>
  <c r="E37" i="4"/>
  <c r="F37" i="4" s="1"/>
  <c r="E35" i="4"/>
  <c r="E47" i="4"/>
  <c r="F47" i="4" s="1"/>
  <c r="E39" i="4"/>
  <c r="E31" i="4"/>
  <c r="M50" i="4"/>
  <c r="N50" i="4" s="1"/>
  <c r="M49" i="4"/>
  <c r="N49" i="4" s="1"/>
  <c r="M57" i="4"/>
  <c r="N57" i="4" s="1"/>
  <c r="M56" i="4"/>
  <c r="N56" i="4"/>
  <c r="M55" i="4"/>
  <c r="N55" i="4" s="1"/>
  <c r="M54" i="4"/>
  <c r="N54" i="4"/>
  <c r="M53" i="4"/>
  <c r="N53" i="4" s="1"/>
  <c r="M52" i="4"/>
  <c r="N52" i="4"/>
  <c r="M51" i="4"/>
  <c r="N51" i="4" s="1"/>
  <c r="M48" i="4"/>
  <c r="N48" i="4" s="1"/>
  <c r="M46" i="4"/>
  <c r="N46" i="4" s="1"/>
  <c r="M44" i="4"/>
  <c r="N44" i="4"/>
  <c r="M42" i="4"/>
  <c r="N42" i="4" s="1"/>
  <c r="M40" i="4"/>
  <c r="N40" i="4"/>
  <c r="M31" i="4"/>
  <c r="N31" i="4" s="1"/>
  <c r="M47" i="4"/>
  <c r="N47" i="4"/>
  <c r="M45" i="4"/>
  <c r="N45" i="4" s="1"/>
  <c r="M38" i="4"/>
  <c r="N38" i="4" s="1"/>
  <c r="M36" i="4"/>
  <c r="N36" i="4" s="1"/>
  <c r="M34" i="4"/>
  <c r="N34" i="4"/>
  <c r="M32" i="4"/>
  <c r="N32" i="4" s="1"/>
  <c r="M30" i="4"/>
  <c r="N30" i="4"/>
  <c r="M28" i="4"/>
  <c r="N28" i="4" s="1"/>
  <c r="M26" i="4"/>
  <c r="N26" i="4"/>
  <c r="M24" i="4"/>
  <c r="N24" i="4" s="1"/>
  <c r="M22" i="4"/>
  <c r="N22" i="4" s="1"/>
  <c r="M35" i="4"/>
  <c r="N35" i="4" s="1"/>
  <c r="M33" i="4"/>
  <c r="N33" i="4"/>
  <c r="M29" i="4"/>
  <c r="N29" i="4" s="1"/>
  <c r="M43" i="4"/>
  <c r="N43" i="4"/>
  <c r="M20" i="4"/>
  <c r="N20" i="4" s="1"/>
  <c r="M41" i="4"/>
  <c r="N41" i="4"/>
  <c r="M39" i="4"/>
  <c r="N39" i="4" s="1"/>
  <c r="M37" i="4"/>
  <c r="N37" i="4" s="1"/>
  <c r="E9" i="4"/>
  <c r="M9" i="4"/>
  <c r="N9" i="4" s="1"/>
  <c r="M14" i="4"/>
  <c r="N14" i="4" s="1"/>
  <c r="E16" i="4"/>
  <c r="M18" i="4"/>
  <c r="N18" i="4"/>
  <c r="M23" i="4"/>
  <c r="N23" i="4" s="1"/>
  <c r="M27" i="4"/>
  <c r="N27" i="4"/>
  <c r="R4" i="4"/>
  <c r="R72" i="4" s="1"/>
  <c r="F11" i="4"/>
  <c r="G50" i="4"/>
  <c r="H50" i="4" s="1"/>
  <c r="G48" i="4"/>
  <c r="H48" i="4" s="1"/>
  <c r="G46" i="4"/>
  <c r="H46" i="4" s="1"/>
  <c r="G44" i="4"/>
  <c r="H44" i="4" s="1"/>
  <c r="G42" i="4"/>
  <c r="H42" i="4" s="1"/>
  <c r="G54" i="4"/>
  <c r="H54" i="4" s="1"/>
  <c r="G53" i="4"/>
  <c r="H53" i="4" s="1"/>
  <c r="G39" i="4"/>
  <c r="H39" i="4" s="1"/>
  <c r="G37" i="4"/>
  <c r="H37" i="4" s="1"/>
  <c r="G35" i="4"/>
  <c r="H35" i="4" s="1"/>
  <c r="G33" i="4"/>
  <c r="H33" i="4" s="1"/>
  <c r="G31" i="4"/>
  <c r="H31" i="4" s="1"/>
  <c r="G29" i="4"/>
  <c r="H29" i="4" s="1"/>
  <c r="G27" i="4"/>
  <c r="H27" i="4" s="1"/>
  <c r="G25" i="4"/>
  <c r="H25" i="4" s="1"/>
  <c r="G23" i="4"/>
  <c r="H23" i="4" s="1"/>
  <c r="G21" i="4"/>
  <c r="H21" i="4" s="1"/>
  <c r="G52" i="4"/>
  <c r="H52" i="4" s="1"/>
  <c r="I42" i="4"/>
  <c r="J42" i="4"/>
  <c r="G11" i="4"/>
  <c r="H11" i="4" s="1"/>
  <c r="G13" i="4"/>
  <c r="H13" i="4" s="1"/>
  <c r="K14" i="4"/>
  <c r="L14" i="4" s="1"/>
  <c r="K15" i="4"/>
  <c r="L15" i="4" s="1"/>
  <c r="K16" i="4"/>
  <c r="L16" i="4" s="1"/>
  <c r="K17" i="4"/>
  <c r="L17" i="4" s="1"/>
  <c r="K18" i="4"/>
  <c r="L18" i="4" s="1"/>
  <c r="I20" i="4"/>
  <c r="J20" i="4" s="1"/>
  <c r="I21" i="4"/>
  <c r="J21" i="4"/>
  <c r="I23" i="4"/>
  <c r="J23" i="4" s="1"/>
  <c r="I25" i="4"/>
  <c r="J25" i="4" s="1"/>
  <c r="I27" i="4"/>
  <c r="J27" i="4" s="1"/>
  <c r="I29" i="4"/>
  <c r="J29" i="4"/>
  <c r="I31" i="4"/>
  <c r="J31" i="4" s="1"/>
  <c r="I33" i="4"/>
  <c r="J33" i="4"/>
  <c r="I35" i="4"/>
  <c r="J35" i="4" s="1"/>
  <c r="I37" i="4"/>
  <c r="J37" i="4"/>
  <c r="I39" i="4"/>
  <c r="J39" i="4" s="1"/>
  <c r="I44" i="4"/>
  <c r="J44" i="4" s="1"/>
  <c r="G55" i="4"/>
  <c r="H55" i="4" s="1"/>
  <c r="I50" i="4"/>
  <c r="J50" i="4"/>
  <c r="I49" i="4"/>
  <c r="J49" i="4" s="1"/>
  <c r="I57" i="4"/>
  <c r="J57" i="4"/>
  <c r="I56" i="4"/>
  <c r="J56" i="4" s="1"/>
  <c r="I55" i="4"/>
  <c r="J55" i="4"/>
  <c r="I54" i="4"/>
  <c r="J54" i="4" s="1"/>
  <c r="I53" i="4"/>
  <c r="J53" i="4" s="1"/>
  <c r="I52" i="4"/>
  <c r="J52" i="4" s="1"/>
  <c r="I51" i="4"/>
  <c r="J51" i="4"/>
  <c r="I47" i="4"/>
  <c r="J47" i="4" s="1"/>
  <c r="I45" i="4"/>
  <c r="J45" i="4"/>
  <c r="I43" i="4"/>
  <c r="J43" i="4" s="1"/>
  <c r="I41" i="4"/>
  <c r="J41" i="4"/>
  <c r="R2" i="4"/>
  <c r="R70" i="4" s="1"/>
  <c r="K50" i="4"/>
  <c r="L50" i="4" s="1"/>
  <c r="K49" i="4"/>
  <c r="L49" i="4" s="1"/>
  <c r="K48" i="4"/>
  <c r="L48" i="4" s="1"/>
  <c r="K47" i="4"/>
  <c r="L47" i="4"/>
  <c r="K46" i="4"/>
  <c r="L46" i="4" s="1"/>
  <c r="K45" i="4"/>
  <c r="L45" i="4" s="1"/>
  <c r="K44" i="4"/>
  <c r="L44" i="4" s="1"/>
  <c r="K43" i="4"/>
  <c r="L43" i="4" s="1"/>
  <c r="K42" i="4"/>
  <c r="L42" i="4" s="1"/>
  <c r="K41" i="4"/>
  <c r="L41" i="4" s="1"/>
  <c r="K40" i="4"/>
  <c r="L40" i="4" s="1"/>
  <c r="K57" i="4"/>
  <c r="L57" i="4"/>
  <c r="K53" i="4"/>
  <c r="L53" i="4" s="1"/>
  <c r="K56" i="4"/>
  <c r="L56" i="4" s="1"/>
  <c r="K52" i="4"/>
  <c r="L52" i="4" s="1"/>
  <c r="K39" i="4"/>
  <c r="L39" i="4"/>
  <c r="K38" i="4"/>
  <c r="L38" i="4" s="1"/>
  <c r="K37" i="4"/>
  <c r="L37" i="4" s="1"/>
  <c r="K36" i="4"/>
  <c r="L36" i="4" s="1"/>
  <c r="K35" i="4"/>
  <c r="L35" i="4"/>
  <c r="K34" i="4"/>
  <c r="L34" i="4" s="1"/>
  <c r="K33" i="4"/>
  <c r="L33" i="4" s="1"/>
  <c r="K32" i="4"/>
  <c r="L32" i="4" s="1"/>
  <c r="K31" i="4"/>
  <c r="L31" i="4" s="1"/>
  <c r="K30" i="4"/>
  <c r="L30" i="4" s="1"/>
  <c r="K29" i="4"/>
  <c r="L29" i="4" s="1"/>
  <c r="K28" i="4"/>
  <c r="L28" i="4" s="1"/>
  <c r="K27" i="4"/>
  <c r="L27" i="4"/>
  <c r="K26" i="4"/>
  <c r="L26" i="4" s="1"/>
  <c r="K25" i="4"/>
  <c r="K24" i="4"/>
  <c r="L24" i="4" s="1"/>
  <c r="K23" i="4"/>
  <c r="L23" i="4"/>
  <c r="K22" i="4"/>
  <c r="L22" i="4" s="1"/>
  <c r="K21" i="4"/>
  <c r="L21" i="4" s="1"/>
  <c r="K55" i="4"/>
  <c r="L55" i="4" s="1"/>
  <c r="K51" i="4"/>
  <c r="L51" i="4"/>
  <c r="K20" i="4"/>
  <c r="L20" i="4" s="1"/>
  <c r="I46" i="4"/>
  <c r="J46" i="4" s="1"/>
  <c r="G51" i="4"/>
  <c r="O51" i="4" s="1"/>
  <c r="P51" i="4" s="1"/>
  <c r="H51" i="4"/>
  <c r="K54" i="4"/>
  <c r="L54" i="4" s="1"/>
  <c r="E102" i="4"/>
  <c r="F102" i="4" s="1"/>
  <c r="G102" i="4"/>
  <c r="AC49" i="4"/>
  <c r="AC50" i="4"/>
  <c r="AG51" i="4"/>
  <c r="AG52" i="4"/>
  <c r="AG53" i="4"/>
  <c r="AG54" i="4"/>
  <c r="AG55" i="4"/>
  <c r="AG56" i="4"/>
  <c r="AG57" i="4"/>
  <c r="Q14" i="8"/>
  <c r="R25" i="8"/>
  <c r="Q25" i="8"/>
  <c r="R20" i="8"/>
  <c r="Q20" i="8"/>
  <c r="R16" i="8"/>
  <c r="S16" i="8" s="1"/>
  <c r="T16" i="8" s="1"/>
  <c r="R23" i="8"/>
  <c r="Q23" i="8"/>
  <c r="R19" i="8"/>
  <c r="S19" i="8" s="1"/>
  <c r="T19" i="8" s="1"/>
  <c r="Q15" i="8"/>
  <c r="R21" i="8"/>
  <c r="S21" i="8"/>
  <c r="T21" i="8" s="1"/>
  <c r="Q21" i="8"/>
  <c r="G110" i="8"/>
  <c r="R18" i="8"/>
  <c r="S18" i="8" s="1"/>
  <c r="T18" i="8" s="1"/>
  <c r="Q18" i="8"/>
  <c r="H106" i="8"/>
  <c r="I106" i="8" s="1"/>
  <c r="G106" i="8"/>
  <c r="R17" i="8"/>
  <c r="G134" i="8"/>
  <c r="G107" i="8"/>
  <c r="H107" i="8"/>
  <c r="I107" i="8" s="1"/>
  <c r="J107" i="8" s="1"/>
  <c r="H133" i="8"/>
  <c r="G135" i="8"/>
  <c r="O131" i="8"/>
  <c r="Q30" i="8"/>
  <c r="S30" i="8"/>
  <c r="T30" i="8" s="1"/>
  <c r="L8" i="7"/>
  <c r="F47" i="7"/>
  <c r="F17" i="7"/>
  <c r="F21" i="7"/>
  <c r="F27" i="7"/>
  <c r="F32" i="7"/>
  <c r="F36" i="7"/>
  <c r="F40" i="7"/>
  <c r="F51" i="7"/>
  <c r="F55" i="7"/>
  <c r="H8" i="7"/>
  <c r="F11" i="7"/>
  <c r="F50" i="7"/>
  <c r="F46" i="7"/>
  <c r="F18" i="7"/>
  <c r="F22" i="7"/>
  <c r="F29" i="7"/>
  <c r="F33" i="7"/>
  <c r="F37" i="7"/>
  <c r="F41" i="7"/>
  <c r="F52" i="7"/>
  <c r="F56" i="7"/>
  <c r="F8" i="7"/>
  <c r="F45" i="7"/>
  <c r="F44" i="7"/>
  <c r="F19" i="7"/>
  <c r="F25" i="7"/>
  <c r="F30" i="7"/>
  <c r="F34" i="7"/>
  <c r="F38" i="7"/>
  <c r="F42" i="7"/>
  <c r="F53" i="7"/>
  <c r="F57" i="7"/>
  <c r="H28" i="7"/>
  <c r="F15" i="7"/>
  <c r="F49" i="7"/>
  <c r="F48" i="7"/>
  <c r="F20" i="7"/>
  <c r="F26" i="7"/>
  <c r="F31" i="7"/>
  <c r="F35" i="7"/>
  <c r="F43" i="7"/>
  <c r="F12" i="7"/>
  <c r="J35" i="5"/>
  <c r="K35" i="5" s="1"/>
  <c r="J23" i="5"/>
  <c r="K23" i="5" s="1"/>
  <c r="J43" i="5"/>
  <c r="K43" i="5" s="1"/>
  <c r="J29" i="5"/>
  <c r="K29" i="5" s="1"/>
  <c r="J31" i="5"/>
  <c r="K31" i="5" s="1"/>
  <c r="F16" i="4"/>
  <c r="F35" i="4"/>
  <c r="F24" i="4"/>
  <c r="F20" i="4"/>
  <c r="F46" i="4"/>
  <c r="F31" i="4"/>
  <c r="F26" i="4"/>
  <c r="F34" i="4"/>
  <c r="F41" i="4"/>
  <c r="F48" i="4"/>
  <c r="F53" i="4"/>
  <c r="O53" i="4"/>
  <c r="P53" i="4" s="1"/>
  <c r="F39" i="4"/>
  <c r="F45" i="4"/>
  <c r="F28" i="4"/>
  <c r="F36" i="4"/>
  <c r="F29" i="4"/>
  <c r="O42" i="4"/>
  <c r="P42" i="4" s="1"/>
  <c r="F42" i="4"/>
  <c r="F54" i="4"/>
  <c r="F49" i="4"/>
  <c r="N102" i="4"/>
  <c r="F38" i="4"/>
  <c r="F44" i="4"/>
  <c r="F51" i="4"/>
  <c r="F55" i="4"/>
  <c r="O50" i="4"/>
  <c r="P50" i="4" s="1"/>
  <c r="F50" i="4"/>
  <c r="F6" i="63" l="1"/>
  <c r="N14" i="63"/>
  <c r="N15" i="63" s="1"/>
  <c r="N16" i="63" s="1"/>
  <c r="N17" i="63" s="1"/>
  <c r="X20" i="63"/>
  <c r="AK13" i="63"/>
  <c r="O48" i="7"/>
  <c r="P48" i="7" s="1"/>
  <c r="O31" i="7"/>
  <c r="P31" i="7" s="1"/>
  <c r="J57" i="5"/>
  <c r="K57" i="5" s="1"/>
  <c r="Z59" i="4"/>
  <c r="AA48" i="4"/>
  <c r="AA45" i="4"/>
  <c r="AA40" i="4"/>
  <c r="AA39" i="4"/>
  <c r="AA36" i="4"/>
  <c r="AA35" i="4"/>
  <c r="AA32" i="4"/>
  <c r="AA31" i="4"/>
  <c r="AA28" i="4"/>
  <c r="AA27" i="4"/>
  <c r="AA21" i="4"/>
  <c r="AA20" i="4"/>
  <c r="AA19" i="4"/>
  <c r="AA15" i="4"/>
  <c r="AA11" i="4"/>
  <c r="AA55" i="4"/>
  <c r="AA53" i="4"/>
  <c r="AA51" i="4"/>
  <c r="AA50" i="4"/>
  <c r="AA46" i="4"/>
  <c r="AA43" i="4"/>
  <c r="AA22" i="4"/>
  <c r="AA16" i="4"/>
  <c r="AA12" i="4"/>
  <c r="AA57" i="4"/>
  <c r="AA49" i="4"/>
  <c r="AA44" i="4"/>
  <c r="AA41" i="4"/>
  <c r="AA38" i="4"/>
  <c r="AA37" i="4"/>
  <c r="AA34" i="4"/>
  <c r="AA33" i="4"/>
  <c r="AA30" i="4"/>
  <c r="AA29" i="4"/>
  <c r="AA25" i="4"/>
  <c r="AA24" i="4"/>
  <c r="AA23" i="4"/>
  <c r="AA17" i="4"/>
  <c r="AA14" i="4"/>
  <c r="AA10" i="4"/>
  <c r="AA9" i="4"/>
  <c r="AA8" i="4"/>
  <c r="V171" i="8"/>
  <c r="V232" i="8"/>
  <c r="J15" i="5"/>
  <c r="K15" i="5" s="1"/>
  <c r="J36" i="5"/>
  <c r="K36" i="5" s="1"/>
  <c r="AA18" i="4"/>
  <c r="AA26" i="4"/>
  <c r="AC27" i="5"/>
  <c r="AC43" i="5"/>
  <c r="AI57" i="7"/>
  <c r="AI55" i="7"/>
  <c r="AI46" i="7"/>
  <c r="AI41" i="7"/>
  <c r="AI39" i="7"/>
  <c r="AI37" i="7"/>
  <c r="AI35" i="7"/>
  <c r="AI33" i="7"/>
  <c r="AI31" i="7"/>
  <c r="AI29" i="7"/>
  <c r="AI27" i="7"/>
  <c r="AI25" i="7"/>
  <c r="AI21" i="7"/>
  <c r="AI19" i="7"/>
  <c r="AI16" i="7"/>
  <c r="AI14" i="7"/>
  <c r="AI11" i="7"/>
  <c r="AI8" i="7"/>
  <c r="AI44" i="7"/>
  <c r="AI22" i="7"/>
  <c r="AI12" i="7"/>
  <c r="AI50" i="7"/>
  <c r="AI42" i="7"/>
  <c r="AI40" i="7"/>
  <c r="AI38" i="7"/>
  <c r="AI36" i="7"/>
  <c r="AI34" i="7"/>
  <c r="AI32" i="7"/>
  <c r="AI30" i="7"/>
  <c r="AI28" i="7"/>
  <c r="AI26" i="7"/>
  <c r="AI24" i="7"/>
  <c r="AI20" i="7"/>
  <c r="AI17" i="7"/>
  <c r="AI15" i="7"/>
  <c r="AI13" i="7"/>
  <c r="AI9" i="7"/>
  <c r="H81" i="8"/>
  <c r="I81" i="8" s="1"/>
  <c r="G81" i="8"/>
  <c r="F80" i="8"/>
  <c r="H80" i="8" s="1"/>
  <c r="I80" i="8" s="1"/>
  <c r="J80" i="8" s="1"/>
  <c r="C86" i="8"/>
  <c r="V170" i="8"/>
  <c r="V209" i="8"/>
  <c r="V221" i="8"/>
  <c r="R66" i="4"/>
  <c r="R114" i="4" s="1"/>
  <c r="H102" i="4"/>
  <c r="I102" i="4" s="1"/>
  <c r="J102" i="4" s="1"/>
  <c r="K102" i="4" s="1"/>
  <c r="L102" i="4" s="1"/>
  <c r="M102" i="4" s="1"/>
  <c r="F10" i="4"/>
  <c r="AE57" i="4"/>
  <c r="AD59" i="4"/>
  <c r="AE50" i="4"/>
  <c r="AE44" i="4"/>
  <c r="AE41" i="4"/>
  <c r="AE38" i="4"/>
  <c r="AE37" i="4"/>
  <c r="AE34" i="4"/>
  <c r="AE33" i="4"/>
  <c r="AE30" i="4"/>
  <c r="AE29" i="4"/>
  <c r="AE25" i="4"/>
  <c r="AE24" i="4"/>
  <c r="AE23" i="4"/>
  <c r="AE17" i="4"/>
  <c r="AE14" i="4"/>
  <c r="AE10" i="4"/>
  <c r="AE9" i="4"/>
  <c r="AE8" i="4"/>
  <c r="AE54" i="4"/>
  <c r="AE52" i="4"/>
  <c r="AE49" i="4"/>
  <c r="AE47" i="4"/>
  <c r="AE42" i="4"/>
  <c r="AE26" i="4"/>
  <c r="AE18" i="4"/>
  <c r="AE13" i="4"/>
  <c r="AE56" i="4"/>
  <c r="AE48" i="4"/>
  <c r="AE45" i="4"/>
  <c r="AE40" i="4"/>
  <c r="AE39" i="4"/>
  <c r="AE36" i="4"/>
  <c r="AE35" i="4"/>
  <c r="AE32" i="4"/>
  <c r="AE31" i="4"/>
  <c r="AE28" i="4"/>
  <c r="AE27" i="4"/>
  <c r="AE21" i="4"/>
  <c r="AE20" i="4"/>
  <c r="AE19" i="4"/>
  <c r="AE15" i="4"/>
  <c r="AE11" i="4"/>
  <c r="M12" i="7"/>
  <c r="N12" i="7" s="1"/>
  <c r="M56" i="7"/>
  <c r="M53" i="7"/>
  <c r="N53" i="7" s="1"/>
  <c r="M48" i="7"/>
  <c r="N48" i="7" s="1"/>
  <c r="M45" i="7"/>
  <c r="N45" i="7" s="1"/>
  <c r="M40" i="7"/>
  <c r="N40" i="7" s="1"/>
  <c r="M37" i="7"/>
  <c r="N37" i="7" s="1"/>
  <c r="M32" i="7"/>
  <c r="M29" i="7"/>
  <c r="N29" i="7" s="1"/>
  <c r="M24" i="7"/>
  <c r="N24" i="7" s="1"/>
  <c r="M21" i="7"/>
  <c r="N21" i="7" s="1"/>
  <c r="M15" i="7"/>
  <c r="N15" i="7" s="1"/>
  <c r="M55" i="7"/>
  <c r="N55" i="7" s="1"/>
  <c r="M50" i="7"/>
  <c r="N50" i="7" s="1"/>
  <c r="M47" i="7"/>
  <c r="M42" i="7"/>
  <c r="N42" i="7" s="1"/>
  <c r="M39" i="7"/>
  <c r="N39" i="7" s="1"/>
  <c r="M34" i="7"/>
  <c r="N34" i="7" s="1"/>
  <c r="M31" i="7"/>
  <c r="N31" i="7" s="1"/>
  <c r="M26" i="7"/>
  <c r="N26" i="7" s="1"/>
  <c r="M23" i="7"/>
  <c r="N23" i="7" s="1"/>
  <c r="M18" i="7"/>
  <c r="N18" i="7" s="1"/>
  <c r="M9" i="7"/>
  <c r="N9" i="7" s="1"/>
  <c r="M57" i="7"/>
  <c r="N57" i="7" s="1"/>
  <c r="M52" i="7"/>
  <c r="N52" i="7" s="1"/>
  <c r="M49" i="7"/>
  <c r="M44" i="7"/>
  <c r="M41" i="7"/>
  <c r="N41" i="7" s="1"/>
  <c r="M36" i="7"/>
  <c r="N36" i="7" s="1"/>
  <c r="M33" i="7"/>
  <c r="N33" i="7" s="1"/>
  <c r="M28" i="7"/>
  <c r="M25" i="7"/>
  <c r="N25" i="7" s="1"/>
  <c r="M20" i="7"/>
  <c r="N20" i="7" s="1"/>
  <c r="M17" i="7"/>
  <c r="N17" i="7" s="1"/>
  <c r="AI10" i="7"/>
  <c r="AI48" i="7"/>
  <c r="AI51" i="7"/>
  <c r="AC54" i="7"/>
  <c r="AC53" i="7"/>
  <c r="AC52" i="7"/>
  <c r="AC51" i="7"/>
  <c r="AC50" i="7"/>
  <c r="AC49" i="7"/>
  <c r="AC22" i="7"/>
  <c r="AC12" i="7"/>
  <c r="AC56" i="7"/>
  <c r="AC55" i="7"/>
  <c r="AC48" i="7"/>
  <c r="AC47" i="7"/>
  <c r="AC42" i="7"/>
  <c r="AC40" i="7"/>
  <c r="AC38" i="7"/>
  <c r="AC36" i="7"/>
  <c r="AC34" i="7"/>
  <c r="AC32" i="7"/>
  <c r="AC30" i="7"/>
  <c r="AC28" i="7"/>
  <c r="AC26" i="7"/>
  <c r="AC24" i="7"/>
  <c r="AC20" i="7"/>
  <c r="AC17" i="7"/>
  <c r="AC15" i="7"/>
  <c r="AC13" i="7"/>
  <c r="AC9" i="7"/>
  <c r="AB59" i="7"/>
  <c r="AC57" i="7"/>
  <c r="AC46" i="7"/>
  <c r="AC45" i="7"/>
  <c r="AC18" i="7"/>
  <c r="AC10" i="7"/>
  <c r="H79" i="8"/>
  <c r="G79" i="8"/>
  <c r="F86" i="8" s="1"/>
  <c r="I79" i="8"/>
  <c r="J79" i="8" s="1"/>
  <c r="G86" i="8" s="1"/>
  <c r="I68" i="8"/>
  <c r="L109" i="8"/>
  <c r="M109" i="8" s="1"/>
  <c r="N109" i="8" s="1"/>
  <c r="O109" i="8" s="1"/>
  <c r="M132" i="8"/>
  <c r="C124" i="8"/>
  <c r="L132" i="8"/>
  <c r="I119" i="8"/>
  <c r="C132" i="8"/>
  <c r="F132" i="8" s="1"/>
  <c r="G119" i="8"/>
  <c r="K119" i="8" s="1"/>
  <c r="C136" i="8"/>
  <c r="F136" i="8" s="1"/>
  <c r="L136" i="8"/>
  <c r="M136" i="8"/>
  <c r="N136" i="8" s="1"/>
  <c r="O136" i="8" s="1"/>
  <c r="I123" i="8"/>
  <c r="G123" i="8"/>
  <c r="K123" i="8" s="1"/>
  <c r="V169" i="8"/>
  <c r="V206" i="8"/>
  <c r="V219" i="8"/>
  <c r="O102" i="4"/>
  <c r="P102" i="4" s="1"/>
  <c r="Q102" i="4" s="1"/>
  <c r="AB59" i="5"/>
  <c r="AC57" i="5"/>
  <c r="AC56" i="5"/>
  <c r="AC55" i="5"/>
  <c r="AC51" i="5"/>
  <c r="AC45" i="5"/>
  <c r="AC37" i="5"/>
  <c r="AC29" i="5"/>
  <c r="AC24" i="5"/>
  <c r="AC19" i="5"/>
  <c r="AC12" i="5"/>
  <c r="AC10" i="5"/>
  <c r="AC54" i="5"/>
  <c r="AC53" i="5"/>
  <c r="AC52" i="5"/>
  <c r="AC50" i="5"/>
  <c r="AC47" i="5"/>
  <c r="AC42" i="5"/>
  <c r="AC39" i="5"/>
  <c r="AC34" i="5"/>
  <c r="AC31" i="5"/>
  <c r="AC26" i="5"/>
  <c r="AC21" i="5"/>
  <c r="AC16" i="5"/>
  <c r="AC13" i="5"/>
  <c r="AC49" i="5"/>
  <c r="AC46" i="5"/>
  <c r="AC44" i="5"/>
  <c r="AC41" i="5"/>
  <c r="AC38" i="5"/>
  <c r="AC36" i="5"/>
  <c r="AC33" i="5"/>
  <c r="AC30" i="5"/>
  <c r="AC28" i="5"/>
  <c r="AC23" i="5"/>
  <c r="AC18" i="5"/>
  <c r="AC15" i="5"/>
  <c r="AC11" i="5"/>
  <c r="I82" i="8"/>
  <c r="J82" i="8" s="1"/>
  <c r="V212" i="8"/>
  <c r="F33" i="4"/>
  <c r="O31" i="4"/>
  <c r="P31" i="4" s="1"/>
  <c r="O10" i="7"/>
  <c r="P10" i="7" s="1"/>
  <c r="O29" i="7"/>
  <c r="P29" i="7" s="1"/>
  <c r="I111" i="8"/>
  <c r="J111" i="8" s="1"/>
  <c r="J49" i="5"/>
  <c r="K49" i="5" s="1"/>
  <c r="J11" i="5"/>
  <c r="K11" i="5" s="1"/>
  <c r="AC22" i="5"/>
  <c r="AC40" i="5"/>
  <c r="AC48" i="5"/>
  <c r="O39" i="4"/>
  <c r="P39" i="4" s="1"/>
  <c r="I133" i="8"/>
  <c r="G111" i="8"/>
  <c r="J44" i="5"/>
  <c r="K44" i="5" s="1"/>
  <c r="F58" i="5"/>
  <c r="F59" i="5" s="1"/>
  <c r="J41" i="5"/>
  <c r="K41" i="5" s="1"/>
  <c r="AI52" i="7"/>
  <c r="AA42" i="4"/>
  <c r="AA52" i="4"/>
  <c r="AA54" i="4"/>
  <c r="AE55" i="4"/>
  <c r="AC14" i="5"/>
  <c r="AC32" i="5"/>
  <c r="O52" i="7"/>
  <c r="P52" i="7" s="1"/>
  <c r="O51" i="7"/>
  <c r="P51" i="7" s="1"/>
  <c r="S17" i="8"/>
  <c r="T17" i="8" s="1"/>
  <c r="J28" i="5"/>
  <c r="K28" i="5" s="1"/>
  <c r="M35" i="7"/>
  <c r="N35" i="7" s="1"/>
  <c r="M46" i="7"/>
  <c r="N46" i="7" s="1"/>
  <c r="C109" i="8"/>
  <c r="F109" i="8" s="1"/>
  <c r="P31" i="8"/>
  <c r="AE12" i="4"/>
  <c r="AE16" i="4"/>
  <c r="AE58" i="4" s="1"/>
  <c r="AE22" i="4"/>
  <c r="AE46" i="4"/>
  <c r="AA47" i="4"/>
  <c r="AC8" i="5"/>
  <c r="AC9" i="5"/>
  <c r="AC25" i="5"/>
  <c r="AC35" i="5"/>
  <c r="G43" i="7"/>
  <c r="G19" i="7"/>
  <c r="G11" i="7"/>
  <c r="H11" i="7" s="1"/>
  <c r="G15" i="7"/>
  <c r="H15" i="7" s="1"/>
  <c r="G25" i="7"/>
  <c r="H25" i="7" s="1"/>
  <c r="G9" i="7"/>
  <c r="H9" i="7" s="1"/>
  <c r="G13" i="7"/>
  <c r="H13" i="7" s="1"/>
  <c r="AC25" i="7"/>
  <c r="AC33" i="7"/>
  <c r="L111" i="8"/>
  <c r="M111" i="8" s="1"/>
  <c r="N111" i="8" s="1"/>
  <c r="O111" i="8" s="1"/>
  <c r="V172" i="8"/>
  <c r="V178" i="8"/>
  <c r="V180" i="8"/>
  <c r="V205" i="8"/>
  <c r="N488" i="10"/>
  <c r="L488" i="10"/>
  <c r="M488" i="10"/>
  <c r="V236" i="8"/>
  <c r="V264" i="8"/>
  <c r="V308" i="8"/>
  <c r="AN25" i="34"/>
  <c r="AO25" i="34" s="1"/>
  <c r="AJ25" i="34"/>
  <c r="G10" i="4"/>
  <c r="H10" i="4" s="1"/>
  <c r="I11" i="4"/>
  <c r="J11" i="4" s="1"/>
  <c r="M12" i="4"/>
  <c r="N12" i="4" s="1"/>
  <c r="E13" i="4"/>
  <c r="F13" i="4" s="1"/>
  <c r="I15" i="4"/>
  <c r="J15" i="4" s="1"/>
  <c r="AC52" i="4"/>
  <c r="AC54" i="4"/>
  <c r="AB59" i="4"/>
  <c r="K68" i="8"/>
  <c r="V173" i="8"/>
  <c r="V174" i="8"/>
  <c r="V175" i="8"/>
  <c r="V187" i="8"/>
  <c r="V301" i="8"/>
  <c r="J733" i="10"/>
  <c r="G62" i="34"/>
  <c r="G11" i="34" s="1"/>
  <c r="H11" i="34" s="1"/>
  <c r="AN57" i="34"/>
  <c r="AO57" i="34" s="1"/>
  <c r="AO20" i="34"/>
  <c r="AJ58" i="37"/>
  <c r="AF58" i="37"/>
  <c r="E58" i="37" s="1"/>
  <c r="AJ50" i="37"/>
  <c r="AF50" i="37"/>
  <c r="E50" i="37" s="1"/>
  <c r="AJ42" i="37"/>
  <c r="AM42" i="37" s="1"/>
  <c r="AN42" i="37" s="1"/>
  <c r="AF42" i="37"/>
  <c r="E42" i="37" s="1"/>
  <c r="AM35" i="37"/>
  <c r="AN35" i="37" s="1"/>
  <c r="AI35" i="37"/>
  <c r="AJ17" i="37"/>
  <c r="AM17" i="37" s="1"/>
  <c r="AN17" i="37" s="1"/>
  <c r="AF17" i="37"/>
  <c r="E17" i="37" s="1"/>
  <c r="AJ28" i="37"/>
  <c r="AM28" i="37" s="1"/>
  <c r="AN28" i="37" s="1"/>
  <c r="AJ32" i="37"/>
  <c r="AJ40" i="37"/>
  <c r="AK16" i="37"/>
  <c r="J113" i="34"/>
  <c r="J114" i="34" s="1"/>
  <c r="J112" i="34" s="1"/>
  <c r="J115" i="34" s="1"/>
  <c r="J213" i="34"/>
  <c r="I215" i="34"/>
  <c r="K124" i="8"/>
  <c r="E8" i="4"/>
  <c r="F8" i="4" s="1"/>
  <c r="I10" i="4"/>
  <c r="J10" i="4" s="1"/>
  <c r="M11" i="4"/>
  <c r="N11" i="4" s="1"/>
  <c r="E12" i="4"/>
  <c r="F12" i="4" s="1"/>
  <c r="I13" i="4"/>
  <c r="J13" i="4" s="1"/>
  <c r="M15" i="4"/>
  <c r="N15" i="4" s="1"/>
  <c r="E21" i="4"/>
  <c r="F21" i="4" s="1"/>
  <c r="I28" i="4"/>
  <c r="J28" i="4" s="1"/>
  <c r="I32" i="4"/>
  <c r="J32" i="4" s="1"/>
  <c r="I36" i="4"/>
  <c r="J36" i="4" s="1"/>
  <c r="I40" i="4"/>
  <c r="J40" i="4" s="1"/>
  <c r="Y58" i="5"/>
  <c r="W27" i="5"/>
  <c r="AA29" i="5"/>
  <c r="AE30" i="5"/>
  <c r="W32" i="5"/>
  <c r="AE33" i="5"/>
  <c r="AE36" i="5"/>
  <c r="AE38" i="5"/>
  <c r="AE41" i="5"/>
  <c r="W43" i="5"/>
  <c r="AE44" i="5"/>
  <c r="AA45" i="5"/>
  <c r="AE46" i="5"/>
  <c r="W48" i="5"/>
  <c r="AE49" i="5"/>
  <c r="AA51" i="5"/>
  <c r="W57" i="5"/>
  <c r="K57" i="7"/>
  <c r="I12" i="7"/>
  <c r="J12" i="7" s="1"/>
  <c r="AG39" i="7"/>
  <c r="AG41" i="7"/>
  <c r="AG58" i="7" s="1"/>
  <c r="AG45" i="7"/>
  <c r="AG46" i="7"/>
  <c r="AE57" i="7"/>
  <c r="V194" i="8"/>
  <c r="V195" i="8"/>
  <c r="V256" i="8"/>
  <c r="V289" i="8"/>
  <c r="V320" i="8"/>
  <c r="V325" i="8"/>
  <c r="J677" i="10"/>
  <c r="I677" i="10" s="1"/>
  <c r="C677" i="10" s="1"/>
  <c r="E677" i="10"/>
  <c r="AJ19" i="34"/>
  <c r="AJ15" i="34"/>
  <c r="AJ50" i="34"/>
  <c r="AJ37" i="37"/>
  <c r="AJ36" i="37"/>
  <c r="AI36" i="37" s="1"/>
  <c r="AJ26" i="37"/>
  <c r="AJ13" i="37"/>
  <c r="I8" i="4"/>
  <c r="J8" i="4" s="1"/>
  <c r="K10" i="4"/>
  <c r="L10" i="4" s="1"/>
  <c r="I12" i="4"/>
  <c r="J12" i="4" s="1"/>
  <c r="M13" i="4"/>
  <c r="N13" i="4" s="1"/>
  <c r="E14" i="4"/>
  <c r="F14" i="4" s="1"/>
  <c r="AC51" i="4"/>
  <c r="AC58" i="4" s="1"/>
  <c r="AC53" i="4"/>
  <c r="G13" i="5"/>
  <c r="V185" i="8"/>
  <c r="V239" i="8"/>
  <c r="V244" i="8"/>
  <c r="H488" i="10"/>
  <c r="J488" i="10"/>
  <c r="J675" i="10"/>
  <c r="I675" i="10" s="1"/>
  <c r="C675" i="10" s="1"/>
  <c r="E675" i="10" s="1"/>
  <c r="L674" i="10" s="1"/>
  <c r="F679" i="10" s="1"/>
  <c r="C62" i="34"/>
  <c r="AN15" i="34"/>
  <c r="AO15" i="34" s="1"/>
  <c r="AO58" i="34"/>
  <c r="AE58" i="34"/>
  <c r="AJ58" i="34" s="1"/>
  <c r="AN59" i="34"/>
  <c r="AO59" i="34" s="1"/>
  <c r="AJ59" i="34"/>
  <c r="AK55" i="34"/>
  <c r="H19" i="34"/>
  <c r="AG19" i="34"/>
  <c r="E19" i="34" s="1"/>
  <c r="X61" i="34"/>
  <c r="H34" i="34" s="1"/>
  <c r="AG15" i="34"/>
  <c r="E15" i="34" s="1"/>
  <c r="H15" i="34"/>
  <c r="AG46" i="34"/>
  <c r="E46" i="34" s="1"/>
  <c r="AK46" i="34"/>
  <c r="AN46" i="34" s="1"/>
  <c r="AK42" i="34"/>
  <c r="AN42" i="34" s="1"/>
  <c r="AO42" i="34" s="1"/>
  <c r="AG42" i="34"/>
  <c r="E42" i="34" s="1"/>
  <c r="AK38" i="34"/>
  <c r="AN38" i="34" s="1"/>
  <c r="AO38" i="34" s="1"/>
  <c r="AG38" i="34"/>
  <c r="E38" i="34" s="1"/>
  <c r="H38" i="34"/>
  <c r="Y38" i="34"/>
  <c r="AG34" i="34"/>
  <c r="E34" i="34" s="1"/>
  <c r="Y34" i="34"/>
  <c r="H30" i="34"/>
  <c r="AG30" i="34"/>
  <c r="E30" i="34" s="1"/>
  <c r="Y30" i="34"/>
  <c r="H26" i="34"/>
  <c r="AK26" i="34"/>
  <c r="AN26" i="34" s="1"/>
  <c r="AO26" i="34" s="1"/>
  <c r="H22" i="34"/>
  <c r="AK22" i="34"/>
  <c r="AN22" i="34" s="1"/>
  <c r="AO22" i="34" s="1"/>
  <c r="AG22" i="34"/>
  <c r="E22" i="34" s="1"/>
  <c r="AO60" i="34"/>
  <c r="AE60" i="34"/>
  <c r="AJ60" i="34" s="1"/>
  <c r="AJ54" i="37"/>
  <c r="AI54" i="37" s="1"/>
  <c r="AF54" i="37"/>
  <c r="E54" i="37" s="1"/>
  <c r="AJ46" i="37"/>
  <c r="AI46" i="37" s="1"/>
  <c r="AF46" i="37"/>
  <c r="E46" i="37" s="1"/>
  <c r="AJ21" i="37"/>
  <c r="AM21" i="37" s="1"/>
  <c r="AN21" i="37" s="1"/>
  <c r="AF21" i="37"/>
  <c r="E21" i="37" s="1"/>
  <c r="AJ15" i="37"/>
  <c r="W61" i="37"/>
  <c r="H42" i="37" s="1"/>
  <c r="AD13" i="37"/>
  <c r="AA62" i="37"/>
  <c r="AA8" i="37" s="1"/>
  <c r="V255" i="8"/>
  <c r="V274" i="8"/>
  <c r="V315" i="8"/>
  <c r="V341" i="8"/>
  <c r="V342" i="8"/>
  <c r="V346" i="8"/>
  <c r="I285" i="10"/>
  <c r="AJ30" i="34"/>
  <c r="AJ39" i="34"/>
  <c r="AO56" i="34"/>
  <c r="AO52" i="34"/>
  <c r="AO37" i="34"/>
  <c r="AO36" i="34"/>
  <c r="AO31" i="34"/>
  <c r="AO16" i="34"/>
  <c r="AO51" i="34"/>
  <c r="AJ59" i="37"/>
  <c r="AM59" i="37" s="1"/>
  <c r="AN59" i="37" s="1"/>
  <c r="AI57" i="37"/>
  <c r="AJ55" i="37"/>
  <c r="AJ51" i="37"/>
  <c r="AI49" i="37"/>
  <c r="AJ47" i="37"/>
  <c r="AJ43" i="37"/>
  <c r="AI41" i="37"/>
  <c r="AJ39" i="37"/>
  <c r="AJ31" i="37"/>
  <c r="AJ27" i="37"/>
  <c r="AJ22" i="37"/>
  <c r="AM22" i="37" s="1"/>
  <c r="AN22" i="37" s="1"/>
  <c r="AJ18" i="37"/>
  <c r="J110" i="34"/>
  <c r="I188" i="34"/>
  <c r="V231" i="8"/>
  <c r="V248" i="8"/>
  <c r="V282" i="8"/>
  <c r="V327" i="8"/>
  <c r="V328" i="8"/>
  <c r="AJ34" i="34"/>
  <c r="AO43" i="34"/>
  <c r="AJ40" i="34"/>
  <c r="AO33" i="34"/>
  <c r="AO32" i="34"/>
  <c r="AJ53" i="34"/>
  <c r="AF29" i="37"/>
  <c r="E29" i="37" s="1"/>
  <c r="AF25" i="37"/>
  <c r="E25" i="37" s="1"/>
  <c r="AJ60" i="37"/>
  <c r="AI60" i="37" s="1"/>
  <c r="AJ56" i="37"/>
  <c r="AM56" i="37" s="1"/>
  <c r="AN56" i="37" s="1"/>
  <c r="AJ52" i="37"/>
  <c r="AJ48" i="37"/>
  <c r="AJ44" i="37"/>
  <c r="AI44" i="37" s="1"/>
  <c r="AJ23" i="37"/>
  <c r="AJ19" i="37"/>
  <c r="J148" i="34"/>
  <c r="J143" i="34"/>
  <c r="J140" i="34"/>
  <c r="J156" i="34" s="1"/>
  <c r="J187" i="34"/>
  <c r="V230" i="8"/>
  <c r="V253" i="8"/>
  <c r="V261" i="8"/>
  <c r="V270" i="8"/>
  <c r="V277" i="8"/>
  <c r="V278" i="8"/>
  <c r="V298" i="8"/>
  <c r="V307" i="8"/>
  <c r="V339" i="8"/>
  <c r="N253" i="10"/>
  <c r="N249" i="10" s="1"/>
  <c r="L253" i="10" s="1"/>
  <c r="L325" i="10"/>
  <c r="M326" i="10" s="1"/>
  <c r="AJ38" i="34"/>
  <c r="AO54" i="34"/>
  <c r="AJ45" i="34"/>
  <c r="G62" i="37"/>
  <c r="D62" i="37" s="1"/>
  <c r="AJ57" i="37"/>
  <c r="AM57" i="37" s="1"/>
  <c r="AJ53" i="37"/>
  <c r="AM53" i="37" s="1"/>
  <c r="AJ49" i="37"/>
  <c r="AM49" i="37" s="1"/>
  <c r="AN49" i="37" s="1"/>
  <c r="AJ45" i="37"/>
  <c r="AM45" i="37" s="1"/>
  <c r="AJ41" i="37"/>
  <c r="AM41" i="37" s="1"/>
  <c r="AJ33" i="37"/>
  <c r="AJ29" i="37"/>
  <c r="AM29" i="37" s="1"/>
  <c r="AN29" i="37" s="1"/>
  <c r="AJ25" i="37"/>
  <c r="AJ20" i="37"/>
  <c r="AJ16" i="37"/>
  <c r="AJ14" i="37"/>
  <c r="AJ62" i="37" s="1"/>
  <c r="J186" i="34"/>
  <c r="J106" i="8"/>
  <c r="I131" i="8"/>
  <c r="F134" i="8"/>
  <c r="C137" i="8"/>
  <c r="G102" i="7"/>
  <c r="E102" i="7"/>
  <c r="F102" i="7" s="1"/>
  <c r="R37" i="8"/>
  <c r="S37" i="8" s="1"/>
  <c r="T37" i="8" s="1"/>
  <c r="Q37" i="8"/>
  <c r="O83" i="8"/>
  <c r="N86" i="8"/>
  <c r="O86" i="8" s="1"/>
  <c r="O20" i="4"/>
  <c r="P20" i="4" s="1"/>
  <c r="H108" i="8"/>
  <c r="R15" i="8"/>
  <c r="S15" i="8" s="1"/>
  <c r="T15" i="8" s="1"/>
  <c r="Q24" i="8"/>
  <c r="L25" i="4"/>
  <c r="S20" i="8"/>
  <c r="T20" i="8" s="1"/>
  <c r="S14" i="8"/>
  <c r="T14" i="8" s="1"/>
  <c r="G8" i="4"/>
  <c r="G9" i="4"/>
  <c r="G49" i="4"/>
  <c r="G47" i="4"/>
  <c r="G45" i="4"/>
  <c r="G43" i="4"/>
  <c r="G41" i="4"/>
  <c r="G57" i="4"/>
  <c r="G40" i="4"/>
  <c r="G38" i="4"/>
  <c r="G36" i="4"/>
  <c r="G34" i="4"/>
  <c r="G32" i="4"/>
  <c r="G30" i="4"/>
  <c r="G28" i="4"/>
  <c r="G26" i="4"/>
  <c r="G24" i="4"/>
  <c r="G22" i="4"/>
  <c r="G56" i="4"/>
  <c r="G12" i="4"/>
  <c r="G14" i="4"/>
  <c r="G15" i="4"/>
  <c r="G16" i="4"/>
  <c r="G17" i="4"/>
  <c r="H17" i="4" s="1"/>
  <c r="G18" i="4"/>
  <c r="H18" i="4" s="1"/>
  <c r="G19" i="4"/>
  <c r="H19" i="4" s="1"/>
  <c r="O44" i="4"/>
  <c r="P44" i="4" s="1"/>
  <c r="F9" i="4"/>
  <c r="O27" i="4"/>
  <c r="P27" i="4" s="1"/>
  <c r="O29" i="4"/>
  <c r="P29" i="4" s="1"/>
  <c r="O13" i="4"/>
  <c r="P13" i="4" s="1"/>
  <c r="O48" i="4"/>
  <c r="P48" i="4" s="1"/>
  <c r="O35" i="4"/>
  <c r="P35" i="4" s="1"/>
  <c r="O30" i="7"/>
  <c r="P30" i="7" s="1"/>
  <c r="S24" i="8"/>
  <c r="T24" i="8" s="1"/>
  <c r="J33" i="5"/>
  <c r="K33" i="5" s="1"/>
  <c r="S23" i="8"/>
  <c r="T23" i="8" s="1"/>
  <c r="AC58" i="5"/>
  <c r="J26" i="5"/>
  <c r="K26" i="5" s="1"/>
  <c r="O55" i="4"/>
  <c r="P55" i="4" s="1"/>
  <c r="O54" i="4"/>
  <c r="P54" i="4" s="1"/>
  <c r="O37" i="4"/>
  <c r="P37" i="4" s="1"/>
  <c r="O52" i="4"/>
  <c r="P52" i="4" s="1"/>
  <c r="O46" i="4"/>
  <c r="P46" i="4" s="1"/>
  <c r="R44" i="8"/>
  <c r="S44" i="8" s="1"/>
  <c r="T44" i="8" s="1"/>
  <c r="AE58" i="7"/>
  <c r="N32" i="7"/>
  <c r="O32" i="7"/>
  <c r="P32" i="7" s="1"/>
  <c r="M108" i="8"/>
  <c r="L112" i="8"/>
  <c r="S25" i="8"/>
  <c r="T25" i="8" s="1"/>
  <c r="AG58" i="4"/>
  <c r="K19" i="4"/>
  <c r="L19" i="4" s="1"/>
  <c r="K8" i="4"/>
  <c r="M16" i="4"/>
  <c r="E17" i="4"/>
  <c r="M17" i="4"/>
  <c r="N17" i="4" s="1"/>
  <c r="E18" i="4"/>
  <c r="I19" i="4"/>
  <c r="J19" i="4" s="1"/>
  <c r="AI28" i="4"/>
  <c r="AI30" i="4"/>
  <c r="AI32" i="4"/>
  <c r="AI34" i="4"/>
  <c r="AI36" i="4"/>
  <c r="AI38" i="4"/>
  <c r="AI40" i="4"/>
  <c r="AI44" i="4"/>
  <c r="AI48" i="4"/>
  <c r="AI50" i="4"/>
  <c r="AA56" i="4"/>
  <c r="E54" i="5"/>
  <c r="J54" i="5" s="1"/>
  <c r="K54" i="5" s="1"/>
  <c r="E50" i="5"/>
  <c r="J50" i="5" s="1"/>
  <c r="K50" i="5" s="1"/>
  <c r="E34" i="5"/>
  <c r="J34" i="5" s="1"/>
  <c r="K34" i="5" s="1"/>
  <c r="E46" i="5"/>
  <c r="J46" i="5" s="1"/>
  <c r="K46" i="5" s="1"/>
  <c r="E30" i="5"/>
  <c r="J30" i="5" s="1"/>
  <c r="K30" i="5" s="1"/>
  <c r="E18" i="5"/>
  <c r="E38" i="5"/>
  <c r="J38" i="5" s="1"/>
  <c r="K38" i="5" s="1"/>
  <c r="E22" i="5"/>
  <c r="J22" i="5" s="1"/>
  <c r="K22" i="5" s="1"/>
  <c r="E14" i="5"/>
  <c r="H17" i="5"/>
  <c r="H13" i="5"/>
  <c r="J13" i="5" s="1"/>
  <c r="K13" i="5" s="1"/>
  <c r="H9" i="5"/>
  <c r="E10" i="5"/>
  <c r="G12" i="5"/>
  <c r="J12" i="5" s="1"/>
  <c r="K12" i="5" s="1"/>
  <c r="G17" i="5"/>
  <c r="E42" i="5"/>
  <c r="J42" i="5" s="1"/>
  <c r="K42" i="5" s="1"/>
  <c r="AA53" i="5"/>
  <c r="AA48" i="5"/>
  <c r="AA43" i="5"/>
  <c r="AA38" i="5"/>
  <c r="AA37" i="5"/>
  <c r="AA32" i="5"/>
  <c r="AA27" i="5"/>
  <c r="AA22" i="5"/>
  <c r="AA21" i="5"/>
  <c r="AA13" i="5"/>
  <c r="AA57" i="5"/>
  <c r="AA54" i="5"/>
  <c r="AA50" i="5"/>
  <c r="AA49" i="5"/>
  <c r="AA44" i="5"/>
  <c r="AA39" i="5"/>
  <c r="AA34" i="5"/>
  <c r="AA33" i="5"/>
  <c r="AA28" i="5"/>
  <c r="AA23" i="5"/>
  <c r="AA18" i="5"/>
  <c r="AA12" i="5"/>
  <c r="AA11" i="5"/>
  <c r="Z59" i="5"/>
  <c r="AA56" i="5"/>
  <c r="AA52" i="5"/>
  <c r="AA47" i="5"/>
  <c r="AA42" i="5"/>
  <c r="AA41" i="5"/>
  <c r="AA36" i="5"/>
  <c r="AA31" i="5"/>
  <c r="AA26" i="5"/>
  <c r="AA25" i="5"/>
  <c r="AA20" i="5"/>
  <c r="AA16" i="5"/>
  <c r="AA15" i="5"/>
  <c r="K9" i="4"/>
  <c r="L9" i="4" s="1"/>
  <c r="K11" i="4"/>
  <c r="M21" i="4"/>
  <c r="N21" i="4" s="1"/>
  <c r="M25" i="4"/>
  <c r="N25" i="4" s="1"/>
  <c r="G8" i="5"/>
  <c r="E52" i="5"/>
  <c r="J52" i="5" s="1"/>
  <c r="K52" i="5" s="1"/>
  <c r="I16" i="4"/>
  <c r="I17" i="4"/>
  <c r="J17" i="4" s="1"/>
  <c r="I18" i="4"/>
  <c r="J18" i="4" s="1"/>
  <c r="E19" i="4"/>
  <c r="I22" i="4"/>
  <c r="J22" i="4" s="1"/>
  <c r="E23" i="4"/>
  <c r="AI42" i="4"/>
  <c r="AI46" i="4"/>
  <c r="G55" i="5"/>
  <c r="J55" i="5" s="1"/>
  <c r="K55" i="5" s="1"/>
  <c r="G51" i="5"/>
  <c r="J51" i="5" s="1"/>
  <c r="K51" i="5" s="1"/>
  <c r="G53" i="5"/>
  <c r="J53" i="5" s="1"/>
  <c r="K53" i="5" s="1"/>
  <c r="I18" i="5"/>
  <c r="I14" i="5"/>
  <c r="I10" i="5"/>
  <c r="G14" i="5"/>
  <c r="G16" i="5"/>
  <c r="J16" i="5" s="1"/>
  <c r="K16" i="5" s="1"/>
  <c r="W55" i="5"/>
  <c r="W51" i="5"/>
  <c r="W46" i="5"/>
  <c r="W45" i="5"/>
  <c r="W40" i="5"/>
  <c r="W35" i="5"/>
  <c r="W30" i="5"/>
  <c r="W29" i="5"/>
  <c r="W24" i="5"/>
  <c r="W19" i="5"/>
  <c r="W17" i="5"/>
  <c r="W14" i="5"/>
  <c r="W56" i="5"/>
  <c r="W52" i="5"/>
  <c r="W47" i="5"/>
  <c r="W42" i="5"/>
  <c r="W41" i="5"/>
  <c r="W36" i="5"/>
  <c r="W31" i="5"/>
  <c r="W26" i="5"/>
  <c r="W25" i="5"/>
  <c r="W20" i="5"/>
  <c r="W16" i="5"/>
  <c r="W15" i="5"/>
  <c r="W54" i="5"/>
  <c r="W50" i="5"/>
  <c r="W49" i="5"/>
  <c r="W44" i="5"/>
  <c r="W39" i="5"/>
  <c r="W34" i="5"/>
  <c r="W33" i="5"/>
  <c r="W28" i="5"/>
  <c r="W23" i="5"/>
  <c r="W18" i="5"/>
  <c r="E16" i="7"/>
  <c r="M14" i="7"/>
  <c r="N14" i="7" s="1"/>
  <c r="AA9" i="7"/>
  <c r="M11" i="7"/>
  <c r="N11" i="7" s="1"/>
  <c r="AA12" i="7"/>
  <c r="I13" i="7"/>
  <c r="J13" i="7" s="1"/>
  <c r="E14" i="7"/>
  <c r="AA15" i="7"/>
  <c r="I16" i="7"/>
  <c r="J16" i="7" s="1"/>
  <c r="AA17" i="7"/>
  <c r="G18" i="7"/>
  <c r="AA21" i="7"/>
  <c r="G22" i="7"/>
  <c r="K23" i="7"/>
  <c r="K25" i="7"/>
  <c r="K26" i="7"/>
  <c r="K27" i="7"/>
  <c r="L27" i="7" s="1"/>
  <c r="K54" i="7"/>
  <c r="V176" i="8"/>
  <c r="V183" i="8"/>
  <c r="V193" i="8"/>
  <c r="V306" i="8"/>
  <c r="V345" i="8"/>
  <c r="N444" i="10"/>
  <c r="D488" i="10"/>
  <c r="E488" i="10"/>
  <c r="H571" i="10"/>
  <c r="G794" i="10"/>
  <c r="L794" i="10" s="1"/>
  <c r="L791" i="10"/>
  <c r="D62" i="34"/>
  <c r="H283" i="34"/>
  <c r="M8" i="7"/>
  <c r="E9" i="7"/>
  <c r="V269" i="8"/>
  <c r="L317" i="10"/>
  <c r="M318" i="10" s="1"/>
  <c r="M317" i="10"/>
  <c r="M549" i="10"/>
  <c r="N549" i="10" s="1"/>
  <c r="N546" i="10"/>
  <c r="AE52" i="5"/>
  <c r="AE56" i="5"/>
  <c r="AD59" i="5"/>
  <c r="AA8" i="7"/>
  <c r="AA10" i="7"/>
  <c r="I11" i="7"/>
  <c r="I14" i="7"/>
  <c r="J14" i="7" s="1"/>
  <c r="M16" i="7"/>
  <c r="N16" i="7" s="1"/>
  <c r="AA19" i="7"/>
  <c r="G20" i="7"/>
  <c r="AI43" i="7"/>
  <c r="AI45" i="7"/>
  <c r="K46" i="7"/>
  <c r="AI47" i="7"/>
  <c r="AI49" i="7"/>
  <c r="K50" i="7"/>
  <c r="L50" i="7" s="1"/>
  <c r="AI54" i="7"/>
  <c r="G55" i="7"/>
  <c r="AH59" i="7"/>
  <c r="V186" i="8"/>
  <c r="V238" i="8"/>
  <c r="V243" i="8"/>
  <c r="V266" i="8"/>
  <c r="V276" i="8"/>
  <c r="V281" i="8"/>
  <c r="V286" i="8"/>
  <c r="V293" i="8"/>
  <c r="V300" i="8"/>
  <c r="V314" i="8"/>
  <c r="V318" i="8"/>
  <c r="V324" i="8"/>
  <c r="V338" i="8"/>
  <c r="H758" i="10"/>
  <c r="L758" i="10" s="1"/>
  <c r="L755" i="10"/>
  <c r="Z48" i="22"/>
  <c r="Z50" i="22" s="1"/>
  <c r="AE51" i="5"/>
  <c r="I9" i="7"/>
  <c r="AA14" i="7"/>
  <c r="AA16" i="7"/>
  <c r="G17" i="7"/>
  <c r="AA20" i="7"/>
  <c r="G21" i="7"/>
  <c r="K24" i="7"/>
  <c r="G33" i="7"/>
  <c r="G34" i="7"/>
  <c r="G35" i="7"/>
  <c r="G36" i="7"/>
  <c r="G37" i="7"/>
  <c r="G38" i="7"/>
  <c r="G39" i="7"/>
  <c r="G40" i="7"/>
  <c r="G41" i="7"/>
  <c r="G42" i="7"/>
  <c r="K45" i="7"/>
  <c r="I96" i="8"/>
  <c r="F96" i="8"/>
  <c r="K96" i="8" s="1"/>
  <c r="C110" i="8"/>
  <c r="F97" i="8"/>
  <c r="K97" i="8" s="1"/>
  <c r="V168" i="8"/>
  <c r="V237" i="8"/>
  <c r="V311" i="8"/>
  <c r="V313" i="8"/>
  <c r="V331" i="8"/>
  <c r="C488" i="10"/>
  <c r="G619" i="10"/>
  <c r="H619" i="10" s="1"/>
  <c r="K619" i="10" s="1"/>
  <c r="G618" i="10"/>
  <c r="H618" i="10" s="1"/>
  <c r="K618" i="10" s="1"/>
  <c r="G621" i="10"/>
  <c r="H621" i="10" s="1"/>
  <c r="K621" i="10" s="1"/>
  <c r="G615" i="10"/>
  <c r="H615" i="10" s="1"/>
  <c r="K615" i="10" s="1"/>
  <c r="G617" i="10"/>
  <c r="H617" i="10" s="1"/>
  <c r="K617" i="10" s="1"/>
  <c r="C99" i="8"/>
  <c r="I488" i="10"/>
  <c r="F406" i="10"/>
  <c r="D570" i="10"/>
  <c r="J732" i="10"/>
  <c r="J734" i="10" s="1"/>
  <c r="J735" i="10" s="1"/>
  <c r="AO46" i="34"/>
  <c r="AE44" i="34"/>
  <c r="AB62" i="34"/>
  <c r="AB8" i="34" s="1"/>
  <c r="L48" i="22"/>
  <c r="AO44" i="34"/>
  <c r="H58" i="34"/>
  <c r="Y57" i="34"/>
  <c r="Y53" i="34"/>
  <c r="H57" i="34"/>
  <c r="H53" i="34"/>
  <c r="H60" i="34"/>
  <c r="Y56" i="34"/>
  <c r="Y54" i="34"/>
  <c r="Y52" i="34"/>
  <c r="H59" i="34"/>
  <c r="Y58" i="34"/>
  <c r="H56" i="34"/>
  <c r="H54" i="34"/>
  <c r="H52" i="34"/>
  <c r="C62" i="37"/>
  <c r="AM58" i="37"/>
  <c r="AN58" i="37" s="1"/>
  <c r="AI58" i="37"/>
  <c r="AM54" i="37"/>
  <c r="AN54" i="37" s="1"/>
  <c r="AM50" i="37"/>
  <c r="AN50" i="37" s="1"/>
  <c r="AI50" i="37"/>
  <c r="AM46" i="37"/>
  <c r="AN46" i="37" s="1"/>
  <c r="F282" i="34"/>
  <c r="H39" i="34"/>
  <c r="H42" i="34"/>
  <c r="H43" i="34"/>
  <c r="H44" i="34"/>
  <c r="H45" i="34"/>
  <c r="H46" i="34"/>
  <c r="H47" i="34"/>
  <c r="H48" i="34"/>
  <c r="H49" i="34"/>
  <c r="H50" i="34"/>
  <c r="Y51" i="34"/>
  <c r="AO34" i="34"/>
  <c r="AO29" i="34"/>
  <c r="AO28" i="34"/>
  <c r="AO18" i="34"/>
  <c r="AO13" i="34"/>
  <c r="AO48" i="34"/>
  <c r="AJ54" i="34"/>
  <c r="Y60" i="34"/>
  <c r="H40" i="34"/>
  <c r="Y42" i="34"/>
  <c r="Y43" i="34"/>
  <c r="Y44" i="34"/>
  <c r="Y45" i="34"/>
  <c r="Y46" i="34"/>
  <c r="Y47" i="34"/>
  <c r="Y48" i="34"/>
  <c r="Y49" i="34"/>
  <c r="Y50" i="34"/>
  <c r="Z51" i="34"/>
  <c r="AO40" i="34"/>
  <c r="AO24" i="34"/>
  <c r="AI56" i="37"/>
  <c r="AM52" i="37"/>
  <c r="AN52" i="37" s="1"/>
  <c r="AI52" i="37"/>
  <c r="AM48" i="37"/>
  <c r="AN48" i="37" s="1"/>
  <c r="AI48" i="37"/>
  <c r="H41" i="34"/>
  <c r="AJ44" i="34"/>
  <c r="AJ46" i="34"/>
  <c r="AJ47" i="34"/>
  <c r="Z49" i="34"/>
  <c r="Z50" i="34"/>
  <c r="AO45" i="34"/>
  <c r="AJ56" i="34"/>
  <c r="AJ52" i="34"/>
  <c r="AI28" i="37"/>
  <c r="J216" i="34"/>
  <c r="Y59" i="34"/>
  <c r="AI17" i="37"/>
  <c r="AN57" i="37"/>
  <c r="AN53" i="37"/>
  <c r="AN45" i="37"/>
  <c r="AN41" i="37"/>
  <c r="AM38" i="37"/>
  <c r="AN38" i="37" s="1"/>
  <c r="AI38" i="37"/>
  <c r="AM30" i="37"/>
  <c r="AN30" i="37" s="1"/>
  <c r="AI30" i="37"/>
  <c r="AM18" i="37"/>
  <c r="AN18" i="37" s="1"/>
  <c r="AI18" i="37"/>
  <c r="H55" i="34"/>
  <c r="AG55" i="34"/>
  <c r="AF60" i="37"/>
  <c r="E60" i="37" s="1"/>
  <c r="AM40" i="37"/>
  <c r="AN40" i="37" s="1"/>
  <c r="AI40" i="37"/>
  <c r="AM32" i="37"/>
  <c r="AN32" i="37" s="1"/>
  <c r="AI32" i="37"/>
  <c r="AM24" i="37"/>
  <c r="AN24" i="37" s="1"/>
  <c r="AI24" i="37"/>
  <c r="J83" i="34"/>
  <c r="AI21" i="37"/>
  <c r="AM34" i="37"/>
  <c r="AN34" i="37" s="1"/>
  <c r="AI34" i="37"/>
  <c r="AM26" i="37"/>
  <c r="AN26" i="37" s="1"/>
  <c r="AI26" i="37"/>
  <c r="AM20" i="37"/>
  <c r="AN20" i="37" s="1"/>
  <c r="AI20" i="37"/>
  <c r="AM16" i="37"/>
  <c r="AN16" i="37" s="1"/>
  <c r="AI16" i="37"/>
  <c r="AI14" i="37"/>
  <c r="AC96" i="37"/>
  <c r="AD96" i="37" s="1"/>
  <c r="I82" i="34"/>
  <c r="I112" i="34"/>
  <c r="I155" i="34"/>
  <c r="AC93" i="37"/>
  <c r="AD93" i="37" s="1"/>
  <c r="B14" i="38"/>
  <c r="B15" i="38" s="1"/>
  <c r="N18" i="63" l="1"/>
  <c r="N19" i="63" s="1"/>
  <c r="N20" i="63" s="1"/>
  <c r="N21" i="63" s="1"/>
  <c r="N22" i="63" s="1"/>
  <c r="N23" i="63" s="1"/>
  <c r="N24" i="63" s="1"/>
  <c r="N25" i="63" s="1"/>
  <c r="N26" i="63" s="1"/>
  <c r="N27" i="63" s="1"/>
  <c r="N28" i="63" s="1"/>
  <c r="N29" i="63" s="1"/>
  <c r="N30" i="63" s="1"/>
  <c r="N31" i="63" s="1"/>
  <c r="N33" i="63" s="1"/>
  <c r="N34" i="63" s="1"/>
  <c r="N35" i="63" s="1"/>
  <c r="N36" i="63" s="1"/>
  <c r="N37" i="63" s="1"/>
  <c r="N38" i="63" s="1"/>
  <c r="N39" i="63" s="1"/>
  <c r="N40" i="63" s="1"/>
  <c r="N41" i="63" s="1"/>
  <c r="N42" i="63" s="1"/>
  <c r="N43" i="63" s="1"/>
  <c r="N44" i="63" s="1"/>
  <c r="N45" i="63" s="1"/>
  <c r="N46" i="63" s="1"/>
  <c r="N48" i="63" s="1"/>
  <c r="N49" i="63" s="1"/>
  <c r="N50" i="63" s="1"/>
  <c r="N51" i="63" s="1"/>
  <c r="N52" i="63" s="1"/>
  <c r="P5" i="63" s="1"/>
  <c r="F7" i="63"/>
  <c r="X21" i="63"/>
  <c r="X22" i="63" s="1"/>
  <c r="X23" i="63" s="1"/>
  <c r="X24" i="63" s="1"/>
  <c r="X25" i="63" s="1"/>
  <c r="X26" i="63" s="1"/>
  <c r="X27" i="63" s="1"/>
  <c r="X28" i="63" s="1"/>
  <c r="X29" i="63" s="1"/>
  <c r="X30" i="63" s="1"/>
  <c r="X31" i="63" s="1"/>
  <c r="X32" i="63" s="1"/>
  <c r="X33" i="63" s="1"/>
  <c r="X36" i="63" s="1"/>
  <c r="X37" i="63" s="1"/>
  <c r="X38" i="63" s="1"/>
  <c r="X39" i="63" s="1"/>
  <c r="X40" i="63" s="1"/>
  <c r="X41" i="63" s="1"/>
  <c r="X42" i="63" s="1"/>
  <c r="X43" i="63" s="1"/>
  <c r="X44" i="63" s="1"/>
  <c r="X45" i="63" s="1"/>
  <c r="X46" i="63" s="1"/>
  <c r="X47" i="63" s="1"/>
  <c r="X48" i="63" s="1"/>
  <c r="X49" i="63" s="1"/>
  <c r="X50" i="63" s="1"/>
  <c r="X51" i="63" s="1"/>
  <c r="X52" i="63" s="1"/>
  <c r="X53" i="63" s="1"/>
  <c r="X54" i="63" s="1"/>
  <c r="X55" i="63" s="1"/>
  <c r="X56" i="63" s="1"/>
  <c r="X57" i="63" s="1"/>
  <c r="X58" i="63" s="1"/>
  <c r="X59" i="63" s="1"/>
  <c r="X60" i="63" s="1"/>
  <c r="X61" i="63" s="1"/>
  <c r="X62" i="63" s="1"/>
  <c r="X63" i="63" s="1"/>
  <c r="Z5" i="63" s="1"/>
  <c r="AK14" i="63"/>
  <c r="J81" i="8"/>
  <c r="I86" i="8"/>
  <c r="J86" i="8" s="1"/>
  <c r="W58" i="5"/>
  <c r="AI58" i="4"/>
  <c r="AM25" i="37"/>
  <c r="AN25" i="37" s="1"/>
  <c r="AI25" i="37"/>
  <c r="AM23" i="37"/>
  <c r="AN23" i="37" s="1"/>
  <c r="AI23" i="37"/>
  <c r="X21" i="37"/>
  <c r="L57" i="7"/>
  <c r="O57" i="7"/>
  <c r="P57" i="7" s="1"/>
  <c r="M137" i="8"/>
  <c r="N132" i="8"/>
  <c r="AI22" i="37"/>
  <c r="AM27" i="37"/>
  <c r="AN27" i="37" s="1"/>
  <c r="AI27" i="37"/>
  <c r="AJ55" i="34"/>
  <c r="AN55" i="34"/>
  <c r="AO55" i="34" s="1"/>
  <c r="AO62" i="34" s="1"/>
  <c r="AJ42" i="34"/>
  <c r="AM14" i="37"/>
  <c r="AM36" i="37"/>
  <c r="AN36" i="37" s="1"/>
  <c r="E62" i="37"/>
  <c r="E11" i="37" s="1"/>
  <c r="H9" i="37" s="1"/>
  <c r="G11" i="37"/>
  <c r="H11" i="37" s="1"/>
  <c r="AM44" i="37"/>
  <c r="AN44" i="37" s="1"/>
  <c r="AM60" i="37"/>
  <c r="AN60" i="37" s="1"/>
  <c r="AN62" i="34"/>
  <c r="K99" i="8"/>
  <c r="AE58" i="5"/>
  <c r="AA58" i="5"/>
  <c r="J17" i="5"/>
  <c r="K17" i="5" s="1"/>
  <c r="O15" i="7"/>
  <c r="P15" i="7" s="1"/>
  <c r="J189" i="34"/>
  <c r="AM19" i="37"/>
  <c r="AN19" i="37" s="1"/>
  <c r="AI19" i="37"/>
  <c r="AJ26" i="34"/>
  <c r="AM39" i="37"/>
  <c r="AN39" i="37" s="1"/>
  <c r="AI39" i="37"/>
  <c r="AI47" i="37"/>
  <c r="AM47" i="37"/>
  <c r="AN47" i="37" s="1"/>
  <c r="AI55" i="37"/>
  <c r="AM55" i="37"/>
  <c r="AN55" i="37" s="1"/>
  <c r="AI15" i="37"/>
  <c r="AM15" i="37"/>
  <c r="AN15" i="37" s="1"/>
  <c r="H54" i="37"/>
  <c r="Y22" i="34"/>
  <c r="Y26" i="34"/>
  <c r="AK62" i="34"/>
  <c r="H19" i="7"/>
  <c r="O19" i="7"/>
  <c r="P19" i="7" s="1"/>
  <c r="H136" i="8"/>
  <c r="I136" i="8" s="1"/>
  <c r="G136" i="8"/>
  <c r="H86" i="8"/>
  <c r="N28" i="7"/>
  <c r="O28" i="7"/>
  <c r="P28" i="7" s="1"/>
  <c r="N44" i="7"/>
  <c r="O44" i="7"/>
  <c r="P44" i="7" s="1"/>
  <c r="N47" i="7"/>
  <c r="O47" i="7"/>
  <c r="P47" i="7" s="1"/>
  <c r="O12" i="7"/>
  <c r="P12" i="7" s="1"/>
  <c r="O10" i="4"/>
  <c r="P10" i="4" s="1"/>
  <c r="X19" i="37"/>
  <c r="X23" i="37"/>
  <c r="X27" i="37"/>
  <c r="X31" i="37"/>
  <c r="X35" i="37"/>
  <c r="X39" i="37"/>
  <c r="X43" i="37"/>
  <c r="X47" i="37"/>
  <c r="X51" i="37"/>
  <c r="X55" i="37"/>
  <c r="X59" i="37"/>
  <c r="H14" i="37"/>
  <c r="H18" i="37"/>
  <c r="H22" i="37"/>
  <c r="H26" i="37"/>
  <c r="H30" i="37"/>
  <c r="H34" i="37"/>
  <c r="H38" i="37"/>
  <c r="Y16" i="37"/>
  <c r="X16" i="37"/>
  <c r="X20" i="37"/>
  <c r="X24" i="37"/>
  <c r="X28" i="37"/>
  <c r="X32" i="37"/>
  <c r="X36" i="37"/>
  <c r="X40" i="37"/>
  <c r="X44" i="37"/>
  <c r="X48" i="37"/>
  <c r="X52" i="37"/>
  <c r="X56" i="37"/>
  <c r="X60" i="37"/>
  <c r="H19" i="37"/>
  <c r="H23" i="37"/>
  <c r="H27" i="37"/>
  <c r="H31" i="37"/>
  <c r="H35" i="37"/>
  <c r="H39" i="37"/>
  <c r="H43" i="37"/>
  <c r="H47" i="37"/>
  <c r="H51" i="37"/>
  <c r="H55" i="37"/>
  <c r="H59" i="37"/>
  <c r="X13" i="37"/>
  <c r="X25" i="37"/>
  <c r="X29" i="37"/>
  <c r="X33" i="37"/>
  <c r="X37" i="37"/>
  <c r="X41" i="37"/>
  <c r="X45" i="37"/>
  <c r="X49" i="37"/>
  <c r="X53" i="37"/>
  <c r="X57" i="37"/>
  <c r="W62" i="37"/>
  <c r="H16" i="37"/>
  <c r="H20" i="37"/>
  <c r="H24" i="37"/>
  <c r="H28" i="37"/>
  <c r="H32" i="37"/>
  <c r="H36" i="37"/>
  <c r="H40" i="37"/>
  <c r="H44" i="37"/>
  <c r="H48" i="37"/>
  <c r="H52" i="37"/>
  <c r="H56" i="37"/>
  <c r="H60" i="37"/>
  <c r="X18" i="37"/>
  <c r="X34" i="37"/>
  <c r="X50" i="37"/>
  <c r="H17" i="37"/>
  <c r="H33" i="37"/>
  <c r="H49" i="37"/>
  <c r="Y14" i="37"/>
  <c r="Y62" i="37" s="1"/>
  <c r="X22" i="37"/>
  <c r="X38" i="37"/>
  <c r="X54" i="37"/>
  <c r="H21" i="37"/>
  <c r="H37" i="37"/>
  <c r="H53" i="37"/>
  <c r="X26" i="37"/>
  <c r="X42" i="37"/>
  <c r="X58" i="37"/>
  <c r="H25" i="37"/>
  <c r="H41" i="37"/>
  <c r="H57" i="37"/>
  <c r="H13" i="37"/>
  <c r="W12" i="37"/>
  <c r="X14" i="37"/>
  <c r="H29" i="37"/>
  <c r="X46" i="37"/>
  <c r="X30" i="37"/>
  <c r="H45" i="37"/>
  <c r="H46" i="37"/>
  <c r="H43" i="7"/>
  <c r="O43" i="7"/>
  <c r="P43" i="7" s="1"/>
  <c r="O49" i="7"/>
  <c r="P49" i="7" s="1"/>
  <c r="N49" i="7"/>
  <c r="N56" i="7"/>
  <c r="O56" i="7"/>
  <c r="P56" i="7" s="1"/>
  <c r="AI42" i="37"/>
  <c r="AI43" i="37"/>
  <c r="AM43" i="37"/>
  <c r="AN43" i="37" s="1"/>
  <c r="AI51" i="37"/>
  <c r="AM51" i="37"/>
  <c r="AN51" i="37" s="1"/>
  <c r="H15" i="37"/>
  <c r="AM37" i="37"/>
  <c r="AN37" i="37" s="1"/>
  <c r="AI37" i="37"/>
  <c r="X17" i="37"/>
  <c r="H58" i="37"/>
  <c r="AJ22" i="34"/>
  <c r="AJ62" i="34" s="1"/>
  <c r="AM62" i="34" s="1"/>
  <c r="AL62" i="34" s="1"/>
  <c r="I124" i="8"/>
  <c r="G132" i="8"/>
  <c r="G137" i="8" s="1"/>
  <c r="H132" i="8"/>
  <c r="I132" i="8" s="1"/>
  <c r="AI29" i="37"/>
  <c r="M314" i="10"/>
  <c r="AA58" i="4"/>
  <c r="AM33" i="37"/>
  <c r="AN33" i="37" s="1"/>
  <c r="AI33" i="37"/>
  <c r="AM31" i="37"/>
  <c r="AN31" i="37" s="1"/>
  <c r="AI31" i="37"/>
  <c r="AI45" i="37"/>
  <c r="AI53" i="37"/>
  <c r="X15" i="37"/>
  <c r="Z29" i="34"/>
  <c r="Y16" i="34"/>
  <c r="Y20" i="34"/>
  <c r="Y24" i="34"/>
  <c r="Y28" i="34"/>
  <c r="Y32" i="34"/>
  <c r="Y36" i="34"/>
  <c r="Y40" i="34"/>
  <c r="H14" i="34"/>
  <c r="H18" i="34"/>
  <c r="H62" i="34" s="1"/>
  <c r="H51" i="34"/>
  <c r="Z14" i="34"/>
  <c r="Z62" i="34" s="1"/>
  <c r="Z22" i="34"/>
  <c r="Z34" i="34"/>
  <c r="Y13" i="34"/>
  <c r="Y17" i="34"/>
  <c r="Y21" i="34"/>
  <c r="Y25" i="34"/>
  <c r="Y29" i="34"/>
  <c r="Y33" i="34"/>
  <c r="Y37" i="34"/>
  <c r="Y41" i="34"/>
  <c r="H23" i="34"/>
  <c r="H27" i="34"/>
  <c r="H31" i="34"/>
  <c r="H35" i="34"/>
  <c r="Z27" i="34"/>
  <c r="Z35" i="34"/>
  <c r="Z39" i="34"/>
  <c r="Y14" i="34"/>
  <c r="Y18" i="34"/>
  <c r="X62" i="34"/>
  <c r="H16" i="34"/>
  <c r="H20" i="34"/>
  <c r="H24" i="34"/>
  <c r="H28" i="34"/>
  <c r="H32" i="34"/>
  <c r="H36" i="34"/>
  <c r="Z28" i="34"/>
  <c r="Y23" i="34"/>
  <c r="Y39" i="34"/>
  <c r="H25" i="34"/>
  <c r="Y27" i="34"/>
  <c r="H13" i="34"/>
  <c r="H29" i="34"/>
  <c r="Z16" i="34"/>
  <c r="Y15" i="34"/>
  <c r="Y31" i="34"/>
  <c r="H17" i="34"/>
  <c r="H33" i="34"/>
  <c r="H21" i="34"/>
  <c r="H37" i="34"/>
  <c r="X12" i="34"/>
  <c r="Y35" i="34"/>
  <c r="Y19" i="34"/>
  <c r="Y55" i="34"/>
  <c r="AM13" i="37"/>
  <c r="AN13" i="37" s="1"/>
  <c r="AI13" i="37"/>
  <c r="AI62" i="37" s="1"/>
  <c r="AL62" i="37" s="1"/>
  <c r="AK62" i="37" s="1"/>
  <c r="AI59" i="37"/>
  <c r="H50" i="37"/>
  <c r="Q31" i="8"/>
  <c r="R31" i="8"/>
  <c r="S31" i="8" s="1"/>
  <c r="T31" i="8" s="1"/>
  <c r="L137" i="8"/>
  <c r="AC58" i="7"/>
  <c r="O53" i="7"/>
  <c r="P53" i="7" s="1"/>
  <c r="G679" i="10"/>
  <c r="K679" i="10"/>
  <c r="L679" i="10" s="1"/>
  <c r="F110" i="8"/>
  <c r="C112" i="8"/>
  <c r="H42" i="7"/>
  <c r="O42" i="7"/>
  <c r="P42" i="7" s="1"/>
  <c r="H38" i="7"/>
  <c r="O38" i="7"/>
  <c r="P38" i="7" s="1"/>
  <c r="H34" i="7"/>
  <c r="O34" i="7"/>
  <c r="P34" i="7" s="1"/>
  <c r="J9" i="7"/>
  <c r="I58" i="7"/>
  <c r="I59" i="7" s="1"/>
  <c r="AA58" i="7"/>
  <c r="L54" i="7"/>
  <c r="O54" i="7"/>
  <c r="P54" i="7" s="1"/>
  <c r="L23" i="7"/>
  <c r="K58" i="7"/>
  <c r="K59" i="7" s="1"/>
  <c r="O23" i="7"/>
  <c r="P23" i="7" s="1"/>
  <c r="I58" i="5"/>
  <c r="I59" i="5" s="1"/>
  <c r="O23" i="4"/>
  <c r="P23" i="4" s="1"/>
  <c r="F23" i="4"/>
  <c r="F677" i="10"/>
  <c r="J18" i="5"/>
  <c r="K18" i="5" s="1"/>
  <c r="F17" i="4"/>
  <c r="O17" i="4"/>
  <c r="P17" i="4" s="1"/>
  <c r="H14" i="4"/>
  <c r="O14" i="4"/>
  <c r="P14" i="4" s="1"/>
  <c r="H24" i="4"/>
  <c r="O24" i="4"/>
  <c r="P24" i="4" s="1"/>
  <c r="H32" i="4"/>
  <c r="O32" i="4"/>
  <c r="P32" i="4" s="1"/>
  <c r="H40" i="4"/>
  <c r="O40" i="4"/>
  <c r="P40" i="4" s="1"/>
  <c r="H45" i="4"/>
  <c r="O45" i="4"/>
  <c r="P45" i="4" s="1"/>
  <c r="O8" i="4"/>
  <c r="H8" i="4"/>
  <c r="G58" i="4"/>
  <c r="G59" i="4" s="1"/>
  <c r="I108" i="8"/>
  <c r="E58" i="4"/>
  <c r="E59" i="4" s="1"/>
  <c r="AF62" i="37"/>
  <c r="F675" i="10"/>
  <c r="H41" i="7"/>
  <c r="O41" i="7"/>
  <c r="P41" i="7" s="1"/>
  <c r="H37" i="7"/>
  <c r="O37" i="7"/>
  <c r="P37" i="7" s="1"/>
  <c r="H33" i="7"/>
  <c r="O33" i="7"/>
  <c r="P33" i="7" s="1"/>
  <c r="H17" i="7"/>
  <c r="O17" i="7"/>
  <c r="P17" i="7" s="1"/>
  <c r="G58" i="7"/>
  <c r="G59" i="7" s="1"/>
  <c r="AI58" i="7"/>
  <c r="F9" i="7"/>
  <c r="E58" i="7"/>
  <c r="E59" i="7" s="1"/>
  <c r="O9" i="7"/>
  <c r="P9" i="7" s="1"/>
  <c r="H22" i="7"/>
  <c r="O22" i="7"/>
  <c r="P22" i="7" s="1"/>
  <c r="F16" i="7"/>
  <c r="O16" i="7"/>
  <c r="P16" i="7" s="1"/>
  <c r="J16" i="4"/>
  <c r="J58" i="4" s="1"/>
  <c r="J60" i="4" s="1"/>
  <c r="J62" i="4" s="1"/>
  <c r="I58" i="4"/>
  <c r="I59" i="4" s="1"/>
  <c r="F676" i="10"/>
  <c r="J10" i="5"/>
  <c r="K10" i="5" s="1"/>
  <c r="E58" i="5"/>
  <c r="E59" i="5" s="1"/>
  <c r="J14" i="5"/>
  <c r="K14" i="5" s="1"/>
  <c r="N16" i="4"/>
  <c r="N58" i="4" s="1"/>
  <c r="N60" i="4" s="1"/>
  <c r="N62" i="4" s="1"/>
  <c r="M58" i="4"/>
  <c r="M59" i="4" s="1"/>
  <c r="H12" i="4"/>
  <c r="O12" i="4"/>
  <c r="P12" i="4" s="1"/>
  <c r="H26" i="4"/>
  <c r="O26" i="4"/>
  <c r="P26" i="4" s="1"/>
  <c r="H34" i="4"/>
  <c r="O34" i="4"/>
  <c r="P34" i="4" s="1"/>
  <c r="H57" i="4"/>
  <c r="O57" i="4"/>
  <c r="P57" i="4" s="1"/>
  <c r="H47" i="4"/>
  <c r="O47" i="4"/>
  <c r="P47" i="4" s="1"/>
  <c r="O27" i="7"/>
  <c r="P27" i="7" s="1"/>
  <c r="AN14" i="37"/>
  <c r="J84" i="34"/>
  <c r="J82" i="34" s="1"/>
  <c r="J85" i="34" s="1"/>
  <c r="J157" i="34"/>
  <c r="J155" i="34" s="1"/>
  <c r="J158" i="34" s="1"/>
  <c r="J217" i="34"/>
  <c r="J215" i="34" s="1"/>
  <c r="J218" i="34" s="1"/>
  <c r="G109" i="8"/>
  <c r="G112" i="8" s="1"/>
  <c r="I109" i="8"/>
  <c r="J109" i="8" s="1"/>
  <c r="I99" i="8"/>
  <c r="H109" i="8"/>
  <c r="H40" i="7"/>
  <c r="O40" i="7"/>
  <c r="P40" i="7" s="1"/>
  <c r="H36" i="7"/>
  <c r="O36" i="7"/>
  <c r="P36" i="7" s="1"/>
  <c r="L24" i="7"/>
  <c r="O24" i="7"/>
  <c r="P24" i="7" s="1"/>
  <c r="H55" i="7"/>
  <c r="O55" i="7"/>
  <c r="P55" i="7" s="1"/>
  <c r="H20" i="7"/>
  <c r="O20" i="7"/>
  <c r="P20" i="7" s="1"/>
  <c r="J11" i="7"/>
  <c r="O11" i="7"/>
  <c r="P11" i="7" s="1"/>
  <c r="N8" i="7"/>
  <c r="N58" i="7" s="1"/>
  <c r="N60" i="7" s="1"/>
  <c r="N62" i="7" s="1"/>
  <c r="O8" i="7"/>
  <c r="M58" i="7"/>
  <c r="M59" i="7" s="1"/>
  <c r="L26" i="7"/>
  <c r="O26" i="7"/>
  <c r="P26" i="7" s="1"/>
  <c r="L314" i="10"/>
  <c r="F19" i="4"/>
  <c r="O19" i="4"/>
  <c r="P19" i="4" s="1"/>
  <c r="L11" i="4"/>
  <c r="O11" i="4"/>
  <c r="P11" i="4" s="1"/>
  <c r="J9" i="5"/>
  <c r="K9" i="5" s="1"/>
  <c r="H58" i="5"/>
  <c r="H59" i="5" s="1"/>
  <c r="F18" i="4"/>
  <c r="O18" i="4"/>
  <c r="P18" i="4" s="1"/>
  <c r="L8" i="4"/>
  <c r="K58" i="4"/>
  <c r="K59" i="4" s="1"/>
  <c r="O50" i="7"/>
  <c r="P50" i="7" s="1"/>
  <c r="O21" i="4"/>
  <c r="P21" i="4" s="1"/>
  <c r="H16" i="4"/>
  <c r="O16" i="4"/>
  <c r="P16" i="4" s="1"/>
  <c r="H56" i="4"/>
  <c r="O56" i="4"/>
  <c r="P56" i="4" s="1"/>
  <c r="H28" i="4"/>
  <c r="O28" i="4"/>
  <c r="P28" i="4" s="1"/>
  <c r="H36" i="4"/>
  <c r="O36" i="4"/>
  <c r="P36" i="4" s="1"/>
  <c r="H41" i="4"/>
  <c r="O41" i="4"/>
  <c r="P41" i="4" s="1"/>
  <c r="H49" i="4"/>
  <c r="O49" i="4"/>
  <c r="P49" i="4" s="1"/>
  <c r="N102" i="7"/>
  <c r="H102" i="7"/>
  <c r="I102" i="7" s="1"/>
  <c r="J102" i="7" s="1"/>
  <c r="K102" i="7" s="1"/>
  <c r="L102" i="7" s="1"/>
  <c r="M102" i="7" s="1"/>
  <c r="H134" i="8"/>
  <c r="H137" i="8" s="1"/>
  <c r="E55" i="34"/>
  <c r="E62" i="34" s="1"/>
  <c r="E11" i="34" s="1"/>
  <c r="H9" i="34" s="1"/>
  <c r="AG62" i="34"/>
  <c r="Y62" i="34"/>
  <c r="L49" i="22"/>
  <c r="L50" i="22" s="1"/>
  <c r="L45" i="7"/>
  <c r="O45" i="7"/>
  <c r="P45" i="7" s="1"/>
  <c r="H39" i="7"/>
  <c r="O39" i="7"/>
  <c r="P39" i="7" s="1"/>
  <c r="H35" i="7"/>
  <c r="O35" i="7"/>
  <c r="P35" i="7" s="1"/>
  <c r="H21" i="7"/>
  <c r="O21" i="7"/>
  <c r="P21" i="7" s="1"/>
  <c r="F678" i="10"/>
  <c r="L46" i="7"/>
  <c r="O46" i="7"/>
  <c r="P46" i="7" s="1"/>
  <c r="H284" i="34"/>
  <c r="H285" i="34" s="1"/>
  <c r="L25" i="7"/>
  <c r="O25" i="7"/>
  <c r="P25" i="7" s="1"/>
  <c r="H18" i="7"/>
  <c r="O18" i="7"/>
  <c r="P18" i="7" s="1"/>
  <c r="F14" i="7"/>
  <c r="O14" i="7"/>
  <c r="P14" i="7" s="1"/>
  <c r="G58" i="5"/>
  <c r="G59" i="5" s="1"/>
  <c r="J8" i="5"/>
  <c r="N108" i="8"/>
  <c r="M112" i="8"/>
  <c r="H15" i="4"/>
  <c r="O15" i="4"/>
  <c r="P15" i="4" s="1"/>
  <c r="H22" i="4"/>
  <c r="O22" i="4"/>
  <c r="P22" i="4" s="1"/>
  <c r="H30" i="4"/>
  <c r="O30" i="4"/>
  <c r="P30" i="4" s="1"/>
  <c r="H38" i="4"/>
  <c r="O38" i="4"/>
  <c r="P38" i="4" s="1"/>
  <c r="H43" i="4"/>
  <c r="O43" i="4"/>
  <c r="P43" i="4" s="1"/>
  <c r="H9" i="4"/>
  <c r="O9" i="4"/>
  <c r="P9" i="4" s="1"/>
  <c r="O13" i="7"/>
  <c r="P13" i="7" s="1"/>
  <c r="O25" i="4"/>
  <c r="P25" i="4" s="1"/>
  <c r="B16" i="38"/>
  <c r="Z7" i="63" l="1"/>
  <c r="Z6" i="63"/>
  <c r="P6" i="63"/>
  <c r="AK15" i="63"/>
  <c r="AK16" i="63" s="1"/>
  <c r="AK17" i="63" s="1"/>
  <c r="AK18" i="63" s="1"/>
  <c r="AK19" i="63" s="1"/>
  <c r="AK20" i="63" s="1"/>
  <c r="AK21" i="63" s="1"/>
  <c r="AK22" i="63" s="1"/>
  <c r="AK23" i="63" s="1"/>
  <c r="AK24" i="63" s="1"/>
  <c r="AK25" i="63" s="1"/>
  <c r="AK26" i="63" s="1"/>
  <c r="AK27" i="63" s="1"/>
  <c r="AK28" i="63" s="1"/>
  <c r="AK29" i="63" s="1"/>
  <c r="AK30" i="63" s="1"/>
  <c r="AK31" i="63" s="1"/>
  <c r="AK32" i="63" s="1"/>
  <c r="AK33" i="63" s="1"/>
  <c r="AK34" i="63" s="1"/>
  <c r="AK35" i="63" s="1"/>
  <c r="AK36" i="63" s="1"/>
  <c r="AK37" i="63" s="1"/>
  <c r="AK38" i="63" s="1"/>
  <c r="AK39" i="63" s="1"/>
  <c r="AK40" i="63" s="1"/>
  <c r="AK41" i="63" s="1"/>
  <c r="AK42" i="63" s="1"/>
  <c r="AK43" i="63" s="1"/>
  <c r="AK44" i="63" s="1"/>
  <c r="AK45" i="63" s="1"/>
  <c r="AK46" i="63" s="1"/>
  <c r="AK47" i="63" s="1"/>
  <c r="AK48" i="63" s="1"/>
  <c r="AK49" i="63" s="1"/>
  <c r="AK50" i="63" s="1"/>
  <c r="AK51" i="63" s="1"/>
  <c r="AK52" i="63" s="1"/>
  <c r="AK53" i="63" s="1"/>
  <c r="AK54" i="63" s="1"/>
  <c r="AK55" i="63" s="1"/>
  <c r="AK56" i="63" s="1"/>
  <c r="AK57" i="63" s="1"/>
  <c r="AK58" i="63" s="1"/>
  <c r="F9" i="63"/>
  <c r="F8" i="63"/>
  <c r="F62" i="37"/>
  <c r="F58" i="4"/>
  <c r="F60" i="4" s="1"/>
  <c r="F62" i="4" s="1"/>
  <c r="AM62" i="37"/>
  <c r="J190" i="34"/>
  <c r="J188" i="34"/>
  <c r="J191" i="34" s="1"/>
  <c r="O132" i="8"/>
  <c r="N137" i="8"/>
  <c r="O137" i="8" s="1"/>
  <c r="H62" i="37"/>
  <c r="I134" i="8"/>
  <c r="I137" i="8" s="1"/>
  <c r="O102" i="7"/>
  <c r="P102" i="7" s="1"/>
  <c r="Q102" i="7" s="1"/>
  <c r="L58" i="4"/>
  <c r="L60" i="4" s="1"/>
  <c r="L62" i="4" s="1"/>
  <c r="AN62" i="37"/>
  <c r="X62" i="37"/>
  <c r="J58" i="5"/>
  <c r="K8" i="5"/>
  <c r="F58" i="7"/>
  <c r="F60" i="7" s="1"/>
  <c r="H58" i="7"/>
  <c r="H60" i="7" s="1"/>
  <c r="H62" i="7" s="1"/>
  <c r="K678" i="10"/>
  <c r="L678" i="10" s="1"/>
  <c r="G678" i="10"/>
  <c r="O58" i="7"/>
  <c r="P8" i="7"/>
  <c r="F62" i="34"/>
  <c r="AQ62" i="34"/>
  <c r="AP62" i="34" s="1"/>
  <c r="AP35" i="34"/>
  <c r="AP34" i="34"/>
  <c r="AP29" i="34"/>
  <c r="AP28" i="34"/>
  <c r="AP27" i="34"/>
  <c r="AP22" i="34"/>
  <c r="AP16" i="34"/>
  <c r="AP14" i="34"/>
  <c r="AP49" i="34"/>
  <c r="AP51" i="34"/>
  <c r="AP50" i="34"/>
  <c r="AP39" i="34"/>
  <c r="H58" i="4"/>
  <c r="H60" i="4" s="1"/>
  <c r="H62" i="4" s="1"/>
  <c r="L58" i="7"/>
  <c r="L60" i="7" s="1"/>
  <c r="L62" i="7" s="1"/>
  <c r="J108" i="8"/>
  <c r="O58" i="4"/>
  <c r="P8" i="4"/>
  <c r="G677" i="10"/>
  <c r="K677" i="10" s="1"/>
  <c r="L677" i="10" s="1"/>
  <c r="AP62" i="37"/>
  <c r="AO62" i="37" s="1"/>
  <c r="AO16" i="37"/>
  <c r="AO14" i="37"/>
  <c r="G676" i="10"/>
  <c r="K676" i="10"/>
  <c r="L676" i="10" s="1"/>
  <c r="O108" i="8"/>
  <c r="N112" i="8"/>
  <c r="O112" i="8" s="1"/>
  <c r="K675" i="10"/>
  <c r="L675" i="10" s="1"/>
  <c r="F667" i="10"/>
  <c r="D670" i="10" s="1"/>
  <c r="G675" i="10"/>
  <c r="J58" i="7"/>
  <c r="J60" i="7" s="1"/>
  <c r="J62" i="7" s="1"/>
  <c r="H110" i="8"/>
  <c r="H112" i="8" s="1"/>
  <c r="B17" i="38"/>
  <c r="P7" i="63" l="1"/>
  <c r="F11" i="63"/>
  <c r="F12" i="63" s="1"/>
  <c r="Z8" i="63"/>
  <c r="F10" i="63"/>
  <c r="P9" i="63"/>
  <c r="I110" i="8"/>
  <c r="K674" i="10"/>
  <c r="E667" i="10" s="1"/>
  <c r="C667" i="10" s="1"/>
  <c r="P58" i="4"/>
  <c r="Q8" i="4" s="1"/>
  <c r="F62" i="7"/>
  <c r="Q6" i="7"/>
  <c r="I667" i="10"/>
  <c r="K58" i="5"/>
  <c r="Q6" i="4"/>
  <c r="D672" i="10"/>
  <c r="C670" i="10"/>
  <c r="G670" i="10"/>
  <c r="K670" i="10" s="1"/>
  <c r="C672" i="10"/>
  <c r="I670" i="10"/>
  <c r="H670" i="10"/>
  <c r="P58" i="7"/>
  <c r="Q8" i="7" s="1"/>
  <c r="B18" i="38"/>
  <c r="B19" i="38" s="1"/>
  <c r="F15" i="63" l="1"/>
  <c r="Z9" i="63"/>
  <c r="F14" i="63"/>
  <c r="F16" i="63" s="1"/>
  <c r="P11" i="63"/>
  <c r="P12" i="63" s="1"/>
  <c r="E670" i="10"/>
  <c r="L44" i="5"/>
  <c r="L28" i="5"/>
  <c r="K60" i="5"/>
  <c r="K62" i="5"/>
  <c r="I62" i="5" s="1"/>
  <c r="L37" i="5"/>
  <c r="L11" i="5"/>
  <c r="L49" i="5"/>
  <c r="L25" i="5"/>
  <c r="L47" i="5"/>
  <c r="L48" i="5"/>
  <c r="L32" i="5"/>
  <c r="L56" i="5"/>
  <c r="L36" i="5"/>
  <c r="L21" i="5"/>
  <c r="L41" i="5"/>
  <c r="L43" i="5"/>
  <c r="L27" i="5"/>
  <c r="L20" i="5"/>
  <c r="L39" i="5"/>
  <c r="L19" i="5"/>
  <c r="L23" i="5"/>
  <c r="L31" i="5"/>
  <c r="L35" i="5"/>
  <c r="L57" i="5"/>
  <c r="L24" i="5"/>
  <c r="L15" i="5"/>
  <c r="L45" i="5"/>
  <c r="L29" i="5"/>
  <c r="L40" i="5"/>
  <c r="L16" i="5"/>
  <c r="L50" i="5"/>
  <c r="L33" i="5"/>
  <c r="L42" i="5"/>
  <c r="L46" i="5"/>
  <c r="L17" i="5"/>
  <c r="L52" i="5"/>
  <c r="L13" i="5"/>
  <c r="L30" i="5"/>
  <c r="L51" i="5"/>
  <c r="L12" i="5"/>
  <c r="L54" i="5"/>
  <c r="L38" i="5"/>
  <c r="L55" i="5"/>
  <c r="L26" i="5"/>
  <c r="L22" i="5"/>
  <c r="L34" i="5"/>
  <c r="L53" i="5"/>
  <c r="L10" i="5"/>
  <c r="L9" i="5"/>
  <c r="L18" i="5"/>
  <c r="L14" i="5"/>
  <c r="E672" i="10"/>
  <c r="J672" i="10"/>
  <c r="Q42" i="4"/>
  <c r="P60" i="4"/>
  <c r="P62" i="4"/>
  <c r="Q51" i="4"/>
  <c r="Q33" i="4"/>
  <c r="Q50" i="4"/>
  <c r="Q53" i="4"/>
  <c r="Q39" i="4"/>
  <c r="Q10" i="4"/>
  <c r="Q31" i="4"/>
  <c r="Q13" i="4"/>
  <c r="Q35" i="4"/>
  <c r="Q44" i="4"/>
  <c r="Q48" i="4"/>
  <c r="Q29" i="4"/>
  <c r="Q27" i="4"/>
  <c r="Q20" i="4"/>
  <c r="Q37" i="4"/>
  <c r="Q54" i="4"/>
  <c r="Q46" i="4"/>
  <c r="Q52" i="4"/>
  <c r="Q55" i="4"/>
  <c r="Q25" i="4"/>
  <c r="Q41" i="4"/>
  <c r="Q47" i="4"/>
  <c r="Q24" i="4"/>
  <c r="Q36" i="4"/>
  <c r="Q9" i="4"/>
  <c r="Q14" i="4"/>
  <c r="Q43" i="4"/>
  <c r="Q28" i="4"/>
  <c r="Q34" i="4"/>
  <c r="Q22" i="4"/>
  <c r="Q17" i="4"/>
  <c r="Q26" i="4"/>
  <c r="Q21" i="4"/>
  <c r="Q30" i="4"/>
  <c r="Q16" i="4"/>
  <c r="Q12" i="4"/>
  <c r="Q23" i="4"/>
  <c r="Q18" i="4"/>
  <c r="Q57" i="4"/>
  <c r="Q49" i="4"/>
  <c r="Q19" i="4"/>
  <c r="Q45" i="4"/>
  <c r="Q38" i="4"/>
  <c r="Q15" i="4"/>
  <c r="Q11" i="4"/>
  <c r="Q40" i="4"/>
  <c r="Q56" i="4"/>
  <c r="Q32" i="4"/>
  <c r="P62" i="7"/>
  <c r="Q52" i="7"/>
  <c r="Q19" i="7"/>
  <c r="P60" i="7"/>
  <c r="Q31" i="7"/>
  <c r="Q44" i="7"/>
  <c r="Q57" i="7"/>
  <c r="Q29" i="7"/>
  <c r="Q51" i="7"/>
  <c r="Q49" i="7"/>
  <c r="Q28" i="7"/>
  <c r="Q10" i="7"/>
  <c r="Q12" i="7"/>
  <c r="Q48" i="7"/>
  <c r="Q56" i="7"/>
  <c r="Q53" i="7"/>
  <c r="Q43" i="7"/>
  <c r="Q47" i="7"/>
  <c r="Q32" i="7"/>
  <c r="Q15" i="7"/>
  <c r="Q30" i="7"/>
  <c r="Q42" i="7"/>
  <c r="Q41" i="7"/>
  <c r="Q46" i="7"/>
  <c r="Q55" i="7"/>
  <c r="Q22" i="7"/>
  <c r="Q20" i="7"/>
  <c r="Q16" i="7"/>
  <c r="Q50" i="7"/>
  <c r="Q39" i="7"/>
  <c r="Q26" i="7"/>
  <c r="Q36" i="7"/>
  <c r="Q17" i="7"/>
  <c r="Q23" i="7"/>
  <c r="Q14" i="7"/>
  <c r="Q27" i="7"/>
  <c r="Q35" i="7"/>
  <c r="Q13" i="7"/>
  <c r="Q24" i="7"/>
  <c r="Q54" i="7"/>
  <c r="Q45" i="7"/>
  <c r="Q34" i="7"/>
  <c r="Q18" i="7"/>
  <c r="Q40" i="7"/>
  <c r="Q33" i="7"/>
  <c r="Q21" i="7"/>
  <c r="Q9" i="7"/>
  <c r="Q58" i="7" s="1"/>
  <c r="Q38" i="7"/>
  <c r="Q25" i="7"/>
  <c r="Q11" i="7"/>
  <c r="Q37" i="7"/>
  <c r="L8" i="5"/>
  <c r="J110" i="8"/>
  <c r="I112" i="8"/>
  <c r="J112" i="8" s="1"/>
  <c r="B20" i="38"/>
  <c r="B21" i="38" s="1"/>
  <c r="F17" i="63" l="1"/>
  <c r="F18" i="63"/>
  <c r="F19" i="63" s="1"/>
  <c r="F20" i="63" s="1"/>
  <c r="Z11" i="63"/>
  <c r="Z13" i="63" s="1"/>
  <c r="F21" i="63"/>
  <c r="F22" i="63" s="1"/>
  <c r="F23" i="63" s="1"/>
  <c r="F24" i="63" s="1"/>
  <c r="H5" i="63" s="1"/>
  <c r="P14" i="63"/>
  <c r="Z10" i="63"/>
  <c r="P13" i="63"/>
  <c r="Z12" i="63"/>
  <c r="Q58" i="4"/>
  <c r="L58" i="5"/>
  <c r="H672" i="10"/>
  <c r="G672" i="10"/>
  <c r="K672" i="10" s="1"/>
  <c r="B22" i="38"/>
  <c r="B23" i="38" s="1"/>
  <c r="H6" i="63" l="1"/>
  <c r="Z14" i="63"/>
  <c r="P16" i="63"/>
  <c r="B24" i="38"/>
  <c r="B25" i="38" s="1"/>
  <c r="H7" i="63" l="1"/>
  <c r="Z15" i="63"/>
  <c r="Z16" i="63" s="1"/>
  <c r="Z17" i="63" s="1"/>
  <c r="Z18" i="63" s="1"/>
  <c r="Z19" i="63" s="1"/>
  <c r="Z20" i="63" s="1"/>
  <c r="Z21" i="63" s="1"/>
  <c r="Z22" i="63" s="1"/>
  <c r="Z23" i="63" s="1"/>
  <c r="Z24" i="63" s="1"/>
  <c r="Z25" i="63" s="1"/>
  <c r="Z26" i="63" s="1"/>
  <c r="Z29" i="63" s="1"/>
  <c r="Z30" i="63" s="1"/>
  <c r="Z31" i="63" s="1"/>
  <c r="Z32" i="63" s="1"/>
  <c r="Z33" i="63" s="1"/>
  <c r="Z34" i="63" s="1"/>
  <c r="Z35" i="63" s="1"/>
  <c r="Z36" i="63" s="1"/>
  <c r="Z37" i="63" s="1"/>
  <c r="Z38" i="63" s="1"/>
  <c r="Z39" i="63" s="1"/>
  <c r="Z40" i="63" s="1"/>
  <c r="Z41" i="63" s="1"/>
  <c r="Z44" i="63" s="1"/>
  <c r="Z45" i="63" s="1"/>
  <c r="Z46" i="63" s="1"/>
  <c r="Z47" i="63" s="1"/>
  <c r="Z48" i="63" s="1"/>
  <c r="Z51" i="63" s="1"/>
  <c r="Z54" i="63" s="1"/>
  <c r="Z55" i="63" s="1"/>
  <c r="Z56" i="63" s="1"/>
  <c r="Z57" i="63" s="1"/>
  <c r="Z58" i="63" s="1"/>
  <c r="Z59" i="63" s="1"/>
  <c r="Z60" i="63" s="1"/>
  <c r="Z61" i="63" s="1"/>
  <c r="Z62" i="63" s="1"/>
  <c r="AB5" i="63" s="1"/>
  <c r="H8" i="63"/>
  <c r="P17" i="63"/>
  <c r="P18" i="63"/>
  <c r="P19" i="63" s="1"/>
  <c r="P20" i="63" s="1"/>
  <c r="P21" i="63" s="1"/>
  <c r="P22" i="63" s="1"/>
  <c r="P23" i="63" s="1"/>
  <c r="P24" i="63" s="1"/>
  <c r="P25" i="63" s="1"/>
  <c r="P26" i="63" s="1"/>
  <c r="P27" i="63" s="1"/>
  <c r="P29" i="63" s="1"/>
  <c r="P30" i="63" s="1"/>
  <c r="P33" i="63" s="1"/>
  <c r="P34" i="63" s="1"/>
  <c r="P35" i="63" s="1"/>
  <c r="P36" i="63" s="1"/>
  <c r="P37" i="63" s="1"/>
  <c r="P38" i="63" s="1"/>
  <c r="P39" i="63" s="1"/>
  <c r="P40" i="63" s="1"/>
  <c r="P41" i="63" s="1"/>
  <c r="P42" i="63" s="1"/>
  <c r="P43" i="63" s="1"/>
  <c r="P45" i="63" s="1"/>
  <c r="P48" i="63" s="1"/>
  <c r="P49" i="63" s="1"/>
  <c r="P50" i="63" s="1"/>
  <c r="P51" i="63" s="1"/>
  <c r="P52" i="63" s="1"/>
  <c r="R5" i="63" s="1"/>
  <c r="H10" i="63"/>
  <c r="B26" i="38"/>
  <c r="B27" i="38" s="1"/>
  <c r="AB7" i="63" l="1"/>
  <c r="AB6" i="63"/>
  <c r="R6" i="63"/>
  <c r="H11" i="63"/>
  <c r="B28" i="38"/>
  <c r="B29" i="38" s="1"/>
  <c r="R8" i="63" l="1"/>
  <c r="R7" i="63"/>
  <c r="AB8" i="63"/>
  <c r="H12" i="63"/>
  <c r="H14" i="63" s="1"/>
  <c r="H16" i="63" s="1"/>
  <c r="R9" i="63"/>
  <c r="AB9" i="63"/>
  <c r="B30" i="38"/>
  <c r="B31" i="38" s="1"/>
  <c r="AB10" i="63" l="1"/>
  <c r="H18" i="63"/>
  <c r="H19" i="63" s="1"/>
  <c r="R10" i="63"/>
  <c r="B32" i="38"/>
  <c r="B33" i="38" s="1"/>
  <c r="B34" i="38" s="1"/>
  <c r="R11" i="63" l="1"/>
  <c r="AB11" i="63"/>
  <c r="B35" i="38"/>
  <c r="B36" i="38" s="1"/>
  <c r="AB12" i="63" l="1"/>
  <c r="R13" i="63"/>
  <c r="R14" i="63"/>
  <c r="B37" i="38"/>
  <c r="R15" i="63" l="1"/>
  <c r="R16" i="63"/>
  <c r="R17" i="63" s="1"/>
  <c r="R18" i="63" s="1"/>
  <c r="R19" i="63" s="1"/>
  <c r="R21" i="63" s="1"/>
  <c r="R22" i="63" s="1"/>
  <c r="R23" i="63" s="1"/>
  <c r="R24" i="63" s="1"/>
  <c r="R25" i="63" s="1"/>
  <c r="R26" i="63" s="1"/>
  <c r="R27" i="63" s="1"/>
  <c r="R28" i="63" s="1"/>
  <c r="R29" i="63" s="1"/>
  <c r="R30" i="63" s="1"/>
  <c r="R31" i="63" s="1"/>
  <c r="R34" i="63" s="1"/>
  <c r="R35" i="63" s="1"/>
  <c r="R36" i="63" s="1"/>
  <c r="R39" i="63" s="1"/>
  <c r="AB13" i="63"/>
  <c r="B38" i="38"/>
  <c r="AB14" i="63" l="1"/>
  <c r="B39" i="38"/>
  <c r="B40" i="38" s="1"/>
  <c r="AB15" i="63" l="1"/>
  <c r="AB16" i="63" s="1"/>
  <c r="AB17" i="63" s="1"/>
  <c r="AB18" i="63" s="1"/>
  <c r="AB19" i="63" s="1"/>
  <c r="AB20" i="63" s="1"/>
  <c r="AB21" i="63" s="1"/>
  <c r="AB22" i="63" s="1"/>
  <c r="AB23" i="63" s="1"/>
  <c r="AB24" i="63" s="1"/>
  <c r="AB25" i="63" s="1"/>
  <c r="AB26" i="63" s="1"/>
  <c r="AB27" i="63" s="1"/>
  <c r="AB28" i="63" s="1"/>
  <c r="AB30" i="63" s="1"/>
  <c r="AB31" i="63" s="1"/>
  <c r="AB33" i="63" s="1"/>
  <c r="AB34" i="63" s="1"/>
  <c r="AB35" i="63" s="1"/>
  <c r="AB36" i="63" s="1"/>
  <c r="AB37" i="63" s="1"/>
  <c r="AB38" i="63" s="1"/>
  <c r="AB39" i="63" s="1"/>
  <c r="AB40" i="63" s="1"/>
  <c r="AB41" i="63" s="1"/>
  <c r="AB42" i="63" s="1"/>
  <c r="AB43" i="63" s="1"/>
  <c r="AB44" i="63" s="1"/>
  <c r="AB45" i="63" s="1"/>
  <c r="AB46" i="63" s="1"/>
  <c r="AB47" i="63" s="1"/>
  <c r="AB48" i="63" s="1"/>
  <c r="AB49" i="63" s="1"/>
  <c r="AB50" i="63" s="1"/>
  <c r="AB51" i="63" s="1"/>
  <c r="AB52" i="63" s="1"/>
  <c r="AB53" i="63" s="1"/>
  <c r="AB54" i="63" s="1"/>
  <c r="AB55" i="63" s="1"/>
  <c r="AB56" i="63" s="1"/>
  <c r="AB57" i="63" s="1"/>
  <c r="AB58" i="63" s="1"/>
  <c r="AB59" i="63" s="1"/>
  <c r="AB62" i="63" s="1"/>
  <c r="AD5" i="63" s="1"/>
  <c r="B41" i="38"/>
  <c r="B42" i="38" s="1"/>
  <c r="AD6" i="63" l="1"/>
  <c r="B43" i="38"/>
  <c r="B44" i="38" s="1"/>
  <c r="AD8" i="63" l="1"/>
  <c r="AD7" i="63"/>
  <c r="B45" i="38"/>
  <c r="B46" i="38" s="1"/>
  <c r="AD9" i="63" l="1"/>
  <c r="B47" i="38"/>
  <c r="B48" i="38" s="1"/>
  <c r="AD10" i="63" l="1"/>
  <c r="B49" i="38"/>
  <c r="B50" i="38" s="1"/>
  <c r="AD12" i="63" l="1"/>
  <c r="AD11" i="63"/>
  <c r="B51" i="38"/>
  <c r="AD13" i="63" l="1"/>
  <c r="B52" i="38"/>
  <c r="AD14" i="63" l="1"/>
  <c r="B53" i="38"/>
  <c r="AD15" i="63" l="1"/>
  <c r="AD16" i="63" s="1"/>
  <c r="AD17" i="63" s="1"/>
  <c r="AD18" i="63" s="1"/>
  <c r="AD19" i="63" s="1"/>
  <c r="AD20" i="63" s="1"/>
  <c r="AD21" i="63" s="1"/>
  <c r="AD22" i="63" s="1"/>
  <c r="AD23" i="63" s="1"/>
  <c r="AD24" i="63" s="1"/>
  <c r="AD25" i="63" s="1"/>
  <c r="AD26" i="63" s="1"/>
  <c r="AD27" i="63" s="1"/>
  <c r="AD28" i="63" s="1"/>
  <c r="AD29" i="63" s="1"/>
  <c r="AD30" i="63" s="1"/>
  <c r="AD31" i="63" s="1"/>
  <c r="AD32" i="63" s="1"/>
  <c r="AD33" i="63" s="1"/>
  <c r="AD34" i="63" s="1"/>
  <c r="AD35" i="63" s="1"/>
  <c r="AD36" i="63" s="1"/>
  <c r="AD37" i="63" s="1"/>
  <c r="AD38" i="63" s="1"/>
  <c r="AD41" i="63" s="1"/>
  <c r="AD42" i="63" s="1"/>
  <c r="AD43" i="63" s="1"/>
  <c r="AD44" i="63" s="1"/>
  <c r="AD45" i="63" s="1"/>
  <c r="AD46" i="63" s="1"/>
  <c r="AD47" i="63" s="1"/>
  <c r="AD48" i="63" s="1"/>
  <c r="AD49" i="63" s="1"/>
  <c r="AD50" i="63" s="1"/>
  <c r="AD51" i="63" s="1"/>
  <c r="AD52" i="63" s="1"/>
  <c r="AD53" i="63" s="1"/>
  <c r="AD54" i="63" s="1"/>
  <c r="AD55" i="63" s="1"/>
  <c r="AD56" i="63" s="1"/>
  <c r="AD57" i="63" s="1"/>
  <c r="AF5" i="63" s="1"/>
  <c r="B54" i="38"/>
  <c r="B55" i="38" s="1"/>
  <c r="AF7" i="63" l="1"/>
  <c r="AF6" i="63"/>
  <c r="B56" i="38"/>
  <c r="AF8" i="63" l="1"/>
  <c r="B57" i="38"/>
  <c r="AF9" i="63" l="1"/>
  <c r="B58" i="38"/>
  <c r="AF10" i="63" l="1"/>
  <c r="AF11" i="63"/>
  <c r="B59" i="38"/>
  <c r="B60" i="38" s="1"/>
  <c r="AF12" i="63" l="1"/>
  <c r="B61" i="38"/>
  <c r="B62" i="38" s="1"/>
  <c r="AF15" i="63" l="1"/>
  <c r="AF16" i="63" s="1"/>
  <c r="AF17" i="63" s="1"/>
  <c r="AF18" i="63" s="1"/>
  <c r="AF19" i="63" s="1"/>
  <c r="AF22" i="63" s="1"/>
  <c r="AF23" i="63" s="1"/>
  <c r="AF26" i="63" s="1"/>
  <c r="AF27" i="63" s="1"/>
  <c r="AF28" i="63" s="1"/>
  <c r="AF29" i="63" s="1"/>
  <c r="AF30" i="63" s="1"/>
  <c r="AF33" i="63" s="1"/>
  <c r="AF13" i="63"/>
  <c r="AF14" i="63" s="1"/>
  <c r="B63" i="38"/>
  <c r="B64" i="38" l="1"/>
  <c r="B65" i="38" s="1"/>
  <c r="B66" i="38" l="1"/>
  <c r="B67" i="38" l="1"/>
  <c r="B68" i="38" l="1"/>
  <c r="B69" i="38" l="1"/>
  <c r="B70" i="38" l="1"/>
  <c r="B71" i="38" s="1"/>
  <c r="B72" i="38" l="1"/>
  <c r="B73" i="38" s="1"/>
  <c r="B74" i="38" s="1"/>
  <c r="B75" i="38" l="1"/>
  <c r="B76" i="38" s="1"/>
  <c r="B77" i="38" s="1"/>
  <c r="B78" i="38" l="1"/>
  <c r="B79" i="38" l="1"/>
  <c r="B80" i="38" l="1"/>
  <c r="B81" i="38" l="1"/>
  <c r="B82" i="38" s="1"/>
  <c r="B83" i="38" l="1"/>
  <c r="B84" i="38" s="1"/>
  <c r="B85" i="38" l="1"/>
  <c r="B86" i="38" s="1"/>
  <c r="B87" i="38" l="1"/>
  <c r="B88" i="38" s="1"/>
  <c r="B89" i="38" l="1"/>
  <c r="B90" i="38" s="1"/>
  <c r="B91" i="38" l="1"/>
  <c r="B92" i="38" l="1"/>
  <c r="B93" i="38" s="1"/>
  <c r="B94" i="38" l="1"/>
  <c r="B95" i="38" s="1"/>
  <c r="B96" i="38" l="1"/>
  <c r="B97" i="38" s="1"/>
  <c r="B98" i="38" l="1"/>
  <c r="B99" i="38" s="1"/>
  <c r="B100" i="38" s="1"/>
  <c r="B101" i="38" l="1"/>
  <c r="B102" i="38" l="1"/>
  <c r="B103" i="38" l="1"/>
  <c r="B104" i="38" s="1"/>
  <c r="B105" i="38" l="1"/>
  <c r="B106" i="38" s="1"/>
  <c r="B107" i="38" l="1"/>
  <c r="B108" i="38" l="1"/>
  <c r="B109" i="38" l="1"/>
  <c r="B110" i="38" l="1"/>
  <c r="B111" i="38" l="1"/>
  <c r="B112" i="38" s="1"/>
  <c r="B113" i="38" l="1"/>
  <c r="B114" i="38" s="1"/>
  <c r="B115" i="38" s="1"/>
  <c r="B116" i="38" l="1"/>
  <c r="B117" i="38" s="1"/>
  <c r="B118" i="38" l="1"/>
  <c r="B119" i="38" l="1"/>
  <c r="B120" i="38" l="1"/>
  <c r="B121" i="38" l="1"/>
  <c r="B122" i="38" l="1"/>
  <c r="B123" i="38" l="1"/>
  <c r="B124" i="38" l="1"/>
  <c r="B125" i="38" s="1"/>
  <c r="B126" i="38" l="1"/>
  <c r="B127" i="38" s="1"/>
  <c r="B128" i="38" l="1"/>
  <c r="B129" i="38" s="1"/>
  <c r="B130" i="38" s="1"/>
  <c r="B131" i="38" l="1"/>
  <c r="B132" i="38" s="1"/>
  <c r="B133" i="38" s="1"/>
  <c r="B134" i="38" l="1"/>
  <c r="B135" i="38" l="1"/>
  <c r="B136" i="38" s="1"/>
  <c r="B137" i="38" l="1"/>
  <c r="B138" i="38" s="1"/>
  <c r="B139" i="38" l="1"/>
  <c r="B140" i="38" l="1"/>
  <c r="B141" i="38" s="1"/>
  <c r="B142" i="38" l="1"/>
  <c r="B143" i="38" s="1"/>
  <c r="B144" i="38" l="1"/>
  <c r="B145" i="38" s="1"/>
  <c r="B146" i="38" l="1"/>
  <c r="B147" i="38" l="1"/>
  <c r="B148" i="38" s="1"/>
  <c r="B149" i="38" l="1"/>
  <c r="B150" i="38" s="1"/>
  <c r="B151" i="38" l="1"/>
  <c r="B152" i="38" s="1"/>
  <c r="B153" i="38" l="1"/>
  <c r="B154" i="38" s="1"/>
  <c r="B155" i="38" l="1"/>
  <c r="B156" i="38" s="1"/>
  <c r="B157" i="38" l="1"/>
  <c r="B158" i="38" l="1"/>
  <c r="B159" i="38" l="1"/>
  <c r="B160" i="38" s="1"/>
  <c r="B161" i="38" l="1"/>
  <c r="B162" i="38" l="1"/>
  <c r="B163" i="38" l="1"/>
  <c r="B164" i="38" s="1"/>
  <c r="B165" i="38" l="1"/>
  <c r="B166" i="38" l="1"/>
  <c r="B167" i="38" s="1"/>
  <c r="B168" i="38" s="1"/>
  <c r="B169" i="38" l="1"/>
  <c r="B170" i="38" s="1"/>
  <c r="B171" i="38" l="1"/>
  <c r="B172" i="38" s="1"/>
  <c r="B173" i="38" s="1"/>
  <c r="B174" i="38" l="1"/>
  <c r="B175" i="38" l="1"/>
  <c r="B176" i="38" s="1"/>
  <c r="B177" i="38" l="1"/>
  <c r="B178" i="38" s="1"/>
  <c r="B179" i="38" l="1"/>
  <c r="B180" i="38" s="1"/>
  <c r="B181" i="38" l="1"/>
  <c r="B182" i="38" s="1"/>
  <c r="B183" i="38" l="1"/>
  <c r="B184" i="38" s="1"/>
  <c r="B185" i="38" l="1"/>
  <c r="B186" i="38" s="1"/>
  <c r="B187" i="38" s="1"/>
  <c r="B188" i="38" l="1"/>
  <c r="B189" i="38" l="1"/>
  <c r="B190" i="38" l="1"/>
  <c r="B191" i="38" s="1"/>
  <c r="B192" i="38" l="1"/>
  <c r="B193" i="38" l="1"/>
  <c r="B194" i="38" l="1"/>
  <c r="B195" i="38" s="1"/>
  <c r="B196" i="38" l="1"/>
  <c r="B197" i="38" l="1"/>
  <c r="B198" i="38" l="1"/>
  <c r="B199" i="38" l="1"/>
  <c r="B200" i="38" s="1"/>
  <c r="B201" i="38" l="1"/>
  <c r="B202" i="38" s="1"/>
  <c r="B203" i="38" l="1"/>
  <c r="B204" i="38"/>
  <c r="B205" i="38" l="1"/>
  <c r="B206" i="38"/>
  <c r="B207" i="38" l="1"/>
  <c r="B208" i="38" l="1"/>
  <c r="B209" i="38" l="1"/>
  <c r="B210" i="38" l="1"/>
  <c r="B211" i="38" l="1"/>
  <c r="B212" i="38" l="1"/>
  <c r="B213" i="38" s="1"/>
  <c r="B214" i="38" l="1"/>
  <c r="B215" i="38" l="1"/>
  <c r="B216" i="38"/>
  <c r="B217" i="38" s="1"/>
  <c r="B218" i="38" l="1"/>
  <c r="B219" i="38" l="1"/>
  <c r="B220" i="38" s="1"/>
  <c r="B221" i="38" s="1"/>
  <c r="B222" i="38" l="1"/>
  <c r="B223" i="38" s="1"/>
  <c r="B224" i="38" l="1"/>
  <c r="B225" i="38" s="1"/>
  <c r="B226" i="38" s="1"/>
  <c r="B227" i="38" l="1"/>
  <c r="B228" i="38" l="1"/>
  <c r="B229" i="38" s="1"/>
  <c r="B230" i="38" s="1"/>
  <c r="B231" i="38" l="1"/>
  <c r="B232" i="38" l="1"/>
  <c r="B233" i="38" s="1"/>
  <c r="B234" i="38" s="1"/>
  <c r="B235" i="38" l="1"/>
  <c r="B236" i="38" l="1"/>
  <c r="B237" i="38" s="1"/>
  <c r="B238" i="38" l="1"/>
  <c r="B239" i="38" s="1"/>
  <c r="B240" i="38" l="1"/>
  <c r="B241" i="38" l="1"/>
  <c r="B242" i="38" l="1"/>
  <c r="B243" i="38" l="1"/>
  <c r="B244" i="38" s="1"/>
  <c r="B245" i="38" s="1"/>
  <c r="B246" i="38" l="1"/>
  <c r="B247" i="38" l="1"/>
  <c r="B248" i="38" s="1"/>
  <c r="B249" i="38" l="1"/>
  <c r="B250" i="38" s="1"/>
  <c r="B251" i="38" l="1"/>
  <c r="B252" i="38" s="1"/>
  <c r="B253" i="38" l="1"/>
  <c r="B254" i="38" s="1"/>
  <c r="B255" i="38" l="1"/>
  <c r="B256" i="38" s="1"/>
  <c r="B257" i="38" l="1"/>
  <c r="B258" i="38" l="1"/>
  <c r="B259" i="38" l="1"/>
  <c r="B260" i="38" l="1"/>
  <c r="B261" i="38" s="1"/>
  <c r="B262" i="38" s="1"/>
  <c r="B263" i="38" l="1"/>
  <c r="B264" i="38" l="1"/>
  <c r="B265" i="38" s="1"/>
  <c r="B266" i="38" s="1"/>
  <c r="B267" i="38" l="1"/>
  <c r="B268" i="38" l="1"/>
  <c r="B269" i="38" s="1"/>
  <c r="B270" i="38" l="1"/>
  <c r="B271" i="38" s="1"/>
  <c r="B272" i="38" l="1"/>
  <c r="B273" i="38" l="1"/>
  <c r="B274" i="38" l="1"/>
  <c r="B275" i="38" l="1"/>
  <c r="B276" i="38" l="1"/>
  <c r="B277" i="38" l="1"/>
  <c r="B278" i="38" l="1"/>
  <c r="B279" i="38" s="1"/>
  <c r="B280" i="38" l="1"/>
  <c r="B281" i="38" l="1"/>
  <c r="B282" i="38" s="1"/>
  <c r="B283" i="38" l="1"/>
  <c r="B284" i="38" s="1"/>
  <c r="B285" i="38" l="1"/>
  <c r="B286" i="38" s="1"/>
  <c r="B287" i="38" l="1"/>
  <c r="B288" i="38" s="1"/>
  <c r="B289" i="38" l="1"/>
  <c r="B290" i="38" l="1"/>
  <c r="B291" i="38" s="1"/>
  <c r="B292" i="38" s="1"/>
  <c r="B293" i="38" l="1"/>
  <c r="B294" i="38" s="1"/>
  <c r="B295" i="38" l="1"/>
  <c r="B296" i="38" s="1"/>
  <c r="B297" i="38" l="1"/>
  <c r="B298" i="38" s="1"/>
  <c r="B299" i="38" l="1"/>
  <c r="B300" i="38" s="1"/>
  <c r="B301" i="38" l="1"/>
  <c r="B302" i="38" l="1"/>
  <c r="B303" i="38" s="1"/>
  <c r="B304" i="38" l="1"/>
  <c r="B305" i="38" l="1"/>
  <c r="B306" i="38" l="1"/>
  <c r="B307" i="38" s="1"/>
  <c r="B308" i="38" s="1"/>
  <c r="B309" i="38" l="1"/>
  <c r="B310" i="38" l="1"/>
  <c r="B311" i="38" s="1"/>
  <c r="B312" i="38" l="1"/>
  <c r="B313" i="38" s="1"/>
  <c r="B314" i="38" l="1"/>
  <c r="B315" i="38" s="1"/>
  <c r="B316" i="38" l="1"/>
  <c r="B317" i="38" s="1"/>
  <c r="B318" i="38" l="1"/>
  <c r="B319" i="38" l="1"/>
  <c r="B320" i="38" l="1"/>
  <c r="B321" i="38" l="1"/>
  <c r="B322" i="38" s="1"/>
  <c r="B323" i="38" l="1"/>
  <c r="B324" i="38" s="1"/>
  <c r="B325" i="38" s="1"/>
  <c r="B326" i="38" l="1"/>
  <c r="B327" i="38" s="1"/>
  <c r="B328" i="38" l="1"/>
  <c r="B329" i="38" s="1"/>
  <c r="B330" i="38" s="1"/>
  <c r="B331" i="38" l="1"/>
  <c r="B332" i="38" s="1"/>
  <c r="B333" i="38" l="1"/>
  <c r="B334" i="38" s="1"/>
  <c r="B335" i="38" l="1"/>
  <c r="B336" i="38" s="1"/>
  <c r="B337" i="38" s="1"/>
  <c r="B338" i="38" l="1"/>
  <c r="B339" i="38" s="1"/>
  <c r="B340" i="38" l="1"/>
  <c r="B341" i="38" s="1"/>
  <c r="B342" i="38" l="1"/>
  <c r="B343" i="38" s="1"/>
  <c r="B344" i="38" l="1"/>
  <c r="B345" i="38" s="1"/>
  <c r="B346" i="38" l="1"/>
  <c r="B347" i="38" l="1"/>
  <c r="B348" i="38" l="1"/>
  <c r="B349" i="38" s="1"/>
  <c r="B350" i="38" l="1"/>
  <c r="B351" i="38" s="1"/>
  <c r="B352" i="38" l="1"/>
  <c r="B353" i="38" s="1"/>
  <c r="B354" i="38" l="1"/>
  <c r="B355" i="38" l="1"/>
  <c r="B356" i="38" l="1"/>
  <c r="B357" i="38" s="1"/>
  <c r="B358" i="38" s="1"/>
  <c r="B359" i="38" l="1"/>
  <c r="B360" i="38" l="1"/>
  <c r="B361" i="38" s="1"/>
  <c r="B362" i="38" s="1"/>
  <c r="B363" i="38" l="1"/>
  <c r="B364" i="38" l="1"/>
  <c r="B365" i="38" s="1"/>
  <c r="B366" i="38" l="1"/>
  <c r="B367" i="38" l="1"/>
  <c r="B368" i="38" l="1"/>
  <c r="B369" i="38" l="1"/>
  <c r="B370" i="38" l="1"/>
  <c r="B371" i="38" s="1"/>
  <c r="B372" i="38" s="1"/>
  <c r="B373" i="38" l="1"/>
  <c r="B374" i="38" s="1"/>
  <c r="B375" i="38" l="1"/>
  <c r="B376" i="38" l="1"/>
  <c r="B377" i="38" l="1"/>
  <c r="B378" i="38" l="1"/>
  <c r="B379" i="38" l="1"/>
  <c r="B380" i="38" s="1"/>
  <c r="B381" i="38" l="1"/>
  <c r="B382" i="38" l="1"/>
  <c r="B383" i="38" s="1"/>
  <c r="B384" i="38" l="1"/>
  <c r="B385" i="38" l="1"/>
  <c r="B386" i="38" l="1"/>
  <c r="B387" i="38" l="1"/>
  <c r="B388" i="38" l="1"/>
  <c r="B389" i="38" l="1"/>
  <c r="B390" i="38" l="1"/>
  <c r="B391" i="38" l="1"/>
  <c r="B392" i="38" l="1"/>
  <c r="B393" i="38" s="1"/>
  <c r="B394" i="38" l="1"/>
  <c r="B395" i="38" s="1"/>
  <c r="B396" i="38" s="1"/>
  <c r="B397" i="38" l="1"/>
  <c r="B398" i="38" s="1"/>
  <c r="B399" i="38" l="1"/>
  <c r="B400" i="38" s="1"/>
  <c r="B401" i="38" l="1"/>
  <c r="B402" i="38" s="1"/>
  <c r="B403" i="38" l="1"/>
  <c r="B404" i="38" s="1"/>
  <c r="B405" i="38" l="1"/>
  <c r="B406" i="38" l="1"/>
  <c r="B407" i="38" l="1"/>
  <c r="B408" i="38" l="1"/>
  <c r="B409" i="38" s="1"/>
  <c r="B410" i="38" s="1"/>
  <c r="B411" i="38" s="1"/>
  <c r="B412" i="38" l="1"/>
  <c r="B413" i="38" s="1"/>
  <c r="B414" i="38" l="1"/>
  <c r="B415" i="38" l="1"/>
  <c r="B416" i="38" l="1"/>
  <c r="B417" i="38" l="1"/>
  <c r="B418" i="38" l="1"/>
  <c r="B419" i="38" s="1"/>
  <c r="B420" i="38" l="1"/>
  <c r="B421" i="38" s="1"/>
  <c r="B422" i="38" s="1"/>
  <c r="B423" i="38" l="1"/>
  <c r="B424" i="38" s="1"/>
  <c r="B425" i="38" l="1"/>
  <c r="B426" i="38" s="1"/>
  <c r="B427" i="38" s="1"/>
  <c r="B428" i="38" l="1"/>
  <c r="B429" i="38" s="1"/>
  <c r="B430" i="38" l="1"/>
  <c r="B431" i="38" l="1"/>
  <c r="B432" i="38" l="1"/>
  <c r="B433" i="38" l="1"/>
  <c r="B434" i="38" s="1"/>
  <c r="B435" i="38" l="1"/>
  <c r="B436" i="38" s="1"/>
  <c r="B437" i="38" l="1"/>
  <c r="B438" i="38" s="1"/>
  <c r="B439" i="38" l="1"/>
  <c r="B440" i="38" s="1"/>
  <c r="B441" i="38" l="1"/>
  <c r="B442" i="38" l="1"/>
  <c r="B443" i="38" s="1"/>
  <c r="B444" i="38" l="1"/>
  <c r="B445" i="38" l="1"/>
  <c r="B446" i="38" s="1"/>
  <c r="B447" i="38" l="1"/>
  <c r="B448" i="38" l="1"/>
  <c r="B449" i="38" l="1"/>
  <c r="B450" i="38" l="1"/>
  <c r="B451" i="38" l="1"/>
  <c r="B452" i="38" l="1"/>
  <c r="B453" i="38" s="1"/>
  <c r="B454" i="38" l="1"/>
  <c r="B455" i="38" s="1"/>
  <c r="B456" i="38" l="1"/>
  <c r="B457" i="38" s="1"/>
  <c r="B458" i="38" l="1"/>
  <c r="B459" i="38" l="1"/>
  <c r="B460" i="38" l="1"/>
  <c r="B461" i="38" l="1"/>
  <c r="B462" i="38" s="1"/>
  <c r="B463" i="38" l="1"/>
  <c r="B6" i="38" s="1"/>
</calcChain>
</file>

<file path=xl/sharedStrings.xml><?xml version="1.0" encoding="utf-8"?>
<sst xmlns="http://schemas.openxmlformats.org/spreadsheetml/2006/main" count="18110" uniqueCount="7824">
  <si>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</si>
  <si>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</si>
  <si>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</si>
  <si>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</si>
  <si>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Différence entre un fichier XLS et XLSX (ou XLSM)</t>
  </si>
  <si>
    <t>Transmettez votre savoir et votre savoir faire  peu importe qui le récupère; pourvu qu'un plus grand nombre puisse en bénéficier.</t>
  </si>
  <si>
    <t>Joël LEBOUCHER …Octobre 2015</t>
  </si>
  <si>
    <t>Cette fiche est constituée de 3 tableaux dont 2 à imprimer</t>
  </si>
  <si>
    <t>Lien :</t>
  </si>
  <si>
    <t>http://etab.ac-poitiers.fr/lycee-hotelier-la-rochelle/spip.php?rubrique7</t>
  </si>
  <si>
    <t>Fiche constituée de 3 Tableaux :</t>
  </si>
  <si>
    <t xml:space="preserve">Premier tableau </t>
  </si>
  <si>
    <t>sur lequel on ne saisi rien sauf les coef. de vente ligne 61 ..ce tableau est à imprimer</t>
  </si>
  <si>
    <t xml:space="preserve">Second tableau </t>
  </si>
  <si>
    <t>qu'il ne faut pas imprimer réservé à la saisie  colonnes  U à AI</t>
  </si>
  <si>
    <t xml:space="preserve">Trosième tableau </t>
  </si>
  <si>
    <t>à partir de la ligne  70 sur lequel on saisi les techniques de fabrications ..ce tableau est à imprimer également</t>
  </si>
  <si>
    <t>1.A</t>
  </si>
  <si>
    <t>cellule W3</t>
  </si>
  <si>
    <t>saisissez le nom du plat</t>
  </si>
  <si>
    <t>cellule AH3</t>
  </si>
  <si>
    <t>Numérotez votre fiche</t>
  </si>
  <si>
    <t>u</t>
  </si>
  <si>
    <t>Terrine de langoustine</t>
  </si>
  <si>
    <t>2.A</t>
  </si>
  <si>
    <t>cellule W2</t>
  </si>
  <si>
    <t>saisissez l'Auteur du plat ou la date de mise à jour</t>
  </si>
  <si>
    <t>publié le 14/09/2013, mis à jour le 15/09/2013 </t>
  </si>
  <si>
    <t>sur le bord droit des fiches vous avez une aide au classement</t>
  </si>
  <si>
    <t>3.A</t>
  </si>
  <si>
    <t>pour la version papier lorsque vous consultez un classeur</t>
  </si>
  <si>
    <t>couleurs pour exemple</t>
  </si>
  <si>
    <t>?</t>
  </si>
  <si>
    <t>VIANDE</t>
  </si>
  <si>
    <t>POISSON</t>
  </si>
  <si>
    <t>LEGUMES</t>
  </si>
  <si>
    <t>DESSERTS</t>
  </si>
  <si>
    <t>4.A</t>
  </si>
  <si>
    <t>nommez les différentes parties de votre recette</t>
  </si>
  <si>
    <t>cellule Z5</t>
  </si>
  <si>
    <t>cellule AB5</t>
  </si>
  <si>
    <t>cellule AD5</t>
  </si>
  <si>
    <t>cellule AF5</t>
  </si>
  <si>
    <t>cellule AH5</t>
  </si>
  <si>
    <t>langoustines</t>
  </si>
  <si>
    <t>tomates confites</t>
  </si>
  <si>
    <t>chemisage</t>
  </si>
  <si>
    <t>casserons</t>
  </si>
  <si>
    <t>finition</t>
  </si>
  <si>
    <t>5.A</t>
  </si>
  <si>
    <t>LA RECETTE QUE VOUS SAISISSEZ EST PREVUE POUR COMBIEN DE COUVERTS OU PORTIONS</t>
  </si>
  <si>
    <t>saisissez ce nombre de couverts dans chaque cellule</t>
  </si>
  <si>
    <t>cellule Z7</t>
  </si>
  <si>
    <t>cellule AB7</t>
  </si>
  <si>
    <t>cellule AD7</t>
  </si>
  <si>
    <t>cellule AF7</t>
  </si>
  <si>
    <t>cellule AH7</t>
  </si>
  <si>
    <t xml:space="preserve">recette crée pour combien de portions </t>
  </si>
  <si>
    <t>%</t>
  </si>
  <si>
    <t>6.A</t>
  </si>
  <si>
    <t>CETTE RECETTE VOUS VOULEZ LA DUPLIQUER POUR COMBIEN DE COUVERTS OU PORTIONS</t>
  </si>
  <si>
    <t>saisissez ce nombre de couverts dans chaque cellule (chaque compteur est indépendant)</t>
  </si>
  <si>
    <t>cellule Z6</t>
  </si>
  <si>
    <t>cellule AB6</t>
  </si>
  <si>
    <t>cellule AD6</t>
  </si>
  <si>
    <t>cellule AF6</t>
  </si>
  <si>
    <t>cellule AH6</t>
  </si>
  <si>
    <t>Recette à dupliquer pour combien de couverts</t>
  </si>
  <si>
    <t>7.A</t>
  </si>
  <si>
    <t xml:space="preserve">SOIT : vous calez TOUS les compteurs sur le même nombre </t>
  </si>
  <si>
    <t>SOIT :  vous mettez les compteurs à zéro sauf celui qui vous intéresse</t>
  </si>
  <si>
    <t>Exemple si vous ne voulez faire que de la glace</t>
  </si>
  <si>
    <t>8.A</t>
  </si>
  <si>
    <t>Saisissez le reste :</t>
  </si>
  <si>
    <t>colonne W</t>
  </si>
  <si>
    <t>colonne X</t>
  </si>
  <si>
    <t>colonne Y</t>
  </si>
  <si>
    <t>LISTE DES PRODUITS à saisir dans la colonne ci-dessous</t>
  </si>
  <si>
    <t>UNITE</t>
  </si>
  <si>
    <t>Prix unitaire</t>
  </si>
  <si>
    <t xml:space="preserve"> attention pour la saisie des quantités - 2 œufs - 2 pommes ou 2 pieds de veau  dans la recette- Excel calculera 2 comme 2 Kg</t>
  </si>
  <si>
    <t>1.B</t>
  </si>
  <si>
    <t>Saisissez le coefficient qui vous convient…chaque compteur est indépendant</t>
  </si>
  <si>
    <t>cellule F61</t>
  </si>
  <si>
    <t>cellule H61</t>
  </si>
  <si>
    <t>cellule J61</t>
  </si>
  <si>
    <t>cellule L61</t>
  </si>
  <si>
    <t>cellule N61</t>
  </si>
  <si>
    <t>Coefficients de vente</t>
  </si>
  <si>
    <t>c'est tout ce qu'il y a à saisir sur ce tableau</t>
  </si>
  <si>
    <t>1.C</t>
  </si>
  <si>
    <t>O.R.T.</t>
  </si>
  <si>
    <t>rien de sorcier… dévelopez votre organisation</t>
  </si>
  <si>
    <t xml:space="preserve">en prime en fin de page </t>
  </si>
  <si>
    <t>OBSERVATIONS</t>
  </si>
  <si>
    <t>POINTS DELICATS</t>
  </si>
  <si>
    <t>CONSEILS HYGIÈNE</t>
  </si>
  <si>
    <t>Les points à risque</t>
  </si>
  <si>
    <t>Les mesures préventives</t>
  </si>
  <si>
    <t>A</t>
  </si>
  <si>
    <t>B</t>
  </si>
  <si>
    <t>C</t>
  </si>
  <si>
    <t>Joël LEBOUCHER …Cuisine Centrale de Rochefort sur Mer Février 2013</t>
  </si>
  <si>
    <t>Recette éditée le :</t>
  </si>
  <si>
    <t>Fiche N°</t>
  </si>
  <si>
    <t xml:space="preserve"> B - NE PAS IMPRIMER CETTE PARTIE</t>
  </si>
  <si>
    <t>B - QUANTITÉS A FABRIQUER</t>
  </si>
  <si>
    <t>par  Christian FRECHEDE </t>
  </si>
  <si>
    <t>A - SAISIE DES DONNÉES</t>
  </si>
  <si>
    <t>LISTE DES PRODUITS</t>
  </si>
  <si>
    <t>TOTAL</t>
  </si>
  <si>
    <t>D</t>
  </si>
  <si>
    <t>E</t>
  </si>
  <si>
    <t>Cette recette est dupliquée pour :</t>
  </si>
  <si>
    <t>couverts</t>
  </si>
  <si>
    <t>PTHT au couvert</t>
  </si>
  <si>
    <t>Quant</t>
  </si>
  <si>
    <t>PUHT</t>
  </si>
  <si>
    <t>PTHT</t>
  </si>
  <si>
    <t>€ %</t>
  </si>
  <si>
    <t>Viandes/Poissons</t>
  </si>
  <si>
    <t>langoustines moyennes</t>
  </si>
  <si>
    <t>Kg</t>
  </si>
  <si>
    <t xml:space="preserve">POIDS pour 1 couvert </t>
  </si>
  <si>
    <t>PTHT pour la recette</t>
  </si>
  <si>
    <t xml:space="preserve">Coût pour 1 couvert </t>
  </si>
  <si>
    <t>A coller dans la fiche</t>
  </si>
  <si>
    <t xml:space="preserve">Prix de vente pour 1 couvert </t>
  </si>
  <si>
    <t>BOUCHERIE</t>
  </si>
  <si>
    <t>TRIPERIE</t>
  </si>
  <si>
    <t>CREMERIE</t>
  </si>
  <si>
    <t xml:space="preserve">Terrine de langoustines prises dans une pâte de tomates confites, chemisée de tranches de courgettes blanchies, servie froide. l'accompagnement est fait de casserons sautés en vinaigrette tiède
</t>
  </si>
  <si>
    <t>FRUITS/LEGUMES</t>
  </si>
  <si>
    <t>ECONOMAT</t>
  </si>
  <si>
    <t>CAVE</t>
  </si>
  <si>
    <t>Adaptation : Joël LEBOUCHER …Cuisine Centrale de Rochefort sur Mer Février 2014</t>
  </si>
  <si>
    <t>Tableau C :   O.R.T.</t>
  </si>
  <si>
    <t>ORGANISATION RAISONNÉE DU TRAVAIL ET HACCP</t>
  </si>
  <si>
    <t>1- CONFIRE LES TOMATES</t>
  </si>
  <si>
    <t>4- MONTAGE</t>
  </si>
  <si>
    <t>* monder les tomates</t>
  </si>
  <si>
    <t>* Tailler les écorces</t>
  </si>
  <si>
    <t>F</t>
  </si>
  <si>
    <t>G</t>
  </si>
  <si>
    <t>H</t>
  </si>
  <si>
    <t>I</t>
  </si>
  <si>
    <t>J</t>
  </si>
  <si>
    <t>K</t>
  </si>
  <si>
    <t>NE PAS IMPRIMER CETTE PARTIE</t>
  </si>
  <si>
    <t>Copiez/collez la numérotation</t>
  </si>
  <si>
    <t>❶</t>
  </si>
  <si>
    <t>PHASES ESSENTIELLES DE PROGRESSION</t>
  </si>
  <si>
    <t>❷</t>
  </si>
  <si>
    <t>Nb de couverts</t>
  </si>
  <si>
    <t>❸</t>
  </si>
  <si>
    <t>❹</t>
  </si>
  <si>
    <t>❺</t>
  </si>
  <si>
    <t>❻</t>
  </si>
  <si>
    <t>❼</t>
  </si>
  <si>
    <t>❽</t>
  </si>
  <si>
    <t>❾</t>
  </si>
  <si>
    <t>❿</t>
  </si>
  <si>
    <t>Légumerie</t>
  </si>
  <si>
    <t>⓫</t>
  </si>
  <si>
    <t>⓬</t>
  </si>
  <si>
    <t>tomates rondes</t>
  </si>
  <si>
    <t>kg</t>
  </si>
  <si>
    <t>⓭</t>
  </si>
  <si>
    <t>⓮</t>
  </si>
  <si>
    <t>⓯</t>
  </si>
  <si>
    <t>⓰</t>
  </si>
  <si>
    <t>⓱</t>
  </si>
  <si>
    <t>⓲</t>
  </si>
  <si>
    <t>⓳</t>
  </si>
  <si>
    <t>⓴</t>
  </si>
  <si>
    <t>①</t>
  </si>
  <si>
    <t>②</t>
  </si>
  <si>
    <t>③</t>
  </si>
  <si>
    <t>④</t>
  </si>
  <si>
    <t>⑤</t>
  </si>
  <si>
    <t>⑥</t>
  </si>
  <si>
    <t>⑦</t>
  </si>
  <si>
    <t>⑧</t>
  </si>
  <si>
    <t>⑨</t>
  </si>
  <si>
    <t>⑩</t>
  </si>
  <si>
    <t>⑪</t>
  </si>
  <si>
    <t>⑫</t>
  </si>
  <si>
    <t>⑬</t>
  </si>
  <si>
    <t>⑭</t>
  </si>
  <si>
    <t>⑮</t>
  </si>
  <si>
    <t>⑯</t>
  </si>
  <si>
    <t>⑰</t>
  </si>
  <si>
    <t>⑱</t>
  </si>
  <si>
    <t>⑲</t>
  </si>
  <si>
    <t>⑳</t>
  </si>
  <si>
    <t>Fiche constituée de 2 Tableaux :</t>
  </si>
  <si>
    <t>Comme le  modèle 1</t>
  </si>
  <si>
    <t xml:space="preserve">à </t>
  </si>
  <si>
    <t>cellule L6 POUR OBTENIR LE RESULTAT cellule AA60</t>
  </si>
  <si>
    <t>cellule K60</t>
  </si>
  <si>
    <t>Saisissez le Coefficients de vente</t>
  </si>
  <si>
    <t>cellule K61</t>
  </si>
  <si>
    <t>Vous avez une numérotation sur le coté du tableau colonne AF</t>
  </si>
  <si>
    <t>que vous pouvez coller dans la colonne AC</t>
  </si>
  <si>
    <t>Joël LEBOUCHER …Cuisine Centrale de Rochefort sur Mer Février 2014</t>
  </si>
  <si>
    <t>Mode emploi fiche "Terrine de langoustine"</t>
  </si>
  <si>
    <t>TERRINE DE LANGOUSTINE AUX TOMATES CONFITES</t>
  </si>
  <si>
    <t>ail  4 gousses (1 gousse 4g)</t>
  </si>
  <si>
    <t>gou</t>
  </si>
  <si>
    <t>courgettes</t>
  </si>
  <si>
    <t>ECONOMAT / CAVE</t>
  </si>
  <si>
    <t>huile d'olives</t>
  </si>
  <si>
    <t>l</t>
  </si>
  <si>
    <t>sel fin</t>
  </si>
  <si>
    <t>pm</t>
  </si>
  <si>
    <t>poivre du moulin</t>
  </si>
  <si>
    <t>sucre</t>
  </si>
  <si>
    <t>thym frais</t>
  </si>
  <si>
    <t>bte</t>
  </si>
  <si>
    <t>gélatine</t>
  </si>
  <si>
    <t>fle</t>
  </si>
  <si>
    <t>piques en bois</t>
  </si>
  <si>
    <t>pot</t>
  </si>
  <si>
    <t>vianigre de xéres</t>
  </si>
  <si>
    <t>L</t>
  </si>
  <si>
    <t>Adapatation : Joël LEBOUCHER …Cuisine Centrale de Rochefort sur Mer Février 2014</t>
  </si>
  <si>
    <t>*Chemiser la terrine avec les tranches de courgettes</t>
  </si>
  <si>
    <t>* placer une couche de tomates confites</t>
  </si>
  <si>
    <t>*Plaquer avec l'huile d'olives, l'ail , le thym et le sucre. Enfourner à 150 °c</t>
  </si>
  <si>
    <t>*placer une rangée de langoustines</t>
  </si>
  <si>
    <t>*refroidir</t>
  </si>
  <si>
    <t>*placer une nouvelle couche de tomates confites</t>
  </si>
  <si>
    <t>*ainsi de suite jusqu'en haut de la terrine</t>
  </si>
  <si>
    <t>2- DECORTIQUER LES LANGOUSTINES</t>
  </si>
  <si>
    <t>* refermer avec le pendant des tranches de courgettes</t>
  </si>
  <si>
    <t>*Les piquer sur des cure-dents</t>
  </si>
  <si>
    <t>* Les sauter à l'huile d'olives et assaisonner</t>
  </si>
  <si>
    <t>5- SERVICE</t>
  </si>
  <si>
    <t>° nettoyer les casserons, sauter minute</t>
  </si>
  <si>
    <t>Démouler délicatement, trancher avec un tranche lard en maintenant la tranche entre les doigts (fragile)</t>
  </si>
  <si>
    <t>déglacer à la vinaigrette</t>
  </si>
  <si>
    <t>3- BLANCHIR LES COURGETTES</t>
  </si>
  <si>
    <t>* Tailler des tranches de courgettes à la mandoline dans le sens de la longueur.</t>
  </si>
  <si>
    <t>* Les blanchir et les rafraîchir dans de l'eau glacée. (éponger)</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</si>
  <si>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</si>
  <si>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</si>
  <si>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</si>
  <si>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</si>
  <si>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</si>
  <si>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</si>
  <si>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</si>
  <si>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</si>
  <si>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</si>
  <si>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</si>
  <si>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</si>
  <si>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</si>
  <si>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Mater</t>
  </si>
  <si>
    <t>Prim</t>
  </si>
  <si>
    <t>Adultes</t>
  </si>
  <si>
    <t>Adultes +</t>
  </si>
  <si>
    <t>Ainés</t>
  </si>
  <si>
    <t>Total Effectifs</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</si>
  <si>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</si>
  <si>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</si>
  <si>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</si>
  <si>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</si>
  <si>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</si>
  <si>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</si>
  <si>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</si>
  <si>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</si>
  <si>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</si>
  <si>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</si>
  <si>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</si>
  <si>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</si>
  <si>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</si>
  <si>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</si>
  <si>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</si>
  <si>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</si>
  <si>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</si>
  <si>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</si>
  <si>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</si>
  <si>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</si>
  <si>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</si>
  <si>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</si>
  <si>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</si>
  <si>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</si>
  <si>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</si>
  <si>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</si>
  <si>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</si>
  <si>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</si>
  <si>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</si>
  <si>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</si>
  <si>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</si>
  <si>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</si>
  <si>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</si>
  <si>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</si>
  <si>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</si>
  <si>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</si>
  <si>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</si>
  <si>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</si>
  <si>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</si>
  <si>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</si>
  <si>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</si>
  <si>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</si>
  <si>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</si>
  <si>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</si>
  <si>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</si>
  <si>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</si>
  <si>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Famille de convives</t>
  </si>
  <si>
    <t>Poids NET p.p.</t>
  </si>
  <si>
    <t>Nb Mx p.p..</t>
  </si>
  <si>
    <t xml:space="preserve">% Perte </t>
  </si>
  <si>
    <t>Poids BRUT  1 portion</t>
  </si>
  <si>
    <t>NET Total à servir / conditionner</t>
  </si>
  <si>
    <t>Total Brut à commander/conditionner</t>
  </si>
  <si>
    <t>Observations :</t>
  </si>
  <si>
    <t>M</t>
  </si>
  <si>
    <t>Hauteur de ligne = 18</t>
  </si>
  <si>
    <t>P</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</si>
  <si>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</si>
  <si>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</si>
  <si>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</si>
  <si>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</si>
  <si>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</si>
  <si>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</si>
  <si>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</si>
  <si>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</si>
  <si>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</si>
  <si>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</si>
  <si>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</si>
  <si>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</si>
  <si>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</si>
  <si>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</si>
  <si>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</si>
  <si>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</si>
  <si>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</si>
  <si>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</si>
  <si>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</si>
  <si>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</si>
  <si>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</si>
  <si>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</si>
  <si>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</si>
  <si>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</si>
  <si>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</si>
  <si>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</si>
  <si>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</si>
  <si>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</si>
  <si>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</si>
  <si>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</si>
  <si>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</si>
  <si>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</si>
  <si>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</si>
  <si>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</si>
  <si>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</si>
  <si>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</si>
  <si>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</si>
  <si>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</si>
  <si>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</si>
  <si>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Adresse PC</t>
  </si>
  <si>
    <t>Mise à jour</t>
  </si>
  <si>
    <t>du 13-02-2017- Annule et remplace les versions précédentes</t>
  </si>
  <si>
    <t>Adaptation : Joël Leboucher..UPRT "Union des Personnels de la Restauration Territoriale"  membre du réseau RESTAU'CO</t>
  </si>
  <si>
    <t xml:space="preserve">GRAMMAGES GEM/RCN  </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</si>
  <si>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</si>
  <si>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</si>
  <si>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</si>
  <si>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</si>
  <si>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</si>
  <si>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</si>
  <si>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</si>
  <si>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</si>
  <si>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</si>
  <si>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</si>
  <si>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</si>
  <si>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</si>
  <si>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</si>
  <si>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</si>
  <si>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</si>
  <si>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</si>
  <si>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</si>
  <si>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</si>
  <si>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</si>
  <si>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</si>
  <si>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</si>
  <si>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</si>
  <si>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</si>
  <si>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Fenouil</t>
  </si>
  <si>
    <t>*- CUIDITES sans assaisonnement</t>
  </si>
  <si>
    <t>Potage à base de légumes (en litres/Kg)</t>
  </si>
  <si>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</si>
  <si>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</si>
  <si>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</si>
  <si>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</si>
  <si>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</si>
  <si>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</si>
  <si>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</si>
  <si>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</si>
  <si>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</si>
  <si>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</si>
  <si>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</si>
  <si>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</si>
  <si>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</si>
  <si>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</si>
  <si>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</si>
  <si>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</si>
  <si>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</si>
  <si>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</si>
  <si>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</si>
  <si>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</si>
  <si>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</si>
  <si>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</si>
  <si>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</si>
  <si>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</si>
  <si>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</si>
  <si>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</si>
  <si>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</si>
  <si>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</si>
  <si>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</si>
  <si>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</si>
  <si>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</si>
  <si>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</si>
  <si>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</si>
  <si>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</si>
  <si>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</si>
  <si>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</si>
  <si>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</si>
  <si>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</si>
  <si>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</si>
  <si>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</si>
  <si>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</si>
  <si>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</si>
  <si>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</si>
  <si>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</si>
  <si>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</si>
  <si>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</si>
  <si>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</si>
  <si>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</si>
  <si>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</si>
  <si>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</si>
  <si>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</si>
  <si>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</si>
  <si>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</si>
  <si>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</si>
  <si>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</si>
  <si>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</si>
  <si>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</si>
  <si>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</si>
  <si>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</si>
  <si>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</si>
  <si>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</si>
  <si>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</si>
  <si>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</si>
  <si>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</si>
  <si>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</si>
  <si>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</si>
  <si>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</si>
  <si>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</si>
  <si>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</si>
  <si>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</si>
  <si>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</si>
  <si>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</si>
  <si>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</si>
  <si>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</si>
  <si>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</si>
  <si>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</si>
  <si>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</si>
  <si>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</si>
  <si>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</si>
  <si>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</si>
  <si>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</si>
  <si>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</si>
  <si>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</si>
  <si>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</si>
  <si>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</si>
  <si>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</si>
  <si>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</si>
  <si>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</si>
  <si>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</si>
  <si>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</si>
  <si>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</si>
  <si>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</si>
  <si>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</si>
  <si>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</si>
  <si>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</si>
  <si>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</si>
  <si>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</si>
  <si>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</si>
  <si>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</si>
  <si>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</si>
  <si>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</si>
  <si>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</si>
  <si>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</si>
  <si>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</si>
  <si>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</si>
  <si>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</si>
  <si>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</si>
  <si>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</si>
  <si>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</si>
  <si>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</si>
  <si>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</si>
  <si>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</si>
  <si>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</si>
  <si>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 xml:space="preserve">VOCABULAIRE PROFESSIONNEL " CUISINE DE COMPOSITION" </t>
  </si>
  <si>
    <t>VOCABULAIRE PROFESSIONNEL "La CUISINE DE REFERENCE" Michel MAINCENT</t>
  </si>
  <si>
    <t>R</t>
  </si>
  <si>
    <t>Abaisser la temp. à coeur</t>
  </si>
  <si>
    <t>Egrener</t>
  </si>
  <si>
    <t>Parfumer</t>
  </si>
  <si>
    <t>Respecter le délai de 2 H</t>
  </si>
  <si>
    <t>Abaisser</t>
  </si>
  <si>
    <t>Dépouiller</t>
  </si>
  <si>
    <t>Habiller</t>
  </si>
  <si>
    <t>Réduire</t>
  </si>
  <si>
    <t>Accompagner</t>
  </si>
  <si>
    <t>Eliminer</t>
  </si>
  <si>
    <t>Parsemer</t>
  </si>
  <si>
    <t>Retirer</t>
  </si>
  <si>
    <t>Abricoter</t>
  </si>
  <si>
    <t>Dérober</t>
  </si>
  <si>
    <t>Hacher</t>
  </si>
  <si>
    <t>Relever</t>
  </si>
  <si>
    <t>Additionner</t>
  </si>
  <si>
    <t>Enfourner</t>
  </si>
  <si>
    <t>Peler</t>
  </si>
  <si>
    <t>Retourner</t>
  </si>
  <si>
    <t>Arroser</t>
  </si>
  <si>
    <t>Désosser</t>
  </si>
  <si>
    <t>Historier</t>
  </si>
  <si>
    <t>Remonter</t>
  </si>
  <si>
    <t>Adjoindre</t>
  </si>
  <si>
    <t>Porter à ébullition</t>
  </si>
  <si>
    <t>Rincer</t>
  </si>
  <si>
    <t>Assaisonner</t>
  </si>
  <si>
    <t>Dessécher</t>
  </si>
  <si>
    <t>Revenir</t>
  </si>
  <si>
    <t>Agir rapidement</t>
  </si>
  <si>
    <t>Etaler</t>
  </si>
  <si>
    <t>Préchauffer</t>
  </si>
  <si>
    <t>S</t>
  </si>
  <si>
    <t>Détendre</t>
  </si>
  <si>
    <t>Inciser</t>
  </si>
  <si>
    <t>Rissoler</t>
  </si>
  <si>
    <t>Ajouter</t>
  </si>
  <si>
    <t>Prélever</t>
  </si>
  <si>
    <t>Saupoudrer</t>
  </si>
  <si>
    <t>Barder</t>
  </si>
  <si>
    <t>Dorer</t>
  </si>
  <si>
    <t>Rompre</t>
  </si>
  <si>
    <t>Aplatir</t>
  </si>
  <si>
    <t>Faire bouillir</t>
  </si>
  <si>
    <t>Préparer</t>
  </si>
  <si>
    <t>Servir</t>
  </si>
  <si>
    <t>Beurrer</t>
  </si>
  <si>
    <t>Dresser</t>
  </si>
  <si>
    <t>Lier</t>
  </si>
  <si>
    <t>Rôtir</t>
  </si>
  <si>
    <t>Protéger</t>
  </si>
  <si>
    <t>Snacker</t>
  </si>
  <si>
    <t>Blanchir</t>
  </si>
  <si>
    <t>Limoner</t>
  </si>
  <si>
    <t>Battre</t>
  </si>
  <si>
    <t>Garnir</t>
  </si>
  <si>
    <t>T</t>
  </si>
  <si>
    <t>Blondir</t>
  </si>
  <si>
    <t>Ebarber</t>
  </si>
  <si>
    <t>Lisser</t>
  </si>
  <si>
    <t>Saigner</t>
  </si>
  <si>
    <t>Réaliser</t>
  </si>
  <si>
    <t>Terminer</t>
  </si>
  <si>
    <t>Bouler</t>
  </si>
  <si>
    <t>Ecailler</t>
  </si>
  <si>
    <t>Lustrer</t>
  </si>
  <si>
    <t>Saisir</t>
  </si>
  <si>
    <t>Chauffer</t>
  </si>
  <si>
    <t>Incorporer</t>
  </si>
  <si>
    <t>Réchauffer en moins d'1 H</t>
  </si>
  <si>
    <t>U</t>
  </si>
  <si>
    <t>Braiser</t>
  </si>
  <si>
    <t>Ecaler</t>
  </si>
  <si>
    <t>Sangler</t>
  </si>
  <si>
    <t>Conserver</t>
  </si>
  <si>
    <t>Indications packaging</t>
  </si>
  <si>
    <t>Recouvrir</t>
  </si>
  <si>
    <t>Utiliser</t>
  </si>
  <si>
    <t>Brider</t>
  </si>
  <si>
    <t>Ecorcher</t>
  </si>
  <si>
    <t>Macérer</t>
  </si>
  <si>
    <t>Sauter</t>
  </si>
  <si>
    <t>Contrôler</t>
  </si>
  <si>
    <t>Rectifier</t>
  </si>
  <si>
    <t>V</t>
  </si>
  <si>
    <t>Ecosser</t>
  </si>
  <si>
    <t>Manchonner</t>
  </si>
  <si>
    <t>Serrer</t>
  </si>
  <si>
    <t>Jeter</t>
  </si>
  <si>
    <t>Refroidir</t>
  </si>
  <si>
    <t>Vérifier la temp.</t>
  </si>
  <si>
    <t>Canneler</t>
  </si>
  <si>
    <t>Ecumer</t>
  </si>
  <si>
    <t>Marbrer</t>
  </si>
  <si>
    <t>Singer</t>
  </si>
  <si>
    <t>Décorer</t>
  </si>
  <si>
    <t>Réhydrater</t>
  </si>
  <si>
    <t>Verser</t>
  </si>
  <si>
    <t>Caraméliser</t>
  </si>
  <si>
    <t>Effilandrer</t>
  </si>
  <si>
    <t>Mariner</t>
  </si>
  <si>
    <t>Suer</t>
  </si>
  <si>
    <t>Délayer</t>
  </si>
  <si>
    <t>Laver</t>
  </si>
  <si>
    <t>Remonter en température</t>
  </si>
  <si>
    <t>Châtrer</t>
  </si>
  <si>
    <t>Effiler</t>
  </si>
  <si>
    <t>Masquer</t>
  </si>
  <si>
    <t>Disperser</t>
  </si>
  <si>
    <t>Remplacer</t>
  </si>
  <si>
    <t>Chaufroiter</t>
  </si>
  <si>
    <t>Egermer</t>
  </si>
  <si>
    <t>Masser</t>
  </si>
  <si>
    <t>Tailler</t>
  </si>
  <si>
    <t>Disposer</t>
  </si>
  <si>
    <t>Maintenir en temp. sup à 63°</t>
  </si>
  <si>
    <t>Remuer</t>
  </si>
  <si>
    <t>Chemiser</t>
  </si>
  <si>
    <t>Egoutter</t>
  </si>
  <si>
    <t>Meringuer</t>
  </si>
  <si>
    <t>Tamiser</t>
  </si>
  <si>
    <t>Manipuler</t>
  </si>
  <si>
    <t>Répartir</t>
  </si>
  <si>
    <t>Chiqueter</t>
  </si>
  <si>
    <t>Egrapper</t>
  </si>
  <si>
    <t>Mijoter</t>
  </si>
  <si>
    <t>Tamponner</t>
  </si>
  <si>
    <t>Mélanger</t>
  </si>
  <si>
    <t>Repasser</t>
  </si>
  <si>
    <t>Ciseler</t>
  </si>
  <si>
    <t>Monder</t>
  </si>
  <si>
    <t>Tapisser</t>
  </si>
  <si>
    <t>Mettre en cuisson</t>
  </si>
  <si>
    <t>Citronner</t>
  </si>
  <si>
    <t>Emincer</t>
  </si>
  <si>
    <t>Monter</t>
  </si>
  <si>
    <t>Tourer</t>
  </si>
  <si>
    <t>Mixer</t>
  </si>
  <si>
    <t>Clarifier</t>
  </si>
  <si>
    <t>Enrober</t>
  </si>
  <si>
    <t>Mortifier</t>
  </si>
  <si>
    <t>Tourner</t>
  </si>
  <si>
    <t>Coller</t>
  </si>
  <si>
    <t>Eplucher</t>
  </si>
  <si>
    <t>Mouiller</t>
  </si>
  <si>
    <t>Travailler</t>
  </si>
  <si>
    <t>Compoter</t>
  </si>
  <si>
    <t>Escaloper</t>
  </si>
  <si>
    <t>N</t>
  </si>
  <si>
    <t>Tremper</t>
  </si>
  <si>
    <t>Concasser</t>
  </si>
  <si>
    <t>Etuver</t>
  </si>
  <si>
    <t>Nacrer</t>
  </si>
  <si>
    <t>Tronçonner</t>
  </si>
  <si>
    <t>Confire</t>
  </si>
  <si>
    <t>Evider</t>
  </si>
  <si>
    <t>Napper</t>
  </si>
  <si>
    <t>Trousser</t>
  </si>
  <si>
    <t>Contiser</t>
  </si>
  <si>
    <t>Exprimer</t>
  </si>
  <si>
    <t>Turbiner</t>
  </si>
  <si>
    <t>Corner</t>
  </si>
  <si>
    <t>Corser</t>
  </si>
  <si>
    <t>Farcir</t>
  </si>
  <si>
    <t>Paner</t>
  </si>
  <si>
    <t>Coucher</t>
  </si>
  <si>
    <t>Festonner</t>
  </si>
  <si>
    <t>Papilloter</t>
  </si>
  <si>
    <t>Vanner</t>
  </si>
  <si>
    <t>Flamber</t>
  </si>
  <si>
    <t>Passer</t>
  </si>
  <si>
    <t>Videler</t>
  </si>
  <si>
    <t>Crémer</t>
  </si>
  <si>
    <t>Flanquer</t>
  </si>
  <si>
    <t>Persiller</t>
  </si>
  <si>
    <t>Voiler</t>
  </si>
  <si>
    <t>Crever</t>
  </si>
  <si>
    <t>Fleurer</t>
  </si>
  <si>
    <t>Piler</t>
  </si>
  <si>
    <t>Cuire</t>
  </si>
  <si>
    <t>Foisonner</t>
  </si>
  <si>
    <t>Pincer</t>
  </si>
  <si>
    <t>Z</t>
  </si>
  <si>
    <t>Foncer</t>
  </si>
  <si>
    <t>Piquer</t>
  </si>
  <si>
    <t>Zester</t>
  </si>
  <si>
    <t>Décanter</t>
  </si>
  <si>
    <t>Fondre</t>
  </si>
  <si>
    <t>Pocher</t>
  </si>
  <si>
    <t>Décercler</t>
  </si>
  <si>
    <t>Fouler</t>
  </si>
  <si>
    <t>Poêler</t>
  </si>
  <si>
    <t>Décortiquer</t>
  </si>
  <si>
    <t>Fraiser</t>
  </si>
  <si>
    <t>Pousser</t>
  </si>
  <si>
    <t>Décuire</t>
  </si>
  <si>
    <t>Fileter</t>
  </si>
  <si>
    <t>Puncher</t>
  </si>
  <si>
    <t>Déffilandrer</t>
  </si>
  <si>
    <t>Frapper</t>
  </si>
  <si>
    <t>Q</t>
  </si>
  <si>
    <t>Déglacer</t>
  </si>
  <si>
    <t>Frémir</t>
  </si>
  <si>
    <t>Quadriller</t>
  </si>
  <si>
    <t>Dégorger</t>
  </si>
  <si>
    <t>Frire</t>
  </si>
  <si>
    <t>Dégourdir</t>
  </si>
  <si>
    <t>Dégraisser</t>
  </si>
  <si>
    <t>Glacer</t>
  </si>
  <si>
    <t>Rabattre</t>
  </si>
  <si>
    <t>Déhousser</t>
  </si>
  <si>
    <t>Gommer</t>
  </si>
  <si>
    <t>Rafraîchir</t>
  </si>
  <si>
    <t>Dénerver</t>
  </si>
  <si>
    <t>Graisser</t>
  </si>
  <si>
    <t>Raidir</t>
  </si>
  <si>
    <t>Dénoyauter</t>
  </si>
  <si>
    <t>Gratiner</t>
  </si>
  <si>
    <t>Rassir</t>
  </si>
  <si>
    <t>Denteler</t>
  </si>
  <si>
    <t>Griller</t>
  </si>
  <si>
    <t>Rayer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</si>
  <si>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</si>
  <si>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</si>
  <si>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</si>
  <si>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</si>
  <si>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lien &gt;</t>
  </si>
  <si>
    <t>Les unités pifométriques</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</si>
  <si>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</si>
  <si>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</si>
  <si>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 xml:space="preserve">Convertissez tout de suite les volumes en poids sur la base de 1L = 1Kg </t>
  </si>
  <si>
    <t xml:space="preserve">symbole diamètre </t>
  </si>
  <si>
    <t>quelques numérotation pour les process</t>
  </si>
  <si>
    <t>5 cl = 50g</t>
  </si>
  <si>
    <t xml:space="preserve"> Ø</t>
  </si>
  <si>
    <t xml:space="preserve">sauf cas exeptionnel pour recettes de précision </t>
  </si>
  <si>
    <t></t>
  </si>
  <si>
    <t xml:space="preserve">Pour le lait entier, la densité donnée habituellement est de 1,030 par rapport à l'eau qui est de 1. </t>
  </si>
  <si>
    <t></t>
  </si>
  <si>
    <t></t>
  </si>
  <si>
    <t>Vous pouvez coller ces formes dans vos fiches</t>
  </si>
  <si>
    <t xml:space="preserve">On peut donc considérer que les 0,030 corespondent à la graisse du lait entier. </t>
  </si>
  <si>
    <t xml:space="preserve">Pour le lait demi-écrémé, la graisse ne devrait représenter que 0,030/2, donc 0,015. </t>
  </si>
  <si>
    <t>Donc la masse d'un litre de lait demi-écrémé doit être de 1,015 Kg (1015 g).</t>
  </si>
  <si>
    <t>Avant de saisir quoi que ce soit dans une cellule cliquez dessus pour vérifier qu'il n'y ait pas de formule</t>
  </si>
  <si>
    <t>Pour imprimer : sélectionnez les recettes qui vous conviennent : définir la zone d'impression -Mise à l'échelle : Ajuster la feuille à 1 page</t>
  </si>
  <si>
    <t>Poids des aliments sur internet</t>
  </si>
  <si>
    <t>http://www.aliments.org/poids.htm</t>
  </si>
  <si>
    <t xml:space="preserve">les valeurs #DIV/0!  indiquent seulement que les recettes sont "vierges" sur la feuille de saisie </t>
  </si>
  <si>
    <t>http://www.nubel.be/fra/manual/liste_des_denrees_alimentaires.asp</t>
  </si>
  <si>
    <t>Tableau des calibres Fruits Frais</t>
  </si>
  <si>
    <t>si vous n'utilisez pas toutes les lignes vous pouvez masquer cette valeur par une couleur de police BLANC</t>
  </si>
  <si>
    <t>http://www.crenoexpert.fr/flipbooks/expproduit/TABLEAUX-CALIBRES-FRUITS-2.pdf</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</si>
  <si>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</si>
  <si>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</si>
  <si>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</si>
  <si>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</si>
  <si>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</si>
  <si>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</si>
  <si>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</si>
  <si>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</si>
  <si>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</si>
  <si>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</si>
  <si>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</si>
  <si>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</si>
  <si>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</si>
  <si>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</si>
  <si>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</si>
  <si>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</si>
  <si>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</si>
  <si>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</si>
  <si>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</si>
  <si>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</si>
  <si>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</si>
  <si>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</si>
  <si>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</si>
  <si>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</si>
  <si>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X</t>
  </si>
  <si>
    <t>t</t>
  </si>
  <si>
    <t>q</t>
  </si>
  <si>
    <t>N° de colonne</t>
  </si>
  <si>
    <t>Adresse de cellule</t>
  </si>
  <si>
    <t>p</t>
  </si>
  <si>
    <t>Fonction : Adresse colonne</t>
  </si>
  <si>
    <t>N° de ligne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</si>
  <si>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</si>
  <si>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</si>
  <si>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</si>
  <si>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</si>
  <si>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</si>
  <si>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</si>
  <si>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</si>
  <si>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</si>
  <si>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</si>
  <si>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</si>
  <si>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</si>
  <si>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</si>
  <si>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</si>
  <si>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</si>
  <si>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</si>
  <si>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</si>
  <si>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</si>
  <si>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</si>
  <si>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</si>
  <si>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</si>
  <si>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</si>
  <si>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</si>
  <si>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</si>
  <si>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</si>
  <si>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</si>
  <si>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Utilitaire pour supprimer les espace vides dans une phrase</t>
  </si>
  <si>
    <t>exemple de texte avec espaces (83 caractères en comptant les espaces)</t>
  </si>
  <si>
    <t xml:space="preserve">•Contamination microbiologique (B)             •Multiplication des germes (B)      </t>
  </si>
  <si>
    <t>•Contaminationmicrobiologique(B)•Multiplicationdesgermes(B)</t>
  </si>
  <si>
    <t>59 caractères en comptant les points</t>
  </si>
  <si>
    <t>Collez votre texte avec espaces dans la cellule blanche</t>
  </si>
  <si>
    <t>Caractères</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</si>
  <si>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</si>
  <si>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</si>
  <si>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</si>
  <si>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</si>
  <si>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</si>
  <si>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</si>
  <si>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</si>
  <si>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</si>
  <si>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</si>
  <si>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</si>
  <si>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</si>
  <si>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</si>
  <si>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</si>
  <si>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</si>
  <si>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</si>
  <si>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</si>
  <si>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</si>
  <si>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</si>
  <si>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</si>
  <si>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</si>
  <si>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</si>
  <si>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</si>
  <si>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</si>
  <si>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</si>
  <si>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</si>
  <si>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</si>
  <si>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</si>
  <si>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</si>
  <si>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</si>
  <si>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</si>
  <si>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</si>
  <si>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</si>
  <si>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</si>
  <si>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</si>
  <si>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</si>
  <si>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</si>
  <si>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</si>
  <si>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</si>
  <si>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</si>
  <si>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</si>
  <si>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</si>
  <si>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</si>
  <si>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</si>
  <si>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</si>
  <si>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</si>
  <si>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</si>
  <si>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</si>
  <si>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</si>
  <si>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</si>
  <si>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</si>
  <si>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</si>
  <si>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</si>
  <si>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</si>
  <si>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</si>
  <si>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</si>
  <si>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</si>
  <si>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</si>
  <si>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</si>
  <si>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</si>
  <si>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</si>
  <si>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</si>
  <si>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</si>
  <si>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</si>
  <si>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</si>
  <si>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</si>
  <si>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</si>
  <si>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</si>
  <si>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</si>
  <si>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</si>
  <si>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</si>
  <si>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</si>
  <si>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</si>
  <si>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</si>
  <si>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</si>
  <si>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</si>
  <si>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</si>
  <si>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</si>
  <si>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</si>
  <si>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</si>
  <si>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</si>
  <si>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</si>
  <si>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</si>
  <si>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</si>
  <si>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</si>
  <si>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</si>
  <si>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</si>
  <si>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ICI</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</si>
  <si>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</si>
  <si>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</si>
  <si>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</si>
  <si>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</si>
  <si>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</si>
  <si>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</si>
  <si>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</si>
  <si>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</si>
  <si>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</si>
  <si>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</si>
  <si>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</si>
  <si>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</si>
  <si>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</si>
  <si>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</si>
  <si>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</si>
  <si>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</si>
  <si>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</si>
  <si>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</si>
  <si>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</si>
  <si>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</si>
  <si>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</si>
  <si>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</si>
  <si>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</si>
  <si>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</si>
  <si>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</si>
  <si>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parts</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</si>
  <si>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</si>
  <si>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</si>
  <si>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</si>
  <si>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</si>
  <si>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</si>
  <si>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</si>
  <si>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</si>
  <si>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</si>
  <si>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</si>
  <si>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</si>
  <si>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</si>
  <si>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</si>
  <si>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</si>
  <si>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</si>
  <si>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</si>
  <si>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</si>
  <si>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</si>
  <si>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</si>
  <si>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</si>
  <si>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</si>
  <si>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</si>
  <si>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</si>
  <si>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</si>
  <si>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</si>
  <si>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</si>
  <si>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</si>
  <si>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</si>
  <si>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</si>
  <si>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</si>
  <si>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</si>
  <si>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</si>
  <si>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</si>
  <si>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</si>
  <si>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</si>
  <si>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</si>
  <si>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</si>
  <si>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</si>
  <si>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</si>
  <si>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</si>
  <si>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</si>
  <si>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</si>
  <si>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</si>
  <si>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</si>
  <si>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</si>
  <si>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</si>
  <si>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</si>
  <si>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</si>
  <si>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</si>
  <si>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</si>
  <si>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</si>
  <si>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</si>
  <si>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</si>
  <si>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</si>
  <si>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</si>
  <si>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</si>
  <si>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</si>
  <si>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</si>
  <si>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</si>
  <si>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</si>
  <si>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</si>
  <si>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</si>
  <si>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</si>
  <si>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</si>
  <si>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</si>
  <si>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</si>
  <si>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</si>
  <si>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</si>
  <si>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</si>
  <si>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</si>
  <si>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</si>
  <si>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</si>
  <si>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</si>
  <si>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</si>
  <si>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</si>
  <si>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</si>
  <si>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</si>
  <si>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</si>
  <si>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</si>
  <si>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</si>
  <si>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</si>
  <si>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</si>
  <si>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</si>
  <si>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</si>
  <si>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</si>
  <si>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</si>
  <si>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</si>
  <si>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</si>
  <si>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</si>
  <si>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</si>
  <si>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</si>
  <si>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</si>
  <si>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</si>
  <si>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</si>
  <si>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</si>
  <si>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</si>
  <si>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</si>
  <si>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</si>
  <si>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</si>
  <si>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</si>
  <si>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</si>
  <si>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</si>
  <si>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</si>
  <si>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</si>
  <si>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</si>
  <si>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</si>
  <si>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</si>
  <si>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</si>
  <si>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</si>
  <si>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</si>
  <si>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</si>
  <si>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</si>
  <si>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</si>
  <si>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</si>
  <si>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</si>
  <si>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</si>
  <si>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</si>
  <si>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</si>
  <si>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Eau</t>
  </si>
  <si>
    <t>lait entier</t>
  </si>
  <si>
    <t>lait 1/2 écrémé</t>
  </si>
  <si>
    <t>huile</t>
  </si>
  <si>
    <t>alcool</t>
  </si>
  <si>
    <t xml:space="preserve">Aide mémoire sur la base eau : 1L = 1Kg - 1 gr = 0.001Kg  &gt; 2 zéros après la virgule du Kg </t>
  </si>
  <si>
    <t>hg</t>
  </si>
  <si>
    <t>dag</t>
  </si>
  <si>
    <t>gr</t>
  </si>
  <si>
    <t>3 cl = 30g = 0.03kg    /    30 cl = 300g = 0.3kg     /     3 dl = 300g = 0.3 kg</t>
  </si>
  <si>
    <t>Saisissez votre volume</t>
  </si>
  <si>
    <t xml:space="preserve">sur la base eau : 1L = 1Kg </t>
  </si>
  <si>
    <t>dl</t>
  </si>
  <si>
    <t>cl</t>
  </si>
  <si>
    <t>ml</t>
  </si>
  <si>
    <t xml:space="preserve">Litres (l.) </t>
  </si>
  <si>
    <t xml:space="preserve">Centilitres (cl.) </t>
  </si>
  <si>
    <t xml:space="preserve">Décilitres (dl.) </t>
  </si>
  <si>
    <t xml:space="preserve">Kilogrammes (kg.) </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</si>
  <si>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</si>
  <si>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</si>
  <si>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</si>
  <si>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</si>
  <si>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</si>
  <si>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</si>
  <si>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</si>
  <si>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</si>
  <si>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</si>
  <si>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</si>
  <si>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</si>
  <si>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</si>
  <si>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</si>
  <si>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</si>
  <si>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</si>
  <si>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</si>
  <si>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</si>
  <si>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l'huile = 0,920 Kg/L</t>
  </si>
  <si>
    <t>Convertir des temps</t>
  </si>
  <si>
    <t>Heures</t>
  </si>
  <si>
    <t>Minutes</t>
  </si>
  <si>
    <t>Centièmes</t>
  </si>
  <si>
    <t>Alcool = 0,800 Kg/L</t>
  </si>
  <si>
    <t>eau salée nature = 1,130 Kg/L en fonction du sel ajouté</t>
  </si>
  <si>
    <t>densité des liquides pour cocktails</t>
  </si>
  <si>
    <t>LIAISON AU TAPIOCA</t>
  </si>
  <si>
    <t>SERVICE DES SAUCES</t>
  </si>
  <si>
    <t>Plat mode de cuisson</t>
  </si>
  <si>
    <t>Grammages sauce p.p.</t>
  </si>
  <si>
    <t>1 Kg pour :</t>
  </si>
  <si>
    <t>POUR 1 LITRE DE SAUCE TERMINÉE</t>
  </si>
  <si>
    <t>Sans sauce</t>
  </si>
  <si>
    <t>grillé,frit,nature</t>
  </si>
  <si>
    <t>Déglaçage</t>
  </si>
  <si>
    <t>roti,poélé</t>
  </si>
  <si>
    <t>20/30 g</t>
  </si>
  <si>
    <t>33 à 50 p.</t>
  </si>
  <si>
    <t>30 gr</t>
  </si>
  <si>
    <t xml:space="preserve">pour lier 1L de soupe à l'oignon </t>
  </si>
  <si>
    <t>Sauce courte</t>
  </si>
  <si>
    <t>pièces sautées</t>
  </si>
  <si>
    <t>40/50 g</t>
  </si>
  <si>
    <t>20 à 25 p.</t>
  </si>
  <si>
    <t xml:space="preserve">pour lier 200g de chair à saucisse pour tomates farcies </t>
  </si>
  <si>
    <t>Sauce longue</t>
  </si>
  <si>
    <t>ragoûts,braisés</t>
  </si>
  <si>
    <t>60/80 g</t>
  </si>
  <si>
    <t>12 à 16 p.</t>
  </si>
  <si>
    <t xml:space="preserve">pour lier 1Kg de tomates concassées avec jus </t>
  </si>
  <si>
    <t>Bouillon</t>
  </si>
  <si>
    <t>pochés,plats complets</t>
  </si>
  <si>
    <t>90/150 g</t>
  </si>
  <si>
    <t>6 à 11 p.</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</si>
  <si>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</si>
  <si>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</si>
  <si>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</si>
  <si>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</si>
  <si>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</si>
  <si>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</si>
  <si>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</si>
  <si>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</si>
  <si>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</si>
  <si>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</si>
  <si>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</si>
  <si>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 xml:space="preserve">Quantités nettes à prévoir : Mater Prim Adul Adul +  </t>
  </si>
  <si>
    <t>PURÉE DÉSHYDRATÉE</t>
  </si>
  <si>
    <t>Grammages nets</t>
  </si>
  <si>
    <t xml:space="preserve">Quantité Totale </t>
  </si>
  <si>
    <t>Purée déshydratée</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</si>
  <si>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</si>
  <si>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</si>
  <si>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</si>
  <si>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</si>
  <si>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</si>
  <si>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</si>
  <si>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</si>
  <si>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</si>
  <si>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</si>
  <si>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</si>
  <si>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</si>
  <si>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</si>
  <si>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</si>
  <si>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</si>
  <si>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</si>
  <si>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</si>
  <si>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</si>
  <si>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</si>
  <si>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</si>
  <si>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</si>
  <si>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</si>
  <si>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</si>
  <si>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</si>
  <si>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</si>
  <si>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</si>
  <si>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</si>
  <si>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</si>
  <si>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feuilles</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</si>
  <si>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</si>
  <si>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</si>
  <si>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</si>
  <si>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</si>
  <si>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</si>
  <si>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</si>
  <si>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</si>
  <si>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Police de couleur pour saisir vos valeurs    Noir = formules</t>
  </si>
  <si>
    <t>Œuf entier  ( 1 =</t>
  </si>
  <si>
    <t>Jaunes d'œufs ( 1 =</t>
  </si>
  <si>
    <t>Blancs d'œufs  ( 1 =</t>
  </si>
  <si>
    <t>œufs =</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</si>
  <si>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</si>
  <si>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</si>
  <si>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</si>
  <si>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</si>
  <si>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</si>
  <si>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</si>
  <si>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</si>
  <si>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</si>
  <si>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Prix D'ACHAT / Prix de VENTE</t>
  </si>
  <si>
    <t>PRIX D'ACHAT</t>
  </si>
  <si>
    <t>PRIX VENTE</t>
  </si>
  <si>
    <t>%  d'augmentation</t>
  </si>
  <si>
    <t>Augmentation</t>
  </si>
  <si>
    <t>largeur de colonnes</t>
  </si>
  <si>
    <t>Aide à la décision en Gr</t>
  </si>
  <si>
    <t>Pourcentages NET / BRUT et BRUT / NET</t>
  </si>
  <si>
    <t>Aide à la décision en Kg</t>
  </si>
  <si>
    <t>POIDS NET</t>
  </si>
  <si>
    <t>POIDS BRUT</t>
  </si>
  <si>
    <t>POIDS de PERTE</t>
  </si>
  <si>
    <t>%  de PERTE</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</si>
  <si>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</si>
  <si>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</si>
  <si>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</si>
  <si>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</si>
  <si>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</si>
  <si>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</si>
  <si>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</si>
  <si>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</si>
  <si>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</si>
  <si>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</si>
  <si>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</si>
  <si>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</si>
  <si>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</si>
  <si>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</si>
  <si>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</si>
  <si>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</si>
  <si>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</si>
  <si>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</si>
  <si>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</si>
  <si>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</si>
  <si>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</si>
  <si>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</si>
  <si>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</si>
  <si>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</si>
  <si>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</si>
  <si>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</si>
  <si>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</si>
  <si>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</si>
  <si>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</si>
  <si>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</si>
  <si>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</si>
  <si>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</si>
  <si>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</si>
  <si>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</si>
  <si>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</si>
  <si>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</si>
  <si>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</si>
  <si>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</si>
  <si>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</si>
  <si>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</si>
  <si>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</si>
  <si>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</si>
  <si>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</si>
  <si>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</si>
  <si>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</si>
  <si>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</si>
  <si>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</si>
  <si>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</si>
  <si>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</si>
  <si>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</si>
  <si>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</si>
  <si>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</si>
  <si>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</si>
  <si>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</si>
  <si>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</si>
  <si>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</si>
  <si>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</si>
  <si>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</si>
  <si>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</si>
  <si>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</si>
  <si>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</si>
  <si>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</si>
  <si>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</si>
  <si>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</si>
  <si>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</si>
  <si>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</si>
  <si>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</si>
  <si>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</si>
  <si>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</si>
  <si>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</si>
  <si>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</si>
  <si>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</si>
  <si>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</si>
  <si>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</si>
  <si>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</si>
  <si>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</si>
  <si>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</si>
  <si>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</si>
  <si>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</si>
  <si>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</si>
  <si>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</si>
  <si>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</si>
  <si>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</si>
  <si>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</si>
  <si>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</si>
  <si>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</si>
  <si>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</si>
  <si>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</si>
  <si>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</si>
  <si>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</si>
  <si>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</si>
  <si>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</si>
  <si>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</si>
  <si>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</si>
  <si>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</si>
  <si>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</si>
  <si>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</si>
  <si>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</si>
  <si>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</si>
  <si>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</si>
  <si>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</si>
  <si>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</si>
  <si>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</si>
  <si>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</si>
  <si>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</si>
  <si>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</si>
  <si>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</si>
  <si>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</si>
  <si>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</si>
  <si>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</si>
  <si>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</si>
  <si>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</si>
  <si>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</si>
  <si>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</si>
  <si>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</si>
  <si>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</si>
  <si>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</si>
  <si>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</si>
  <si>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</si>
  <si>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</si>
  <si>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</si>
  <si>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</si>
  <si>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</si>
  <si>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</si>
  <si>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</si>
  <si>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</si>
  <si>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</si>
  <si>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</si>
  <si>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</si>
  <si>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</si>
  <si>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</si>
  <si>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</si>
  <si>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</si>
  <si>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</si>
  <si>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</si>
  <si>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pour</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</si>
  <si>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</si>
  <si>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</si>
  <si>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</si>
  <si>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</si>
  <si>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</si>
  <si>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</si>
  <si>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</si>
  <si>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</si>
  <si>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</si>
  <si>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</si>
  <si>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</si>
  <si>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</si>
  <si>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</si>
  <si>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</si>
  <si>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</si>
  <si>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</si>
  <si>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</si>
  <si>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</si>
  <si>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</si>
  <si>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</si>
  <si>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</si>
  <si>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</si>
  <si>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</si>
  <si>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</si>
  <si>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</si>
  <si>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</si>
  <si>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</si>
  <si>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</si>
  <si>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</si>
  <si>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</si>
  <si>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</si>
  <si>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</si>
  <si>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</si>
  <si>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</si>
  <si>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</si>
  <si>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</si>
  <si>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Combien faut-il commander pour des effectifs et des grammages différents</t>
  </si>
  <si>
    <t>Petit utilitaire d'Aide à la décision</t>
  </si>
  <si>
    <t xml:space="preserve">Saisissez vos effectifs </t>
  </si>
  <si>
    <t xml:space="preserve"> et vos grammages nets à servir</t>
  </si>
  <si>
    <t>% de perte</t>
  </si>
  <si>
    <t>@</t>
  </si>
  <si>
    <t>Familles de convives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</si>
  <si>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</si>
  <si>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</si>
  <si>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</si>
  <si>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</si>
  <si>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</si>
  <si>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</si>
  <si>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</si>
  <si>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</si>
  <si>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</si>
  <si>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</si>
  <si>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</si>
  <si>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</si>
  <si>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</si>
  <si>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</si>
  <si>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</si>
  <si>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</si>
  <si>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</si>
  <si>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</si>
  <si>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</si>
  <si>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</si>
  <si>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</si>
  <si>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</si>
  <si>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</si>
  <si>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</si>
  <si>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</si>
  <si>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</si>
  <si>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</si>
  <si>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</si>
  <si>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</si>
  <si>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</si>
  <si>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</si>
  <si>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</si>
  <si>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</si>
  <si>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</si>
  <si>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RÉFLEXION SUR DES MODÈLE DE RÉPERTOIRES</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</si>
  <si>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</si>
  <si>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</si>
  <si>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</si>
  <si>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</si>
  <si>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</si>
  <si>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</si>
  <si>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</si>
  <si>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</si>
  <si>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</si>
  <si>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Cracker (Pâte à)</t>
  </si>
  <si>
    <t>Cracker (Poudre à)</t>
  </si>
  <si>
    <t>Etc…</t>
  </si>
  <si>
    <t>Fraises des bois dans leur jus</t>
  </si>
  <si>
    <t>Tartes</t>
  </si>
  <si>
    <t>Insert Kappa fraise</t>
  </si>
  <si>
    <t>Jus de fraise</t>
  </si>
  <si>
    <t>Kappa fraise</t>
  </si>
  <si>
    <t>Sorbet Avocat</t>
  </si>
  <si>
    <t>Gros Gateaux</t>
  </si>
  <si>
    <t>Siphon Fraise</t>
  </si>
  <si>
    <t>Sauce Fraise</t>
  </si>
  <si>
    <t>Sirop à Crackers</t>
  </si>
  <si>
    <t>Coussin Cœur St Valentin 2014 François Perret Journal du Patissier N° 292 page 40</t>
  </si>
  <si>
    <t>Pièces individuelles</t>
  </si>
  <si>
    <t>Transmettez vos savoirs faires peut importe qui les récupèrent pourvu qu'ils servent à un plus grand nombre</t>
  </si>
  <si>
    <t>Bonne utilisation et… à chacun d'améliorer et d'adapter ces documents.  J Leboucher</t>
  </si>
  <si>
    <t>Fonction largeur de colonne</t>
  </si>
  <si>
    <t>NIGIRI SUSHI, MAKI SUSHI ,California roll, rainbow sushi</t>
  </si>
  <si>
    <t>BASE:</t>
  </si>
  <si>
    <t>CROQUIS:</t>
  </si>
  <si>
    <t>DENREES</t>
  </si>
  <si>
    <t>PHASES ESSENTIELLES</t>
  </si>
  <si>
    <t>VALEUR</t>
  </si>
  <si>
    <t>NATURE</t>
  </si>
  <si>
    <t>unite</t>
  </si>
  <si>
    <t>NIGIRI</t>
  </si>
  <si>
    <t>MAKI CALIFORNIA ROLL</t>
  </si>
  <si>
    <t>RAINBOW</t>
  </si>
  <si>
    <t>Sauce</t>
  </si>
  <si>
    <t>finitio</t>
  </si>
  <si>
    <t xml:space="preserve"> </t>
  </si>
  <si>
    <t>Saumon label</t>
  </si>
  <si>
    <t>Maquereau 0,2 kg</t>
  </si>
  <si>
    <t>Daurade royale</t>
  </si>
  <si>
    <t>LEGUMERIE</t>
  </si>
  <si>
    <t>laitue</t>
  </si>
  <si>
    <t xml:space="preserve">p </t>
  </si>
  <si>
    <t>avocat vert</t>
  </si>
  <si>
    <t>concombre</t>
  </si>
  <si>
    <t>B.O.F</t>
  </si>
  <si>
    <t>œuf</t>
  </si>
  <si>
    <t>Miso blond</t>
  </si>
  <si>
    <t>Miso rouge</t>
  </si>
  <si>
    <t>riz sushi</t>
  </si>
  <si>
    <t>saké</t>
  </si>
  <si>
    <t>sésame graine</t>
  </si>
  <si>
    <t>Pm</t>
  </si>
  <si>
    <t>vinaigre de riz</t>
  </si>
  <si>
    <t>wasabi</t>
  </si>
  <si>
    <t>nori noir</t>
  </si>
  <si>
    <t>feui</t>
  </si>
  <si>
    <t>gingembre pickled</t>
  </si>
  <si>
    <t>huile arachides</t>
  </si>
  <si>
    <t>soja KOYKUJI</t>
  </si>
  <si>
    <t>DRESSAGE</t>
  </si>
  <si>
    <t>Sur petite assiette rectangulaire</t>
  </si>
  <si>
    <t xml:space="preserve">TOTAL </t>
  </si>
  <si>
    <t>ASSAISONNEMENT</t>
  </si>
  <si>
    <t>COUT MATIERE</t>
  </si>
  <si>
    <t>ail</t>
  </si>
  <si>
    <t>KG</t>
  </si>
  <si>
    <t>aneth</t>
  </si>
  <si>
    <t>BT</t>
  </si>
  <si>
    <t>artichauts</t>
  </si>
  <si>
    <t>asperges</t>
  </si>
  <si>
    <t>aubergines</t>
  </si>
  <si>
    <t>avocats</t>
  </si>
  <si>
    <t>badiane</t>
  </si>
  <si>
    <t>SAC</t>
  </si>
  <si>
    <t>basilic</t>
  </si>
  <si>
    <t>batavia</t>
  </si>
  <si>
    <t>betteraves</t>
  </si>
  <si>
    <t>blettes</t>
  </si>
  <si>
    <t>brocolis</t>
  </si>
  <si>
    <t>carottes</t>
  </si>
  <si>
    <t>celeri branche</t>
  </si>
  <si>
    <t>celeri rave</t>
  </si>
  <si>
    <t>cepes frais</t>
  </si>
  <si>
    <t>cerfeuil</t>
  </si>
  <si>
    <t>bt</t>
  </si>
  <si>
    <t>champignons paris</t>
  </si>
  <si>
    <t>choux fleur</t>
  </si>
  <si>
    <t>choux bruxelle</t>
  </si>
  <si>
    <t>choux rouge</t>
  </si>
  <si>
    <t>choux vert</t>
  </si>
  <si>
    <t>ciboulette</t>
  </si>
  <si>
    <t>citrons verts</t>
  </si>
  <si>
    <t xml:space="preserve">citrons  </t>
  </si>
  <si>
    <t>coriandre</t>
  </si>
  <si>
    <t>courgette</t>
  </si>
  <si>
    <t>cresson</t>
  </si>
  <si>
    <t>echalotes</t>
  </si>
  <si>
    <t>endives</t>
  </si>
  <si>
    <t>epinards</t>
  </si>
  <si>
    <t>estragon</t>
  </si>
  <si>
    <t>fenouil</t>
  </si>
  <si>
    <t>feuille de chêne</t>
  </si>
  <si>
    <t>feves fraiches</t>
  </si>
  <si>
    <t>frisee</t>
  </si>
  <si>
    <t>germe soja</t>
  </si>
  <si>
    <t>p0,5</t>
  </si>
  <si>
    <t>gingembre</t>
  </si>
  <si>
    <t>pc</t>
  </si>
  <si>
    <t>mache</t>
  </si>
  <si>
    <t>menthe</t>
  </si>
  <si>
    <t>mesclun</t>
  </si>
  <si>
    <t>navets</t>
  </si>
  <si>
    <t>oignons</t>
  </si>
  <si>
    <t>oseille</t>
  </si>
  <si>
    <t>persil</t>
  </si>
  <si>
    <t>pissenlits</t>
  </si>
  <si>
    <t>pleurotes</t>
  </si>
  <si>
    <t>poireaux</t>
  </si>
  <si>
    <t>pois gourmands</t>
  </si>
  <si>
    <t>poivrons</t>
  </si>
  <si>
    <t>pdt</t>
  </si>
  <si>
    <t>potiron</t>
  </si>
  <si>
    <t>radis</t>
  </si>
  <si>
    <t>romaine</t>
  </si>
  <si>
    <t>sauge</t>
  </si>
  <si>
    <t>scarole</t>
  </si>
  <si>
    <t>soja</t>
  </si>
  <si>
    <t>tomate</t>
  </si>
  <si>
    <t>tomate cerise</t>
  </si>
  <si>
    <t>p0,25</t>
  </si>
  <si>
    <t>tomate poire</t>
  </si>
  <si>
    <t>trevise</t>
  </si>
  <si>
    <t>ananas</t>
  </si>
  <si>
    <t>bananes</t>
  </si>
  <si>
    <t>cerises</t>
  </si>
  <si>
    <t>clementines</t>
  </si>
  <si>
    <t>figues</t>
  </si>
  <si>
    <t>framboises</t>
  </si>
  <si>
    <t>fraises</t>
  </si>
  <si>
    <t>groseilles</t>
  </si>
  <si>
    <t>kiwis</t>
  </si>
  <si>
    <t>mangues</t>
  </si>
  <si>
    <t>melon</t>
  </si>
  <si>
    <t>nectarines</t>
  </si>
  <si>
    <t>noisettes entieres</t>
  </si>
  <si>
    <t>noisettes mondees</t>
  </si>
  <si>
    <t>noix fraiches</t>
  </si>
  <si>
    <t>noix coco</t>
  </si>
  <si>
    <t>oranges</t>
  </si>
  <si>
    <t>pamplemousse</t>
  </si>
  <si>
    <t>peches sirop</t>
  </si>
  <si>
    <t>peches blanches</t>
  </si>
  <si>
    <t>poires</t>
  </si>
  <si>
    <t>pommes grany</t>
  </si>
  <si>
    <t>raisin noir</t>
  </si>
  <si>
    <t>raisin blanc</t>
  </si>
  <si>
    <t>amandes poudre</t>
  </si>
  <si>
    <t>amandes effilees</t>
  </si>
  <si>
    <t>amandes concassées</t>
  </si>
  <si>
    <t>ananas sirop</t>
  </si>
  <si>
    <t>creme anchois</t>
  </si>
  <si>
    <t>tb</t>
  </si>
  <si>
    <t>anchois à l'huile</t>
  </si>
  <si>
    <t>bo,5</t>
  </si>
  <si>
    <t>anguilles fumées</t>
  </si>
  <si>
    <t>bigarreaux</t>
  </si>
  <si>
    <t>feuilles de brick</t>
  </si>
  <si>
    <t>paq</t>
  </si>
  <si>
    <t>cannelle</t>
  </si>
  <si>
    <t>flac</t>
  </si>
  <si>
    <t>capres</t>
  </si>
  <si>
    <t>cepes à l'huile</t>
  </si>
  <si>
    <t>cerneaux de noix</t>
  </si>
  <si>
    <t>choucroute</t>
  </si>
  <si>
    <t>chorizo</t>
  </si>
  <si>
    <t>cœurs de palmier</t>
  </si>
  <si>
    <t>concentre tomates</t>
  </si>
  <si>
    <t>coriandre grains</t>
  </si>
  <si>
    <t>cornichons</t>
  </si>
  <si>
    <t>crabe au naturel</t>
  </si>
  <si>
    <t>b1/6</t>
  </si>
  <si>
    <t>crabe miettes</t>
  </si>
  <si>
    <t>creme foie gras</t>
  </si>
  <si>
    <t>b0,35</t>
  </si>
  <si>
    <t>cumin</t>
  </si>
  <si>
    <t>curry</t>
  </si>
  <si>
    <t>dattes</t>
  </si>
  <si>
    <t>escargots</t>
  </si>
  <si>
    <t>b8dz</t>
  </si>
  <si>
    <t>fecule</t>
  </si>
  <si>
    <t>fenouil grains</t>
  </si>
  <si>
    <t>figues sèches</t>
  </si>
  <si>
    <t>flageolets secs</t>
  </si>
  <si>
    <t>flageolets boite</t>
  </si>
  <si>
    <t>puree flocons</t>
  </si>
  <si>
    <t>fond de veau lié</t>
  </si>
  <si>
    <t>fond de volaille</t>
  </si>
  <si>
    <t>fond de veau clair</t>
  </si>
  <si>
    <t>fumet crustacés</t>
  </si>
  <si>
    <t>fumet poissons deshydraté</t>
  </si>
  <si>
    <t>garniture forestière</t>
  </si>
  <si>
    <t>gelée claire</t>
  </si>
  <si>
    <t>gelatine feuilles</t>
  </si>
  <si>
    <t>genievre</t>
  </si>
  <si>
    <t>gesiers confits</t>
  </si>
  <si>
    <t>gingembre poudre</t>
  </si>
  <si>
    <t>girolles boite</t>
  </si>
  <si>
    <t>clou de girofle</t>
  </si>
  <si>
    <t>graisse d'oie</t>
  </si>
  <si>
    <t>haricots tarbais</t>
  </si>
  <si>
    <t>harengs filets</t>
  </si>
  <si>
    <t>huile sesame</t>
  </si>
  <si>
    <t>huile tournesol</t>
  </si>
  <si>
    <t>huile d'olive</t>
  </si>
  <si>
    <t>huile de noix</t>
  </si>
  <si>
    <t>huile de noisettes</t>
  </si>
  <si>
    <t>huile de maïs</t>
  </si>
  <si>
    <t>huile de paraffine</t>
  </si>
  <si>
    <t>ketchup</t>
  </si>
  <si>
    <t>lait uht</t>
  </si>
  <si>
    <t>lentilles du puy</t>
  </si>
  <si>
    <t>levure</t>
  </si>
  <si>
    <t>macedoine</t>
  </si>
  <si>
    <t>maïzena</t>
  </si>
  <si>
    <t>maïs grains</t>
  </si>
  <si>
    <t>marrons naturel</t>
  </si>
  <si>
    <t>marrons puree</t>
  </si>
  <si>
    <t>miel</t>
  </si>
  <si>
    <t>morilles sèches</t>
  </si>
  <si>
    <t xml:space="preserve">moutarde </t>
  </si>
  <si>
    <t>moutarde estragon</t>
  </si>
  <si>
    <t>moutarde de meaux</t>
  </si>
  <si>
    <t>moutarde savora</t>
  </si>
  <si>
    <t>muscade</t>
  </si>
  <si>
    <t>noix</t>
  </si>
  <si>
    <t>noisettes poudre</t>
  </si>
  <si>
    <t>noix de coco rapée</t>
  </si>
  <si>
    <t xml:space="preserve">nouilles </t>
  </si>
  <si>
    <t>nouilles fraiches</t>
  </si>
  <si>
    <t>œufs de caille</t>
  </si>
  <si>
    <t>œufs de lump</t>
  </si>
  <si>
    <t xml:space="preserve">œufs de saumon </t>
  </si>
  <si>
    <t>oignons au vinaigre</t>
  </si>
  <si>
    <t>olives noire</t>
  </si>
  <si>
    <t>olives noires dénoyautées</t>
  </si>
  <si>
    <t>olives vertes</t>
  </si>
  <si>
    <t>olives vertes dénoyautées</t>
  </si>
  <si>
    <t>pain de mie</t>
  </si>
  <si>
    <t>pain de seigle</t>
  </si>
  <si>
    <t>pain de mie rond</t>
  </si>
  <si>
    <t>arôme patrelle</t>
  </si>
  <si>
    <t>pignons</t>
  </si>
  <si>
    <t>pimientos rouges</t>
  </si>
  <si>
    <t>b0,5</t>
  </si>
  <si>
    <t>pistaches</t>
  </si>
  <si>
    <t>pointes asperges</t>
  </si>
  <si>
    <t>b1/10</t>
  </si>
  <si>
    <t>pois cassés</t>
  </si>
  <si>
    <t>poivre blanc</t>
  </si>
  <si>
    <t>poivre gris</t>
  </si>
  <si>
    <t>poivre concassé</t>
  </si>
  <si>
    <t>poivre rose</t>
  </si>
  <si>
    <t>poivre vert</t>
  </si>
  <si>
    <t>b1/4</t>
  </si>
  <si>
    <t>poires sirop</t>
  </si>
  <si>
    <t>pruneaux</t>
  </si>
  <si>
    <t>raifort</t>
  </si>
  <si>
    <t>raisin de corinthe</t>
  </si>
  <si>
    <t>riz sauvage</t>
  </si>
  <si>
    <t>riz long</t>
  </si>
  <si>
    <t>creme de riz</t>
  </si>
  <si>
    <t>safran poudre 10 g</t>
  </si>
  <si>
    <t>safran paillettes</t>
  </si>
  <si>
    <t>saindoux</t>
  </si>
  <si>
    <t>salicornes</t>
  </si>
  <si>
    <t>sel au celeri</t>
  </si>
  <si>
    <t>sel gros</t>
  </si>
  <si>
    <t>semoule maïs</t>
  </si>
  <si>
    <t>semoule couscous</t>
  </si>
  <si>
    <t>sauce soja</t>
  </si>
  <si>
    <t>spaghettis</t>
  </si>
  <si>
    <t>sucre glace</t>
  </si>
  <si>
    <t>tabasco</t>
  </si>
  <si>
    <t>tapenade</t>
  </si>
  <si>
    <t>thon miette</t>
  </si>
  <si>
    <t>thym</t>
  </si>
  <si>
    <t>tomates entieres</t>
  </si>
  <si>
    <t>bkg</t>
  </si>
  <si>
    <t>pelure de truffes</t>
  </si>
  <si>
    <t>b1/16</t>
  </si>
  <si>
    <t>vermicelle</t>
  </si>
  <si>
    <t>vinaigre xeres</t>
  </si>
  <si>
    <t>vinaigre de vin</t>
  </si>
  <si>
    <t>vinaigre blanc</t>
  </si>
  <si>
    <t>vinaigre de framboises</t>
  </si>
  <si>
    <t>beurre demi-sel</t>
  </si>
  <si>
    <t>cabecou</t>
  </si>
  <si>
    <t>creme fraiche</t>
  </si>
  <si>
    <t>creme epaisse</t>
  </si>
  <si>
    <t>fromage blanc</t>
  </si>
  <si>
    <t>gruyère</t>
  </si>
  <si>
    <t>margarine</t>
  </si>
  <si>
    <t>œufs</t>
  </si>
  <si>
    <t>parmesan</t>
  </si>
  <si>
    <t>petits suisses</t>
  </si>
  <si>
    <t>picodon</t>
  </si>
  <si>
    <t>roquefort</t>
  </si>
  <si>
    <t>airelles</t>
  </si>
  <si>
    <t>brochet surgelé</t>
  </si>
  <si>
    <t>cassis surgelé</t>
  </si>
  <si>
    <t>choux de bruxelle surgelé</t>
  </si>
  <si>
    <t>choux fleur surgelé</t>
  </si>
  <si>
    <t>miettes de crabe surgelées</t>
  </si>
  <si>
    <t>b0,25</t>
  </si>
  <si>
    <t>pinces de crabe surgelées</t>
  </si>
  <si>
    <t>cuisses de lievre surgelées</t>
  </si>
  <si>
    <t>cuisses de grenouilles surgelées</t>
  </si>
  <si>
    <t>daurade portion surgelée</t>
  </si>
  <si>
    <t>ecrevisses surgelées</t>
  </si>
  <si>
    <t>encornets surgelés</t>
  </si>
  <si>
    <t>eperlans surgelés</t>
  </si>
  <si>
    <t>epinards branche surgelés</t>
  </si>
  <si>
    <t>epinards hachés surgelés</t>
  </si>
  <si>
    <t>flageolets surgelés</t>
  </si>
  <si>
    <t>filets de flétan surgelés</t>
  </si>
  <si>
    <t>fonds d'artichauts surgelés</t>
  </si>
  <si>
    <t>framboises surgelées</t>
  </si>
  <si>
    <t>gambas grosses surgelées</t>
  </si>
  <si>
    <t>gambas surgelées</t>
  </si>
  <si>
    <t>haricots verts surgelés</t>
  </si>
  <si>
    <t>homard surgelé</t>
  </si>
  <si>
    <t>queues de langoustes surgelées</t>
  </si>
  <si>
    <t>langoustines surgelées</t>
  </si>
  <si>
    <t>lièvre surgelé</t>
  </si>
  <si>
    <t>lotte surgelée</t>
  </si>
  <si>
    <t>moules décortiquées surgelées</t>
  </si>
  <si>
    <t>oignons grelots surgelés</t>
  </si>
  <si>
    <t>purée de brocolis surgelée</t>
  </si>
  <si>
    <t>purée de celeri surgelée</t>
  </si>
  <si>
    <t>purée de carotte surgelée</t>
  </si>
  <si>
    <t>rable de lièvre surgelé</t>
  </si>
  <si>
    <t>rougets barbet surgelés</t>
  </si>
  <si>
    <t>salsifis surgelés</t>
  </si>
  <si>
    <t>sanglier cuissot surgelé</t>
  </si>
  <si>
    <t>saumon surgelé</t>
  </si>
  <si>
    <t>blancs de seiche surgelés</t>
  </si>
  <si>
    <t>aiguillette baronne</t>
  </si>
  <si>
    <t>aiguillettes de canard</t>
  </si>
  <si>
    <t>ailerons de poulet</t>
  </si>
  <si>
    <t>barde de lard</t>
  </si>
  <si>
    <t>bavette</t>
  </si>
  <si>
    <t>cailles</t>
  </si>
  <si>
    <t>canard</t>
  </si>
  <si>
    <t>carré de porc</t>
  </si>
  <si>
    <t>carré de veau</t>
  </si>
  <si>
    <t>carré d'agneau</t>
  </si>
  <si>
    <t>cervelles d'agneau</t>
  </si>
  <si>
    <t>chair à saucisses</t>
  </si>
  <si>
    <t>cervelles de veau</t>
  </si>
  <si>
    <t>chevreuil cuissot</t>
  </si>
  <si>
    <t>chipolatas</t>
  </si>
  <si>
    <t>collier de porc</t>
  </si>
  <si>
    <t>collier d'agneau</t>
  </si>
  <si>
    <t>confit de canard</t>
  </si>
  <si>
    <t>contrefilet</t>
  </si>
  <si>
    <t>coquelet</t>
  </si>
  <si>
    <t xml:space="preserve">coq </t>
  </si>
  <si>
    <t>cotes de porc</t>
  </si>
  <si>
    <t>cotes d'agneau</t>
  </si>
  <si>
    <t>cote de bœuf</t>
  </si>
  <si>
    <t>cote de veau</t>
  </si>
  <si>
    <t>couennes</t>
  </si>
  <si>
    <t>crepine de porc</t>
  </si>
  <si>
    <t>cuisses de poulet</t>
  </si>
  <si>
    <t>cuisses de canard</t>
  </si>
  <si>
    <t>cuisses de lapin</t>
  </si>
  <si>
    <t>dinde</t>
  </si>
  <si>
    <t>echine de porc</t>
  </si>
  <si>
    <t>epaule de porc</t>
  </si>
  <si>
    <t>epaule d'agneau</t>
  </si>
  <si>
    <t>escalopes de dinde</t>
  </si>
  <si>
    <t>faisan</t>
  </si>
  <si>
    <t>filet de porc</t>
  </si>
  <si>
    <t>filet mignon de veau</t>
  </si>
  <si>
    <t>filet de bœuf</t>
  </si>
  <si>
    <t>foies de volailles</t>
  </si>
  <si>
    <t>foie gras de canard cuit</t>
  </si>
  <si>
    <t>foie de veau</t>
  </si>
  <si>
    <t>foie gras de canard cru</t>
  </si>
  <si>
    <t>gigot d'agneau</t>
  </si>
  <si>
    <t>gorge de porc</t>
  </si>
  <si>
    <t>gras double</t>
  </si>
  <si>
    <t>jambon de parme</t>
  </si>
  <si>
    <t>jambon d'york</t>
  </si>
  <si>
    <t>jambon de montagne</t>
  </si>
  <si>
    <t>jambon frais</t>
  </si>
  <si>
    <t>joues de bœuf</t>
  </si>
  <si>
    <t>lapin</t>
  </si>
  <si>
    <t>lapin de garenne</t>
  </si>
  <si>
    <t>lard gras</t>
  </si>
  <si>
    <t>lard fumé</t>
  </si>
  <si>
    <t>longe de porc</t>
  </si>
  <si>
    <t>longe de veau</t>
  </si>
  <si>
    <t>magret de canard fumé</t>
  </si>
  <si>
    <t xml:space="preserve">magret de canard  </t>
  </si>
  <si>
    <t>noix de veau</t>
  </si>
  <si>
    <t xml:space="preserve">onglet </t>
  </si>
  <si>
    <t>os à moelle</t>
  </si>
  <si>
    <t>osso bucco</t>
  </si>
  <si>
    <t>paleron de bœuf</t>
  </si>
  <si>
    <t>pieds d'agneau</t>
  </si>
  <si>
    <t>pieds de veau</t>
  </si>
  <si>
    <t>pigeon frais</t>
  </si>
  <si>
    <t>pintade</t>
  </si>
  <si>
    <t>poitrine fumée</t>
  </si>
  <si>
    <t>potrine salée</t>
  </si>
  <si>
    <t>poulet fermier</t>
  </si>
  <si>
    <t>poulet effilé</t>
  </si>
  <si>
    <t>queue de bœuf</t>
  </si>
  <si>
    <t>rable de lapereau</t>
  </si>
  <si>
    <t>ris d'agneau</t>
  </si>
  <si>
    <t>ris de veau frais</t>
  </si>
  <si>
    <t>rognons d'agneau</t>
  </si>
  <si>
    <t>rognons de veau</t>
  </si>
  <si>
    <t>rumsteack</t>
  </si>
  <si>
    <t>saucisse de toulouse</t>
  </si>
  <si>
    <t>saucisson à l'ail</t>
  </si>
  <si>
    <t>saucisoon sec</t>
  </si>
  <si>
    <t>saucisson à cuire</t>
  </si>
  <si>
    <t>saucisson de morteaux</t>
  </si>
  <si>
    <t>selle de veau</t>
  </si>
  <si>
    <t>selle d'agneau</t>
  </si>
  <si>
    <t>tendrons de veau</t>
  </si>
  <si>
    <t>tête de veau capeline</t>
  </si>
  <si>
    <t>aile de raie</t>
  </si>
  <si>
    <t>barbue</t>
  </si>
  <si>
    <t>bigorneaux</t>
  </si>
  <si>
    <t>brochet</t>
  </si>
  <si>
    <t>bulots</t>
  </si>
  <si>
    <t>cabillaud</t>
  </si>
  <si>
    <t>calamars</t>
  </si>
  <si>
    <t>filets de carrelet</t>
  </si>
  <si>
    <t>clams</t>
  </si>
  <si>
    <t>filet de colin</t>
  </si>
  <si>
    <t>congre</t>
  </si>
  <si>
    <t>coques</t>
  </si>
  <si>
    <t>coquilles st jacques</t>
  </si>
  <si>
    <t>crabe tourteau</t>
  </si>
  <si>
    <t>crevettes saumurées</t>
  </si>
  <si>
    <t xml:space="preserve">crevettes grises </t>
  </si>
  <si>
    <t>crevettes bouquet</t>
  </si>
  <si>
    <t>daurade portion</t>
  </si>
  <si>
    <t>dorade filets</t>
  </si>
  <si>
    <t>ecrevisses fraiches</t>
  </si>
  <si>
    <t>encornets frais</t>
  </si>
  <si>
    <t>petits pois surgelés</t>
  </si>
  <si>
    <t>etrilles</t>
  </si>
  <si>
    <t>filets de flétan</t>
  </si>
  <si>
    <t>rougets grondins</t>
  </si>
  <si>
    <t>haddock</t>
  </si>
  <si>
    <t>homard frais</t>
  </si>
  <si>
    <t>huitres de marenne</t>
  </si>
  <si>
    <t>dz</t>
  </si>
  <si>
    <t>filets de julienne</t>
  </si>
  <si>
    <t>langouste fraiche</t>
  </si>
  <si>
    <t>langoustines fraiches</t>
  </si>
  <si>
    <t>lieu jaune</t>
  </si>
  <si>
    <t>limande</t>
  </si>
  <si>
    <t>lingue</t>
  </si>
  <si>
    <t>lotte fraiche</t>
  </si>
  <si>
    <t>loup</t>
  </si>
  <si>
    <t>maquereaux</t>
  </si>
  <si>
    <t>filets de merlan</t>
  </si>
  <si>
    <t>merlu</t>
  </si>
  <si>
    <t>merlans</t>
  </si>
  <si>
    <t>filets de morue</t>
  </si>
  <si>
    <t>moules bouchot</t>
  </si>
  <si>
    <t>moules d'Espagne</t>
  </si>
  <si>
    <t>oursins</t>
  </si>
  <si>
    <t>palourdes</t>
  </si>
  <si>
    <t>petoncles</t>
  </si>
  <si>
    <t>praires</t>
  </si>
  <si>
    <t>filets de rascasse</t>
  </si>
  <si>
    <t>rascasse</t>
  </si>
  <si>
    <t>rougets frais</t>
  </si>
  <si>
    <t>roussette</t>
  </si>
  <si>
    <t>saint pierre</t>
  </si>
  <si>
    <t>sandre</t>
  </si>
  <si>
    <t>sardines</t>
  </si>
  <si>
    <t xml:space="preserve">saumon frais </t>
  </si>
  <si>
    <t>saumon fumé tranché</t>
  </si>
  <si>
    <t>saumonette</t>
  </si>
  <si>
    <t>seiche</t>
  </si>
  <si>
    <t>sole portion</t>
  </si>
  <si>
    <t>sole filet</t>
  </si>
  <si>
    <t>poissons à soupe</t>
  </si>
  <si>
    <t>thon frais</t>
  </si>
  <si>
    <t>filets de truite de mer</t>
  </si>
  <si>
    <t>truite fumée</t>
  </si>
  <si>
    <t xml:space="preserve">truite de mer </t>
  </si>
  <si>
    <t>truite</t>
  </si>
  <si>
    <t>turbotins</t>
  </si>
  <si>
    <t>vernis</t>
  </si>
  <si>
    <t>vieilles</t>
  </si>
  <si>
    <t>vives</t>
  </si>
  <si>
    <t>armagnac</t>
  </si>
  <si>
    <t>bourgogne aligoté</t>
  </si>
  <si>
    <t>cahors rouge</t>
  </si>
  <si>
    <t>calvados</t>
  </si>
  <si>
    <t>cognac</t>
  </si>
  <si>
    <t>corbières rouge</t>
  </si>
  <si>
    <t>eau de vie de fruits</t>
  </si>
  <si>
    <t>gaillac rouge</t>
  </si>
  <si>
    <t>gaillac blanc</t>
  </si>
  <si>
    <t>madère</t>
  </si>
  <si>
    <t>madiran</t>
  </si>
  <si>
    <t>marc de bourgogne</t>
  </si>
  <si>
    <t>muscadet blanc</t>
  </si>
  <si>
    <t>muscat de rivesaltes</t>
  </si>
  <si>
    <t>noilly prat</t>
  </si>
  <si>
    <t>pastis</t>
  </si>
  <si>
    <t>porto</t>
  </si>
  <si>
    <t>rhum brun</t>
  </si>
  <si>
    <t>riesling</t>
  </si>
  <si>
    <t xml:space="preserve">sauternes </t>
  </si>
  <si>
    <t>tokay</t>
  </si>
  <si>
    <t>vin blanc</t>
  </si>
  <si>
    <t>vin rouge</t>
  </si>
  <si>
    <t>Préparation &gt;</t>
  </si>
  <si>
    <t>Cuisson &gt;</t>
  </si>
  <si>
    <t>PHASES ESSENTIELLES  DE PROGRESSION</t>
  </si>
  <si>
    <t>❹ LIEN</t>
  </si>
  <si>
    <t>Arial 14</t>
  </si>
  <si>
    <t>Collez le lien ICI</t>
  </si>
  <si>
    <t xml:space="preserve"> Tableau inspiré du modèle de Michel Mariette Mise à jour du 30-12-2017 </t>
  </si>
  <si>
    <t>hauteur de lignes conseillée 18.00 (24 pixels)</t>
  </si>
  <si>
    <t>Lien</t>
  </si>
  <si>
    <t>Largeurs de colonnes</t>
  </si>
  <si>
    <t xml:space="preserve"> NIKUJYAGA (pot au feu de bœuf, Japonais)                   </t>
  </si>
  <si>
    <t>DASHI</t>
  </si>
  <si>
    <t>NIKUJYAGA</t>
  </si>
  <si>
    <t xml:space="preserve">Entrecôte </t>
  </si>
  <si>
    <t>pommes de terre</t>
  </si>
  <si>
    <t>haricots verts frais</t>
  </si>
  <si>
    <t>banane plantain</t>
  </si>
  <si>
    <t>feuille de bananier</t>
  </si>
  <si>
    <t>ECONOMAT/CAVE</t>
  </si>
  <si>
    <t>Konnyaku</t>
  </si>
  <si>
    <t>SOJA UZUKUJI</t>
  </si>
  <si>
    <t>Kombe</t>
  </si>
  <si>
    <t>bonite séchée fum</t>
  </si>
  <si>
    <t>piment doux</t>
  </si>
  <si>
    <t>assiettes bols couleurs et assiette 27</t>
  </si>
  <si>
    <t>hauteurs de lignes</t>
  </si>
  <si>
    <t>DORAYAKI au thé matcha, pâte d'azuki, sorbet YUZU</t>
  </si>
  <si>
    <t>DORAYAKI</t>
  </si>
  <si>
    <t>SORBET YUZU</t>
  </si>
  <si>
    <t>Fruits flambés</t>
  </si>
  <si>
    <t>Fraises</t>
  </si>
  <si>
    <t>Litchees</t>
  </si>
  <si>
    <t>menthe fraiche</t>
  </si>
  <si>
    <t>crème fluide 35%</t>
  </si>
  <si>
    <t>Farine de riz gluant</t>
  </si>
  <si>
    <t>Farine T 45</t>
  </si>
  <si>
    <t>bicarbonate de soude</t>
  </si>
  <si>
    <t xml:space="preserve">miel </t>
  </si>
  <si>
    <t>Milin</t>
  </si>
  <si>
    <t>thé matcha</t>
  </si>
  <si>
    <t>Pâte d'azukis</t>
  </si>
  <si>
    <t>Jus de YUZU BOIRON</t>
  </si>
  <si>
    <t xml:space="preserve">Eau </t>
  </si>
  <si>
    <t>trimoline</t>
  </si>
  <si>
    <t>pulpe de mangue</t>
  </si>
  <si>
    <t>Assiette 27</t>
  </si>
  <si>
    <t xml:space="preserve">SOUPE MISO DE VOLAILLE ET DAURADE SASHIMI                   </t>
  </si>
  <si>
    <t>SOUPE</t>
  </si>
  <si>
    <t>Os de volaille</t>
  </si>
  <si>
    <t>daurade royale</t>
  </si>
  <si>
    <t>Oignon</t>
  </si>
  <si>
    <t>Céleri branche</t>
  </si>
  <si>
    <t>poireau</t>
  </si>
  <si>
    <t>oignons fanes cive</t>
  </si>
  <si>
    <t>SHISO</t>
  </si>
  <si>
    <t>Dashi</t>
  </si>
  <si>
    <t>wakame</t>
  </si>
  <si>
    <t>fleurs d'amidon</t>
  </si>
  <si>
    <t>Assiette demi sphère</t>
  </si>
  <si>
    <t>TSUKUNE DE VOLAILLE, CROUSTILLANT DE SHIRAAE, NANBANZUKE de Maigre</t>
  </si>
  <si>
    <t>TSUKUNE</t>
  </si>
  <si>
    <t>SHIRAAE</t>
  </si>
  <si>
    <t>NANBANZUKE</t>
  </si>
  <si>
    <t xml:space="preserve">cuisses de poulet </t>
  </si>
  <si>
    <t>maigre</t>
  </si>
  <si>
    <t>Oignons</t>
  </si>
  <si>
    <t>épinards</t>
  </si>
  <si>
    <t>Tofu</t>
  </si>
  <si>
    <t>Chapelure</t>
  </si>
  <si>
    <t>Soja KOYKUJI KIKOM</t>
  </si>
  <si>
    <t>Piques bambou</t>
  </si>
  <si>
    <t>Saké OZEKI</t>
  </si>
  <si>
    <t>crème de sésame</t>
  </si>
  <si>
    <t>fécule de PDT</t>
  </si>
  <si>
    <t>Dashi ou bouillon ja</t>
  </si>
  <si>
    <t>feuilles spring roll</t>
  </si>
  <si>
    <t>vinaigre d'alcool coloré</t>
  </si>
  <si>
    <t xml:space="preserve">grande assiette rectangle, ramequin carré, </t>
  </si>
  <si>
    <t>COUT MATIERE portion</t>
  </si>
  <si>
    <t>BOUCHEE DE FOIE GRAS aux morilles, émulsion à la truffe, gelée tiède de pineau et croustillant de poireau</t>
  </si>
  <si>
    <t>bouchée de foie gras+ morilles</t>
  </si>
  <si>
    <t>gelée tiède pineau</t>
  </si>
  <si>
    <t>émulsion truffe</t>
  </si>
  <si>
    <t>croustillant de poireau</t>
  </si>
  <si>
    <t>foie gras frais</t>
  </si>
  <si>
    <t>morilles surgelées</t>
  </si>
  <si>
    <t>lait</t>
  </si>
  <si>
    <t>crème</t>
  </si>
  <si>
    <t>0.020</t>
  </si>
  <si>
    <t>gros sel</t>
  </si>
  <si>
    <t>0.200</t>
  </si>
  <si>
    <t>fonds blanc de vola</t>
  </si>
  <si>
    <t>0.300</t>
  </si>
  <si>
    <t>agar-agar</t>
  </si>
  <si>
    <t>0.004</t>
  </si>
  <si>
    <t>lécithe</t>
  </si>
  <si>
    <t>arôme truffe</t>
  </si>
  <si>
    <t>Dans un ramequin carré, déposer le mélange morilles poireaux, surmonter de</t>
  </si>
  <si>
    <t>l'escalope de foie gras sautée, napper de gelée tiède, surmonter de l'écume</t>
  </si>
  <si>
    <t>C. FRECHEDE  A PIEUCHOT (chef de cuisine: restaurant le p'tit bouchon)</t>
  </si>
  <si>
    <t>SPHERE CHOCOLAT , mousse chocolat blanc truffe et banane, glace truffe. Fressinettes caramélisées</t>
  </si>
  <si>
    <t>Spheres</t>
  </si>
  <si>
    <t>ganache choc blanc</t>
  </si>
  <si>
    <t>appareil banane</t>
  </si>
  <si>
    <t>Sauce chocolat</t>
  </si>
  <si>
    <t>truffes melanosporum</t>
  </si>
  <si>
    <t>fressinettes</t>
  </si>
  <si>
    <t>creme UHT</t>
  </si>
  <si>
    <t>chocolat 64%</t>
  </si>
  <si>
    <t>vanille</t>
  </si>
  <si>
    <t>g</t>
  </si>
  <si>
    <t>couverture ivoire</t>
  </si>
  <si>
    <t>liqueur de banane</t>
  </si>
  <si>
    <t>sucre roux</t>
  </si>
  <si>
    <t>feuilles d'or</t>
  </si>
  <si>
    <t>Assiette : Assiette carré en verre</t>
  </si>
  <si>
    <t>en salle verser une sauce chocolat chaud dans le trou de la sphère</t>
  </si>
  <si>
    <t>SUPREME de VOLAILLE, en basse température, copeaux de truffe noire , cylindre de pomme glacé au jus corsé</t>
  </si>
  <si>
    <t>suprême  de volaille</t>
  </si>
  <si>
    <t>sauce ivoire</t>
  </si>
  <si>
    <t>cylindre de pomme</t>
  </si>
  <si>
    <t>navets glacés</t>
  </si>
  <si>
    <t>poulet de bresse</t>
  </si>
  <si>
    <t>navets longs</t>
  </si>
  <si>
    <t>PDT bintje</t>
  </si>
  <si>
    <t>truffes mélanospor</t>
  </si>
  <si>
    <t>clous de girofle</t>
  </si>
  <si>
    <t>fonds brun de veau</t>
  </si>
  <si>
    <t>poivre</t>
  </si>
  <si>
    <t>fonds blanc</t>
  </si>
  <si>
    <t>Assiette 31</t>
  </si>
  <si>
    <t>CREME GLACEE AU CELERI RAVE ET TRUFFES RAFRAICHIES AU COGNAC XO</t>
  </si>
  <si>
    <t>glace</t>
  </si>
  <si>
    <t>truffes mélanosporum</t>
  </si>
  <si>
    <t>céleri rave</t>
  </si>
  <si>
    <t xml:space="preserve">Lait </t>
  </si>
  <si>
    <t>œufs jaunes</t>
  </si>
  <si>
    <t>cognac XO</t>
  </si>
  <si>
    <t>Verre à short drink, assiette à pain et napperon a café</t>
  </si>
  <si>
    <t>Cromesquis de brie truffé, courgettes cuites au sel, betteraves et baume de bouteville n°10</t>
  </si>
  <si>
    <t>cromesquis</t>
  </si>
  <si>
    <t>assortiment de légumes</t>
  </si>
  <si>
    <t>coulis de betterave</t>
  </si>
  <si>
    <t>carottes jaunes</t>
  </si>
  <si>
    <t>betterave shioga</t>
  </si>
  <si>
    <t>betterave cuite au four</t>
  </si>
  <si>
    <t>feuilles de poirée</t>
  </si>
  <si>
    <t xml:space="preserve">Brie de meaux </t>
  </si>
  <si>
    <t xml:space="preserve">L </t>
  </si>
  <si>
    <t>Chapelure blanche</t>
  </si>
  <si>
    <t>noisettes torréfiées</t>
  </si>
  <si>
    <t>Sel fin</t>
  </si>
  <si>
    <t>huile de pépins de ra</t>
  </si>
  <si>
    <t>baume de bouteville</t>
  </si>
  <si>
    <t xml:space="preserve">Dans une grande assiette rectangle, sur une lamelle de courgette calibrées, </t>
  </si>
  <si>
    <t>organiser une rangée de légumes intercalés, lustrer d'huile de truffe</t>
  </si>
  <si>
    <t>tirer un trait de coulis de betterave.</t>
  </si>
  <si>
    <t>NOIX DE SAINT JACQUES CONTISEES DE TRUFFE, RISOTTO CREMEUX, JUS TRANCHE DE VOLAILLE</t>
  </si>
  <si>
    <t>Risotto</t>
  </si>
  <si>
    <t>saint jacques</t>
  </si>
  <si>
    <t>jus tranché</t>
  </si>
  <si>
    <t>carcasses de volaille</t>
  </si>
  <si>
    <t>crème 35%</t>
  </si>
  <si>
    <t>parmiggiano réggiano</t>
  </si>
  <si>
    <t>riz arborio</t>
  </si>
  <si>
    <t xml:space="preserve">huile </t>
  </si>
  <si>
    <t>poivre blanc moulu</t>
  </si>
  <si>
    <t>assiette demi sphère</t>
  </si>
  <si>
    <t xml:space="preserve">                PiGEONNEAU EN TROIS FACONS Tomate confite et Pommes bouchons</t>
  </si>
  <si>
    <t>ragout de cuisses</t>
  </si>
  <si>
    <t>poitrine</t>
  </si>
  <si>
    <t>brochette</t>
  </si>
  <si>
    <t>garniture</t>
  </si>
  <si>
    <t>pigeonneaux 0,5 k</t>
  </si>
  <si>
    <t>poitrine salée</t>
  </si>
  <si>
    <t>graisse de canard</t>
  </si>
  <si>
    <t>pommes golden</t>
  </si>
  <si>
    <t>tomates cerises</t>
  </si>
  <si>
    <t xml:space="preserve">pain de mie </t>
  </si>
  <si>
    <t>huile olives</t>
  </si>
  <si>
    <t>sucre morceaux</t>
  </si>
  <si>
    <t>paprika</t>
  </si>
  <si>
    <t>fonds blanc volail</t>
  </si>
  <si>
    <t xml:space="preserve">poivre blanc </t>
  </si>
  <si>
    <t>fonds brun 1/2 gl</t>
  </si>
  <si>
    <t>vinaigre xéres</t>
  </si>
  <si>
    <t>anis étoile</t>
  </si>
  <si>
    <t>fonds brun clair</t>
  </si>
  <si>
    <t>ASSIETTE 31 cm</t>
  </si>
  <si>
    <t>Rouget barbet à la plancha</t>
  </si>
  <si>
    <t>Canelloni</t>
  </si>
  <si>
    <t>Piquillo</t>
  </si>
  <si>
    <t>Rouget 0,250</t>
  </si>
  <si>
    <t>Talon de jambon</t>
  </si>
  <si>
    <t>Roquette</t>
  </si>
  <si>
    <t>Epinards</t>
  </si>
  <si>
    <t>Vert de courgettes</t>
  </si>
  <si>
    <t>Thym</t>
  </si>
  <si>
    <t>PM</t>
  </si>
  <si>
    <t>Ail</t>
  </si>
  <si>
    <t>Cerfeuil</t>
  </si>
  <si>
    <t>Btte</t>
  </si>
  <si>
    <t>Œufs</t>
  </si>
  <si>
    <t>Pce</t>
  </si>
  <si>
    <t>Parmesan râpé</t>
  </si>
  <si>
    <t>Brousse</t>
  </si>
  <si>
    <t>Huile</t>
  </si>
  <si>
    <t>Feuilles de pâtes</t>
  </si>
  <si>
    <t>Piments</t>
  </si>
  <si>
    <t>Huile d'olive</t>
  </si>
  <si>
    <t>Vin Irouleguy</t>
  </si>
  <si>
    <t>Fecule PDT</t>
  </si>
  <si>
    <t>Sel</t>
  </si>
  <si>
    <t>Poivre</t>
  </si>
  <si>
    <t>Patience: tomate iceberg, jus de basilic et vinaigrette de chipirons</t>
  </si>
  <si>
    <t xml:space="preserve">chipirons ou </t>
  </si>
  <si>
    <t>tomates cocktail</t>
  </si>
  <si>
    <t>btte</t>
  </si>
  <si>
    <t>poivrons rouges</t>
  </si>
  <si>
    <t xml:space="preserve">poivrons verts </t>
  </si>
  <si>
    <t>tomates entières</t>
  </si>
  <si>
    <t>pelées 4/4</t>
  </si>
  <si>
    <t>glucose</t>
  </si>
  <si>
    <t>cardamome</t>
  </si>
  <si>
    <t>vinaigre balsamique</t>
  </si>
  <si>
    <t>laurier</t>
  </si>
  <si>
    <t>glaçons</t>
  </si>
  <si>
    <t xml:space="preserve">P </t>
  </si>
  <si>
    <t>-</t>
  </si>
  <si>
    <t>Verrine rhubarbe, mousse réglisse, framboise et fraises des bois, opaline et sacristains</t>
  </si>
  <si>
    <t>comp rhubarbe</t>
  </si>
  <si>
    <t>mousse réglisse</t>
  </si>
  <si>
    <t>fruits rouges</t>
  </si>
  <si>
    <t>opaline</t>
  </si>
  <si>
    <t>sacristain</t>
  </si>
  <si>
    <t>FRUITS</t>
  </si>
  <si>
    <t>rhubarbe</t>
  </si>
  <si>
    <t>fraises des bois</t>
  </si>
  <si>
    <t>crème UHT</t>
  </si>
  <si>
    <t>Zan plaques</t>
  </si>
  <si>
    <t>feuilletage beurre</t>
  </si>
  <si>
    <t>COMPRESSION DE TOURTEAU AVOCAT TROPICAL MANGUE ACIDULEE, SORBET BERGAMOTE CORIANDRE ESTRAGON</t>
  </si>
  <si>
    <t>Pour 4 couverts</t>
  </si>
  <si>
    <t>Argumentaire technique :</t>
  </si>
  <si>
    <t>Visuels de la recette</t>
  </si>
  <si>
    <t>ETAPE 1 : Sorbet bergamote à la coriandre et à l'estragon</t>
  </si>
  <si>
    <t>Ingrédients</t>
  </si>
  <si>
    <t>Quantité</t>
  </si>
  <si>
    <t>Unité</t>
  </si>
  <si>
    <t>Mode opératoire</t>
  </si>
  <si>
    <t>Coriandre</t>
  </si>
  <si>
    <t>Estragon</t>
  </si>
  <si>
    <t>Glucose</t>
  </si>
  <si>
    <t>Purée de bergamote</t>
  </si>
  <si>
    <t>Sucre</t>
  </si>
  <si>
    <t>¾</t>
  </si>
  <si>
    <t>0,5</t>
  </si>
  <si>
    <t>½</t>
  </si>
  <si>
    <t>0,075</t>
  </si>
  <si>
    <t>0,250</t>
  </si>
  <si>
    <t>0,050</t>
  </si>
  <si>
    <t>Bte</t>
  </si>
  <si>
    <t>ETAPE 2 : Tuile spring roll</t>
  </si>
  <si>
    <t>Feuille spring roll</t>
  </si>
  <si>
    <t>Huile de tournesol</t>
  </si>
  <si>
    <t>Cl</t>
  </si>
  <si>
    <t>ETAPE 3 : La compression</t>
  </si>
  <si>
    <t>Avocat tropical</t>
  </si>
  <si>
    <t>Citron</t>
  </si>
  <si>
    <t>Échalote</t>
  </si>
  <si>
    <t>Huile d’olive</t>
  </si>
  <si>
    <t>Curry jaune</t>
  </si>
  <si>
    <t>Jaune d'oeuf</t>
  </si>
  <si>
    <t>Mangue</t>
  </si>
  <si>
    <t>Moutarde</t>
  </si>
  <si>
    <t>Piment</t>
  </si>
  <si>
    <t>Pinces de tourteau</t>
  </si>
  <si>
    <t>Poireau</t>
  </si>
  <si>
    <t>Purée de mangue</t>
  </si>
  <si>
    <t>Purée passion</t>
  </si>
  <si>
    <t>Vinaigre de xérès</t>
  </si>
  <si>
    <t>0,003</t>
  </si>
  <si>
    <t>¼</t>
  </si>
  <si>
    <t>0,05</t>
  </si>
  <si>
    <t>0,25</t>
  </si>
  <si>
    <t>0,03</t>
  </si>
  <si>
    <t>0,02</t>
  </si>
  <si>
    <t>pce</t>
  </si>
  <si>
    <t>ETAPE 4 : Coulis de mangue acidulé</t>
  </si>
  <si>
    <t>Vinaigre balsamique blanc</t>
  </si>
  <si>
    <t>0,150</t>
  </si>
  <si>
    <t>ETAPE 5 : Finition</t>
  </si>
  <si>
    <t>Ibéris violette</t>
  </si>
  <si>
    <t>Tagette mandarine</t>
  </si>
  <si>
    <t>Daikon cress</t>
  </si>
  <si>
    <t>Pièces</t>
  </si>
  <si>
    <t>Brins</t>
  </si>
  <si>
    <t>Liste de tous les ingrédients employés dans la recette</t>
  </si>
  <si>
    <t>Quantité totale</t>
  </si>
  <si>
    <t>Prix HT</t>
  </si>
  <si>
    <t>0,003 kg</t>
  </si>
  <si>
    <t>0,13 €</t>
  </si>
  <si>
    <t>1 pièce</t>
  </si>
  <si>
    <t>3,30 €</t>
  </si>
  <si>
    <t>0,62 €</t>
  </si>
  <si>
    <t>1 botte</t>
  </si>
  <si>
    <t>0,58 €</t>
  </si>
  <si>
    <t>0,050 kg</t>
  </si>
  <si>
    <t>0,07 €</t>
  </si>
  <si>
    <t>½ botte</t>
  </si>
  <si>
    <t>0,29 €</t>
  </si>
  <si>
    <t>Feuille Spring roll</t>
  </si>
  <si>
    <t>4 pièces</t>
  </si>
  <si>
    <t>0,35 €</t>
  </si>
  <si>
    <t>0,075 kg</t>
  </si>
  <si>
    <t>0,40 €</t>
  </si>
  <si>
    <t>Huile de curry</t>
  </si>
  <si>
    <t>0,013 L</t>
  </si>
  <si>
    <t>1,10 €</t>
  </si>
  <si>
    <t>0,04 L</t>
  </si>
  <si>
    <t>3,50 €</t>
  </si>
  <si>
    <t>0,030 kg</t>
  </si>
  <si>
    <t>0,06 €</t>
  </si>
  <si>
    <t>Œuf</t>
  </si>
  <si>
    <t>Piment de cayenne</t>
  </si>
  <si>
    <t>Pince de tourteau</t>
  </si>
  <si>
    <t>19,30 €</t>
  </si>
  <si>
    <t>1/2pièce</t>
  </si>
  <si>
    <t>0,70 €</t>
  </si>
  <si>
    <t>1,97 €</t>
  </si>
  <si>
    <t>0,400 kg</t>
  </si>
  <si>
    <t>4,12 €</t>
  </si>
  <si>
    <t>0,41€</t>
  </si>
  <si>
    <t>0,11 €</t>
  </si>
  <si>
    <t>0,030 L</t>
  </si>
  <si>
    <t>0,15 €</t>
  </si>
  <si>
    <t>0,020 L</t>
  </si>
  <si>
    <t>0,14 €</t>
  </si>
  <si>
    <t>PRIX DE REVIENT TOTAL</t>
  </si>
  <si>
    <t>TOTAL  pour</t>
  </si>
  <si>
    <t>COUT MATIERE PORTION</t>
  </si>
  <si>
    <t>N°1</t>
  </si>
  <si>
    <t>&lt; interdiction de supprimer cette ligne</t>
  </si>
  <si>
    <t>Compositon</t>
  </si>
  <si>
    <t>Somme</t>
  </si>
  <si>
    <t>&lt; vous pouvez supprimer cette ligne si elle n'est pas utilisée</t>
  </si>
  <si>
    <t>N°2</t>
  </si>
  <si>
    <t>AUTEUR  : Christian FRECHEDE  lycée hôtelier de La Rochelle</t>
  </si>
  <si>
    <t>largeurs de colonnes</t>
  </si>
  <si>
    <t>N° DE LIGNES</t>
  </si>
  <si>
    <t>ICI zone d'impression</t>
  </si>
  <si>
    <t>RECETTE A IMPRIMER</t>
  </si>
  <si>
    <t>PROGRESSION A IMPRIMER</t>
  </si>
  <si>
    <t>Hauteurs de lignes</t>
  </si>
  <si>
    <t>NE PAS IMPRIMER CES TABLEAUX RÉSERVÉS A LA SAISIE</t>
  </si>
  <si>
    <t>SAISISSEZ VOS % DE PERTES</t>
  </si>
  <si>
    <t>ICI début de zone d'impression</t>
  </si>
  <si>
    <t>LA fin de zone d'impression</t>
  </si>
  <si>
    <t>30.00 (40 pixels)</t>
  </si>
  <si>
    <t>NE RIEN SAISIR</t>
  </si>
  <si>
    <t>Auteur :</t>
  </si>
  <si>
    <t>18.00 (24 pixels)</t>
  </si>
  <si>
    <t>❷ Constituant de quelle recette ?</t>
  </si>
  <si>
    <t>AVANT de saisir quoi que ce soit dans une cellule, cliquez dessus pour vérifier qu'il n'y ai pas de fonction</t>
  </si>
  <si>
    <t>❸Auteur</t>
  </si>
  <si>
    <t>⓫ Recette pour</t>
  </si>
  <si>
    <t>portion BRUT</t>
  </si>
  <si>
    <t>il est plus facile de comprendre et d'interpréter la recette d'un Auteur rapportée à 1Kg = 1000g</t>
  </si>
  <si>
    <t xml:space="preserve">Choix N°1 = RECETTE DE L'AUTEUR AVEC VOTRE POIDS DEMANDÉ </t>
  </si>
  <si>
    <t>Choix N°2 = POIDS BRUT DEMANDÉ MOINS % DE PERTE = POIDS NET</t>
  </si>
  <si>
    <t>Choix N°3 = POIDS NET DEMANDÉ + % DE PERTE = POIDS BRUT</t>
  </si>
  <si>
    <t>AU DELA DE 3 VOTRE N° DE CHOIX N'EST PAS CORRECT</t>
  </si>
  <si>
    <t>⓬    votre choix =</t>
  </si>
  <si>
    <t>portion NET</t>
  </si>
  <si>
    <t>⓬   Edition au choix : 1=Recette de l'Auteur  /2=1 moins pertes / 3=Net à servir</t>
  </si>
  <si>
    <t>❼ l'Auteur à prévu sa recette pour combien de portions</t>
  </si>
  <si>
    <t>&lt; ❽  %  Perte pour toute la recette</t>
  </si>
  <si>
    <t xml:space="preserve">Poids brut demandé pour </t>
  </si>
  <si>
    <t>Poids brut demandé pour</t>
  </si>
  <si>
    <t>Poids NET demandé pour</t>
  </si>
  <si>
    <t>❿ liste des ingrédients à ressaisir sans valeurs si besoin</t>
  </si>
  <si>
    <t>Unités</t>
  </si>
  <si>
    <t>Quoi</t>
  </si>
  <si>
    <t>Poids bruts</t>
  </si>
  <si>
    <t>Poids nets</t>
  </si>
  <si>
    <t>Recette en % bruts</t>
  </si>
  <si>
    <t>36.75 (49 pixels)</t>
  </si>
  <si>
    <t>Poids Unitaire</t>
  </si>
  <si>
    <t>❺ Ingrédients  et quantités utilisées par l'Auteur</t>
  </si>
  <si>
    <t xml:space="preserve">Poids </t>
  </si>
  <si>
    <t>❾ % Perte par produit</t>
  </si>
  <si>
    <t>% Perte pour toute la recette</t>
  </si>
  <si>
    <t xml:space="preserve">% PERTE Total </t>
  </si>
  <si>
    <t>MAXI</t>
  </si>
  <si>
    <t>N °</t>
  </si>
  <si>
    <t>STOP</t>
  </si>
  <si>
    <t>Poids Perte</t>
  </si>
  <si>
    <t>Total Brut</t>
  </si>
  <si>
    <t>% perte</t>
  </si>
  <si>
    <t>Total Net</t>
  </si>
  <si>
    <t>Aide à la décision</t>
  </si>
  <si>
    <t>&lt;poids de votre portion en Gr</t>
  </si>
  <si>
    <t>avec le poids de la recette vous pourriez faire : Nb de portions &gt;</t>
  </si>
  <si>
    <t>&lt;   Total</t>
  </si>
  <si>
    <t xml:space="preserve">Nb de portions à saisir  en  ⓫ &gt;   &gt; </t>
  </si>
  <si>
    <t>Lien &gt;</t>
  </si>
  <si>
    <t>Voici quelques photos pour aider à estimer les quantités</t>
  </si>
  <si>
    <t>Visuellement, ça représente quoi 100 calories ?</t>
  </si>
  <si>
    <t>❻ POIDS A SAISIR EN Kg</t>
  </si>
  <si>
    <t>&lt; quel poids voudriez vous faire en Kg</t>
  </si>
  <si>
    <t>0,08 L</t>
  </si>
  <si>
    <t>compression de tourteau avocat tropical mangue acidulee, sorbet bergamote coriandre estragon</t>
  </si>
  <si>
    <t>http://etab.ac-poitiers.fr/lycee-hotelier-la-rochelle/spip.php?article64</t>
  </si>
  <si>
    <t xml:space="preserve"> Porter l'eau et le sucre à ébullition, y ajouter la moitié des herbes arômatiques et laisser infuser.</t>
  </si>
  <si>
    <t xml:space="preserve"> Passer le sirop au chinois afin de retirer les herbes et ajouter le sucre et le glucose.</t>
  </si>
  <si>
    <t xml:space="preserve"> Mélanger le sirop et la bergamote, ajouter le reste des herbes hachées</t>
  </si>
  <si>
    <t xml:space="preserve"> Turbiner.</t>
  </si>
  <si>
    <t xml:space="preserve"> Découper les feuilles,</t>
  </si>
  <si>
    <t xml:space="preserve"> Huiler et produire la forme voulue autour d'un cylindre de 55 mm de diamètre .</t>
  </si>
  <si>
    <t xml:space="preserve"> Cuire au four à 180°c.</t>
  </si>
  <si>
    <t>AgarAgar</t>
  </si>
  <si>
    <t xml:space="preserve"> Réaliser une gelée avec la purée de mangue, la purée de passion et l'agaragar. Détailler des disques.</t>
  </si>
  <si>
    <t xml:space="preserve"> Cuire les pinces de tourteau à la vapeur, refroidir et décortiquer.</t>
  </si>
  <si>
    <t xml:space="preserve"> Tailler l'avocat en brunoise, citronner, assaisonner, ajouter la coriandre hâchée et de l'échalote ciselée.</t>
  </si>
  <si>
    <t xml:space="preserve"> Tailler la mangue en brunoise. Ajouter du vinaigre de xérès.</t>
  </si>
  <si>
    <t xml:space="preserve"> Réaliser une mayonnaise bien moutardée et lier la chair de tourteau avec, assaisonner et pimenter.</t>
  </si>
  <si>
    <t xml:space="preserve"> Tailler le poireau en julienne, saler et mélanger à l'huile de curry.</t>
  </si>
  <si>
    <t xml:space="preserve"> Monter et presser dans des cylindres de rodhoïd de 55 mm de diamètre en couches successives en terminant par un disque de gelée. Durcir légèrement au grand froid, avant de décercler</t>
  </si>
  <si>
    <t xml:space="preserve"> Mélanger la purée de mangue et le vinaigre.</t>
  </si>
  <si>
    <t xml:space="preserve"> déposer les fleurs sur papier absorbant très humide, réserver au frais</t>
  </si>
  <si>
    <t>CHRISTIAN FRECHEDE  Lycée Hotelier de la Rochelle</t>
  </si>
  <si>
    <t>Huile de tournesol 5 cl (densité 0.8)</t>
  </si>
  <si>
    <t>N°3</t>
  </si>
  <si>
    <t>Huile d’olive 0.08 L  densité 0.08</t>
  </si>
  <si>
    <t>Huile de tournesol 0.25L densité 0.08</t>
  </si>
  <si>
    <t>Coriandre ¼ de botte</t>
  </si>
  <si>
    <t>N°4</t>
  </si>
  <si>
    <t>N°5</t>
  </si>
  <si>
    <t xml:space="preserve"> étirer deux cuillerées de mangue acidulée en respectant une dynamique rotative logique, </t>
  </si>
  <si>
    <t xml:space="preserve"> déposer la compression sur l’une d’elles, </t>
  </si>
  <si>
    <t xml:space="preserve">entourer de la tuile, </t>
  </si>
  <si>
    <t xml:space="preserve">terminer en intercalant les fleurs et le daikon cress dans les espaces. </t>
  </si>
  <si>
    <t>En accentuant la dynamique de spirale.</t>
  </si>
  <si>
    <t>densité = Eau 1 - lait entier 1.03 - lait 1/2 écrémé 1.015 - huile 0.92  - alcool 0.8</t>
  </si>
  <si>
    <t>pièce</t>
  </si>
  <si>
    <t>botte</t>
  </si>
  <si>
    <t xml:space="preserve"> Recette pour</t>
  </si>
  <si>
    <t>Assisonnement</t>
  </si>
  <si>
    <t xml:space="preserve">TOTAL POUR </t>
  </si>
  <si>
    <t>Recette pleine de fraîcheur mêlant le sucré et le salé et jouant avec les textures, les couleurs et les volumes.</t>
  </si>
  <si>
    <t xml:space="preserve"> La douceur de l'avocat se combine très bien avec le crabe épicé, la mangue apporte la fraîcheur et le disque de gelée manguepassion une certaine onctuosité teintée d'acidité.</t>
  </si>
  <si>
    <t xml:space="preserve"> La julienne de poireau au curry est légèrement croquante et s'ajoute à une tuile croustillante.</t>
  </si>
  <si>
    <t xml:space="preserve"> La bergamote alliée à la coriandre et à l'estragon apporte de la fraîcheur à l'assiette, tandis que le daikon apporte du piquant. </t>
  </si>
  <si>
    <t xml:space="preserve">Le tout est accompagné d'un coulis de mangue acidulé au vinaigre de xérès. </t>
  </si>
  <si>
    <t>Cette entrée annonce le printemps avec des couleurs acidulées. De plus, elle est facile à réaliser étant donné qu'elle induit peu de cuissons.</t>
  </si>
  <si>
    <t xml:space="preserve">Par ailleurs, son prix de revient est faible et peut générer un bon prix de vente, </t>
  </si>
  <si>
    <t>la disposition des différents éléments apportant une réelle valeur ajoutée. Il est à noter que les fleurs comestibles selon la saison de réalisation, pourront différer</t>
  </si>
  <si>
    <t xml:space="preserve"> Monter et presser dans des cylindres de rodhoïd de 55 mm de diamètre en couches successives en terminant par un disque de gelée. </t>
  </si>
  <si>
    <t>Durcir légèrement au grand froid, avant de décercler</t>
  </si>
  <si>
    <t xml:space="preserve"> étirer deux cuillerées de mangue acidulée en respectant une dynamique rotative logique,</t>
  </si>
  <si>
    <t>. En accentuant la dynamique de spirale.</t>
  </si>
  <si>
    <t xml:space="preserve">  déposer la compression sur l’une d’elles, entourer de la tuile, terminer en intercalant les fleurs et le daikon cress dans les espaces</t>
  </si>
  <si>
    <t/>
  </si>
  <si>
    <t>Modèle  A LA PORTION  avec des % de pertes (facultatif) - affichage en Kg pour collectivités   - 2 tableaux à imprimer Recette et Progression -  + 1 tableau de saisie   - Mode d'emploi cellule S 51</t>
  </si>
  <si>
    <t>&lt; vous pouvez supprimer cette ligne si elle n'est pas utile</t>
  </si>
  <si>
    <t>Nom de la recette à saisir colonne R</t>
  </si>
  <si>
    <t>? une pâtisserie est souvent composée de recettes filles  attachées à une recette Mère</t>
  </si>
  <si>
    <t>? Albert A VOUS DE SAISIR LE NOM DE L'AUTEUR colonne R</t>
  </si>
  <si>
    <t>N° de cellule</t>
  </si>
  <si>
    <t>POUR AUDITER LES FORMULES</t>
  </si>
  <si>
    <t>pour localiser la cellule correspondante cliquez sur l'onglet FORMULES</t>
  </si>
  <si>
    <t>puis sur la fonction Repérer les antécédants &gt;</t>
  </si>
  <si>
    <t>double cliquez sur la pointe de la flèche, cela vous enverra directement à l'emplacement de saisie</t>
  </si>
  <si>
    <t>conversion : grammes / kg</t>
  </si>
  <si>
    <t>A   -  SUR LA FEUILLE DE SAISIE</t>
  </si>
  <si>
    <t>Nom de la recette A SAISIR      cellule    &gt;</t>
  </si>
  <si>
    <t xml:space="preserve"> Constituant de quelle recette ?      cellule    &gt;</t>
  </si>
  <si>
    <t>? Albert A VOUS DE SAISIR LE NOM DE L'AUTEUR ICI      cellule    &gt;</t>
  </si>
  <si>
    <t>saisir le lien internet       cellule    &gt;</t>
  </si>
  <si>
    <t>conversion : Kg / grammes</t>
  </si>
  <si>
    <t xml:space="preserve">Pour retrouver la recette sur le net collez l'adresse </t>
  </si>
  <si>
    <t>N° de colonnes</t>
  </si>
  <si>
    <t>❺ Ingrédients  et quantités utilisées par l'Auteur      colonne    &gt;</t>
  </si>
  <si>
    <t xml:space="preserve">Coller les ingrédients de la recette </t>
  </si>
  <si>
    <t>Collage spécial valeurs pour respecter la mise en forme de la fiche</t>
  </si>
  <si>
    <t xml:space="preserve"> Exemple si j'avais "collé" : 7 Poulets labellisés PAC 1,4 kg</t>
  </si>
  <si>
    <t xml:space="preserve">&lt;  colonnes </t>
  </si>
  <si>
    <t>poulets</t>
  </si>
  <si>
    <t xml:space="preserve"> POIDS A SAISIR EN Kg      colonne    &gt;</t>
  </si>
  <si>
    <t xml:space="preserve"> l'Auteur à prévu sa recette pour combien de portions</t>
  </si>
  <si>
    <t>B   - SUR LE TABLEAU DES % DE PERTES</t>
  </si>
  <si>
    <t>saisissez votre % de perte pour toute la recette cellule</t>
  </si>
  <si>
    <t>OU ❾</t>
  </si>
  <si>
    <t xml:space="preserve">saisissez vos % de pertes par produit colonne </t>
  </si>
  <si>
    <t>C   - SUR LA RECETTE A IMPRIMER</t>
  </si>
  <si>
    <r>
      <t xml:space="preserve">supposons que </t>
    </r>
    <r>
      <rPr>
        <b/>
        <sz val="12"/>
        <color rgb="FFFF0000"/>
        <rFont val="Calibri"/>
        <family val="2"/>
        <scheme val="minor"/>
      </rPr>
      <t>SUR LE TABLEAU DE SAISIE</t>
    </r>
    <r>
      <rPr>
        <b/>
        <sz val="12"/>
        <color theme="1"/>
        <rFont val="Calibri"/>
        <family val="2"/>
        <scheme val="minor"/>
      </rPr>
      <t xml:space="preserve">   j'ai collé : 7 Poulets labellisés PAC 1,4 kg</t>
    </r>
  </si>
  <si>
    <t>ce libellé s'affiche aussi sur la fiche recette</t>
  </si>
  <si>
    <t>pour supprimer 7 et 1.4 Kg ; vous pouvez ressaisir DANS LA FICHE RECETTE  : Poulets labellisés PAC</t>
  </si>
  <si>
    <t>ce qui supprimera la liaison avec le tableau de saisie mais peu importe la lecture de la fiche sera plus claire</t>
  </si>
  <si>
    <t>Conservez 7 Poulets labellisés PAC 1,4 kg dans le tableau de saisie ce qui vous permet de controler les quantités</t>
  </si>
  <si>
    <t>vous voulez dupliquer la recette pour combien de portions</t>
  </si>
  <si>
    <t>CHOISISSEZ VOTRE AFFICHAGE</t>
  </si>
  <si>
    <t>⓬ Edition au choix : 1=Recette de l'Auteur  /2=1 moins pertes / 3=Net à servir</t>
  </si>
  <si>
    <t>1=Recette de l'Auteur sans % de pertes</t>
  </si>
  <si>
    <t>2 = Recette de l'Auteur moins les % de pertes que vous avez saisis</t>
  </si>
  <si>
    <t>le poids brut est constant le poids net est diminué</t>
  </si>
  <si>
    <t>3 = Recette de l'Auteur plus les % de pertes que vous avez saisis</t>
  </si>
  <si>
    <t>le poids net est constant le poids brut est augmenté</t>
  </si>
  <si>
    <t>Pour supprimer l'affichage des zéro sur la fiche cliquez sur : FICHIER &gt; Option &gt; Options avancées &gt;</t>
  </si>
  <si>
    <t xml:space="preserve"> décocher Afficher un zéro dans les cellules qui ont une valeur nulle</t>
  </si>
  <si>
    <t>D   -  SUR LA FEUILLE DE SAISIE</t>
  </si>
  <si>
    <t>poids de votre portion en Gr</t>
  </si>
  <si>
    <t>AVANT D'IMPRIMER : SUPPRIMEZ LES LIGNES NON UTILISÉES</t>
  </si>
  <si>
    <t>RÉCAP A LA PORTION</t>
  </si>
  <si>
    <t>Pour coller une liste d'ingrédients : collage spécial Valeurs pour respecter la mise en forme</t>
  </si>
  <si>
    <t>❹ Ingrédients</t>
  </si>
  <si>
    <t>❹ Unités</t>
  </si>
  <si>
    <t>❹ Quoi</t>
  </si>
  <si>
    <t>❺ Poids/un</t>
  </si>
  <si>
    <t>❻ Recette de l'Auteur prévue pour</t>
  </si>
  <si>
    <t>❼ a dupliquer pour</t>
  </si>
  <si>
    <t>❽ Prix HT</t>
  </si>
  <si>
    <t>❾ Assaisonnement</t>
  </si>
  <si>
    <t>Pour remplir et utiliser la fiche : suivre la numérotation de ❶ à ❼ le ❽ et ❾ sont facultatifs</t>
  </si>
  <si>
    <t>❺ Poids/un = UNITAIRE exp : 3 œufs de 50 g</t>
  </si>
  <si>
    <t>❿ LIEN</t>
  </si>
  <si>
    <t>❿ LIEN internet pour retrouver l'Auteur de la recette</t>
  </si>
  <si>
    <t>avocat</t>
  </si>
  <si>
    <t>citron</t>
  </si>
  <si>
    <t>jaune</t>
  </si>
  <si>
    <t>mangue</t>
  </si>
  <si>
    <t>FICHE A LA PORTION</t>
  </si>
  <si>
    <t>NE PAS SUPPRIMER CES DEUX COLONNES IL Y A UN TABLEAU PLUS BAS</t>
  </si>
  <si>
    <t>MODE D'EMPLOI Modèle  A LA PORTION  avec des % de pertes (facultatif)</t>
  </si>
  <si>
    <t>N°6</t>
  </si>
  <si>
    <t>Base de données N° de Lignes</t>
  </si>
  <si>
    <t>Lot :</t>
  </si>
  <si>
    <t>Liste de quelques produits</t>
  </si>
  <si>
    <t>Nombre de Lignes</t>
  </si>
  <si>
    <t>Colonne C</t>
  </si>
  <si>
    <t>MERCURIALE POUR RESTAURATEUR</t>
  </si>
  <si>
    <t>Date</t>
  </si>
  <si>
    <t>ECONOMAT -ECO</t>
  </si>
  <si>
    <t>POISSON - POI</t>
  </si>
  <si>
    <t>LEGUMERIE - LEG</t>
  </si>
  <si>
    <t>CAVE - CAV</t>
  </si>
  <si>
    <t>FRUITS - FRU</t>
  </si>
  <si>
    <t>B.O.F. - BOF</t>
  </si>
  <si>
    <t>SURGELÉS - SUR</t>
  </si>
  <si>
    <t>VIANDE/VOLAILLES - VIV</t>
  </si>
  <si>
    <t>FAMILLE DE PRODUITS</t>
  </si>
  <si>
    <t>Poids unitaire</t>
  </si>
  <si>
    <t>Conditionnement de vente</t>
  </si>
  <si>
    <t>Quantité approximative annuelle</t>
  </si>
  <si>
    <t>Quoi ?</t>
  </si>
  <si>
    <t>Prix HT/Kg litre ou Pièce</t>
  </si>
  <si>
    <t>Montant estimatif hors TVA</t>
  </si>
  <si>
    <t>Kg litre ou Pièce</t>
  </si>
  <si>
    <t>LEG</t>
  </si>
  <si>
    <t>ECO</t>
  </si>
  <si>
    <t>FRU</t>
  </si>
  <si>
    <t>BOF</t>
  </si>
  <si>
    <t>SUR</t>
  </si>
  <si>
    <t>VIV</t>
  </si>
  <si>
    <t>POI</t>
  </si>
  <si>
    <t>CAV</t>
  </si>
  <si>
    <t>à vous de saisir vos Quantité approximative annuelle</t>
  </si>
  <si>
    <t>n'oubliez pas d'actualiser les prix</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</si>
  <si>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</si>
  <si>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</si>
  <si>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</si>
  <si>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</si>
  <si>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</si>
  <si>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</si>
  <si>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</si>
  <si>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</si>
  <si>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</si>
  <si>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</si>
  <si>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</si>
  <si>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</si>
  <si>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</si>
  <si>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</si>
  <si>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</si>
  <si>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</si>
  <si>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</si>
  <si>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</si>
  <si>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</si>
  <si>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</si>
  <si>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</si>
  <si>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</si>
  <si>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</si>
  <si>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</si>
  <si>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</si>
  <si>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</si>
  <si>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</si>
  <si>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</si>
  <si>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</si>
  <si>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</si>
  <si>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</si>
  <si>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</si>
  <si>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</si>
  <si>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</si>
  <si>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</si>
  <si>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</si>
  <si>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</si>
  <si>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</si>
  <si>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</si>
  <si>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</si>
  <si>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</si>
  <si>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</si>
  <si>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</si>
  <si>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</si>
  <si>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</si>
  <si>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</si>
  <si>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</si>
  <si>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</si>
  <si>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</si>
  <si>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</si>
  <si>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</si>
  <si>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</si>
  <si>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</si>
  <si>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</si>
  <si>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</si>
  <si>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</si>
  <si>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</si>
  <si>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</si>
  <si>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</si>
  <si>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</si>
  <si>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</si>
  <si>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</si>
  <si>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</si>
  <si>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</si>
  <si>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</si>
  <si>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</si>
  <si>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</si>
  <si>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</si>
  <si>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</si>
  <si>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</si>
  <si>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</si>
  <si>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</si>
  <si>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</si>
  <si>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</si>
  <si>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</si>
  <si>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</si>
  <si>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</si>
  <si>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</si>
  <si>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</si>
  <si>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</si>
  <si>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</si>
  <si>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</si>
  <si>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</si>
  <si>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</si>
  <si>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</si>
  <si>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</si>
  <si>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</si>
  <si>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</si>
  <si>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</si>
  <si>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</si>
  <si>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</si>
  <si>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</si>
  <si>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</si>
  <si>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</si>
  <si>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</si>
  <si>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</si>
  <si>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</si>
  <si>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</si>
  <si>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</si>
  <si>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</si>
  <si>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</si>
  <si>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</si>
  <si>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</si>
  <si>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</si>
  <si>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</si>
  <si>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</si>
  <si>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</si>
  <si>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</si>
  <si>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</si>
  <si>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</si>
  <si>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</si>
  <si>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</si>
  <si>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</si>
  <si>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</si>
  <si>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</si>
  <si>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</si>
  <si>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</si>
  <si>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</si>
  <si>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</si>
  <si>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</si>
  <si>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</si>
  <si>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</si>
  <si>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</si>
  <si>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</si>
  <si>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</si>
  <si>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</si>
  <si>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</si>
  <si>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</si>
  <si>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</si>
  <si>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</si>
  <si>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</si>
  <si>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</si>
  <si>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</si>
  <si>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</si>
  <si>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</si>
  <si>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</si>
  <si>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</si>
  <si>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</si>
  <si>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</si>
  <si>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</si>
  <si>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</si>
  <si>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</si>
  <si>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</si>
  <si>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</si>
  <si>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</si>
  <si>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</si>
  <si>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</si>
  <si>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</si>
  <si>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</si>
  <si>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</si>
  <si>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</si>
  <si>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</si>
  <si>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</si>
  <si>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</si>
  <si>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</si>
  <si>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</si>
  <si>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</si>
  <si>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</si>
  <si>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</si>
  <si>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</si>
  <si>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</si>
  <si>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</si>
  <si>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</si>
  <si>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</si>
  <si>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</si>
  <si>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</si>
  <si>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</si>
  <si>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</si>
  <si>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</si>
  <si>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</si>
  <si>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</si>
  <si>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</si>
  <si>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</si>
  <si>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</si>
  <si>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</si>
  <si>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</si>
  <si>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</si>
  <si>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</si>
  <si>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</si>
  <si>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</si>
  <si>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</si>
  <si>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</si>
  <si>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</si>
  <si>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</si>
  <si>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</si>
  <si>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</si>
  <si>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</si>
  <si>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</si>
  <si>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</si>
  <si>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</si>
  <si>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</si>
  <si>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</si>
  <si>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</si>
  <si>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</si>
  <si>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</si>
  <si>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</si>
  <si>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</si>
  <si>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</si>
  <si>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</si>
  <si>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</si>
  <si>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</si>
  <si>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</si>
  <si>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</si>
  <si>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</si>
  <si>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</si>
  <si>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</si>
  <si>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</si>
  <si>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</si>
  <si>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</si>
  <si>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</si>
  <si>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</si>
  <si>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</si>
  <si>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</si>
  <si>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</si>
  <si>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</si>
  <si>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</si>
  <si>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</si>
  <si>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</si>
  <si>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</si>
  <si>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</si>
  <si>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</si>
  <si>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</si>
  <si>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</si>
  <si>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</si>
  <si>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</si>
  <si>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</si>
  <si>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</si>
  <si>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</si>
  <si>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</si>
  <si>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</si>
  <si>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</si>
  <si>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</si>
  <si>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</si>
  <si>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</si>
  <si>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</si>
  <si>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</si>
  <si>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</si>
  <si>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</si>
  <si>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</si>
  <si>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</si>
  <si>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</si>
  <si>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</si>
  <si>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</si>
  <si>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</si>
  <si>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</si>
  <si>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</si>
  <si>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</si>
  <si>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</si>
  <si>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</si>
  <si>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</si>
  <si>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</si>
  <si>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</si>
  <si>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</si>
  <si>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</si>
  <si>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</si>
  <si>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</si>
  <si>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</si>
  <si>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</si>
  <si>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</si>
  <si>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</si>
  <si>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</si>
  <si>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</si>
  <si>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</si>
  <si>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</si>
  <si>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</si>
  <si>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</si>
  <si>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</si>
  <si>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</si>
  <si>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</si>
  <si>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</si>
  <si>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</si>
  <si>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</si>
  <si>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</si>
  <si>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</si>
  <si>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</si>
  <si>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</si>
  <si>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</si>
  <si>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</si>
  <si>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</si>
  <si>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</si>
  <si>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</si>
  <si>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</si>
  <si>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</si>
  <si>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</si>
  <si>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</si>
  <si>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</si>
  <si>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</si>
  <si>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</si>
  <si>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</si>
  <si>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</si>
  <si>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</si>
  <si>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</si>
  <si>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</si>
  <si>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</si>
  <si>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ø</t>
  </si>
  <si>
    <t>►</t>
  </si>
  <si>
    <t>◄</t>
  </si>
  <si>
    <t>▲</t>
  </si>
  <si>
    <t>▼</t>
  </si>
  <si>
    <t>Φ</t>
  </si>
  <si>
    <t>des fonctions</t>
  </si>
  <si>
    <t>Format | cellule | personnalisé | 0" cm³"</t>
  </si>
  <si>
    <t>ou copier-coller</t>
  </si>
  <si>
    <t>²</t>
  </si>
  <si>
    <t>Police Wingdings 3</t>
  </si>
  <si>
    <t>Adresse colonne</t>
  </si>
  <si>
    <t>³</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</si>
  <si>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</si>
  <si>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</si>
  <si>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</si>
  <si>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</si>
  <si>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</si>
  <si>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NOM DE VOTRE RESTAURANT  ICI…Liste de quelques produits</t>
  </si>
  <si>
    <r>
      <t xml:space="preserve"> Tableau de saisie   colonnes U à AI    </t>
    </r>
    <r>
      <rPr>
        <i/>
        <sz val="36"/>
        <rFont val="Calibri"/>
        <family val="2"/>
        <scheme val="minor"/>
      </rPr>
      <t>ne pas imprimer</t>
    </r>
  </si>
  <si>
    <r>
      <t>Tableau recette  à imprimer</t>
    </r>
    <r>
      <rPr>
        <i/>
        <sz val="26"/>
        <color indexed="62"/>
        <rFont val="Calibri"/>
        <family val="2"/>
        <scheme val="minor"/>
      </rPr>
      <t xml:space="preserve">   colonnes A à R  </t>
    </r>
  </si>
  <si>
    <r>
      <t>Tableau O.R.T.  à imprimer</t>
    </r>
    <r>
      <rPr>
        <i/>
        <sz val="26"/>
        <color indexed="62"/>
        <rFont val="Calibri"/>
        <family val="2"/>
        <scheme val="minor"/>
      </rPr>
      <t xml:space="preserve">   colonnes A à R à partir de la ligne 70 </t>
    </r>
  </si>
  <si>
    <r>
      <t xml:space="preserve"> Tableau de saisie   colonnes Q à AE    </t>
    </r>
    <r>
      <rPr>
        <i/>
        <sz val="36"/>
        <rFont val="Calibri"/>
        <family val="2"/>
        <scheme val="minor"/>
      </rPr>
      <t>ne pas imprimer</t>
    </r>
  </si>
  <si>
    <r>
      <t>Tableau recette  à imprimer</t>
    </r>
    <r>
      <rPr>
        <i/>
        <sz val="26"/>
        <color indexed="62"/>
        <rFont val="Calibri"/>
        <family val="2"/>
        <scheme val="minor"/>
      </rPr>
      <t xml:space="preserve">   colonnes A à N </t>
    </r>
  </si>
  <si>
    <t>https://www.facebook.com/pages/category/High-School/L-actualit%C3%A9-du-lyc%C3%A9e-h%C3%B4telier-de-Tahiti-366087313529039/</t>
  </si>
  <si>
    <t>http://www.lh2t.com/</t>
  </si>
  <si>
    <t>pineau rouge</t>
  </si>
  <si>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</si>
  <si>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</si>
  <si>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</si>
  <si>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</si>
  <si>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</si>
  <si>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</si>
  <si>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</si>
  <si>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</si>
  <si>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</si>
  <si>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</si>
  <si>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</si>
  <si>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</si>
  <si>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</si>
  <si>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</si>
  <si>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</si>
  <si>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</si>
  <si>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</si>
  <si>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</si>
  <si>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</si>
  <si>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</si>
  <si>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</si>
  <si>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</si>
  <si>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</si>
  <si>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</si>
  <si>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</si>
  <si>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</si>
  <si>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CHRISTIAN FRECHEDE  Lycée Hotelier de la Rochelle et de Tahiti en 2020</t>
  </si>
  <si>
    <t>Mode emploi du modèle FF.8.A.Restauration "de Christian Frechede" Lycée hotelier de la Rochelle</t>
  </si>
  <si>
    <t>Christian Frechede est parti enseigner au soleil-Bienvenue sur le site du Lycée Hôtelier &amp; Tourisme de Tahiti</t>
  </si>
  <si>
    <t>Modèle 8.A - NOM DU PLAT</t>
  </si>
  <si>
    <t>FF.8.A.Restauration, mis à jour le 13/08/2020 </t>
  </si>
  <si>
    <t>Comme le  modèle 8.A  mais avec 2 tableaux seulement dont 1 seul à imprimer</t>
  </si>
  <si>
    <t>Mode emploi du modèle 8.B.Restauration "de Christian Frechede" Lycée hotelier de la Rochelle</t>
  </si>
  <si>
    <t>FF.8.B.Restauration, mis à jour le 13/08/2020 </t>
  </si>
  <si>
    <t>Modèle 8.B - NOM DU PLAT</t>
  </si>
  <si>
    <t>A  dupliquer pour :</t>
  </si>
  <si>
    <t>DOCUMENT ORIGINAL ne pas supprimer (en liaison avec la fiche précédente)</t>
  </si>
  <si>
    <t>A VOUS D'ADAPTER LA NUMÉROTATION</t>
  </si>
  <si>
    <t>TABLEAU RÉSERVÉ A LA SAISIE</t>
  </si>
  <si>
    <t>Saisissez votre texte ICI</t>
  </si>
  <si>
    <t>ET LES COULEURS DES LIGNES DANS LA RECETTE</t>
  </si>
  <si>
    <t>SAISISSEZ VOTRE PROGRESSION ICI</t>
  </si>
  <si>
    <t>NOM DU PLAT  à saisir cellule O2</t>
  </si>
  <si>
    <t>&lt;  Vous avez prévu votre recette pour combien de couverts</t>
  </si>
  <si>
    <t>A VOUS DE SAISIR LE TEXTE ET LES QUANTITÉS QUI VOUS CONVIENNENT DANS CE TABLEAU toutes les cellules sont liées avec le tableau précédent à imprimer si vous le souhaitez</t>
  </si>
  <si>
    <t>Vous pouvez supprimer cette ligne pour raccourcir le tableau</t>
  </si>
  <si>
    <t>Recette 1</t>
  </si>
  <si>
    <t>Recette 2</t>
  </si>
  <si>
    <t>Recette 3</t>
  </si>
  <si>
    <t>Ne supprimez pas cette ligne</t>
  </si>
  <si>
    <t>Mode emploi du modèle FF.8.A</t>
  </si>
  <si>
    <t>Modèle 8.A</t>
  </si>
  <si>
    <t>Mode emploi du modèle 8.B</t>
  </si>
  <si>
    <t>Modèle 8.B</t>
  </si>
  <si>
    <t>Modèle 8.C</t>
  </si>
  <si>
    <t xml:space="preserve"> NIKUJYAGA (pot au feu de bœuf, Japonais)   </t>
  </si>
  <si>
    <t xml:space="preserve">SOUPE MISO DE VOLAILLE ET DAURADE SASHIMI    </t>
  </si>
  <si>
    <t>PiGEONNEAU EN TROIS FACONS Tomate confite et Pommes bouchons</t>
  </si>
  <si>
    <t>Mode d'emploi de la fiche sorbet bergamote</t>
  </si>
  <si>
    <t xml:space="preserve">Formats - Formules - Poucentages - Cuisiniers : PESEZ </t>
  </si>
  <si>
    <t>Contenants Gastronormes  Estimation des contenants</t>
  </si>
  <si>
    <t>VOCABULAIRE PROFESSIONNEL</t>
  </si>
  <si>
    <t>Codes couleurs Palette de couleurs, Excel</t>
  </si>
  <si>
    <t>CONTENU DU CLASSEUR de Christian FRECHÈDE</t>
  </si>
  <si>
    <t>Trouver les liens externes d’un classeur</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</si>
  <si>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</si>
  <si>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</si>
  <si>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</si>
  <si>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</si>
  <si>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</si>
  <si>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</si>
  <si>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</si>
  <si>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</si>
  <si>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</si>
  <si>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</si>
  <si>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</si>
  <si>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</si>
  <si>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</si>
  <si>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</si>
  <si>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</si>
  <si>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</si>
  <si>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</si>
  <si>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supprimer les #N/A et les #DIV/0! d'un tableau Excel</t>
  </si>
  <si>
    <t>https://www.youtube.com/watch?v=YfGrccEQGKk</t>
  </si>
  <si>
    <t>https://www.youtube.com/watch?v=li4XNespLxg</t>
  </si>
  <si>
    <t>de documents mis sur le net par des passionnés</t>
  </si>
  <si>
    <t>FF= Fiches de fabrication</t>
  </si>
  <si>
    <t xml:space="preserve">Modèles FF-8 </t>
  </si>
  <si>
    <t>Restauration Christian Frechède</t>
  </si>
  <si>
    <t>Convertissez  les volumes en poids sur la base de 1L = 1Kg  et le nombre de pièces en Kg</t>
  </si>
  <si>
    <t>Saisissez votre nombre d'unité (encre rouge)- Modifiez le poids unitaire (encre bleue) s'il n'est pas excact</t>
  </si>
  <si>
    <t>N°</t>
  </si>
  <si>
    <t>Produits</t>
  </si>
  <si>
    <t>Nb d'unités</t>
  </si>
  <si>
    <t>Poids Brut</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</si>
  <si>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</si>
  <si>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</si>
  <si>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</si>
  <si>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</si>
  <si>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</si>
  <si>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</si>
  <si>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</si>
  <si>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</si>
  <si>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</si>
  <si>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</si>
  <si>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</si>
  <si>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</si>
  <si>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</si>
  <si>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</si>
  <si>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</si>
  <si>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</si>
  <si>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</si>
  <si>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</si>
  <si>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</si>
  <si>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</si>
  <si>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</si>
  <si>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</si>
  <si>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</si>
  <si>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</si>
  <si>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</si>
  <si>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</si>
  <si>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</si>
  <si>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</si>
  <si>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</si>
  <si>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</si>
  <si>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</si>
  <si>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</si>
  <si>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</si>
  <si>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</si>
  <si>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</si>
  <si>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</si>
  <si>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</si>
  <si>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</si>
  <si>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</si>
  <si>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</si>
  <si>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</si>
  <si>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</si>
  <si>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</si>
  <si>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</si>
  <si>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</si>
  <si>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</si>
  <si>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</si>
  <si>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</si>
  <si>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</si>
  <si>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</si>
  <si>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</si>
  <si>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</si>
  <si>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</si>
  <si>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</si>
  <si>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</si>
  <si>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</si>
  <si>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</si>
  <si>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</si>
  <si>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</si>
  <si>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</si>
  <si>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</si>
  <si>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</si>
  <si>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</si>
  <si>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</si>
  <si>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</si>
  <si>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</si>
  <si>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</si>
  <si>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</si>
  <si>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</si>
  <si>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</si>
  <si>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</si>
  <si>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</si>
  <si>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</si>
  <si>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</si>
  <si>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</si>
  <si>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</si>
  <si>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Cacao Tasse thé de 15 cl</t>
  </si>
  <si>
    <t>Œufs 1 douzaine</t>
  </si>
  <si>
    <t>Tapioca Tasse thé de 15 cl</t>
  </si>
  <si>
    <t>Canard vidé</t>
  </si>
  <si>
    <t>Œufs blanc d'</t>
  </si>
  <si>
    <t>Thon boite 1/10</t>
  </si>
  <si>
    <t>Carotte moyenne</t>
  </si>
  <si>
    <t>Œufs entiers</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</si>
  <si>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</si>
  <si>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</si>
  <si>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</si>
  <si>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</si>
  <si>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</si>
  <si>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</si>
  <si>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</si>
  <si>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</si>
  <si>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</si>
  <si>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</si>
  <si>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</si>
  <si>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</si>
  <si>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</si>
  <si>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</si>
  <si>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</si>
  <si>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</si>
  <si>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</si>
  <si>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Tomate moyenne</t>
  </si>
  <si>
    <t>Clémentine</t>
  </si>
  <si>
    <t>Pamplemousse</t>
  </si>
  <si>
    <t>Tomate petite</t>
  </si>
  <si>
    <t>Colin</t>
  </si>
  <si>
    <t>Pêche</t>
  </si>
  <si>
    <t>Truite portion</t>
  </si>
  <si>
    <t>Pied veau</t>
  </si>
  <si>
    <t>Turbot</t>
  </si>
  <si>
    <t>Coquillette Verre de 20 cl</t>
  </si>
  <si>
    <t>Poireau beau</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</si>
  <si>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</si>
  <si>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</si>
  <si>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</si>
  <si>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</si>
  <si>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</si>
  <si>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</si>
  <si>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</si>
  <si>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</si>
  <si>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</si>
  <si>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</si>
  <si>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</si>
  <si>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</si>
  <si>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</si>
  <si>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</si>
  <si>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</si>
  <si>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</si>
  <si>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</si>
  <si>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</si>
  <si>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</si>
  <si>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</si>
  <si>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</si>
  <si>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</si>
  <si>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</si>
  <si>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</si>
  <si>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</si>
  <si>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</si>
  <si>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</si>
  <si>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</si>
  <si>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</si>
  <si>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</si>
  <si>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</si>
  <si>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</si>
  <si>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</si>
  <si>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</si>
  <si>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</si>
  <si>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</si>
  <si>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</si>
  <si>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</si>
  <si>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</si>
  <si>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</si>
  <si>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</si>
  <si>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</si>
  <si>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</si>
  <si>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</si>
  <si>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</si>
  <si>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</si>
  <si>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</si>
  <si>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</si>
  <si>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Convertissez  les volumes en poids</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</si>
  <si>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</si>
  <si>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</si>
  <si>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</si>
  <si>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</si>
  <si>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</si>
  <si>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</si>
  <si>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</si>
  <si>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</si>
  <si>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</si>
  <si>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</si>
  <si>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</si>
  <si>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</si>
  <si>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</si>
  <si>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</si>
  <si>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</si>
  <si>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</si>
  <si>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</si>
  <si>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</si>
  <si>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</si>
  <si>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</si>
  <si>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</si>
  <si>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</si>
  <si>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</si>
  <si>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</si>
  <si>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</si>
  <si>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</si>
  <si>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</si>
  <si>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</si>
  <si>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</si>
  <si>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</si>
  <si>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</si>
  <si>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</si>
  <si>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</si>
  <si>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</si>
  <si>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</si>
  <si>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</si>
  <si>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</si>
  <si>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</si>
  <si>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</si>
  <si>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</si>
  <si>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</si>
  <si>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</si>
  <si>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</si>
  <si>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</si>
  <si>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</si>
  <si>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</si>
  <si>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</si>
  <si>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</si>
  <si>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</si>
  <si>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</si>
  <si>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</si>
  <si>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</si>
  <si>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</si>
  <si>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</si>
  <si>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</si>
  <si>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</si>
  <si>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</si>
  <si>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</si>
  <si>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</si>
  <si>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</si>
  <si>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</si>
  <si>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</si>
  <si>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</si>
  <si>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http://www.mdf-xlpages.com/modules/publisher/item.php?itemid=91</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</si>
  <si>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</si>
  <si>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</si>
  <si>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</si>
  <si>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</si>
  <si>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</si>
  <si>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</si>
  <si>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</si>
  <si>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</si>
  <si>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</si>
  <si>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</si>
  <si>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</si>
  <si>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</si>
  <si>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</si>
  <si>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</si>
  <si>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</si>
  <si>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</si>
  <si>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</si>
  <si>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</si>
  <si>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</si>
  <si>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</si>
  <si>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</si>
  <si>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</si>
  <si>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</si>
  <si>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</si>
  <si>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</si>
  <si>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</si>
  <si>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</si>
  <si>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</si>
  <si>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</si>
  <si>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</si>
  <si>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</si>
  <si>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</si>
  <si>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</si>
  <si>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</si>
  <si>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</si>
  <si>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</si>
  <si>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</si>
  <si>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</si>
  <si>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</si>
  <si>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</si>
  <si>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</si>
  <si>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</si>
  <si>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</si>
  <si>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</si>
  <si>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</si>
  <si>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</si>
  <si>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</si>
  <si>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</si>
  <si>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</si>
  <si>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</si>
  <si>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</si>
  <si>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</si>
  <si>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</si>
  <si>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</si>
  <si>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</si>
  <si>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</si>
  <si>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</si>
  <si>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</si>
  <si>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</si>
  <si>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</si>
  <si>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</si>
  <si>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</si>
  <si>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</si>
  <si>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</si>
  <si>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</si>
  <si>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</si>
  <si>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</si>
  <si>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</si>
  <si>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</si>
  <si>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 xml:space="preserve"> &gt;</t>
  </si>
  <si>
    <t>Joël LEBOUCHER …UPRT adhérent au réseau Restau'Co</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</si>
  <si>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</si>
  <si>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</si>
  <si>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</si>
  <si>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</si>
  <si>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</si>
  <si>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</si>
  <si>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</si>
  <si>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</si>
  <si>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</si>
  <si>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</si>
  <si>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</si>
  <si>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</si>
  <si>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</si>
  <si>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</si>
  <si>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</si>
  <si>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</si>
  <si>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</si>
  <si>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</si>
  <si>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</si>
  <si>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</si>
  <si>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</si>
  <si>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</si>
  <si>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</si>
  <si>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</si>
  <si>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</si>
  <si>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</si>
  <si>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</si>
  <si>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</si>
  <si>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</si>
  <si>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</si>
  <si>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</si>
  <si>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</si>
  <si>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</si>
  <si>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</si>
  <si>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</si>
  <si>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</si>
  <si>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</si>
  <si>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</si>
  <si>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</si>
  <si>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</si>
  <si>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</si>
  <si>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</si>
  <si>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</si>
  <si>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</si>
  <si>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</si>
  <si>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</si>
  <si>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</si>
  <si>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</si>
  <si>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ATTENTION : les saisies des poids unitaires se font en gramme</t>
  </si>
  <si>
    <t>❹ ingrédients</t>
  </si>
  <si>
    <t>pour 1.050Kg  saisissez 1050 la cellule est formatée pour ajouter g</t>
  </si>
  <si>
    <t>bœuf</t>
  </si>
  <si>
    <t>veau</t>
  </si>
  <si>
    <t>le poids UNITAIRE pour les RECETTES AU POIDS est indispensable</t>
  </si>
  <si>
    <t>(pas le poids des 2 œufs "100g" mais le poids d'UN œuf de 50g par exemple)</t>
  </si>
  <si>
    <t>Œufs de 50 g</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</si>
  <si>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</si>
  <si>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</si>
  <si>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</si>
  <si>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</si>
  <si>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 xml:space="preserve">si vous saisissez 2 œufs c'est possible; mais pas dans la même colonne cela fausserait le poids total </t>
  </si>
  <si>
    <t>Excel calculera 2 comme 2 Kg</t>
  </si>
  <si>
    <t>donc pour les produits à l'unité saisissez vos valeurs dans la première colonne</t>
  </si>
  <si>
    <t>FORMATS POUR LES FICHES AU Kg</t>
  </si>
  <si>
    <t>rapportez tout au Kg = 0,400 Kg de viande</t>
  </si>
  <si>
    <t>C/C</t>
  </si>
  <si>
    <t>vinaigre</t>
  </si>
  <si>
    <t>pincée</t>
  </si>
  <si>
    <t>branche</t>
  </si>
  <si>
    <t>pied</t>
  </si>
  <si>
    <t>pied de veau</t>
  </si>
  <si>
    <t>les ¼ de botte de fines herbes en 0,25 les demi = 0.5 les 3/4 = 0.75</t>
  </si>
  <si>
    <t xml:space="preserve"> idem pour les feuilles de gélatine les pieds de veau -les feuilles de basilic etc….</t>
  </si>
  <si>
    <t>cuillère/Café</t>
  </si>
  <si>
    <t>fines herbes</t>
  </si>
  <si>
    <t>C/P</t>
  </si>
  <si>
    <t>cuillère/Potage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</si>
  <si>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</si>
  <si>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</si>
  <si>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</si>
  <si>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</si>
  <si>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</si>
  <si>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</si>
  <si>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</si>
  <si>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</si>
  <si>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</si>
  <si>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</si>
  <si>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</si>
  <si>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</si>
  <si>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</si>
  <si>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</si>
  <si>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</si>
  <si>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</si>
  <si>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</si>
  <si>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</si>
  <si>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</si>
  <si>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</si>
  <si>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</si>
  <si>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</si>
  <si>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</si>
  <si>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</si>
  <si>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</si>
  <si>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</si>
  <si>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</si>
  <si>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</si>
  <si>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</si>
  <si>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</si>
  <si>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</si>
  <si>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</si>
  <si>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</si>
  <si>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</si>
  <si>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</si>
  <si>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</si>
  <si>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</si>
  <si>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</si>
  <si>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</si>
  <si>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</si>
  <si>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</si>
  <si>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</si>
  <si>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</si>
  <si>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</si>
  <si>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</si>
  <si>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</si>
  <si>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</si>
  <si>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</si>
  <si>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</si>
  <si>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</si>
  <si>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</si>
  <si>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</si>
  <si>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</si>
  <si>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</si>
  <si>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</si>
  <si>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</si>
  <si>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</si>
  <si>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</si>
  <si>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</si>
  <si>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</si>
  <si>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</si>
  <si>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</si>
  <si>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</si>
  <si>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</si>
  <si>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</si>
  <si>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</si>
  <si>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</si>
  <si>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</si>
  <si>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</si>
  <si>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</si>
  <si>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</si>
  <si>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</si>
  <si>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</si>
  <si>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</si>
  <si>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</si>
  <si>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</si>
  <si>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</si>
  <si>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</si>
  <si>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</si>
  <si>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</si>
  <si>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</si>
  <si>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</si>
  <si>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</si>
  <si>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</si>
  <si>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</si>
  <si>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</si>
  <si>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</si>
  <si>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</si>
  <si>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</si>
  <si>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</si>
  <si>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</si>
  <si>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</si>
  <si>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</si>
  <si>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</si>
  <si>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</si>
  <si>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</si>
  <si>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</si>
  <si>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</si>
  <si>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</si>
  <si>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</si>
  <si>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</si>
  <si>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</si>
  <si>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</si>
  <si>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</si>
  <si>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</si>
  <si>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</si>
  <si>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</si>
  <si>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</si>
  <si>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</si>
  <si>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</si>
  <si>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</si>
  <si>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</si>
  <si>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</si>
  <si>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</si>
  <si>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</si>
  <si>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</si>
  <si>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</si>
  <si>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</si>
  <si>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</si>
  <si>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</si>
  <si>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</si>
  <si>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</si>
  <si>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</si>
  <si>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</si>
  <si>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</si>
  <si>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</si>
  <si>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</si>
  <si>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</si>
  <si>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</si>
  <si>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</si>
  <si>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</si>
  <si>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</si>
  <si>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</si>
  <si>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</si>
  <si>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</si>
  <si>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</si>
  <si>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</si>
  <si>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</si>
  <si>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</si>
  <si>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</si>
  <si>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</si>
  <si>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</si>
  <si>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</si>
  <si>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</si>
  <si>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</si>
  <si>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</si>
  <si>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</si>
  <si>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</si>
  <si>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</si>
  <si>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</si>
  <si>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</si>
  <si>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</si>
  <si>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</si>
  <si>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</si>
  <si>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</si>
  <si>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</si>
  <si>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</si>
  <si>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</si>
  <si>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</si>
  <si>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</si>
  <si>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</si>
  <si>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</si>
  <si>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</si>
  <si>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</si>
  <si>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</si>
  <si>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</si>
  <si>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</si>
  <si>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</si>
  <si>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</si>
  <si>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</si>
  <si>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</si>
  <si>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</si>
  <si>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</si>
  <si>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</si>
  <si>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</si>
  <si>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</si>
  <si>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</si>
  <si>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</si>
  <si>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</si>
  <si>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</si>
  <si>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</si>
  <si>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</si>
  <si>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</si>
  <si>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</si>
  <si>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</si>
  <si>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</si>
  <si>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</si>
  <si>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</si>
  <si>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</si>
  <si>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</si>
  <si>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</si>
  <si>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</si>
  <si>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</si>
  <si>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</si>
  <si>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</si>
  <si>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</si>
  <si>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</si>
  <si>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</si>
  <si>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</si>
  <si>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</si>
  <si>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</si>
  <si>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</si>
  <si>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</si>
  <si>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</si>
  <si>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</si>
  <si>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</si>
  <si>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</si>
  <si>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</si>
  <si>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</si>
  <si>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</si>
  <si>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</si>
  <si>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</si>
  <si>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</si>
  <si>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</si>
  <si>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</si>
  <si>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</si>
  <si>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</si>
  <si>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</si>
  <si>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</si>
  <si>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</si>
  <si>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</si>
  <si>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</si>
  <si>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</si>
  <si>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</si>
  <si>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</si>
  <si>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</si>
  <si>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</si>
  <si>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</si>
  <si>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</si>
  <si>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</si>
  <si>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</si>
  <si>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</si>
  <si>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</si>
  <si>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</si>
  <si>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</si>
  <si>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</si>
  <si>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</si>
  <si>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</si>
  <si>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</si>
  <si>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</si>
  <si>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</si>
  <si>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</si>
  <si>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</si>
  <si>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</si>
  <si>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</si>
  <si>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</si>
  <si>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</si>
  <si>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</si>
  <si>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</si>
  <si>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</si>
  <si>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</si>
  <si>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</si>
  <si>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</si>
  <si>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</si>
  <si>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</si>
  <si>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</si>
  <si>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</si>
  <si>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</si>
  <si>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</si>
  <si>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</si>
  <si>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</si>
  <si>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</si>
  <si>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</si>
  <si>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</si>
  <si>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</si>
  <si>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</si>
  <si>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</si>
  <si>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</si>
  <si>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</si>
  <si>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</si>
  <si>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</si>
  <si>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</si>
  <si>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</si>
  <si>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</si>
  <si>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</si>
  <si>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</si>
  <si>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</si>
  <si>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</si>
  <si>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</si>
  <si>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</si>
  <si>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</si>
  <si>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</si>
  <si>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</si>
  <si>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</si>
  <si>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</si>
  <si>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</si>
  <si>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</si>
  <si>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</si>
  <si>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</si>
  <si>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</si>
  <si>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</si>
  <si>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</si>
  <si>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</si>
  <si>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</si>
  <si>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</si>
  <si>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</si>
  <si>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</si>
  <si>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</si>
  <si>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</si>
  <si>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</si>
  <si>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</si>
  <si>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</si>
  <si>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</si>
  <si>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</si>
  <si>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</si>
  <si>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</si>
  <si>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</si>
  <si>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</si>
  <si>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</si>
  <si>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</si>
  <si>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</si>
  <si>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</si>
  <si>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</si>
  <si>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</si>
  <si>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</si>
  <si>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</si>
  <si>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</si>
  <si>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</si>
  <si>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</si>
  <si>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</si>
  <si>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</si>
  <si>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</si>
  <si>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</si>
  <si>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</si>
  <si>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</si>
  <si>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</si>
  <si>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</si>
  <si>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</si>
  <si>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</si>
  <si>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</si>
  <si>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</si>
  <si>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</si>
  <si>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</si>
  <si>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</si>
  <si>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</si>
  <si>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</si>
  <si>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</si>
  <si>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</si>
  <si>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</si>
  <si>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</si>
  <si>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</si>
  <si>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</si>
  <si>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</si>
  <si>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</si>
  <si>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</si>
  <si>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</si>
  <si>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</si>
  <si>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</si>
  <si>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</si>
  <si>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</si>
  <si>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</si>
  <si>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</si>
  <si>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</si>
  <si>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</si>
  <si>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</si>
  <si>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</si>
  <si>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</si>
  <si>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</si>
  <si>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</si>
  <si>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</si>
  <si>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</si>
  <si>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</si>
  <si>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</si>
  <si>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</si>
  <si>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</si>
  <si>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</si>
  <si>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</si>
  <si>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</si>
  <si>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</si>
  <si>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</si>
  <si>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</si>
  <si>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</si>
  <si>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</si>
  <si>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</si>
  <si>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</si>
  <si>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</si>
  <si>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</si>
  <si>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</si>
  <si>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</si>
  <si>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</si>
  <si>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</si>
  <si>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</si>
  <si>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</si>
  <si>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</si>
  <si>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</si>
  <si>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</si>
  <si>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</si>
  <si>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</si>
  <si>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</si>
  <si>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</si>
  <si>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</si>
  <si>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</si>
  <si>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</si>
  <si>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</si>
  <si>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</si>
  <si>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</si>
  <si>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</si>
  <si>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</si>
  <si>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</si>
  <si>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</si>
  <si>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</si>
  <si>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</si>
  <si>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</si>
  <si>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</si>
  <si>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</si>
  <si>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</si>
  <si>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</si>
  <si>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</si>
  <si>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</si>
  <si>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</si>
  <si>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</si>
  <si>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</si>
  <si>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</si>
  <si>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</si>
  <si>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</si>
  <si>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</si>
  <si>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</si>
  <si>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</si>
  <si>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</si>
  <si>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</si>
  <si>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</si>
  <si>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</si>
  <si>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</si>
  <si>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</si>
  <si>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</si>
  <si>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</si>
  <si>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</si>
  <si>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</si>
  <si>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</si>
  <si>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</si>
  <si>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</si>
  <si>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</si>
  <si>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</si>
  <si>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</si>
  <si>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</si>
  <si>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</si>
  <si>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</si>
  <si>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</si>
  <si>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</si>
  <si>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</si>
  <si>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</si>
  <si>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</si>
  <si>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</si>
  <si>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</si>
  <si>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</si>
  <si>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</si>
  <si>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</si>
  <si>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</si>
  <si>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</si>
  <si>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</si>
  <si>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</si>
  <si>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</si>
  <si>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</si>
  <si>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</si>
  <si>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</si>
  <si>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</si>
  <si>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</si>
  <si>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</si>
  <si>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</si>
  <si>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</si>
  <si>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</si>
  <si>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</si>
  <si>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</si>
  <si>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</si>
  <si>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</si>
  <si>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</si>
  <si>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</si>
  <si>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</si>
  <si>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</si>
  <si>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</si>
  <si>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</si>
  <si>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</si>
  <si>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</si>
  <si>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</si>
  <si>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</si>
  <si>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</si>
  <si>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</si>
  <si>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</si>
  <si>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</si>
  <si>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</si>
  <si>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</si>
  <si>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</si>
  <si>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</si>
  <si>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</si>
  <si>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</si>
  <si>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</si>
  <si>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</si>
  <si>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</si>
  <si>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</si>
  <si>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</si>
  <si>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</si>
  <si>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</si>
  <si>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</si>
  <si>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</si>
  <si>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</si>
  <si>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</si>
  <si>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</si>
  <si>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</si>
  <si>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</si>
  <si>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</si>
  <si>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</si>
  <si>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</si>
  <si>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</si>
  <si>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</si>
  <si>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</si>
  <si>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</si>
  <si>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</si>
  <si>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</si>
  <si>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</si>
  <si>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</si>
  <si>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</si>
  <si>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</si>
  <si>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</si>
  <si>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</si>
  <si>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</si>
  <si>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</si>
  <si>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</si>
  <si>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</si>
  <si>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</si>
  <si>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</si>
  <si>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</si>
  <si>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</si>
  <si>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</si>
  <si>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</si>
  <si>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</si>
  <si>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</si>
  <si>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</si>
  <si>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</si>
  <si>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</si>
  <si>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</si>
  <si>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</si>
  <si>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</si>
  <si>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</si>
  <si>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</si>
  <si>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</si>
  <si>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</si>
  <si>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</si>
  <si>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</si>
  <si>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</si>
  <si>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</si>
  <si>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</si>
  <si>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</si>
  <si>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</si>
  <si>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</si>
  <si>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</si>
  <si>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</si>
  <si>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</si>
  <si>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</si>
  <si>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</si>
  <si>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</si>
  <si>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</si>
  <si>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</si>
  <si>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</si>
  <si>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</si>
  <si>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</si>
  <si>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</si>
  <si>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</si>
  <si>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</si>
  <si>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</si>
  <si>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</si>
  <si>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</si>
  <si>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</si>
  <si>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</si>
  <si>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</si>
  <si>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</si>
  <si>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</si>
  <si>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</si>
  <si>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</si>
  <si>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</si>
  <si>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</si>
  <si>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</si>
  <si>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</si>
  <si>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</si>
  <si>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</si>
  <si>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</si>
  <si>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</si>
  <si>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</si>
  <si>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</si>
  <si>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</si>
  <si>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</si>
  <si>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</si>
  <si>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</si>
  <si>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</si>
  <si>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</si>
  <si>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</si>
  <si>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</si>
  <si>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</si>
  <si>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</si>
  <si>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</si>
  <si>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</si>
  <si>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</si>
  <si>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</si>
  <si>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</si>
  <si>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</si>
  <si>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</si>
  <si>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</si>
  <si>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</si>
  <si>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</si>
  <si>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</si>
  <si>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</si>
  <si>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</si>
  <si>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</si>
  <si>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</si>
  <si>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</si>
  <si>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</si>
  <si>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</si>
  <si>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</si>
  <si>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</si>
  <si>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</si>
  <si>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</si>
  <si>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</si>
  <si>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</si>
  <si>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</si>
  <si>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</si>
  <si>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</si>
  <si>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</si>
  <si>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</si>
  <si>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</si>
  <si>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</si>
  <si>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</si>
  <si>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</si>
  <si>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</si>
  <si>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</si>
  <si>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</si>
  <si>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</si>
  <si>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</si>
  <si>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</si>
  <si>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</si>
  <si>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</si>
  <si>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</si>
  <si>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</si>
  <si>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</si>
  <si>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</si>
  <si>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</si>
  <si>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</si>
  <si>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</si>
  <si>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</si>
  <si>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</si>
  <si>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</si>
  <si>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</si>
  <si>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</si>
  <si>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</si>
  <si>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</si>
  <si>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</si>
  <si>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</si>
  <si>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</si>
  <si>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</si>
  <si>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</si>
  <si>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</si>
  <si>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</si>
  <si>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</si>
  <si>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</si>
  <si>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</si>
  <si>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</si>
  <si>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</si>
  <si>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</si>
  <si>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</si>
  <si>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</si>
  <si>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</si>
  <si>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</si>
  <si>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</si>
  <si>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</si>
  <si>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</si>
  <si>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</si>
  <si>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</si>
  <si>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</si>
  <si>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</si>
  <si>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</si>
  <si>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</si>
  <si>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</si>
  <si>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</si>
  <si>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</si>
  <si>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</si>
  <si>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</si>
  <si>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</si>
  <si>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</si>
  <si>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</si>
  <si>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</si>
  <si>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</si>
  <si>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</si>
  <si>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</si>
  <si>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</si>
  <si>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</si>
  <si>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</si>
  <si>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</si>
  <si>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</si>
  <si>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</si>
  <si>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</si>
  <si>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</si>
  <si>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</si>
  <si>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</si>
  <si>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</si>
  <si>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</si>
  <si>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</si>
  <si>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</si>
  <si>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</si>
  <si>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</si>
  <si>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</si>
  <si>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</si>
  <si>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</si>
  <si>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</si>
  <si>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</si>
  <si>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</si>
  <si>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</si>
  <si>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</si>
  <si>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</si>
  <si>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</si>
  <si>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</si>
  <si>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</si>
  <si>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</si>
  <si>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</si>
  <si>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</si>
  <si>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</si>
  <si>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</si>
  <si>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</si>
  <si>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</si>
  <si>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</si>
  <si>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</si>
  <si>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</si>
  <si>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</si>
  <si>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</si>
  <si>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</si>
  <si>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</si>
  <si>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</si>
  <si>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</si>
  <si>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</si>
  <si>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</si>
  <si>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</si>
  <si>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</si>
  <si>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</si>
  <si>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</si>
  <si>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</si>
  <si>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</si>
  <si>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</si>
  <si>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</si>
  <si>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</si>
  <si>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</si>
  <si>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</si>
  <si>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</si>
  <si>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</si>
  <si>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</si>
  <si>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</si>
  <si>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</si>
  <si>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</si>
  <si>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</si>
  <si>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</si>
  <si>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</si>
  <si>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</si>
  <si>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</si>
  <si>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</si>
  <si>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</si>
  <si>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</si>
  <si>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</si>
  <si>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</si>
  <si>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</si>
  <si>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</si>
  <si>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</si>
  <si>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</si>
  <si>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</si>
  <si>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</si>
  <si>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</si>
  <si>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</si>
  <si>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</si>
  <si>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</si>
  <si>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</si>
  <si>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</si>
  <si>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</si>
  <si>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</si>
  <si>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</si>
  <si>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</si>
  <si>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</si>
  <si>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</si>
  <si>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</si>
  <si>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</si>
  <si>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</si>
  <si>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</si>
  <si>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</si>
  <si>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</si>
  <si>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</si>
  <si>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</si>
  <si>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</si>
  <si>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</si>
  <si>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</si>
  <si>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</si>
  <si>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</si>
  <si>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</si>
  <si>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</si>
  <si>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</si>
  <si>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</si>
  <si>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</si>
  <si>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</si>
  <si>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</si>
  <si>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</si>
  <si>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</si>
  <si>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</si>
  <si>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</si>
  <si>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</si>
  <si>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</si>
  <si>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</si>
  <si>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</si>
  <si>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</si>
  <si>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</si>
  <si>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</si>
  <si>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</si>
  <si>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</si>
  <si>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</si>
  <si>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</si>
  <si>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</si>
  <si>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</si>
  <si>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</si>
  <si>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</si>
  <si>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</si>
  <si>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</si>
  <si>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</si>
  <si>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</si>
  <si>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</si>
  <si>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</si>
  <si>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</si>
  <si>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</si>
  <si>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</si>
  <si>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</si>
  <si>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</si>
  <si>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</si>
  <si>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</si>
  <si>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</si>
  <si>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</si>
  <si>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</si>
  <si>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</si>
  <si>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</si>
  <si>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</si>
  <si>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</si>
  <si>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</si>
  <si>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</si>
  <si>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</si>
  <si>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</si>
  <si>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</si>
  <si>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</si>
  <si>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</si>
  <si>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</si>
  <si>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</si>
  <si>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</si>
  <si>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</si>
  <si>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</si>
  <si>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</si>
  <si>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</si>
  <si>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</si>
  <si>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</si>
  <si>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</si>
  <si>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</si>
  <si>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</si>
  <si>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</si>
  <si>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</si>
  <si>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</si>
  <si>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</si>
  <si>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</si>
  <si>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</si>
  <si>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</si>
  <si>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</si>
  <si>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</si>
  <si>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</si>
  <si>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</si>
  <si>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</si>
  <si>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</si>
  <si>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</si>
  <si>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</si>
  <si>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</si>
  <si>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</si>
  <si>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</si>
  <si>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</si>
  <si>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</si>
  <si>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</si>
  <si>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</si>
  <si>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</si>
  <si>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</si>
  <si>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</si>
  <si>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</si>
  <si>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</si>
  <si>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</si>
  <si>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</si>
  <si>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</si>
  <si>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</si>
  <si>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</si>
  <si>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</si>
  <si>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</si>
  <si>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</si>
  <si>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</si>
  <si>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</si>
  <si>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</si>
  <si>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</si>
  <si>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</si>
  <si>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</si>
  <si>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</si>
  <si>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</si>
  <si>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</si>
  <si>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</si>
  <si>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</si>
  <si>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</si>
  <si>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</si>
  <si>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</si>
  <si>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</si>
  <si>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</si>
  <si>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</si>
  <si>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</si>
  <si>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</si>
  <si>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</si>
  <si>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</si>
  <si>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</si>
  <si>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</si>
  <si>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</si>
  <si>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</si>
  <si>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</si>
  <si>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</si>
  <si>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</si>
  <si>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</si>
  <si>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</si>
  <si>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</si>
  <si>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</si>
  <si>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</si>
  <si>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</si>
  <si>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</si>
  <si>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</si>
  <si>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</si>
  <si>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</si>
  <si>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</si>
  <si>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</si>
  <si>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</si>
  <si>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</si>
  <si>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</si>
  <si>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</si>
  <si>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</si>
  <si>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</si>
  <si>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</si>
  <si>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</si>
  <si>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</si>
  <si>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</si>
  <si>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</si>
  <si>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</si>
  <si>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</si>
  <si>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</si>
  <si>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</si>
  <si>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</si>
  <si>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</si>
  <si>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</si>
  <si>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</si>
  <si>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</si>
  <si>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</si>
  <si>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</si>
  <si>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</si>
  <si>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</si>
  <si>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</si>
  <si>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</si>
  <si>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</si>
  <si>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</si>
  <si>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</si>
  <si>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</si>
  <si>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</si>
  <si>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</si>
  <si>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</si>
  <si>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</si>
  <si>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</si>
  <si>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</si>
  <si>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</si>
  <si>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</si>
  <si>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</si>
  <si>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</si>
  <si>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</si>
  <si>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</si>
  <si>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</si>
  <si>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</si>
  <si>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</si>
  <si>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</si>
  <si>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</si>
  <si>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</si>
  <si>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</si>
  <si>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</si>
  <si>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</si>
  <si>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</si>
  <si>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</si>
  <si>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</si>
  <si>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</si>
  <si>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</si>
  <si>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</si>
  <si>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</si>
  <si>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</si>
  <si>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</si>
  <si>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</si>
  <si>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</si>
  <si>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</si>
  <si>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</si>
  <si>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</si>
  <si>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</si>
  <si>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</si>
  <si>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</si>
  <si>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</si>
  <si>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</si>
  <si>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</si>
  <si>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</si>
  <si>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</si>
  <si>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</si>
  <si>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</si>
  <si>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</si>
  <si>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</si>
  <si>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</si>
  <si>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</si>
  <si>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</si>
  <si>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</si>
  <si>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</si>
  <si>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</si>
  <si>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</si>
  <si>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</si>
  <si>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</si>
  <si>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</si>
  <si>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</si>
  <si>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</si>
  <si>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</si>
  <si>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</si>
  <si>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</si>
  <si>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</si>
  <si>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</si>
  <si>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</si>
  <si>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</si>
  <si>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</si>
  <si>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</si>
  <si>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</si>
  <si>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</si>
  <si>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</si>
  <si>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</si>
  <si>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</si>
  <si>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</si>
  <si>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</si>
  <si>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</si>
  <si>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</si>
  <si>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</si>
  <si>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</si>
  <si>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</si>
  <si>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</si>
  <si>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</si>
  <si>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</si>
  <si>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</si>
  <si>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</si>
  <si>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</si>
  <si>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</si>
  <si>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</si>
  <si>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</si>
  <si>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</si>
  <si>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</si>
  <si>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</si>
  <si>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</si>
  <si>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</si>
  <si>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</si>
  <si>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</si>
  <si>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</si>
  <si>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</si>
  <si>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</si>
  <si>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</si>
  <si>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</si>
  <si>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</si>
  <si>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</si>
  <si>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</si>
  <si>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</si>
  <si>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</si>
  <si>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</si>
  <si>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</si>
  <si>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</si>
  <si>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</si>
  <si>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</si>
  <si>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</si>
  <si>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</si>
  <si>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</si>
  <si>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</si>
  <si>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</si>
  <si>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</si>
  <si>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</si>
  <si>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</si>
  <si>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</si>
  <si>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</si>
  <si>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</si>
  <si>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</si>
  <si>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</si>
  <si>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</si>
  <si>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</si>
  <si>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</si>
  <si>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</si>
  <si>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</si>
  <si>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</si>
  <si>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</si>
  <si>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</si>
  <si>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</si>
  <si>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</si>
  <si>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</si>
  <si>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</si>
  <si>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</si>
  <si>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</si>
  <si>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</si>
  <si>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</si>
  <si>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</si>
  <si>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</si>
  <si>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</si>
  <si>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</si>
  <si>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</si>
  <si>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</si>
  <si>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</si>
  <si>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</si>
  <si>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</si>
  <si>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</si>
  <si>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</si>
  <si>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</si>
  <si>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</si>
  <si>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</si>
  <si>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</si>
  <si>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</si>
  <si>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</si>
  <si>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</si>
  <si>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</si>
  <si>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</si>
  <si>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</si>
  <si>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</si>
  <si>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</si>
  <si>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</si>
  <si>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</si>
  <si>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</si>
  <si>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</si>
  <si>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</si>
  <si>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</si>
  <si>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</si>
  <si>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</si>
  <si>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</si>
  <si>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</si>
  <si>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</si>
  <si>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</si>
  <si>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</si>
  <si>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</si>
  <si>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</si>
  <si>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</si>
  <si>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</si>
  <si>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</si>
  <si>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</si>
  <si>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</si>
  <si>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</si>
  <si>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</si>
  <si>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</si>
  <si>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</si>
  <si>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</si>
  <si>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</si>
  <si>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</si>
  <si>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</si>
  <si>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</si>
  <si>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</si>
  <si>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</si>
  <si>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</si>
  <si>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</si>
  <si>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</si>
  <si>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</si>
  <si>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</si>
  <si>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</si>
  <si>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</si>
  <si>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</si>
  <si>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</si>
  <si>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</si>
  <si>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</si>
  <si>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</si>
  <si>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</si>
  <si>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</si>
  <si>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</si>
  <si>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</si>
  <si>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</si>
  <si>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</si>
  <si>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</si>
  <si>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</si>
  <si>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</si>
  <si>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</si>
  <si>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</si>
  <si>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</si>
  <si>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</si>
  <si>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</si>
  <si>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</si>
  <si>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</si>
  <si>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</si>
  <si>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</si>
  <si>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</si>
  <si>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</si>
  <si>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</si>
  <si>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</si>
  <si>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</si>
  <si>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</si>
  <si>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</si>
  <si>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</si>
  <si>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</si>
  <si>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</si>
  <si>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</si>
  <si>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</si>
  <si>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</si>
  <si>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</si>
  <si>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</si>
  <si>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</si>
  <si>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</si>
  <si>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</si>
  <si>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</si>
  <si>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</si>
  <si>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</si>
  <si>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</si>
  <si>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</si>
  <si>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</si>
  <si>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</si>
  <si>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</si>
  <si>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</si>
  <si>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</si>
  <si>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</si>
  <si>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</si>
  <si>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</si>
  <si>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</si>
  <si>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</si>
  <si>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</si>
  <si>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</si>
  <si>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</si>
  <si>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</si>
  <si>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</si>
  <si>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</si>
  <si>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</si>
  <si>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</si>
  <si>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</si>
  <si>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</si>
  <si>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</si>
  <si>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</si>
  <si>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</si>
  <si>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</si>
  <si>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</si>
  <si>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</si>
  <si>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</si>
  <si>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</si>
  <si>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</si>
  <si>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</si>
  <si>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</si>
  <si>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</si>
  <si>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</si>
  <si>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</si>
  <si>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</si>
  <si>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</si>
  <si>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</si>
  <si>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</si>
  <si>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</si>
  <si>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</si>
  <si>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</si>
  <si>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</si>
  <si>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</si>
  <si>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</si>
  <si>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</si>
  <si>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</si>
  <si>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</si>
  <si>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</si>
  <si>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</si>
  <si>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</si>
  <si>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</si>
  <si>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</si>
  <si>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</si>
  <si>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</si>
  <si>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</si>
  <si>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</si>
  <si>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</si>
  <si>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</si>
  <si>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</si>
  <si>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</si>
  <si>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</si>
  <si>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</si>
  <si>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</si>
  <si>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</si>
  <si>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</si>
  <si>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</si>
  <si>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</si>
  <si>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</si>
  <si>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</si>
  <si>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</si>
  <si>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</si>
  <si>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</si>
  <si>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</si>
  <si>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</si>
  <si>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</si>
  <si>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</si>
  <si>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</si>
  <si>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</si>
  <si>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</si>
  <si>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</si>
  <si>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</si>
  <si>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</si>
  <si>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</si>
  <si>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</si>
  <si>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</si>
  <si>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</si>
  <si>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</si>
  <si>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</si>
  <si>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</si>
  <si>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</si>
  <si>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</si>
  <si>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</si>
  <si>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</si>
  <si>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</si>
  <si>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</si>
  <si>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</si>
  <si>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</si>
  <si>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</si>
  <si>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</si>
  <si>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</si>
  <si>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</si>
  <si>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</si>
  <si>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</si>
  <si>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</si>
  <si>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</si>
  <si>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</si>
  <si>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</si>
  <si>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</si>
  <si>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</si>
  <si>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</si>
  <si>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</si>
  <si>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</si>
  <si>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</si>
  <si>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</si>
  <si>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</si>
  <si>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</si>
  <si>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</si>
  <si>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</si>
  <si>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</si>
  <si>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</si>
  <si>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</si>
  <si>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</si>
  <si>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</si>
  <si>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</si>
  <si>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</si>
  <si>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</si>
  <si>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</si>
  <si>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</si>
  <si>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</si>
  <si>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</si>
  <si>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</si>
  <si>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</si>
  <si>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</si>
  <si>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</si>
  <si>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</si>
  <si>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</si>
  <si>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</si>
  <si>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</si>
  <si>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</si>
  <si>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</si>
  <si>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</si>
  <si>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</si>
  <si>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</si>
  <si>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</si>
  <si>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</si>
  <si>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</si>
  <si>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</si>
  <si>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</si>
  <si>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</si>
  <si>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</si>
  <si>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</si>
  <si>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</si>
  <si>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</si>
  <si>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</si>
  <si>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</si>
  <si>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</si>
  <si>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</si>
  <si>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</si>
  <si>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</si>
  <si>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</si>
  <si>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</si>
  <si>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</si>
  <si>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</si>
  <si>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</si>
  <si>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</si>
  <si>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</si>
  <si>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</si>
  <si>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</si>
  <si>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</si>
  <si>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</si>
  <si>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</si>
  <si>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</si>
  <si>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</si>
  <si>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</si>
  <si>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</si>
  <si>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</si>
  <si>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</si>
  <si>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</si>
  <si>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</si>
  <si>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</si>
  <si>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</si>
  <si>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</si>
  <si>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</si>
  <si>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</si>
  <si>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</si>
  <si>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</si>
  <si>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</si>
  <si>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</si>
  <si>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</si>
  <si>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</si>
  <si>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</si>
  <si>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</si>
  <si>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</si>
  <si>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</si>
  <si>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</si>
  <si>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</si>
  <si>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</si>
  <si>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</si>
  <si>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</si>
  <si>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</si>
  <si>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</si>
  <si>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</si>
  <si>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</si>
  <si>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</si>
  <si>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</si>
  <si>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</si>
  <si>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</si>
  <si>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</si>
  <si>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</si>
  <si>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</si>
  <si>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</si>
  <si>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</si>
  <si>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</si>
  <si>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</si>
  <si>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</si>
  <si>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</si>
  <si>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</si>
  <si>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</si>
  <si>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</si>
  <si>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</si>
  <si>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</si>
  <si>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</si>
  <si>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</si>
  <si>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</si>
  <si>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</si>
  <si>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</si>
  <si>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</si>
  <si>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</si>
  <si>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</si>
  <si>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</si>
  <si>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</si>
  <si>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</si>
  <si>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</si>
  <si>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</si>
  <si>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</si>
  <si>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</si>
  <si>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</si>
  <si>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</si>
  <si>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</si>
  <si>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</si>
  <si>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</si>
  <si>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</si>
  <si>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</si>
  <si>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</si>
  <si>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</si>
  <si>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</si>
  <si>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</si>
  <si>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</si>
  <si>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</si>
  <si>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</si>
  <si>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</si>
  <si>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</si>
  <si>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</si>
  <si>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</si>
  <si>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</si>
  <si>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</si>
  <si>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</si>
  <si>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</si>
  <si>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</si>
  <si>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</si>
  <si>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</si>
  <si>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</si>
  <si>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</si>
  <si>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</si>
  <si>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</si>
  <si>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</si>
  <si>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</si>
  <si>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</si>
  <si>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</si>
  <si>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</si>
  <si>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</si>
  <si>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</si>
  <si>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</si>
  <si>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</si>
  <si>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</si>
  <si>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</si>
  <si>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</si>
  <si>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</si>
  <si>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</si>
  <si>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</si>
  <si>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</si>
  <si>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</si>
  <si>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</si>
  <si>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</si>
  <si>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</si>
  <si>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</si>
  <si>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</si>
  <si>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</si>
  <si>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</si>
  <si>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</si>
  <si>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</si>
  <si>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</si>
  <si>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</si>
  <si>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</si>
  <si>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</si>
  <si>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</si>
  <si>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</si>
  <si>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</si>
  <si>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</si>
  <si>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</si>
  <si>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</si>
  <si>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</si>
  <si>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</si>
  <si>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</si>
  <si>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</si>
  <si>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</si>
  <si>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</si>
  <si>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</si>
  <si>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</si>
  <si>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</si>
  <si>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</si>
  <si>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</si>
  <si>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</si>
  <si>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</si>
  <si>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</si>
  <si>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</si>
  <si>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</si>
  <si>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</si>
  <si>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</si>
  <si>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</si>
  <si>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</si>
  <si>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</si>
  <si>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</si>
  <si>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</si>
  <si>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</si>
  <si>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</si>
  <si>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</si>
  <si>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</si>
  <si>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</si>
  <si>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</si>
  <si>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</si>
  <si>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</si>
  <si>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</si>
  <si>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</si>
  <si>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</si>
  <si>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</si>
  <si>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</si>
  <si>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</si>
  <si>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</si>
  <si>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</si>
  <si>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</si>
  <si>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</si>
  <si>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</si>
  <si>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</si>
  <si>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</si>
  <si>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</si>
  <si>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</si>
  <si>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</si>
  <si>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</si>
  <si>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</si>
  <si>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</si>
  <si>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</si>
  <si>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</si>
  <si>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</si>
  <si>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</si>
  <si>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</si>
  <si>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</si>
  <si>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</si>
  <si>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</si>
  <si>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</si>
  <si>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</si>
  <si>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</si>
  <si>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</si>
  <si>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</si>
  <si>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</si>
  <si>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</si>
  <si>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</si>
  <si>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</si>
  <si>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</si>
  <si>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</si>
  <si>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</si>
  <si>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</si>
  <si>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</si>
  <si>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</si>
  <si>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</si>
  <si>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</si>
  <si>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</si>
  <si>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</si>
  <si>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</si>
  <si>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</si>
  <si>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</si>
  <si>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</si>
  <si>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</si>
  <si>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</si>
  <si>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</si>
  <si>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</si>
  <si>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</si>
  <si>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</si>
  <si>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</si>
  <si>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</si>
  <si>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</si>
  <si>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</si>
  <si>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</si>
  <si>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</si>
  <si>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</si>
  <si>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</si>
  <si>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</si>
  <si>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</si>
  <si>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</si>
  <si>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</si>
  <si>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</si>
  <si>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</si>
  <si>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</si>
  <si>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</si>
  <si>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</si>
  <si>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</si>
  <si>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</si>
  <si>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</si>
  <si>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</si>
  <si>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</si>
  <si>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</si>
  <si>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</si>
  <si>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</si>
  <si>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</si>
  <si>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</si>
  <si>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</si>
  <si>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</si>
  <si>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</si>
  <si>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</si>
  <si>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</si>
  <si>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</si>
  <si>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</si>
  <si>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</si>
  <si>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</si>
  <si>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</si>
  <si>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</si>
  <si>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</si>
  <si>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</si>
  <si>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</si>
  <si>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</si>
  <si>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</si>
  <si>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</si>
  <si>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</si>
  <si>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</si>
  <si>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</si>
  <si>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</si>
  <si>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</si>
  <si>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</si>
  <si>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</si>
  <si>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</si>
  <si>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</si>
  <si>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</si>
  <si>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</si>
  <si>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</si>
  <si>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</si>
  <si>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</si>
  <si>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</si>
  <si>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</si>
  <si>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</si>
  <si>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</si>
  <si>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</si>
  <si>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</si>
  <si>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</si>
  <si>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</si>
  <si>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</si>
  <si>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</si>
  <si>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</si>
  <si>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</si>
  <si>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</si>
  <si>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</si>
  <si>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</si>
  <si>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</si>
  <si>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</si>
  <si>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</si>
  <si>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</si>
  <si>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</si>
  <si>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</si>
  <si>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</si>
  <si>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</si>
  <si>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</si>
  <si>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</si>
  <si>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</si>
  <si>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</si>
  <si>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</si>
  <si>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</si>
  <si>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</si>
  <si>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</si>
  <si>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</si>
  <si>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</si>
  <si>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</si>
  <si>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</si>
  <si>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</si>
  <si>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</si>
  <si>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</si>
  <si>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</si>
  <si>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</si>
  <si>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</si>
  <si>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</si>
  <si>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</si>
  <si>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</si>
  <si>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</si>
  <si>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</si>
  <si>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</si>
  <si>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</si>
  <si>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</si>
  <si>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</si>
  <si>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</si>
  <si>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</si>
  <si>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</si>
  <si>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</si>
  <si>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</si>
  <si>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</si>
  <si>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</si>
  <si>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</si>
  <si>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</si>
  <si>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</si>
  <si>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</si>
  <si>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</si>
  <si>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</si>
  <si>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</si>
  <si>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</si>
  <si>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</si>
  <si>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</si>
  <si>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</si>
  <si>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</si>
  <si>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</si>
  <si>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</si>
  <si>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</si>
  <si>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</si>
  <si>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</si>
  <si>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</si>
  <si>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</si>
  <si>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</si>
  <si>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</si>
  <si>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</si>
  <si>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</si>
  <si>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</si>
  <si>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</si>
  <si>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</si>
  <si>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</si>
  <si>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</si>
  <si>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</si>
  <si>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</si>
  <si>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</si>
  <si>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</si>
  <si>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</si>
  <si>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</si>
  <si>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</si>
  <si>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</si>
  <si>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</si>
  <si>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</si>
  <si>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</si>
  <si>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</si>
  <si>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</si>
  <si>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</si>
  <si>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</si>
  <si>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</si>
  <si>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</si>
  <si>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</si>
  <si>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</si>
  <si>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</si>
  <si>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</si>
  <si>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</si>
  <si>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</si>
  <si>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</si>
  <si>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</si>
  <si>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</si>
  <si>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</si>
  <si>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</si>
  <si>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</si>
  <si>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</si>
  <si>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</si>
  <si>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</si>
  <si>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</si>
  <si>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</si>
  <si>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</si>
  <si>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</si>
  <si>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</si>
  <si>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</si>
  <si>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</si>
  <si>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</si>
  <si>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</si>
  <si>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</si>
  <si>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</si>
  <si>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</si>
  <si>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</si>
  <si>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</si>
  <si>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</si>
  <si>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</si>
  <si>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</si>
  <si>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</si>
  <si>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</si>
  <si>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</si>
  <si>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</si>
  <si>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</si>
  <si>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</si>
  <si>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</si>
  <si>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</si>
  <si>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</si>
  <si>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</si>
  <si>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</si>
  <si>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</si>
  <si>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</si>
  <si>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</si>
  <si>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</si>
  <si>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</si>
  <si>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</si>
  <si>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</si>
  <si>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</si>
  <si>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</si>
  <si>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</si>
  <si>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</si>
  <si>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</si>
  <si>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</si>
  <si>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</si>
  <si>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</si>
  <si>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</si>
  <si>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</si>
  <si>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</si>
  <si>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</si>
  <si>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</si>
  <si>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</si>
  <si>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</si>
  <si>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</si>
  <si>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</si>
  <si>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</si>
  <si>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</si>
  <si>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</si>
  <si>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</si>
  <si>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</si>
  <si>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</si>
  <si>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</si>
  <si>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</si>
  <si>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</si>
  <si>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</si>
  <si>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</si>
  <si>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</si>
  <si>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</si>
  <si>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</si>
  <si>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</si>
  <si>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</si>
  <si>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</si>
  <si>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</si>
  <si>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</si>
  <si>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</si>
  <si>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</si>
  <si>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</si>
  <si>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</si>
  <si>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</si>
  <si>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</si>
  <si>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</si>
  <si>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</si>
  <si>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</si>
  <si>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</si>
  <si>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</si>
  <si>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</si>
  <si>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</si>
  <si>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</si>
  <si>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</si>
  <si>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</si>
  <si>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</si>
  <si>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</si>
  <si>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</si>
  <si>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</si>
  <si>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</si>
  <si>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</si>
  <si>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</si>
  <si>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</si>
  <si>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</si>
  <si>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</si>
  <si>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</si>
  <si>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</si>
  <si>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</si>
  <si>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</si>
  <si>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</si>
  <si>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</si>
  <si>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</si>
  <si>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</si>
  <si>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</si>
  <si>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</si>
  <si>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</si>
  <si>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</si>
  <si>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</si>
  <si>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</si>
  <si>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</si>
  <si>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</si>
  <si>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</si>
  <si>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</si>
  <si>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</si>
  <si>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</si>
  <si>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</si>
  <si>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</si>
  <si>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</si>
  <si>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</si>
  <si>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</si>
  <si>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</si>
  <si>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</si>
  <si>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</si>
  <si>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</si>
  <si>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</si>
  <si>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</si>
  <si>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</si>
  <si>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</si>
  <si>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</si>
  <si>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</si>
  <si>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</si>
  <si>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</si>
  <si>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</si>
  <si>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</si>
  <si>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</si>
  <si>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</si>
  <si>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</si>
  <si>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</si>
  <si>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</si>
  <si>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</si>
  <si>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</si>
  <si>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</si>
  <si>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</si>
  <si>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</si>
  <si>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</si>
  <si>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</si>
  <si>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</si>
  <si>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</si>
  <si>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</si>
  <si>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</si>
  <si>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</si>
  <si>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</si>
  <si>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</si>
  <si>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</si>
  <si>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</si>
  <si>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</si>
  <si>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</si>
  <si>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</si>
  <si>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</si>
  <si>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</si>
  <si>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</si>
  <si>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</si>
  <si>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</si>
  <si>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</si>
  <si>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</si>
  <si>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</si>
  <si>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</si>
  <si>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</si>
  <si>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</si>
  <si>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</si>
  <si>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</si>
  <si>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</si>
  <si>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</si>
  <si>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</si>
  <si>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</si>
  <si>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</si>
  <si>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</si>
  <si>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</si>
  <si>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</si>
  <si>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</si>
  <si>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</si>
  <si>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</si>
  <si>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</si>
  <si>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</si>
  <si>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</si>
  <si>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</si>
  <si>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</si>
  <si>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</si>
  <si>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</si>
  <si>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</si>
  <si>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</si>
  <si>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</si>
  <si>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</si>
  <si>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</si>
  <si>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</si>
  <si>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</si>
  <si>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</si>
  <si>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</si>
  <si>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</si>
  <si>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</si>
  <si>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</si>
  <si>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</si>
  <si>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</si>
  <si>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</si>
  <si>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</si>
  <si>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</si>
  <si>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</si>
  <si>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</si>
  <si>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</si>
  <si>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</si>
  <si>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</si>
  <si>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</si>
  <si>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</si>
  <si>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</si>
  <si>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</si>
  <si>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</si>
  <si>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</si>
  <si>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</si>
  <si>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</si>
  <si>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</si>
  <si>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</si>
  <si>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</si>
  <si>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</si>
  <si>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</si>
  <si>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</si>
  <si>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</si>
  <si>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</si>
  <si>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</si>
  <si>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</si>
  <si>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</si>
  <si>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</si>
  <si>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</si>
  <si>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</si>
  <si>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</si>
  <si>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</si>
  <si>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</si>
  <si>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</si>
  <si>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</si>
  <si>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</si>
  <si>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</si>
  <si>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</si>
  <si>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</si>
  <si>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</si>
  <si>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</si>
  <si>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</si>
  <si>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</si>
  <si>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</si>
  <si>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</si>
  <si>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</si>
  <si>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</si>
  <si>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</si>
  <si>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</si>
  <si>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</si>
  <si>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</si>
  <si>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</si>
  <si>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</si>
  <si>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</si>
  <si>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</si>
  <si>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</si>
  <si>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</si>
  <si>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</si>
  <si>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</si>
  <si>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</si>
  <si>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</si>
  <si>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</si>
  <si>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</si>
  <si>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</si>
  <si>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</si>
  <si>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</si>
  <si>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267F</t>
  </si>
  <si>
    <t>♿</t>
  </si>
  <si>
    <t>symbole de fauteuil roulant</t>
  </si>
  <si>
    <t>1F40A</t>
  </si>
  <si>
    <t>🐊</t>
  </si>
  <si>
    <t>crocodile</t>
  </si>
  <si>
    <t>1F55B</t>
  </si>
  <si>
    <t>🕛</t>
  </si>
  <si>
    <t>Midi</t>
  </si>
  <si>
    <t>1F952</t>
  </si>
  <si>
    <t>🥒</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</si>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</sst>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8" formatCode="#,##0.00\ &quot;€&quot;;[Red]\-#,##0.00\ &quot;€&quot;"/>
    <numFmt numFmtId="164" formatCode="_-* #,##0.00\ _€_-;\-* #,##0.00\ _€_-;_-* &quot;-&quot;??\ _€_-;_-@_-"/>
    <numFmt numFmtId="165" formatCode="0.000"/>
    <numFmt numFmtId="166" formatCode="#,##0.00\ &quot;€&quot;"/>
    <numFmt numFmtId="167" formatCode="dddd\ dd\ mmmm\ yyyy"/>
    <numFmt numFmtId="168" formatCode="\ hh&quot;H&quot;mm\.s"/>
    <numFmt numFmtId="169" formatCode="0.0%"/>
    <numFmt numFmtId="170" formatCode="#,##0.000\ &quot;€&quot;"/>
    <numFmt numFmtId="171" formatCode="0.000&quot;Kg&quot;"/>
    <numFmt numFmtId="172" formatCode="0&quot; %&quot;"/>
    <numFmt numFmtId="173" formatCode="0&quot; Gastro&quot;"/>
    <numFmt numFmtId="174" formatCode="\+\ 0.0;\-\ 0.0"/>
    <numFmt numFmtId="175" formatCode="\+\ 0.000;\-\ 0.000"/>
    <numFmt numFmtId="176" formatCode="0.0"/>
    <numFmt numFmtId="177" formatCode="0.000&quot; Kg&quot;"/>
    <numFmt numFmtId="178" formatCode="0.00&quot;Kg&quot;"/>
    <numFmt numFmtId="179" formatCode="0&quot;%&quot;"/>
    <numFmt numFmtId="180" formatCode="0.00&quot; €&quot;"/>
    <numFmt numFmtId="181" formatCode="0&quot; Cont.&quot;"/>
    <numFmt numFmtId="182" formatCode="0.00\ &quot; cm³&quot;"/>
    <numFmt numFmtId="183" formatCode="&quot;Col.&quot;0"/>
    <numFmt numFmtId="184" formatCode="0.00\ &quot; cm²&quot;"/>
    <numFmt numFmtId="185" formatCode="0&quot; cm&quot;"/>
    <numFmt numFmtId="186" formatCode="0.0&quot; cm&quot;"/>
    <numFmt numFmtId="187" formatCode="0.0&quot; mm&quot;"/>
    <numFmt numFmtId="188" formatCode="0.00&quot; cm&quot;"/>
    <numFmt numFmtId="189" formatCode="0.000&quot; L&quot;"/>
    <numFmt numFmtId="190" formatCode="#,##0&quot; cl&quot;"/>
    <numFmt numFmtId="191" formatCode="0.0000"/>
    <numFmt numFmtId="192" formatCode="#,##0&quot; grs&quot;"/>
    <numFmt numFmtId="193" formatCode="#,##0&quot; dl&quot;"/>
    <numFmt numFmtId="194" formatCode="[h]&quot;H&quot;mm"/>
    <numFmt numFmtId="195" formatCode="&quot;Poids portion&quot;\ 0.000&quot; Kg&quot;"/>
    <numFmt numFmtId="196" formatCode="0&quot; g&quot;"/>
    <numFmt numFmtId="197" formatCode="0&quot; gr&quot;"/>
    <numFmt numFmtId="198" formatCode="0.0&quot; gr&quot;"/>
    <numFmt numFmtId="199" formatCode="0.0&quot; %&quot;"/>
    <numFmt numFmtId="200" formatCode="0.0&quot; g&quot;"/>
    <numFmt numFmtId="201" formatCode="0&quot;Kg&quot;"/>
    <numFmt numFmtId="202" formatCode="0&quot; Kg&quot;"/>
    <numFmt numFmtId="203" formatCode="0.00&quot; Kg&quot;"/>
    <numFmt numFmtId="204" formatCode="0.000\K\g"/>
    <numFmt numFmtId="205" formatCode="hh&quot;H&quot;:mm&quot; mn&quot;"/>
    <numFmt numFmtId="206" formatCode="0.0&quot;Kg&quot;"/>
    <numFmt numFmtId="207" formatCode="0&quot; Mx&quot;"/>
    <numFmt numFmtId="208" formatCode="0.00&quot; Mx&quot;"/>
    <numFmt numFmtId="209" formatCode="_-* #,##0.00\ [$€-1]_-;\-* #,##0.00\ [$€-1]_-;_-* &quot;-&quot;??\ [$€-1]_-"/>
    <numFmt numFmtId="210" formatCode="0&quot; mn&quot;"/>
    <numFmt numFmtId="211" formatCode="_-* #,##0.00\ [$€-1]_-;\-* #,##0.00\ [$€-1]_-;_-* \-??\ [$€-1]_-"/>
    <numFmt numFmtId="212" formatCode="#,##0.000&quot; kg&quot;"/>
    <numFmt numFmtId="213" formatCode="_-* #,##0.00\ [$€-40C]_-;\-* #,##0.00\ [$€-40C]_-;_-* &quot;-&quot;??\ [$€-40C]_-;_-@_-"/>
    <numFmt numFmtId="214" formatCode="#,##0.00&quot; kg&quot;"/>
    <numFmt numFmtId="215" formatCode="#,##0&quot; g&quot;"/>
    <numFmt numFmtId="216" formatCode="0&quot; pourcentages&quot;"/>
    <numFmt numFmtId="217" formatCode="0.0&quot;%&quot;"/>
    <numFmt numFmtId="218" formatCode="_-* #,##0.00000\ [$€-40C]_-;\-* #,##0.00000\ [$€-40C]_-;_-* &quot;-&quot;??\ [$€-40C]_-;_-@_-"/>
    <numFmt numFmtId="219" formatCode="0.0000&quot; Kg&quot;"/>
    <numFmt numFmtId="220" formatCode="#,##0.00&quot; grs&quot;"/>
    <numFmt numFmtId="221" formatCode="_-* #,##0.0000\ [$€-40C]_-;\-* #,##0.0000\ [$€-40C]_-;_-* &quot;-&quot;??\ [$€-40C]_-;_-@_-"/>
    <numFmt numFmtId="222" formatCode="[$-F800]dddd\,\ mmmm\ dd\,\ yyyy"/>
    <numFmt numFmtId="223" formatCode="#,##0.000"/>
    <numFmt numFmtId="224" formatCode="dddd\ mm\ mmm\ yyyy\ \-\ hh&quot;H&quot;mm"/>
    <numFmt numFmtId="225" formatCode="h&quot; H &quot;mm;@"/>
    <numFmt numFmtId="226" formatCode="&quot;Semaine N °&quot;0"/>
  </numFmts>
  <fonts count="846">
    <font>
      <sz val="11"/>
      <color theme="1"/>
      <name val="Calibri"/>
      <family val="2"/>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1"/>
      <color theme="1"/>
      <name val="Calibri"/>
      <family val="2"/>
      <scheme val="minor"/>
    </font>
    <font>
      <sz val="22"/>
      <color theme="0"/>
      <name val="Verdana"/>
      <family val="2"/>
    </font>
    <font>
      <sz val="18"/>
      <color rgb="FF7030A0"/>
      <name val="Arial"/>
      <family val="2"/>
    </font>
    <font>
      <u/>
      <sz val="10"/>
      <color indexed="12"/>
      <name val="Arial"/>
      <family val="2"/>
    </font>
    <font>
      <sz val="22"/>
      <color theme="1"/>
      <name val="Verdana"/>
      <family val="2"/>
    </font>
    <font>
      <b/>
      <sz val="22"/>
      <color theme="0"/>
      <name val="Arial"/>
      <family val="2"/>
    </font>
    <font>
      <sz val="22"/>
      <color theme="0"/>
      <name val="Arial"/>
      <family val="2"/>
    </font>
    <font>
      <b/>
      <sz val="22"/>
      <color rgb="FF92D050"/>
      <name val="Verdana"/>
      <family val="2"/>
    </font>
    <font>
      <b/>
      <sz val="22"/>
      <color rgb="FF92D050"/>
      <name val="Arial"/>
      <family val="2"/>
    </font>
    <font>
      <sz val="18"/>
      <color theme="1"/>
      <name val="Calibri"/>
      <family val="2"/>
      <scheme val="minor"/>
    </font>
    <font>
      <sz val="10"/>
      <name val="MS Sans Serif"/>
      <family val="2"/>
    </font>
    <font>
      <b/>
      <sz val="14"/>
      <name val="Arial"/>
      <family val="2"/>
    </font>
    <font>
      <b/>
      <sz val="16"/>
      <name val="Arial"/>
      <family val="2"/>
    </font>
    <font>
      <sz val="10"/>
      <color indexed="10"/>
      <name val="Arial"/>
      <family val="2"/>
    </font>
    <font>
      <b/>
      <sz val="20"/>
      <name val="Arial"/>
      <family val="2"/>
    </font>
    <font>
      <b/>
      <sz val="12"/>
      <name val="Arial"/>
      <family val="2"/>
    </font>
    <font>
      <sz val="14"/>
      <name val="Arial"/>
      <family val="2"/>
    </font>
    <font>
      <sz val="11"/>
      <name val="Arial"/>
      <family val="2"/>
    </font>
    <font>
      <sz val="8"/>
      <name val="Arial"/>
      <family val="2"/>
    </font>
    <font>
      <b/>
      <sz val="14"/>
      <color rgb="FFFF0000"/>
      <name val="Arial"/>
      <family val="2"/>
    </font>
    <font>
      <b/>
      <sz val="18"/>
      <color theme="0"/>
      <name val="Arial"/>
      <family val="2"/>
    </font>
    <font>
      <b/>
      <sz val="11"/>
      <name val="Arial"/>
      <family val="2"/>
    </font>
    <font>
      <b/>
      <sz val="12"/>
      <color rgb="FFFF0000"/>
      <name val="Arial"/>
      <family val="2"/>
    </font>
    <font>
      <b/>
      <sz val="14"/>
      <color indexed="12"/>
      <name val="Calibri"/>
      <family val="2"/>
      <scheme val="minor"/>
    </font>
    <font>
      <b/>
      <sz val="12"/>
      <color rgb="FFC00000"/>
      <name val="Arial"/>
      <family val="2"/>
    </font>
    <font>
      <b/>
      <sz val="14"/>
      <name val="Calibri"/>
      <family val="2"/>
      <scheme val="minor"/>
    </font>
    <font>
      <b/>
      <sz val="14"/>
      <color rgb="FF0000FF"/>
      <name val="Arial"/>
      <family val="2"/>
    </font>
    <font>
      <b/>
      <sz val="14"/>
      <color rgb="FFFF0000"/>
      <name val="Calibri"/>
      <family val="2"/>
      <scheme val="minor"/>
    </font>
    <font>
      <b/>
      <sz val="12"/>
      <color rgb="FFFF0000"/>
      <name val="Calibri"/>
      <family val="2"/>
      <scheme val="minor"/>
    </font>
    <font>
      <i/>
      <sz val="11"/>
      <color theme="9" tint="-0.499984740745262"/>
      <name val="Calibri"/>
      <family val="2"/>
      <scheme val="minor"/>
    </font>
    <font>
      <b/>
      <sz val="14"/>
      <color rgb="FFC00000"/>
      <name val="Calibri"/>
      <family val="2"/>
      <scheme val="minor"/>
    </font>
    <font>
      <b/>
      <sz val="14"/>
      <color indexed="10"/>
      <name val="Calibri"/>
      <family val="2"/>
      <scheme val="minor"/>
    </font>
    <font>
      <sz val="14"/>
      <name val="Calibri"/>
      <family val="2"/>
      <scheme val="minor"/>
    </font>
    <font>
      <b/>
      <sz val="12"/>
      <name val="Calibri"/>
      <family val="2"/>
      <scheme val="minor"/>
    </font>
    <font>
      <sz val="10"/>
      <name val="Calibri"/>
      <family val="2"/>
      <scheme val="minor"/>
    </font>
    <font>
      <b/>
      <sz val="12"/>
      <color rgb="FFC00000"/>
      <name val="Calibri"/>
      <family val="2"/>
      <scheme val="minor"/>
    </font>
    <font>
      <sz val="9"/>
      <name val="Arial"/>
      <family val="2"/>
    </font>
    <font>
      <b/>
      <sz val="10"/>
      <color indexed="12"/>
      <name val="Arial"/>
      <family val="2"/>
    </font>
    <font>
      <b/>
      <sz val="10"/>
      <color indexed="10"/>
      <name val="Arial"/>
      <family val="2"/>
    </font>
    <font>
      <sz val="10"/>
      <color indexed="12"/>
      <name val="Arial"/>
      <family val="2"/>
    </font>
    <font>
      <sz val="8"/>
      <name val="Calibri"/>
      <family val="2"/>
      <scheme val="minor"/>
    </font>
    <font>
      <b/>
      <sz val="12"/>
      <color theme="8"/>
      <name val="Calibri"/>
      <family val="2"/>
      <scheme val="minor"/>
    </font>
    <font>
      <b/>
      <sz val="10"/>
      <name val="Calibri"/>
      <family val="2"/>
      <scheme val="minor"/>
    </font>
    <font>
      <i/>
      <sz val="11"/>
      <name val="Calibri"/>
      <family val="2"/>
      <scheme val="minor"/>
    </font>
    <font>
      <sz val="11"/>
      <name val="Calibri"/>
      <family val="2"/>
      <scheme val="minor"/>
    </font>
    <font>
      <b/>
      <sz val="11"/>
      <color rgb="FFFF0000"/>
      <name val="Calibri"/>
      <family val="2"/>
      <scheme val="minor"/>
    </font>
    <font>
      <b/>
      <sz val="11"/>
      <name val="Calibri"/>
      <family val="2"/>
      <scheme val="minor"/>
    </font>
    <font>
      <b/>
      <sz val="12"/>
      <color indexed="9"/>
      <name val="Arial"/>
      <family val="2"/>
    </font>
    <font>
      <b/>
      <sz val="11"/>
      <color rgb="FF0000FF"/>
      <name val="Arial"/>
      <family val="2"/>
    </font>
    <font>
      <b/>
      <sz val="12"/>
      <color theme="0"/>
      <name val="Calibri"/>
      <family val="2"/>
      <scheme val="minor"/>
    </font>
    <font>
      <u/>
      <sz val="11"/>
      <color theme="10"/>
      <name val="Calibri"/>
      <family val="2"/>
      <scheme val="minor"/>
    </font>
    <font>
      <b/>
      <u/>
      <sz val="20"/>
      <color theme="10"/>
      <name val="Calibri"/>
      <family val="2"/>
      <scheme val="minor"/>
    </font>
    <font>
      <b/>
      <sz val="11"/>
      <color theme="1"/>
      <name val="Calibri"/>
      <family val="2"/>
      <scheme val="minor"/>
    </font>
    <font>
      <b/>
      <sz val="16"/>
      <color rgb="FFFF0000"/>
      <name val="Calibri"/>
      <family val="2"/>
      <scheme val="minor"/>
    </font>
    <font>
      <b/>
      <sz val="12"/>
      <color theme="1"/>
      <name val="Calibri"/>
      <family val="2"/>
      <scheme val="minor"/>
    </font>
    <font>
      <sz val="16"/>
      <name val="Calibri"/>
      <family val="2"/>
      <scheme val="minor"/>
    </font>
    <font>
      <b/>
      <sz val="16"/>
      <name val="Calibri"/>
      <family val="2"/>
      <scheme val="minor"/>
    </font>
    <font>
      <b/>
      <u/>
      <sz val="16"/>
      <color theme="10"/>
      <name val="Calibri"/>
      <family val="2"/>
      <scheme val="minor"/>
    </font>
    <font>
      <u/>
      <sz val="16"/>
      <color theme="10"/>
      <name val="Calibri"/>
      <family val="2"/>
      <scheme val="minor"/>
    </font>
    <font>
      <b/>
      <u/>
      <sz val="16"/>
      <color indexed="12"/>
      <name val="Calibri"/>
      <family val="2"/>
      <scheme val="minor"/>
    </font>
    <font>
      <b/>
      <u/>
      <sz val="11"/>
      <color theme="10"/>
      <name val="Calibri"/>
      <family val="2"/>
      <scheme val="minor"/>
    </font>
    <font>
      <b/>
      <sz val="16"/>
      <color theme="1"/>
      <name val="Calibri"/>
      <family val="2"/>
      <scheme val="minor"/>
    </font>
    <font>
      <b/>
      <sz val="12"/>
      <color rgb="FF0070C0"/>
      <name val="Calibri"/>
      <family val="2"/>
      <scheme val="minor"/>
    </font>
    <font>
      <sz val="10"/>
      <color theme="1"/>
      <name val="Calibri"/>
      <family val="2"/>
      <scheme val="minor"/>
    </font>
    <font>
      <sz val="16"/>
      <color rgb="FF141414"/>
      <name val="Calibri"/>
      <family val="2"/>
      <scheme val="minor"/>
    </font>
    <font>
      <sz val="16"/>
      <color theme="7" tint="-0.249977111117893"/>
      <name val="Calibri"/>
      <family val="2"/>
      <scheme val="minor"/>
    </font>
    <font>
      <sz val="18"/>
      <color theme="7" tint="-0.249977111117893"/>
      <name val="Calibri"/>
      <family val="2"/>
      <scheme val="minor"/>
    </font>
    <font>
      <b/>
      <sz val="14"/>
      <color theme="0"/>
      <name val="Calibri"/>
      <family val="2"/>
      <scheme val="minor"/>
    </font>
    <font>
      <b/>
      <sz val="14"/>
      <color theme="1"/>
      <name val="Calibri"/>
      <family val="2"/>
      <scheme val="minor"/>
    </font>
    <font>
      <b/>
      <sz val="18"/>
      <name val="Calibri"/>
      <family val="2"/>
      <scheme val="minor"/>
    </font>
    <font>
      <b/>
      <u/>
      <sz val="18"/>
      <color theme="10"/>
      <name val="Calibri"/>
      <family val="2"/>
      <scheme val="minor"/>
    </font>
    <font>
      <b/>
      <sz val="16"/>
      <color theme="0"/>
      <name val="Calibri"/>
      <family val="2"/>
      <scheme val="minor"/>
    </font>
    <font>
      <b/>
      <u/>
      <sz val="14"/>
      <color theme="10"/>
      <name val="Calibri"/>
      <family val="2"/>
      <scheme val="minor"/>
    </font>
    <font>
      <b/>
      <sz val="16"/>
      <color indexed="8"/>
      <name val="Calibri"/>
      <family val="2"/>
    </font>
    <font>
      <sz val="8"/>
      <color indexed="53"/>
      <name val="Arial"/>
      <family val="2"/>
    </font>
    <font>
      <sz val="18"/>
      <color theme="0"/>
      <name val="Calibri"/>
      <family val="2"/>
      <scheme val="minor"/>
    </font>
    <font>
      <sz val="10"/>
      <color theme="0"/>
      <name val="Arial"/>
      <family val="2"/>
    </font>
    <font>
      <b/>
      <u/>
      <sz val="12"/>
      <color theme="4" tint="-0.249977111117893"/>
      <name val="Calibri"/>
      <family val="2"/>
      <scheme val="minor"/>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b/>
      <sz val="16"/>
      <color rgb="FFC00000"/>
      <name val="Calibri"/>
      <family val="2"/>
      <scheme val="minor"/>
    </font>
    <font>
      <sz val="9"/>
      <name val="Calibri"/>
      <family val="2"/>
      <scheme val="minor"/>
    </font>
    <font>
      <sz val="12"/>
      <name val="Calibri"/>
      <family val="2"/>
      <scheme val="minor"/>
    </font>
    <font>
      <i/>
      <sz val="8"/>
      <color theme="0" tint="-0.499984740745262"/>
      <name val="Calibri"/>
      <family val="2"/>
      <scheme val="minor"/>
    </font>
    <font>
      <b/>
      <i/>
      <sz val="11"/>
      <color rgb="FFFF0000"/>
      <name val="Calibri"/>
      <family val="2"/>
      <scheme val="minor"/>
    </font>
    <font>
      <sz val="12"/>
      <color theme="1"/>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b/>
      <u/>
      <sz val="12"/>
      <color theme="10"/>
      <name val="Calibri"/>
      <family val="2"/>
      <scheme val="minor"/>
    </font>
    <font>
      <i/>
      <sz val="12"/>
      <name val="Calibri"/>
      <family val="2"/>
      <scheme val="minor"/>
    </font>
    <font>
      <b/>
      <sz val="11"/>
      <color rgb="FF7030A0"/>
      <name val="Calibri"/>
      <family val="2"/>
      <scheme val="minor"/>
    </font>
    <font>
      <b/>
      <sz val="9"/>
      <color rgb="FF7030A0"/>
      <name val="Calibri"/>
      <family val="2"/>
      <scheme val="minor"/>
    </font>
    <font>
      <b/>
      <sz val="10"/>
      <color rgb="FFFF0000"/>
      <name val="Calibri"/>
      <family val="2"/>
      <scheme val="minor"/>
    </font>
    <font>
      <b/>
      <sz val="14"/>
      <color theme="8" tint="-0.249977111117893"/>
      <name val="Calibri"/>
      <family val="2"/>
      <scheme val="minor"/>
    </font>
    <font>
      <b/>
      <sz val="8"/>
      <name val="Calibri"/>
      <family val="2"/>
      <scheme val="minor"/>
    </font>
    <font>
      <sz val="11"/>
      <color rgb="FFC00000"/>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b/>
      <sz val="10"/>
      <color rgb="FF002060"/>
      <name val="Calibri"/>
      <family val="2"/>
      <scheme val="minor"/>
    </font>
    <font>
      <sz val="12"/>
      <color rgb="FFC00000"/>
      <name val="Calibri"/>
      <family val="2"/>
      <scheme val="minor"/>
    </font>
    <font>
      <b/>
      <sz val="12"/>
      <color theme="4" tint="-0.249977111117893"/>
      <name val="Calibri"/>
      <family val="2"/>
      <scheme val="minor"/>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theme="1"/>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b/>
      <sz val="12"/>
      <color theme="0"/>
      <name val="Arial"/>
      <family val="2"/>
    </font>
    <font>
      <b/>
      <sz val="11"/>
      <color rgb="FFFF0000"/>
      <name val="Arial"/>
      <family val="2"/>
    </font>
    <font>
      <b/>
      <sz val="12"/>
      <color rgb="FF0070C0"/>
      <name val="Arial"/>
      <family val="2"/>
    </font>
    <font>
      <b/>
      <u/>
      <sz val="12"/>
      <color indexed="12"/>
      <name val="Calibri"/>
      <family val="2"/>
      <scheme val="minor"/>
    </font>
    <font>
      <sz val="16"/>
      <color theme="1"/>
      <name val="Calibri"/>
      <family val="2"/>
      <scheme val="minor"/>
    </font>
    <font>
      <sz val="10"/>
      <color indexed="9"/>
      <name val="Arial"/>
      <family val="2"/>
    </font>
    <font>
      <b/>
      <sz val="10"/>
      <color indexed="9"/>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2"/>
      <color rgb="FF0000FF"/>
      <name val="Arial"/>
      <family val="2"/>
    </font>
    <font>
      <b/>
      <sz val="10"/>
      <color indexed="12"/>
      <name val="Calibri"/>
      <family val="2"/>
      <scheme val="minor"/>
    </font>
    <font>
      <sz val="11"/>
      <color rgb="FFFF0000"/>
      <name val="Calibri"/>
      <family val="2"/>
      <scheme val="minor"/>
    </font>
    <font>
      <sz val="11"/>
      <color indexed="12"/>
      <name val="Calibri"/>
      <family val="2"/>
      <scheme val="minor"/>
    </font>
    <font>
      <b/>
      <sz val="10"/>
      <color indexed="17"/>
      <name val="Arial"/>
      <family val="2"/>
    </font>
    <font>
      <sz val="10"/>
      <color indexed="22"/>
      <name val="Arial"/>
      <family val="2"/>
    </font>
    <font>
      <sz val="11"/>
      <color theme="8"/>
      <name val="Calibri"/>
      <family val="2"/>
      <scheme val="minor"/>
    </font>
    <font>
      <b/>
      <sz val="12"/>
      <color theme="9" tint="-0.249977111117893"/>
      <name val="Calibri"/>
      <family val="2"/>
      <scheme val="minor"/>
    </font>
    <font>
      <i/>
      <sz val="11"/>
      <color rgb="FF303030"/>
      <name val="Calibri"/>
      <family val="2"/>
      <scheme val="minor"/>
    </font>
    <font>
      <b/>
      <sz val="11"/>
      <color rgb="FF0000FF"/>
      <name val="Calibri"/>
      <family val="2"/>
      <scheme val="minor"/>
    </font>
    <font>
      <sz val="11"/>
      <color rgb="FF0000FF"/>
      <name val="Calibri"/>
      <family val="2"/>
      <scheme val="minor"/>
    </font>
    <font>
      <sz val="12"/>
      <name val="Calibri"/>
      <family val="2"/>
    </font>
    <font>
      <b/>
      <sz val="14"/>
      <color rgb="FFFF0000"/>
      <name val="Calibri"/>
      <family val="2"/>
    </font>
    <font>
      <b/>
      <sz val="14"/>
      <name val="Calibri"/>
      <family val="2"/>
    </font>
    <font>
      <sz val="11"/>
      <name val="Calibri"/>
      <family val="2"/>
    </font>
    <font>
      <b/>
      <sz val="11"/>
      <color theme="9"/>
      <name val="Calibri"/>
      <family val="2"/>
      <scheme val="minor"/>
    </font>
    <font>
      <b/>
      <sz val="11"/>
      <color theme="8"/>
      <name val="Calibri"/>
      <family val="2"/>
      <scheme val="minor"/>
    </font>
    <font>
      <b/>
      <sz val="11"/>
      <color theme="1"/>
      <name val="Calibri"/>
      <family val="2"/>
    </font>
    <font>
      <b/>
      <sz val="20"/>
      <name val="Calibri"/>
      <family val="2"/>
      <scheme val="minor"/>
    </font>
    <font>
      <b/>
      <sz val="14"/>
      <color rgb="FF339966"/>
      <name val="Calibri"/>
      <family val="2"/>
      <scheme val="minor"/>
    </font>
    <font>
      <b/>
      <sz val="14"/>
      <color theme="1" tint="0.499984740745262"/>
      <name val="Calibri"/>
      <family val="2"/>
      <scheme val="minor"/>
    </font>
    <font>
      <b/>
      <sz val="10"/>
      <color theme="1"/>
      <name val="Calibri"/>
      <family val="2"/>
    </font>
    <font>
      <b/>
      <sz val="12"/>
      <color theme="1"/>
      <name val="Calibri"/>
      <family val="2"/>
    </font>
    <font>
      <sz val="12"/>
      <color theme="1"/>
      <name val="Calibri"/>
      <family val="2"/>
    </font>
    <font>
      <sz val="10"/>
      <color theme="1"/>
      <name val="Calibri"/>
      <family val="2"/>
    </font>
    <font>
      <u/>
      <sz val="12"/>
      <color theme="1"/>
      <name val="Calibri"/>
      <family val="2"/>
    </font>
    <font>
      <b/>
      <u/>
      <sz val="12"/>
      <color theme="1"/>
      <name val="Calibri"/>
      <family val="2"/>
    </font>
    <font>
      <b/>
      <sz val="16"/>
      <color theme="5"/>
      <name val="Calibri"/>
      <family val="2"/>
      <scheme val="minor"/>
    </font>
    <font>
      <b/>
      <sz val="20"/>
      <color theme="5"/>
      <name val="Calibri"/>
      <family val="2"/>
      <scheme val="minor"/>
    </font>
    <font>
      <b/>
      <sz val="12"/>
      <color theme="3"/>
      <name val="Calibri"/>
      <family val="2"/>
      <scheme val="minor"/>
    </font>
    <font>
      <b/>
      <sz val="11"/>
      <color rgb="FFC00000"/>
      <name val="Calibri"/>
      <family val="2"/>
      <scheme val="minor"/>
    </font>
    <font>
      <sz val="12"/>
      <color theme="9" tint="-0.249977111117893"/>
      <name val="Calibri"/>
      <family val="2"/>
      <scheme val="minor"/>
    </font>
    <font>
      <sz val="9"/>
      <name val="Times New Roman"/>
      <family val="1"/>
    </font>
    <font>
      <sz val="12"/>
      <color rgb="FFFF0000"/>
      <name val="Calibri"/>
      <family val="2"/>
      <scheme val="minor"/>
    </font>
    <font>
      <sz val="11"/>
      <color theme="9" tint="-0.249977111117893"/>
      <name val="Calibri"/>
      <family val="2"/>
      <scheme val="minor"/>
    </font>
    <font>
      <i/>
      <u/>
      <sz val="11"/>
      <color theme="5"/>
      <name val="Calibri"/>
      <family val="2"/>
      <scheme val="minor"/>
    </font>
    <font>
      <sz val="7"/>
      <color theme="5"/>
      <name val="Calibri"/>
      <family val="2"/>
      <scheme val="minor"/>
    </font>
    <font>
      <sz val="11"/>
      <color theme="1" tint="0.499984740745262"/>
      <name val="Calibri"/>
      <family val="2"/>
      <scheme val="minor"/>
    </font>
    <font>
      <b/>
      <sz val="11"/>
      <color theme="0"/>
      <name val="Calibri"/>
      <family val="2"/>
      <scheme val="minor"/>
    </font>
    <font>
      <b/>
      <sz val="22"/>
      <color theme="0"/>
      <name val="Calibri"/>
      <family val="2"/>
      <scheme val="minor"/>
    </font>
    <font>
      <sz val="8"/>
      <color theme="1" tint="0.499984740745262"/>
      <name val="Calibri"/>
      <family val="2"/>
      <scheme val="minor"/>
    </font>
    <font>
      <b/>
      <sz val="18"/>
      <color theme="5"/>
      <name val="Calibri"/>
      <family val="2"/>
      <scheme val="minor"/>
    </font>
    <font>
      <sz val="16"/>
      <color rgb="FF0000FF"/>
      <name val="Calibri"/>
      <family val="2"/>
      <scheme val="minor"/>
    </font>
    <font>
      <b/>
      <sz val="12"/>
      <color theme="5"/>
      <name val="Calibri"/>
      <family val="2"/>
      <scheme val="minor"/>
    </font>
    <font>
      <b/>
      <sz val="9"/>
      <name val="Bookman Old Style"/>
      <family val="1"/>
    </font>
    <font>
      <b/>
      <sz val="11"/>
      <color rgb="FF339966"/>
      <name val="Calibri"/>
      <family val="2"/>
      <scheme val="minor"/>
    </font>
    <font>
      <b/>
      <sz val="10"/>
      <color rgb="FF339966"/>
      <name val="Calibri"/>
      <family val="2"/>
      <scheme val="minor"/>
    </font>
    <font>
      <b/>
      <sz val="18"/>
      <color rgb="FFFF0000"/>
      <name val="Calibri"/>
      <family val="2"/>
      <scheme val="minor"/>
    </font>
    <font>
      <b/>
      <sz val="10"/>
      <name val="Bookman Old Style"/>
      <family val="1"/>
    </font>
    <font>
      <b/>
      <sz val="11"/>
      <color theme="9" tint="-0.249977111117893"/>
      <name val="Calibri"/>
      <family val="2"/>
      <scheme val="minor"/>
    </font>
    <font>
      <b/>
      <sz val="8"/>
      <name val="Calibri"/>
      <family val="2"/>
    </font>
    <font>
      <b/>
      <sz val="14"/>
      <color rgb="FF339966"/>
      <name val="Calibri"/>
      <family val="2"/>
    </font>
    <font>
      <b/>
      <sz val="12"/>
      <color rgb="FFFF0000"/>
      <name val="Calibri"/>
      <family val="2"/>
    </font>
    <font>
      <sz val="11"/>
      <color theme="0" tint="-0.499984740745262"/>
      <name val="Calibri"/>
      <family val="2"/>
    </font>
    <font>
      <b/>
      <sz val="10"/>
      <color theme="0"/>
      <name val="Calibri"/>
      <family val="2"/>
    </font>
    <font>
      <b/>
      <sz val="14"/>
      <color theme="0"/>
      <name val="Calibri"/>
      <family val="2"/>
    </font>
    <font>
      <sz val="26"/>
      <color rgb="FF0000FF"/>
      <name val="Wingdings 3"/>
      <family val="1"/>
      <charset val="2"/>
    </font>
    <font>
      <sz val="16"/>
      <color indexed="8"/>
      <name val="Calibri"/>
      <family val="2"/>
      <scheme val="minor"/>
    </font>
    <font>
      <sz val="12"/>
      <color indexed="8"/>
      <name val="Calibri"/>
      <family val="2"/>
    </font>
    <font>
      <b/>
      <sz val="12"/>
      <color theme="0" tint="-0.499984740745262"/>
      <name val="Calibri"/>
      <family val="2"/>
      <scheme val="minor"/>
    </font>
    <font>
      <b/>
      <sz val="12"/>
      <color indexed="57"/>
      <name val="Calibri"/>
      <family val="2"/>
    </font>
    <font>
      <sz val="10"/>
      <name val="Calibri"/>
      <family val="2"/>
    </font>
    <font>
      <sz val="10"/>
      <name val="Bookman Old Style"/>
      <family val="1"/>
    </font>
    <font>
      <sz val="8"/>
      <color theme="8" tint="0.79998168889431442"/>
      <name val="Calibri"/>
      <family val="2"/>
      <scheme val="minor"/>
    </font>
    <font>
      <b/>
      <sz val="11"/>
      <color theme="8" tint="0.79998168889431442"/>
      <name val="Calibri"/>
      <family val="2"/>
    </font>
    <font>
      <b/>
      <sz val="14"/>
      <color theme="6" tint="-0.499984740745262"/>
      <name val="Calibri"/>
      <family val="2"/>
      <scheme val="minor"/>
    </font>
    <font>
      <b/>
      <sz val="12"/>
      <name val="Calibri"/>
      <family val="2"/>
    </font>
    <font>
      <b/>
      <sz val="11"/>
      <name val="Calibri"/>
      <family val="2"/>
    </font>
    <font>
      <u/>
      <sz val="14"/>
      <color indexed="12"/>
      <name val="Calibri"/>
      <family val="2"/>
      <scheme val="minor"/>
    </font>
    <font>
      <b/>
      <sz val="12"/>
      <color theme="0"/>
      <name val="Calibri"/>
      <family val="2"/>
    </font>
    <font>
      <b/>
      <sz val="12"/>
      <color rgb="FFC00000"/>
      <name val="Calibri"/>
      <family val="2"/>
    </font>
    <font>
      <b/>
      <sz val="14"/>
      <color rgb="FFC00000"/>
      <name val="Calibri"/>
      <family val="2"/>
    </font>
    <font>
      <b/>
      <sz val="11"/>
      <color theme="9" tint="-0.249977111117893"/>
      <name val="Calibri"/>
      <family val="2"/>
    </font>
    <font>
      <b/>
      <sz val="13"/>
      <color rgb="FF0000FF"/>
      <name val="Arial"/>
      <family val="2"/>
    </font>
    <font>
      <b/>
      <sz val="14"/>
      <color rgb="FF0000FF"/>
      <name val="Calibri"/>
      <family val="2"/>
      <scheme val="minor"/>
    </font>
    <font>
      <b/>
      <sz val="12"/>
      <color rgb="FF0000FF"/>
      <name val="Calibri"/>
      <family val="2"/>
    </font>
    <font>
      <b/>
      <sz val="16"/>
      <name val="Calibri"/>
      <family val="2"/>
    </font>
    <font>
      <sz val="10"/>
      <color rgb="FFC00000"/>
      <name val="Calibri"/>
      <family val="2"/>
    </font>
    <font>
      <sz val="10"/>
      <color theme="1"/>
      <name val="Bookman Old Style"/>
      <family val="1"/>
    </font>
    <font>
      <b/>
      <sz val="11"/>
      <color theme="5"/>
      <name val="Calibri"/>
      <family val="2"/>
      <scheme val="minor"/>
    </font>
    <font>
      <b/>
      <sz val="14"/>
      <color theme="1"/>
      <name val="Calibri"/>
      <family val="2"/>
    </font>
    <font>
      <b/>
      <sz val="12"/>
      <color indexed="8"/>
      <name val="Calibri"/>
      <family val="2"/>
      <scheme val="minor"/>
    </font>
    <font>
      <b/>
      <sz val="14"/>
      <color indexed="8"/>
      <name val="Calibri"/>
      <family val="2"/>
      <scheme val="minor"/>
    </font>
    <font>
      <sz val="14"/>
      <color theme="1"/>
      <name val="Calibri"/>
      <family val="2"/>
    </font>
    <font>
      <sz val="8"/>
      <color theme="0"/>
      <name val="Calibri"/>
      <family val="2"/>
      <scheme val="minor"/>
    </font>
    <font>
      <b/>
      <sz val="11"/>
      <color rgb="FF0000FF"/>
      <name val="Calibri"/>
      <family val="2"/>
    </font>
    <font>
      <b/>
      <u/>
      <sz val="14"/>
      <color indexed="12"/>
      <name val="Arial"/>
      <family val="2"/>
    </font>
    <font>
      <b/>
      <sz val="18"/>
      <color theme="0"/>
      <name val="Calibri"/>
      <family val="2"/>
      <scheme val="minor"/>
    </font>
    <font>
      <b/>
      <sz val="14"/>
      <color theme="5"/>
      <name val="Calibri"/>
      <family val="2"/>
      <scheme val="minor"/>
    </font>
    <font>
      <b/>
      <sz val="12"/>
      <color rgb="FF339966"/>
      <name val="Calibri"/>
      <family val="2"/>
      <scheme val="minor"/>
    </font>
    <font>
      <b/>
      <sz val="12"/>
      <color rgb="FF339966"/>
      <name val="Calibri"/>
      <family val="2"/>
    </font>
    <font>
      <b/>
      <sz val="18"/>
      <name val="Calibri"/>
      <family val="2"/>
    </font>
    <font>
      <b/>
      <sz val="18"/>
      <color rgb="FFC00000"/>
      <name val="Calibri"/>
      <family val="2"/>
      <scheme val="minor"/>
    </font>
    <font>
      <b/>
      <sz val="11"/>
      <color theme="7" tint="-0.499984740745262"/>
      <name val="Calibri"/>
      <family val="2"/>
      <scheme val="minor"/>
    </font>
    <font>
      <b/>
      <sz val="14"/>
      <color theme="7" tint="-0.499984740745262"/>
      <name val="Calibri"/>
      <family val="2"/>
      <scheme val="minor"/>
    </font>
    <font>
      <sz val="8"/>
      <color theme="0" tint="-0.249977111117893"/>
      <name val="Calibri"/>
      <family val="2"/>
      <scheme val="minor"/>
    </font>
    <font>
      <sz val="14"/>
      <color theme="7" tint="-0.499984740745262"/>
      <name val="Calibri"/>
      <family val="2"/>
      <scheme val="minor"/>
    </font>
    <font>
      <b/>
      <sz val="12"/>
      <color theme="1" tint="0.499984740745262"/>
      <name val="Calibri"/>
      <family val="2"/>
      <scheme val="minor"/>
    </font>
    <font>
      <sz val="9"/>
      <color theme="5"/>
      <name val="Calibri"/>
      <family val="2"/>
      <scheme val="minor"/>
    </font>
    <font>
      <sz val="16"/>
      <color theme="7" tint="-0.499984740745262"/>
      <name val="Calibri"/>
      <family val="2"/>
      <scheme val="minor"/>
    </font>
    <font>
      <b/>
      <sz val="12"/>
      <color theme="7" tint="-0.499984740745262"/>
      <name val="Calibri"/>
      <family val="2"/>
      <scheme val="minor"/>
    </font>
    <font>
      <sz val="12"/>
      <color rgb="FF339966"/>
      <name val="Calibri"/>
      <family val="2"/>
      <scheme val="minor"/>
    </font>
    <font>
      <sz val="11"/>
      <color theme="7" tint="-0.499984740745262"/>
      <name val="Calibri"/>
      <family val="2"/>
      <scheme val="minor"/>
    </font>
    <font>
      <b/>
      <sz val="22"/>
      <color theme="5"/>
      <name val="Calibri"/>
      <family val="2"/>
      <scheme val="minor"/>
    </font>
    <font>
      <sz val="10"/>
      <name val="MS Sans Serif"/>
    </font>
    <font>
      <sz val="10"/>
      <color indexed="9"/>
      <name val="Calibri"/>
      <family val="2"/>
      <scheme val="minor"/>
    </font>
    <font>
      <sz val="20"/>
      <name val="Calibri"/>
      <family val="2"/>
      <scheme val="minor"/>
    </font>
    <font>
      <b/>
      <sz val="28"/>
      <color indexed="12"/>
      <name val="Calibri"/>
      <family val="2"/>
      <scheme val="minor"/>
    </font>
    <font>
      <b/>
      <sz val="24"/>
      <color indexed="12"/>
      <name val="Calibri"/>
      <family val="2"/>
      <scheme val="minor"/>
    </font>
    <font>
      <b/>
      <i/>
      <sz val="18"/>
      <color theme="0" tint="-0.499984740745262"/>
      <name val="Calibri"/>
      <family val="2"/>
      <scheme val="minor"/>
    </font>
    <font>
      <sz val="16"/>
      <color rgb="FFFF0000"/>
      <name val="Calibri"/>
      <family val="2"/>
      <scheme val="minor"/>
    </font>
    <font>
      <b/>
      <sz val="26"/>
      <name val="Calibri"/>
      <family val="2"/>
      <scheme val="minor"/>
    </font>
    <font>
      <b/>
      <sz val="16"/>
      <color indexed="9"/>
      <name val="Calibri"/>
      <family val="2"/>
      <scheme val="minor"/>
    </font>
    <font>
      <b/>
      <sz val="14"/>
      <color indexed="9"/>
      <name val="Calibri"/>
      <family val="2"/>
      <scheme val="minor"/>
    </font>
    <font>
      <sz val="8"/>
      <color indexed="9"/>
      <name val="Calibri"/>
      <family val="2"/>
      <scheme val="minor"/>
    </font>
    <font>
      <b/>
      <sz val="20"/>
      <color rgb="FFFF0000"/>
      <name val="Calibri"/>
      <family val="2"/>
      <scheme val="minor"/>
    </font>
    <font>
      <b/>
      <sz val="12"/>
      <color rgb="FF3366FF"/>
      <name val="Calibri"/>
      <family val="2"/>
      <scheme val="minor"/>
    </font>
    <font>
      <b/>
      <sz val="20"/>
      <color theme="0" tint="-0.499984740745262"/>
      <name val="Calibri"/>
      <family val="2"/>
      <scheme val="minor"/>
    </font>
    <font>
      <b/>
      <sz val="12"/>
      <color indexed="9"/>
      <name val="Calibri"/>
      <family val="2"/>
      <scheme val="minor"/>
    </font>
    <font>
      <sz val="22"/>
      <name val="Calibri"/>
      <family val="2"/>
      <scheme val="minor"/>
    </font>
    <font>
      <b/>
      <sz val="26"/>
      <color theme="0"/>
      <name val="Calibri"/>
      <family val="2"/>
      <scheme val="minor"/>
    </font>
    <font>
      <b/>
      <sz val="16"/>
      <color indexed="12"/>
      <name val="Calibri"/>
      <family val="2"/>
      <scheme val="minor"/>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sz val="14"/>
      <name val="Verdana"/>
      <family val="2"/>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b/>
      <sz val="14"/>
      <color rgb="FF0070C0"/>
      <name val="Calibri"/>
      <family val="2"/>
      <scheme val="minor"/>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20"/>
      <color theme="0"/>
      <name val="Calibri"/>
      <family val="2"/>
      <scheme val="minor"/>
    </font>
    <font>
      <u/>
      <sz val="24"/>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b/>
      <sz val="20"/>
      <color rgb="FF0070C0"/>
      <name val="Calibri"/>
      <family val="2"/>
      <scheme val="minor"/>
    </font>
    <font>
      <sz val="11"/>
      <color theme="0"/>
      <name val="Calibri"/>
      <family val="2"/>
      <scheme val="minor"/>
    </font>
    <font>
      <b/>
      <sz val="16"/>
      <color rgb="FF3366FF"/>
      <name val="Calibri"/>
      <family val="2"/>
      <scheme val="minor"/>
    </font>
    <font>
      <b/>
      <sz val="24"/>
      <name val="Calibri"/>
      <family val="2"/>
      <scheme val="minor"/>
    </font>
    <font>
      <sz val="16"/>
      <color theme="4" tint="-0.249977111117893"/>
      <name val="Calibri"/>
      <family val="2"/>
      <scheme val="minor"/>
    </font>
    <font>
      <b/>
      <sz val="28"/>
      <name val="Calibri"/>
      <family val="2"/>
      <scheme val="minor"/>
    </font>
    <font>
      <b/>
      <sz val="36"/>
      <name val="Calibri"/>
      <family val="2"/>
      <scheme val="minor"/>
    </font>
    <font>
      <b/>
      <sz val="16"/>
      <color theme="9" tint="-0.499984740745262"/>
      <name val="Calibri"/>
      <family val="2"/>
      <scheme val="minor"/>
    </font>
    <font>
      <b/>
      <sz val="28"/>
      <color indexed="16"/>
      <name val="Calibri"/>
      <family val="2"/>
      <scheme val="minor"/>
    </font>
    <font>
      <b/>
      <sz val="36"/>
      <color rgb="FF0000FF"/>
      <name val="Calibri"/>
      <family val="2"/>
      <scheme val="minor"/>
    </font>
    <font>
      <u/>
      <sz val="16"/>
      <color indexed="12"/>
      <name val="Calibri"/>
      <family val="2"/>
      <scheme val="minor"/>
    </font>
    <font>
      <u/>
      <sz val="18"/>
      <color indexed="12"/>
      <name val="Calibri"/>
      <family val="2"/>
      <scheme val="minor"/>
    </font>
    <font>
      <b/>
      <sz val="16"/>
      <color rgb="FF0070C0"/>
      <name val="Calibri"/>
      <family val="2"/>
      <scheme val="minor"/>
    </font>
    <font>
      <b/>
      <sz val="18"/>
      <color rgb="FF7030A0"/>
      <name val="Calibri"/>
      <family val="2"/>
      <scheme val="minor"/>
    </font>
    <font>
      <sz val="16"/>
      <color indexed="12"/>
      <name val="Calibri"/>
      <family val="2"/>
      <scheme val="minor"/>
    </font>
    <font>
      <sz val="12"/>
      <color indexed="12"/>
      <name val="Calibri"/>
      <family val="2"/>
      <scheme val="minor"/>
    </font>
    <font>
      <sz val="14"/>
      <color rgb="FFC00000"/>
      <name val="Calibri"/>
      <family val="2"/>
      <scheme val="minor"/>
    </font>
    <font>
      <sz val="18"/>
      <color rgb="FFC00000"/>
      <name val="Calibri"/>
      <family val="2"/>
      <scheme val="minor"/>
    </font>
    <font>
      <sz val="18"/>
      <color indexed="12"/>
      <name val="Calibri"/>
      <family val="2"/>
      <scheme val="minor"/>
    </font>
    <font>
      <i/>
      <sz val="36"/>
      <name val="Calibri"/>
      <family val="2"/>
      <scheme val="minor"/>
    </font>
    <font>
      <b/>
      <sz val="26"/>
      <color rgb="FF7030A0"/>
      <name val="Calibri"/>
      <family val="2"/>
      <scheme val="minor"/>
    </font>
    <font>
      <b/>
      <sz val="18"/>
      <color theme="3"/>
      <name val="Calibri"/>
      <family val="2"/>
      <scheme val="minor"/>
    </font>
    <font>
      <b/>
      <sz val="18"/>
      <color theme="9" tint="-0.499984740745262"/>
      <name val="Calibri"/>
      <family val="2"/>
      <scheme val="minor"/>
    </font>
    <font>
      <b/>
      <sz val="18"/>
      <color indexed="16"/>
      <name val="Calibri"/>
      <family val="2"/>
      <scheme val="minor"/>
    </font>
    <font>
      <b/>
      <sz val="18"/>
      <color rgb="FF0000FF"/>
      <name val="Calibri"/>
      <family val="2"/>
      <scheme val="minor"/>
    </font>
    <font>
      <b/>
      <sz val="18"/>
      <color rgb="FF0070C0"/>
      <name val="Calibri"/>
      <family val="2"/>
      <scheme val="minor"/>
    </font>
    <font>
      <i/>
      <sz val="18"/>
      <color theme="0" tint="-0.14999847407452621"/>
      <name val="Calibri"/>
      <family val="2"/>
      <scheme val="minor"/>
    </font>
    <font>
      <sz val="8"/>
      <color indexed="10"/>
      <name val="Calibri"/>
      <family val="2"/>
      <scheme val="minor"/>
    </font>
    <font>
      <sz val="10"/>
      <color indexed="10"/>
      <name val="Calibri"/>
      <family val="2"/>
      <scheme val="minor"/>
    </font>
    <font>
      <b/>
      <sz val="14"/>
      <color theme="5" tint="-0.249977111117893"/>
      <name val="Calibri"/>
      <family val="2"/>
      <scheme val="minor"/>
    </font>
    <font>
      <b/>
      <sz val="14"/>
      <color theme="9" tint="-0.499984740745262"/>
      <name val="Calibri"/>
      <family val="2"/>
      <scheme val="minor"/>
    </font>
    <font>
      <b/>
      <sz val="14"/>
      <color rgb="FF008000"/>
      <name val="Calibri"/>
      <family val="2"/>
      <scheme val="minor"/>
    </font>
    <font>
      <b/>
      <sz val="14"/>
      <color rgb="FF009900"/>
      <name val="Calibri"/>
      <family val="2"/>
      <scheme val="minor"/>
    </font>
    <font>
      <i/>
      <sz val="26"/>
      <color indexed="62"/>
      <name val="Calibri"/>
      <family val="2"/>
      <scheme val="minor"/>
    </font>
    <font>
      <b/>
      <sz val="16"/>
      <color theme="5" tint="-0.249977111117893"/>
      <name val="Calibri"/>
      <family val="2"/>
      <scheme val="minor"/>
    </font>
    <font>
      <b/>
      <sz val="18"/>
      <color rgb="FF974807"/>
      <name val="Calibri"/>
      <family val="2"/>
      <scheme val="minor"/>
    </font>
    <font>
      <b/>
      <sz val="18"/>
      <color indexed="12"/>
      <name val="Calibri"/>
      <family val="2"/>
      <scheme val="minor"/>
    </font>
    <font>
      <sz val="11"/>
      <color rgb="FF000000"/>
      <name val="Calibri"/>
      <family val="2"/>
      <scheme val="minor"/>
    </font>
    <font>
      <b/>
      <sz val="16"/>
      <color rgb="FF0000FF"/>
      <name val="Calibri"/>
      <family val="2"/>
      <scheme val="minor"/>
    </font>
    <font>
      <b/>
      <sz val="16"/>
      <color indexed="10"/>
      <name val="Calibri"/>
      <family val="2"/>
      <scheme val="minor"/>
    </font>
    <font>
      <sz val="16"/>
      <color indexed="10"/>
      <name val="Calibri"/>
      <family val="2"/>
      <scheme val="minor"/>
    </font>
    <font>
      <b/>
      <sz val="20"/>
      <color rgb="FF974807"/>
      <name val="Calibri"/>
      <family val="2"/>
      <scheme val="minor"/>
    </font>
    <font>
      <sz val="22"/>
      <color rgb="FFFF0000"/>
      <name val="Calibri"/>
      <family val="2"/>
      <scheme val="minor"/>
    </font>
    <font>
      <u/>
      <sz val="22"/>
      <color indexed="12"/>
      <name val="Calibri"/>
      <family val="2"/>
      <scheme val="minor"/>
    </font>
    <font>
      <u/>
      <sz val="20"/>
      <color indexed="12"/>
      <name val="Calibri"/>
      <family val="2"/>
      <scheme val="minor"/>
    </font>
    <font>
      <b/>
      <sz val="18"/>
      <color rgb="FF009900"/>
      <name val="Calibri"/>
      <family val="2"/>
      <scheme val="minor"/>
    </font>
    <font>
      <sz val="10"/>
      <color theme="0"/>
      <name val="Calibri"/>
      <family val="2"/>
      <scheme val="minor"/>
    </font>
    <font>
      <u/>
      <sz val="14"/>
      <color rgb="FF339966"/>
      <name val="Calibri"/>
      <family val="2"/>
      <scheme val="minor"/>
    </font>
    <font>
      <sz val="24"/>
      <name val="Calibri"/>
      <family val="2"/>
      <scheme val="minor"/>
    </font>
    <font>
      <b/>
      <u/>
      <sz val="20"/>
      <color indexed="12"/>
      <name val="Calibri"/>
      <family val="2"/>
      <scheme val="minor"/>
    </font>
    <font>
      <b/>
      <u/>
      <sz val="14"/>
      <color rgb="FFFF0000"/>
      <name val="Calibri"/>
      <family val="2"/>
      <scheme val="minor"/>
    </font>
    <font>
      <b/>
      <sz val="10"/>
      <color theme="0" tint="-0.499984740745262"/>
      <name val="Calibri"/>
      <family val="2"/>
      <scheme val="minor"/>
    </font>
    <font>
      <u/>
      <sz val="10"/>
      <name val="Calibri"/>
      <family val="2"/>
      <scheme val="minor"/>
    </font>
    <font>
      <sz val="16"/>
      <color rgb="FFC00000"/>
      <name val="Calibri"/>
      <family val="2"/>
      <scheme val="minor"/>
    </font>
    <font>
      <sz val="14"/>
      <color indexed="12"/>
      <name val="Calibri"/>
      <family val="2"/>
      <scheme val="minor"/>
    </font>
    <font>
      <b/>
      <sz val="10"/>
      <color theme="4"/>
      <name val="Calibri"/>
      <family val="2"/>
      <scheme val="minor"/>
    </font>
    <font>
      <b/>
      <sz val="9"/>
      <name val="Calibri"/>
      <family val="2"/>
      <scheme val="minor"/>
    </font>
    <font>
      <b/>
      <i/>
      <sz val="11"/>
      <color rgb="FF000000"/>
      <name val="Calibri"/>
      <family val="2"/>
      <scheme val="minor"/>
    </font>
    <font>
      <sz val="10"/>
      <color theme="4"/>
      <name val="Calibri"/>
      <family val="2"/>
      <scheme val="minor"/>
    </font>
    <font>
      <sz val="5"/>
      <name val="Calibri"/>
      <family val="2"/>
      <scheme val="minor"/>
    </font>
    <font>
      <sz val="6"/>
      <name val="Calibri"/>
      <family val="2"/>
      <scheme val="minor"/>
    </font>
    <font>
      <b/>
      <sz val="10"/>
      <color indexed="9"/>
      <name val="Calibri"/>
      <family val="2"/>
      <scheme val="minor"/>
    </font>
    <font>
      <b/>
      <sz val="13"/>
      <color rgb="FF0000FF"/>
      <name val="Calibri"/>
      <family val="2"/>
      <scheme val="minor"/>
    </font>
    <font>
      <b/>
      <sz val="12"/>
      <color indexed="57"/>
      <name val="Calibri"/>
      <family val="2"/>
      <scheme val="minor"/>
    </font>
    <font>
      <sz val="11"/>
      <color theme="0" tint="-0.499984740745262"/>
      <name val="Calibri"/>
      <family val="2"/>
      <scheme val="minor"/>
    </font>
    <font>
      <b/>
      <sz val="10"/>
      <color theme="0"/>
      <name val="Calibri"/>
      <family val="2"/>
      <scheme val="minor"/>
    </font>
    <font>
      <sz val="26"/>
      <color rgb="FF0000FF"/>
      <name val="Calibri"/>
      <family val="2"/>
      <scheme val="minor"/>
    </font>
    <font>
      <b/>
      <sz val="16"/>
      <color indexed="8"/>
      <name val="Calibri"/>
      <family val="2"/>
      <scheme val="minor"/>
    </font>
    <font>
      <sz val="12"/>
      <color indexed="8"/>
      <name val="Calibri"/>
      <family val="2"/>
      <scheme val="minor"/>
    </font>
    <font>
      <sz val="10"/>
      <color rgb="FFC00000"/>
      <name val="Calibri"/>
      <family val="2"/>
      <scheme val="minor"/>
    </font>
    <font>
      <b/>
      <sz val="11"/>
      <color theme="8" tint="0.79998168889431442"/>
      <name val="Calibri"/>
      <family val="2"/>
      <scheme val="minor"/>
    </font>
    <font>
      <b/>
      <sz val="16"/>
      <color theme="0" tint="-4.9989318521683403E-2"/>
      <name val="Calibri"/>
      <family val="2"/>
      <scheme val="minor"/>
    </font>
    <font>
      <u/>
      <sz val="14"/>
      <color indexed="12"/>
      <name val="Calibri"/>
      <family val="2"/>
    </font>
    <font>
      <sz val="11"/>
      <color theme="9" tint="-0.249977111117893"/>
      <name val="Calibri"/>
      <family val="2"/>
    </font>
    <font>
      <sz val="11"/>
      <color theme="9" tint="-0.499984740745262"/>
      <name val="Calibri"/>
      <family val="2"/>
    </font>
    <font>
      <b/>
      <sz val="11"/>
      <color rgb="FFC00000"/>
      <name val="Calibri"/>
      <family val="2"/>
    </font>
    <font>
      <sz val="12"/>
      <color rgb="FFFF0000"/>
      <name val="Calibri"/>
      <family val="2"/>
    </font>
    <font>
      <b/>
      <sz val="12"/>
      <color rgb="FF0070C0"/>
      <name val="Calibri"/>
      <family val="2"/>
    </font>
    <font>
      <sz val="9"/>
      <name val="Calibri"/>
      <family val="2"/>
    </font>
    <font>
      <sz val="10"/>
      <color rgb="FFFF0000"/>
      <name val="Calibri"/>
      <family val="2"/>
      <scheme val="minor"/>
    </font>
    <font>
      <sz val="14"/>
      <color rgb="FFFF0000"/>
      <name val="Calibri"/>
      <family val="2"/>
      <scheme val="minor"/>
    </font>
    <font>
      <sz val="12"/>
      <color indexed="50"/>
      <name val="Calibri"/>
      <family val="2"/>
      <scheme val="minor"/>
    </font>
    <font>
      <sz val="16"/>
      <color rgb="FF222222"/>
      <name val="Calibri"/>
      <family val="2"/>
      <scheme val="minor"/>
    </font>
    <font>
      <b/>
      <sz val="10"/>
      <color rgb="FF222222"/>
      <name val="Calibri"/>
      <family val="2"/>
      <scheme val="minor"/>
    </font>
    <font>
      <sz val="10"/>
      <color rgb="FF222222"/>
      <name val="Calibri"/>
      <family val="2"/>
      <scheme val="minor"/>
    </font>
    <font>
      <sz val="14"/>
      <color rgb="FF222222"/>
      <name val="Calibri"/>
      <family val="2"/>
      <scheme val="minor"/>
    </font>
    <font>
      <sz val="22"/>
      <color theme="0" tint="-0.499984740745262"/>
      <name val="Calibri"/>
      <family val="2"/>
      <scheme val="minor"/>
    </font>
    <font>
      <b/>
      <sz val="16"/>
      <color theme="0" tint="-0.499984740745262"/>
      <name val="Calibri"/>
      <family val="2"/>
      <scheme val="minor"/>
    </font>
    <font>
      <sz val="22"/>
      <color indexed="9"/>
      <name val="Calibri"/>
      <family val="2"/>
      <scheme val="minor"/>
    </font>
    <font>
      <sz val="18"/>
      <color theme="0" tint="-0.499984740745262"/>
      <name val="Calibri"/>
      <family val="2"/>
      <scheme val="minor"/>
    </font>
    <font>
      <sz val="12"/>
      <color indexed="9"/>
      <name val="Calibri"/>
      <family val="2"/>
      <scheme val="minor"/>
    </font>
    <font>
      <u/>
      <sz val="10"/>
      <color theme="10"/>
      <name val="Calibri"/>
      <family val="2"/>
      <scheme val="minor"/>
    </font>
    <font>
      <u/>
      <sz val="11"/>
      <name val="Calibri"/>
      <family val="2"/>
      <scheme val="minor"/>
    </font>
    <font>
      <b/>
      <sz val="16"/>
      <color rgb="FF254A75"/>
      <name val="Calibri"/>
      <family val="2"/>
      <scheme val="minor"/>
    </font>
    <font>
      <sz val="14"/>
      <color rgb="FF254A75"/>
      <name val="Calibri"/>
      <family val="2"/>
      <scheme val="minor"/>
    </font>
    <font>
      <sz val="10"/>
      <color rgb="FF000000"/>
      <name val="Calibri"/>
      <family val="2"/>
      <scheme val="minor"/>
    </font>
    <font>
      <sz val="18"/>
      <color rgb="FF000000"/>
      <name val="Calibri"/>
      <family val="2"/>
      <scheme val="minor"/>
    </font>
    <font>
      <sz val="11"/>
      <color rgb="FF252525"/>
      <name val="Calibri"/>
      <family val="2"/>
      <scheme val="minor"/>
    </font>
    <font>
      <sz val="11"/>
      <color rgb="FF333333"/>
      <name val="Calibri"/>
      <family val="2"/>
      <scheme val="minor"/>
    </font>
    <font>
      <sz val="12"/>
      <color rgb="FF333333"/>
      <name val="Calibri"/>
      <family val="2"/>
      <scheme val="minor"/>
    </font>
    <font>
      <u/>
      <sz val="12"/>
      <color theme="10"/>
      <name val="Calibri"/>
      <family val="2"/>
      <scheme val="minor"/>
    </font>
    <font>
      <sz val="9"/>
      <color indexed="10"/>
      <name val="Calibri"/>
      <family val="2"/>
      <scheme val="minor"/>
    </font>
    <font>
      <sz val="9"/>
      <color indexed="12"/>
      <name val="Calibri"/>
      <family val="2"/>
      <scheme val="minor"/>
    </font>
    <font>
      <i/>
      <sz val="7"/>
      <name val="Calibri"/>
      <family val="2"/>
      <scheme val="minor"/>
    </font>
    <font>
      <i/>
      <sz val="12"/>
      <color indexed="12"/>
      <name val="Calibri"/>
      <family val="2"/>
      <scheme val="minor"/>
    </font>
    <font>
      <b/>
      <sz val="11"/>
      <color indexed="10"/>
      <name val="Calibri"/>
      <family val="2"/>
      <scheme val="minor"/>
    </font>
    <font>
      <b/>
      <sz val="11"/>
      <color indexed="12"/>
      <name val="Calibri"/>
      <family val="2"/>
      <scheme val="minor"/>
    </font>
    <font>
      <sz val="11"/>
      <color indexed="10"/>
      <name val="Calibri"/>
      <family val="2"/>
      <scheme val="minor"/>
    </font>
    <font>
      <i/>
      <sz val="12"/>
      <color indexed="9"/>
      <name val="Calibri"/>
      <family val="2"/>
      <scheme val="minor"/>
    </font>
    <font>
      <b/>
      <u/>
      <sz val="15.5"/>
      <color rgb="FF20759D"/>
      <name val="Calibri"/>
      <family val="2"/>
      <scheme val="minor"/>
    </font>
    <font>
      <b/>
      <sz val="10"/>
      <color indexed="10"/>
      <name val="Calibri"/>
      <family val="2"/>
      <scheme val="minor"/>
    </font>
    <font>
      <b/>
      <sz val="10"/>
      <color rgb="FF0000FF"/>
      <name val="Calibri"/>
      <family val="2"/>
      <scheme val="minor"/>
    </font>
    <font>
      <b/>
      <sz val="10"/>
      <color rgb="FFC00000"/>
      <name val="Calibri"/>
      <family val="2"/>
      <scheme val="minor"/>
    </font>
    <font>
      <sz val="8"/>
      <color indexed="22"/>
      <name val="Calibri"/>
      <family val="2"/>
      <scheme val="minor"/>
    </font>
    <font>
      <b/>
      <sz val="10"/>
      <color indexed="17"/>
      <name val="Calibri"/>
      <family val="2"/>
      <scheme val="minor"/>
    </font>
    <font>
      <sz val="10"/>
      <color indexed="22"/>
      <name val="Calibri"/>
      <family val="2"/>
      <scheme val="minor"/>
    </font>
    <font>
      <b/>
      <sz val="20"/>
      <color indexed="12"/>
      <name val="Calibri"/>
      <family val="2"/>
      <scheme val="minor"/>
    </font>
    <font>
      <b/>
      <sz val="10"/>
      <color theme="8"/>
      <name val="Calibri"/>
      <family val="2"/>
      <scheme val="minor"/>
    </font>
    <font>
      <sz val="10"/>
      <color theme="8"/>
      <name val="Calibri"/>
      <family val="2"/>
      <scheme val="minor"/>
    </font>
    <font>
      <sz val="8"/>
      <color theme="0" tint="-0.34998626667073579"/>
      <name val="Calibri"/>
      <family val="2"/>
      <scheme val="minor"/>
    </font>
    <font>
      <b/>
      <sz val="11"/>
      <color theme="0" tint="-0.499984740745262"/>
      <name val="Calibri"/>
      <family val="2"/>
      <scheme val="minor"/>
    </font>
    <font>
      <sz val="10"/>
      <color theme="0" tint="-0.499984740745262"/>
      <name val="Calibri"/>
      <family val="2"/>
      <scheme val="minor"/>
    </font>
    <font>
      <sz val="16"/>
      <color theme="0"/>
      <name val="Calibri"/>
      <family val="2"/>
      <scheme val="minor"/>
    </font>
    <font>
      <b/>
      <sz val="11"/>
      <color indexed="8"/>
      <name val="Calibri"/>
      <family val="2"/>
      <scheme val="minor"/>
    </font>
    <font>
      <sz val="14"/>
      <color indexed="8"/>
      <name val="Calibri"/>
      <family val="2"/>
      <scheme val="minor"/>
    </font>
    <font>
      <sz val="14"/>
      <color indexed="10"/>
      <name val="Calibri"/>
      <family val="2"/>
      <scheme val="minor"/>
    </font>
    <font>
      <sz val="12"/>
      <color indexed="62"/>
      <name val="Calibri"/>
      <family val="2"/>
      <scheme val="minor"/>
    </font>
    <font>
      <sz val="11"/>
      <color indexed="30"/>
      <name val="Calibri"/>
      <family val="2"/>
      <scheme val="minor"/>
    </font>
    <font>
      <b/>
      <sz val="14"/>
      <color indexed="49"/>
      <name val="Calibri"/>
      <family val="2"/>
      <scheme val="minor"/>
    </font>
    <font>
      <sz val="11"/>
      <color indexed="8"/>
      <name val="Calibri"/>
      <family val="2"/>
      <scheme val="minor"/>
    </font>
    <font>
      <b/>
      <sz val="12"/>
      <color indexed="30"/>
      <name val="Calibri"/>
      <family val="2"/>
      <scheme val="minor"/>
    </font>
    <font>
      <b/>
      <sz val="14"/>
      <color indexed="62"/>
      <name val="Calibri"/>
      <family val="2"/>
      <scheme val="minor"/>
    </font>
    <font>
      <sz val="12"/>
      <color indexed="10"/>
      <name val="Calibri"/>
      <family val="2"/>
      <scheme val="minor"/>
    </font>
    <font>
      <b/>
      <i/>
      <sz val="12"/>
      <color rgb="FFFF0000"/>
      <name val="Calibri"/>
      <family val="2"/>
      <scheme val="minor"/>
    </font>
    <font>
      <sz val="11"/>
      <color indexed="17"/>
      <name val="Calibri"/>
      <family val="2"/>
      <scheme val="minor"/>
    </font>
    <font>
      <b/>
      <sz val="14"/>
      <color indexed="17"/>
      <name val="Calibri"/>
      <family val="2"/>
      <scheme val="minor"/>
    </font>
    <font>
      <b/>
      <sz val="18"/>
      <color rgb="FF20759D"/>
      <name val="Calibri"/>
      <family val="2"/>
      <scheme val="minor"/>
    </font>
    <font>
      <b/>
      <sz val="25"/>
      <name val="Calibri"/>
      <family val="2"/>
      <scheme val="minor"/>
    </font>
    <font>
      <b/>
      <sz val="2"/>
      <name val="Calibri"/>
      <family val="2"/>
      <scheme val="minor"/>
    </font>
    <font>
      <b/>
      <sz val="30"/>
      <name val="Calibri"/>
      <family val="2"/>
      <scheme val="minor"/>
    </font>
    <font>
      <b/>
      <i/>
      <sz val="14"/>
      <name val="Calibri"/>
      <family val="2"/>
      <scheme val="minor"/>
    </font>
    <font>
      <b/>
      <i/>
      <sz val="16"/>
      <name val="Calibri"/>
      <family val="2"/>
      <scheme val="minor"/>
    </font>
    <font>
      <b/>
      <sz val="10"/>
      <color theme="9" tint="-0.499984740745262"/>
      <name val="Calibri"/>
      <family val="2"/>
      <scheme val="minor"/>
    </font>
    <font>
      <sz val="20"/>
      <color rgb="FF92D050"/>
      <name val="Calibri"/>
      <family val="2"/>
      <scheme val="minor"/>
    </font>
    <font>
      <b/>
      <sz val="11"/>
      <color indexed="48"/>
      <name val="Calibri"/>
      <family val="2"/>
      <scheme val="minor"/>
    </font>
    <font>
      <b/>
      <sz val="11"/>
      <color indexed="17"/>
      <name val="Calibri"/>
      <family val="2"/>
      <scheme val="minor"/>
    </font>
    <font>
      <b/>
      <sz val="8"/>
      <color indexed="10"/>
      <name val="Calibri"/>
      <family val="2"/>
      <scheme val="minor"/>
    </font>
    <font>
      <sz val="10"/>
      <color indexed="12"/>
      <name val="Calibri"/>
      <family val="2"/>
      <scheme val="minor"/>
    </font>
    <font>
      <b/>
      <i/>
      <sz val="9"/>
      <name val="Calibri"/>
      <family val="2"/>
      <scheme val="minor"/>
    </font>
    <font>
      <sz val="8"/>
      <color indexed="12"/>
      <name val="Calibri"/>
      <family val="2"/>
      <scheme val="minor"/>
    </font>
    <font>
      <b/>
      <i/>
      <sz val="11"/>
      <name val="Calibri"/>
      <family val="2"/>
      <scheme val="minor"/>
    </font>
    <font>
      <b/>
      <sz val="11"/>
      <color indexed="9"/>
      <name val="Calibri"/>
      <family val="2"/>
      <scheme val="minor"/>
    </font>
    <font>
      <b/>
      <sz val="9"/>
      <color indexed="10"/>
      <name val="Calibri"/>
      <family val="2"/>
      <scheme val="minor"/>
    </font>
    <font>
      <b/>
      <sz val="8"/>
      <color indexed="12"/>
      <name val="Calibri"/>
      <family val="2"/>
      <scheme val="minor"/>
    </font>
    <font>
      <sz val="7"/>
      <color indexed="12"/>
      <name val="Calibri"/>
      <family val="2"/>
      <scheme val="minor"/>
    </font>
    <font>
      <b/>
      <sz val="12"/>
      <color indexed="17"/>
      <name val="Calibri"/>
      <family val="2"/>
      <scheme val="minor"/>
    </font>
    <font>
      <sz val="7"/>
      <name val="Calibri"/>
      <family val="2"/>
      <scheme val="minor"/>
    </font>
    <font>
      <sz val="8"/>
      <color indexed="17"/>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b/>
      <sz val="7"/>
      <name val="Calibri"/>
      <family val="2"/>
      <scheme val="minor"/>
    </font>
    <font>
      <b/>
      <sz val="18"/>
      <color rgb="FF339933"/>
      <name val="Calibri"/>
      <family val="2"/>
      <scheme val="minor"/>
    </font>
    <font>
      <sz val="10"/>
      <color rgb="FF00B050"/>
      <name val="Calibri"/>
      <family val="2"/>
      <scheme val="minor"/>
    </font>
    <font>
      <b/>
      <u/>
      <sz val="14"/>
      <name val="Calibri"/>
      <family val="2"/>
      <scheme val="minor"/>
    </font>
    <font>
      <sz val="10"/>
      <color rgb="FF0000FF"/>
      <name val="Calibri"/>
      <family val="2"/>
      <scheme val="minor"/>
    </font>
    <font>
      <b/>
      <u/>
      <sz val="14"/>
      <color rgb="FFC00000"/>
      <name val="Calibri"/>
      <family val="2"/>
      <scheme val="minor"/>
    </font>
    <font>
      <sz val="12"/>
      <color rgb="FF0000FF"/>
      <name val="Calibri"/>
      <family val="2"/>
      <scheme val="minor"/>
    </font>
    <font>
      <sz val="18"/>
      <color rgb="FF0000FF"/>
      <name val="Calibri"/>
      <family val="2"/>
      <scheme val="minor"/>
    </font>
    <font>
      <b/>
      <u/>
      <sz val="28"/>
      <color theme="10"/>
      <name val="Calibri"/>
      <family val="2"/>
      <scheme val="minor"/>
    </font>
    <font>
      <u/>
      <sz val="22"/>
      <color theme="10"/>
      <name val="Arial"/>
      <family val="2"/>
    </font>
    <font>
      <b/>
      <sz val="16"/>
      <color theme="1"/>
      <name val="Calibri"/>
      <family val="2"/>
    </font>
    <font>
      <b/>
      <sz val="48"/>
      <color rgb="FFFFFF00"/>
      <name val="Arial"/>
      <family val="2"/>
    </font>
    <font>
      <b/>
      <sz val="28"/>
      <color rgb="FFFFFF00"/>
      <name val="Arial"/>
      <family val="2"/>
    </font>
    <font>
      <b/>
      <sz val="22"/>
      <name val="Arial"/>
      <family val="2"/>
    </font>
    <font>
      <b/>
      <sz val="10"/>
      <color theme="4" tint="-0.249977111117893"/>
      <name val="Calibri"/>
      <family val="2"/>
      <scheme val="minor"/>
    </font>
    <font>
      <b/>
      <sz val="16"/>
      <color theme="9" tint="-0.249977111117893"/>
      <name val="Arial"/>
      <family val="2"/>
    </font>
    <font>
      <b/>
      <sz val="11"/>
      <color theme="4" tint="-0.249977111117893"/>
      <name val="Calibri"/>
      <family val="2"/>
      <scheme val="minor"/>
    </font>
    <font>
      <b/>
      <sz val="9"/>
      <color theme="9" tint="-0.249977111117893"/>
      <name val="Arial"/>
      <family val="2"/>
    </font>
    <font>
      <b/>
      <sz val="16"/>
      <color theme="6" tint="-0.249977111117893"/>
      <name val="Arial"/>
      <family val="2"/>
    </font>
    <font>
      <b/>
      <sz val="9"/>
      <color theme="6" tint="-0.249977111117893"/>
      <name val="Arial"/>
      <family val="2"/>
    </font>
    <font>
      <b/>
      <sz val="20"/>
      <color theme="9" tint="-0.249977111117893"/>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1"/>
      <color rgb="FF0066CC"/>
      <name val="Calibri"/>
      <family val="2"/>
      <scheme val="minor"/>
    </font>
    <font>
      <b/>
      <sz val="11"/>
      <color rgb="FF0066CC"/>
      <name val="Calibri"/>
      <family val="2"/>
      <scheme val="minor"/>
    </font>
    <font>
      <sz val="12"/>
      <color theme="0"/>
      <name val="Calibri"/>
      <family val="2"/>
      <scheme val="minor"/>
    </font>
    <font>
      <b/>
      <sz val="20"/>
      <color rgb="FFFFFF00"/>
      <name val="Arial"/>
      <family val="2"/>
    </font>
    <font>
      <b/>
      <sz val="22"/>
      <color rgb="FFFFFF00"/>
      <name val="Arial"/>
      <family val="2"/>
    </font>
    <font>
      <sz val="12"/>
      <color rgb="FFFFFF00"/>
      <name val="Calibri"/>
      <family val="2"/>
      <scheme val="minor"/>
    </font>
    <font>
      <sz val="10"/>
      <color theme="0" tint="-4.9989318521683403E-2"/>
      <name val="Arial"/>
      <family val="2"/>
    </font>
    <font>
      <sz val="22"/>
      <color theme="1"/>
      <name val="Calibri"/>
      <family val="2"/>
      <scheme val="minor"/>
    </font>
    <font>
      <sz val="20"/>
      <color theme="0" tint="-4.9989318521683403E-2"/>
      <name val="Arial"/>
      <family val="2"/>
    </font>
    <font>
      <sz val="18"/>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u/>
      <sz val="10"/>
      <color theme="10"/>
      <name val="Arial"/>
      <family val="2"/>
    </font>
    <font>
      <b/>
      <sz val="16"/>
      <color rgb="FFFFFF00"/>
      <name val="Calibri"/>
      <family val="2"/>
      <scheme val="minor"/>
    </font>
    <font>
      <sz val="16"/>
      <color theme="0"/>
      <name val="Arial"/>
      <family val="2"/>
    </font>
    <font>
      <sz val="14"/>
      <color rgb="FFFFFF00"/>
      <name val="Calibri"/>
      <family val="2"/>
      <scheme val="minor"/>
    </font>
    <font>
      <sz val="16"/>
      <color rgb="FFFFFF00"/>
      <name val="Calibri"/>
      <family val="2"/>
      <scheme val="minor"/>
    </font>
    <font>
      <sz val="16"/>
      <name val="Arial"/>
      <family val="2"/>
    </font>
    <font>
      <b/>
      <sz val="16"/>
      <color rgb="FFC00000"/>
      <name val="Arial"/>
      <family val="2"/>
    </font>
    <font>
      <i/>
      <sz val="16"/>
      <color theme="0"/>
      <name val="Calibri"/>
      <family val="2"/>
      <scheme val="minor"/>
    </font>
    <font>
      <b/>
      <sz val="16"/>
      <color rgb="FF000000"/>
      <name val="Calibri"/>
      <family val="2"/>
      <scheme val="minor"/>
    </font>
    <font>
      <sz val="14"/>
      <color theme="0"/>
      <name val="Calibri"/>
      <family val="2"/>
      <scheme val="minor"/>
    </font>
    <font>
      <i/>
      <sz val="14"/>
      <color theme="0"/>
      <name val="Calibri"/>
      <family val="2"/>
      <scheme val="minor"/>
    </font>
    <font>
      <sz val="14"/>
      <color theme="0"/>
      <name val="Arial"/>
      <family val="2"/>
    </font>
    <font>
      <i/>
      <sz val="14"/>
      <name val="Calibri"/>
      <family val="2"/>
      <scheme val="minor"/>
    </font>
    <font>
      <u/>
      <sz val="16"/>
      <color indexed="12"/>
      <name val="Arial"/>
      <family val="2"/>
    </font>
    <font>
      <sz val="20"/>
      <color theme="0"/>
      <name val="Calibri"/>
      <family val="2"/>
      <scheme val="minor"/>
    </font>
    <font>
      <sz val="12"/>
      <name val="Arial"/>
      <family val="2"/>
    </font>
    <font>
      <sz val="22"/>
      <color rgb="FFFFFF00"/>
      <name val="Verdana"/>
      <family val="2"/>
    </font>
    <font>
      <u/>
      <sz val="18"/>
      <color theme="10"/>
      <name val="Arial"/>
      <family val="2"/>
    </font>
    <font>
      <sz val="22"/>
      <color theme="0" tint="-4.9989318521683403E-2"/>
      <name val="Verdana"/>
      <family val="2"/>
    </font>
    <font>
      <sz val="18"/>
      <color theme="0" tint="-4.9989318521683403E-2"/>
      <name val="Calibri"/>
      <family val="2"/>
      <scheme val="minor"/>
    </font>
    <font>
      <u/>
      <sz val="18"/>
      <color theme="10"/>
      <name val="Calibri"/>
      <family val="2"/>
      <scheme val="minor"/>
    </font>
    <font>
      <b/>
      <sz val="18"/>
      <color theme="9" tint="-0.499984740745262"/>
      <name val="Wingdings 3"/>
      <family val="1"/>
      <charset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10"/>
      <name val="Calibri"/>
      <family val="2"/>
    </font>
    <font>
      <b/>
      <sz val="14"/>
      <color indexed="8"/>
      <name val="Calibri"/>
      <family val="2"/>
    </font>
    <font>
      <b/>
      <sz val="12"/>
      <color indexed="10"/>
      <name val="Calibri"/>
      <family val="2"/>
    </font>
    <font>
      <b/>
      <sz val="12"/>
      <color theme="4"/>
      <name val="Calibri"/>
      <family val="2"/>
    </font>
    <font>
      <b/>
      <sz val="14"/>
      <color theme="4"/>
      <name val="Calibri"/>
      <family val="2"/>
    </font>
    <font>
      <b/>
      <sz val="14"/>
      <color indexed="57"/>
      <name val="Calibri"/>
      <family val="2"/>
    </font>
    <font>
      <b/>
      <sz val="14"/>
      <color indexed="9"/>
      <name val="Calibri"/>
      <family val="2"/>
    </font>
    <font>
      <sz val="14"/>
      <color indexed="9"/>
      <name val="Calibri"/>
      <family val="2"/>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sz val="10"/>
      <color rgb="FFFF0000"/>
      <name val="Arial"/>
      <family val="2"/>
    </font>
    <font>
      <b/>
      <sz val="11"/>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sz val="12"/>
      <color theme="8" tint="-0.499984740745262"/>
      <name val="Calibri"/>
      <family val="2"/>
      <scheme val="minor"/>
    </font>
    <font>
      <b/>
      <sz val="14"/>
      <color rgb="FF0070C0"/>
      <name val="Calibri"/>
      <family val="2"/>
    </font>
    <font>
      <sz val="14"/>
      <color rgb="FFFF0000"/>
      <name val="Wingdings 3"/>
      <family val="1"/>
      <charset val="2"/>
    </font>
    <font>
      <b/>
      <sz val="16"/>
      <color theme="0"/>
      <name val="Arial"/>
      <family val="2"/>
    </font>
    <font>
      <sz val="16"/>
      <color rgb="FF222222"/>
      <name val="Arial"/>
      <family val="2"/>
    </font>
    <font>
      <sz val="16"/>
      <color rgb="FFC00000"/>
      <name val="Arial"/>
      <family val="2"/>
    </font>
    <font>
      <sz val="10"/>
      <color rgb="FF222222"/>
      <name val="Arial"/>
      <family val="2"/>
    </font>
    <font>
      <b/>
      <sz val="16"/>
      <color rgb="FFC00000"/>
      <name val="Wingdings 3"/>
      <family val="1"/>
      <charset val="2"/>
    </font>
    <font>
      <b/>
      <sz val="16"/>
      <color rgb="FFFF0000"/>
      <name val="Wingdings 3"/>
      <family val="1"/>
      <charset val="2"/>
    </font>
    <font>
      <b/>
      <sz val="14"/>
      <color theme="0"/>
      <name val="Arial"/>
      <family val="2"/>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8"/>
      <name val="Arial"/>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sz val="10"/>
      <color theme="0"/>
      <name val="Arial"/>
      <family val="2"/>
    </font>
    <font>
      <b/>
      <sz val="11"/>
      <color theme="0"/>
      <name val="Arial"/>
      <family val="2"/>
    </font>
    <font>
      <b/>
      <sz val="9"/>
      <name val="Arial"/>
      <family val="2"/>
    </font>
    <font>
      <sz val="10"/>
      <color rgb="FF000000"/>
      <name val="Arial"/>
      <family val="2"/>
    </font>
    <font>
      <sz val="18"/>
      <color rgb="FF000000"/>
      <name val="Georgia"/>
      <family val="1"/>
    </font>
    <font>
      <sz val="11"/>
      <color rgb="FF252525"/>
      <name val="Arial"/>
      <family val="2"/>
    </font>
    <font>
      <sz val="12"/>
      <color rgb="FFC00000"/>
      <name val="Wingdings 3"/>
      <family val="1"/>
      <charset val="2"/>
    </font>
    <font>
      <b/>
      <sz val="14"/>
      <color rgb="FFFF0000"/>
      <name val="Wingdings 3"/>
      <family val="1"/>
      <charset val="2"/>
    </font>
    <font>
      <sz val="11"/>
      <color rgb="FF333333"/>
      <name val="Segoe UI"/>
      <family val="2"/>
    </font>
    <font>
      <b/>
      <sz val="11"/>
      <color rgb="FFFF0000"/>
      <name val="Segoe UI"/>
      <family val="2"/>
    </font>
    <font>
      <sz val="12"/>
      <color rgb="FF333333"/>
      <name val="Segoe UI"/>
      <family val="2"/>
    </font>
    <font>
      <u/>
      <sz val="12"/>
      <color theme="10"/>
      <name val="Arial"/>
      <family val="2"/>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2"/>
      <color indexed="12"/>
      <name val="Arial"/>
      <family val="2"/>
    </font>
    <font>
      <b/>
      <sz val="10"/>
      <name val="Arial"/>
      <family val="2"/>
    </font>
    <font>
      <b/>
      <sz val="8"/>
      <name val="Arial"/>
      <family val="2"/>
    </font>
    <font>
      <i/>
      <sz val="12"/>
      <color indexed="12"/>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u/>
      <sz val="15.5"/>
      <color rgb="FF20759D"/>
      <name val="Arial"/>
      <family val="2"/>
    </font>
    <font>
      <u/>
      <sz val="11"/>
      <color theme="10"/>
      <name val="Calibri"/>
      <family val="2"/>
    </font>
    <font>
      <sz val="12"/>
      <color indexed="12"/>
      <name val="Arial"/>
      <family val="2"/>
    </font>
    <font>
      <b/>
      <sz val="12"/>
      <color indexed="10"/>
      <name val="Arial"/>
      <family val="2"/>
    </font>
    <font>
      <b/>
      <sz val="12"/>
      <color theme="1"/>
      <name val="Arial"/>
      <family val="2"/>
    </font>
    <font>
      <b/>
      <sz val="10"/>
      <color rgb="FFFF0000"/>
      <name val="Arial"/>
      <family val="2"/>
    </font>
    <font>
      <b/>
      <sz val="10"/>
      <color rgb="FF0000FF"/>
      <name val="Arial"/>
      <family val="2"/>
    </font>
    <font>
      <sz val="11"/>
      <color rgb="FFFF0000"/>
      <name val="Arial"/>
      <family val="2"/>
    </font>
    <font>
      <b/>
      <sz val="10"/>
      <color rgb="FFC00000"/>
      <name val="Arial"/>
      <family val="2"/>
    </font>
    <font>
      <b/>
      <sz val="11"/>
      <color rgb="FFC00000"/>
      <name val="Arial"/>
      <family val="2"/>
    </font>
    <font>
      <sz val="8"/>
      <name val="Times New Roman"/>
      <family val="1"/>
    </font>
    <font>
      <sz val="8"/>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0"/>
      <color theme="8"/>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1"/>
      <color rgb="FF0000FF"/>
      <name val="ZDingbats"/>
    </font>
    <font>
      <i/>
      <sz val="11"/>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1"/>
      <color indexed="30"/>
      <name val="Calibri"/>
      <family val="2"/>
    </font>
    <font>
      <b/>
      <sz val="14"/>
      <color indexed="49"/>
      <name val="Calibri"/>
      <family val="2"/>
    </font>
    <font>
      <sz val="11"/>
      <color indexed="8"/>
      <name val="Rockwell"/>
      <family val="1"/>
    </font>
    <font>
      <i/>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6"/>
      <color rgb="FF0033CC"/>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4"/>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18"/>
      <name val="Calibri"/>
      <family val="2"/>
    </font>
    <font>
      <sz val="14"/>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sz val="36"/>
      <color rgb="FFFF0000"/>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89">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CC"/>
        <bgColor indexed="64"/>
      </patternFill>
    </fill>
    <fill>
      <patternFill patternType="solid">
        <fgColor indexed="53"/>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tint="-0.14996795556505021"/>
        <bgColor indexed="64"/>
      </patternFill>
    </fill>
    <fill>
      <patternFill patternType="solid">
        <fgColor rgb="FFFFFF99"/>
        <bgColor indexed="64"/>
      </patternFill>
    </fill>
    <fill>
      <patternFill patternType="solid">
        <fgColor indexed="42"/>
        <bgColor indexed="64"/>
      </patternFill>
    </fill>
    <fill>
      <patternFill patternType="solid">
        <fgColor indexed="10"/>
        <bgColor indexed="10"/>
      </patternFill>
    </fill>
    <fill>
      <patternFill patternType="solid">
        <fgColor indexed="9"/>
        <bgColor indexed="64"/>
      </patternFill>
    </fill>
    <fill>
      <patternFill patternType="solid">
        <fgColor theme="0" tint="-0.34998626667073579"/>
        <bgColor indexed="50"/>
      </patternFill>
    </fill>
    <fill>
      <patternFill patternType="solid">
        <fgColor theme="3" tint="0.39997558519241921"/>
        <bgColor indexed="64"/>
      </patternFill>
    </fill>
    <fill>
      <patternFill patternType="solid">
        <fgColor rgb="FFFFFF00"/>
        <bgColor indexed="50"/>
      </patternFill>
    </fill>
    <fill>
      <patternFill patternType="solid">
        <fgColor theme="0" tint="-0.34998626667073579"/>
        <bgColor indexed="64"/>
      </patternFill>
    </fill>
    <fill>
      <patternFill patternType="solid">
        <fgColor theme="0"/>
        <bgColor indexed="50"/>
      </patternFill>
    </fill>
    <fill>
      <patternFill patternType="solid">
        <fgColor theme="0" tint="-0.34998626667073579"/>
        <bgColor indexed="10"/>
      </patternFill>
    </fill>
    <fill>
      <patternFill patternType="solid">
        <fgColor theme="0" tint="-0.14999847407452621"/>
        <bgColor indexed="10"/>
      </patternFill>
    </fill>
    <fill>
      <patternFill patternType="solid">
        <fgColor theme="9"/>
        <bgColor indexed="10"/>
      </patternFill>
    </fill>
    <fill>
      <patternFill patternType="gray0625"/>
    </fill>
    <fill>
      <patternFill patternType="solid">
        <fgColor theme="1" tint="0.14999847407452621"/>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00B050"/>
        <bgColor indexed="64"/>
      </patternFill>
    </fill>
    <fill>
      <patternFill patternType="solid">
        <fgColor theme="6"/>
        <bgColor indexed="64"/>
      </patternFill>
    </fill>
    <fill>
      <patternFill patternType="solid">
        <fgColor indexed="46"/>
        <bgColor indexed="64"/>
      </patternFill>
    </fill>
    <fill>
      <patternFill patternType="solid">
        <fgColor indexed="26"/>
        <bgColor indexed="64"/>
      </patternFill>
    </fill>
    <fill>
      <patternFill patternType="solid">
        <fgColor theme="0"/>
        <bgColor indexed="9"/>
      </patternFill>
    </fill>
    <fill>
      <patternFill patternType="solid">
        <fgColor indexed="26"/>
        <bgColor indexed="9"/>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indexed="31"/>
        <bgColor indexed="64"/>
      </patternFill>
    </fill>
    <fill>
      <patternFill patternType="solid">
        <fgColor rgb="FFCCCCFF"/>
        <bgColor indexed="64"/>
      </patternFill>
    </fill>
    <fill>
      <patternFill patternType="solid">
        <fgColor indexed="65"/>
        <bgColor indexed="64"/>
      </patternFill>
    </fill>
    <fill>
      <patternFill patternType="solid">
        <fgColor indexed="22"/>
        <bgColor indexed="64"/>
      </patternFill>
    </fill>
    <fill>
      <patternFill patternType="solid">
        <fgColor indexed="43"/>
        <bgColor indexed="64"/>
      </patternFill>
    </fill>
    <fill>
      <patternFill patternType="solid">
        <fgColor indexed="23"/>
        <bgColor indexed="64"/>
      </patternFill>
    </fill>
    <fill>
      <patternFill patternType="solid">
        <fgColor indexed="63"/>
        <bgColor indexed="64"/>
      </patternFill>
    </fill>
    <fill>
      <patternFill patternType="solid">
        <fgColor theme="9" tint="0.59999389629810485"/>
        <bgColor indexed="64"/>
      </patternFill>
    </fill>
    <fill>
      <patternFill patternType="solid">
        <fgColor theme="5"/>
        <bgColor indexed="64"/>
      </patternFill>
    </fill>
    <fill>
      <patternFill patternType="solid">
        <fgColor theme="7" tint="0.59999389629810485"/>
        <bgColor indexed="64"/>
      </patternFill>
    </fill>
    <fill>
      <patternFill patternType="solid">
        <fgColor rgb="FF7030A0"/>
        <bgColor indexed="64"/>
      </patternFill>
    </fill>
    <fill>
      <patternFill patternType="solid">
        <fgColor rgb="FF92D050"/>
        <bgColor indexed="64"/>
      </patternFill>
    </fill>
    <fill>
      <patternFill patternType="solid">
        <fgColor rgb="FFCC00FF"/>
        <bgColor indexed="64"/>
      </patternFill>
    </fill>
    <fill>
      <patternFill patternType="solid">
        <fgColor theme="4" tint="0.59999389629810485"/>
        <bgColor indexed="64"/>
      </patternFill>
    </fill>
    <fill>
      <patternFill patternType="solid">
        <fgColor indexed="13"/>
        <bgColor indexed="64"/>
      </patternFill>
    </fill>
    <fill>
      <patternFill patternType="solid">
        <fgColor theme="1"/>
        <bgColor indexed="64"/>
      </patternFill>
    </fill>
    <fill>
      <patternFill patternType="solid">
        <fgColor indexed="8"/>
        <bgColor indexed="64"/>
      </patternFill>
    </fill>
    <fill>
      <patternFill patternType="solid">
        <fgColor theme="0" tint="-4.9989318521683403E-2"/>
        <bgColor indexed="64"/>
      </patternFill>
    </fill>
    <fill>
      <patternFill patternType="solid">
        <fgColor rgb="FFCC99FF"/>
        <bgColor indexed="64"/>
      </patternFill>
    </fill>
    <fill>
      <patternFill patternType="solid">
        <fgColor indexed="12"/>
        <bgColor indexed="64"/>
      </patternFill>
    </fill>
    <fill>
      <patternFill patternType="solid">
        <fgColor indexed="1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1" tint="0.499984740745262"/>
        <bgColor indexed="64"/>
      </patternFill>
    </fill>
    <fill>
      <patternFill patternType="solid">
        <fgColor theme="4" tint="0.79998168889431442"/>
        <bgColor indexed="64"/>
      </patternFill>
    </fill>
    <fill>
      <patternFill patternType="solid">
        <fgColor theme="0"/>
        <bgColor indexed="34"/>
      </patternFill>
    </fill>
    <fill>
      <patternFill patternType="solid">
        <fgColor rgb="FF800080"/>
        <bgColor indexed="64"/>
      </patternFill>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4"/>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theme="7" tint="0.79998168889431442"/>
        <bgColor indexed="64"/>
      </patternFill>
    </fill>
    <fill>
      <patternFill patternType="solid">
        <fgColor theme="7"/>
        <bgColor indexed="64"/>
      </patternFill>
    </fill>
    <fill>
      <patternFill patternType="solid">
        <fgColor theme="7"/>
        <bgColor indexed="10"/>
      </patternFill>
    </fill>
    <fill>
      <patternFill patternType="solid">
        <fgColor rgb="FF00B0F0"/>
        <bgColor indexed="64"/>
      </patternFill>
    </fill>
    <fill>
      <patternFill patternType="solid">
        <fgColor theme="2"/>
        <bgColor indexed="64"/>
      </patternFill>
    </fill>
    <fill>
      <patternFill patternType="solid">
        <fgColor rgb="FFCCFFCC"/>
        <bgColor indexed="64"/>
      </patternFill>
    </fill>
    <fill>
      <patternFill patternType="solid">
        <fgColor indexed="31"/>
        <bgColor indexed="42"/>
      </patternFill>
    </fill>
    <fill>
      <patternFill patternType="solid">
        <fgColor indexed="22"/>
        <bgColor indexed="31"/>
      </patternFill>
    </fill>
    <fill>
      <patternFill patternType="solid">
        <fgColor rgb="FFB2B2B2"/>
        <bgColor indexed="64"/>
      </patternFill>
    </fill>
    <fill>
      <patternFill patternType="solid">
        <fgColor rgb="FFFFFFFF"/>
        <bgColor indexed="64"/>
      </patternFill>
    </fill>
    <fill>
      <patternFill patternType="solid">
        <fgColor rgb="FFCCCCFF"/>
        <bgColor indexed="42"/>
      </patternFill>
    </fill>
    <fill>
      <patternFill patternType="solid">
        <fgColor theme="9" tint="0.79998168889431442"/>
        <bgColor theme="9" tint="0.79998168889431442"/>
      </patternFill>
    </fill>
    <fill>
      <patternFill patternType="solid">
        <fgColor theme="4"/>
        <bgColor indexed="50"/>
      </patternFill>
    </fill>
    <fill>
      <patternFill patternType="solid">
        <fgColor theme="4" tint="0.79998168889431442"/>
        <bgColor indexed="50"/>
      </patternFill>
    </fill>
    <fill>
      <patternFill patternType="lightGrid">
        <fgColor indexed="9"/>
        <bgColor theme="0"/>
      </patternFill>
    </fill>
    <fill>
      <patternFill patternType="lightGrid">
        <fgColor indexed="9"/>
        <bgColor rgb="FFFFFF00"/>
      </patternFill>
    </fill>
    <fill>
      <patternFill patternType="solid">
        <fgColor theme="0" tint="-0.14999847407452621"/>
        <bgColor indexed="9"/>
      </patternFill>
    </fill>
    <fill>
      <patternFill patternType="lightUp">
        <fgColor indexed="9"/>
        <bgColor theme="8" tint="0.79989013336588644"/>
      </patternFill>
    </fill>
    <fill>
      <patternFill patternType="lightUp">
        <fgColor indexed="9"/>
        <bgColor theme="0" tint="-0.14999847407452621"/>
      </patternFill>
    </fill>
    <fill>
      <patternFill patternType="lightGrid">
        <fgColor indexed="9"/>
        <bgColor theme="0" tint="-0.14999847407452621"/>
      </patternFill>
    </fill>
    <fill>
      <patternFill patternType="lightUp">
        <fgColor indexed="9"/>
        <bgColor theme="8" tint="0.79998168889431442"/>
      </patternFill>
    </fill>
    <fill>
      <patternFill patternType="lightUp">
        <fgColor indexed="9"/>
        <bgColor indexed="47"/>
      </patternFill>
    </fill>
    <fill>
      <patternFill patternType="lightUp">
        <fgColor theme="0"/>
        <bgColor rgb="FFFFCC99"/>
      </patternFill>
    </fill>
    <fill>
      <patternFill patternType="solid">
        <fgColor rgb="FFFFCC99"/>
        <bgColor indexed="64"/>
      </patternFill>
    </fill>
    <fill>
      <patternFill patternType="lightGrid">
        <fgColor indexed="9"/>
        <bgColor theme="8" tint="0.79998168889431442"/>
      </patternFill>
    </fill>
    <fill>
      <patternFill patternType="lightGrid">
        <fgColor theme="0"/>
        <bgColor theme="8" tint="0.79998168889431442"/>
      </patternFill>
    </fill>
    <fill>
      <patternFill patternType="lightGrid">
        <fgColor theme="0"/>
        <bgColor theme="8" tint="0.79989013336588644"/>
      </patternFill>
    </fill>
    <fill>
      <patternFill patternType="solid">
        <fgColor theme="8" tint="0.79995117038483843"/>
        <bgColor indexed="9"/>
      </patternFill>
    </fill>
    <fill>
      <patternFill patternType="lightUp">
        <fgColor theme="0"/>
        <bgColor theme="8" tint="0.79995117038483843"/>
      </patternFill>
    </fill>
    <fill>
      <patternFill patternType="solid">
        <fgColor theme="8" tint="0.79995117038483843"/>
        <bgColor theme="0"/>
      </patternFill>
    </fill>
    <fill>
      <patternFill patternType="gray0625">
        <fgColor theme="9" tint="0.79998168889431442"/>
        <bgColor theme="9" tint="0.79995117038483843"/>
      </patternFill>
    </fill>
    <fill>
      <patternFill patternType="lightUp">
        <fgColor indexed="9"/>
        <bgColor theme="9" tint="0.59996337778862885"/>
      </patternFill>
    </fill>
    <fill>
      <patternFill patternType="lightUp">
        <fgColor indexed="9"/>
        <bgColor theme="2"/>
      </patternFill>
    </fill>
    <fill>
      <patternFill patternType="lightUp">
        <fgColor indexed="9"/>
        <bgColor theme="7" tint="0.79998168889431442"/>
      </patternFill>
    </fill>
    <fill>
      <patternFill patternType="solid">
        <fgColor rgb="FFFFE699"/>
        <bgColor indexed="64"/>
      </patternFill>
    </fill>
    <fill>
      <patternFill patternType="lightUp">
        <fgColor indexed="9"/>
        <bgColor rgb="FFFFFF99"/>
      </patternFill>
    </fill>
    <fill>
      <patternFill patternType="lightUp">
        <fgColor indexed="9"/>
        <bgColor theme="0" tint="-4.9989318521683403E-2"/>
      </patternFill>
    </fill>
    <fill>
      <patternFill patternType="lightUp">
        <fgColor indexed="9"/>
        <bgColor theme="0"/>
      </patternFill>
    </fill>
    <fill>
      <patternFill patternType="solid">
        <fgColor theme="0" tint="-4.9989318521683403E-2"/>
        <bgColor theme="0"/>
      </patternFill>
    </fill>
    <fill>
      <patternFill patternType="solid">
        <fgColor rgb="FF0000FF"/>
        <bgColor indexed="64"/>
      </patternFill>
    </fill>
    <fill>
      <patternFill patternType="solid">
        <fgColor theme="0" tint="-0.14999847407452621"/>
        <bgColor indexed="26"/>
      </patternFill>
    </fill>
    <fill>
      <patternFill patternType="solid">
        <fgColor rgb="FF3366FF"/>
        <bgColor indexed="64"/>
      </patternFill>
    </fill>
    <fill>
      <patternFill patternType="solid">
        <fgColor rgb="FFCCFFFF"/>
        <bgColor indexed="64"/>
      </patternFill>
    </fill>
    <fill>
      <patternFill patternType="lightTrellis">
        <bgColor theme="0" tint="-0.14996795556505021"/>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FFC000"/>
        <bgColor indexed="64"/>
      </patternFill>
    </fill>
    <fill>
      <patternFill patternType="solid">
        <fgColor rgb="FFC00000"/>
        <bgColor indexed="64"/>
      </patternFill>
    </fill>
    <fill>
      <patternFill patternType="gray0625">
        <bgColor theme="0"/>
      </patternFill>
    </fill>
    <fill>
      <patternFill patternType="solid">
        <fgColor theme="9" tint="0.39997558519241921"/>
        <bgColor indexed="64"/>
      </patternFill>
    </fill>
    <fill>
      <patternFill patternType="solid">
        <fgColor rgb="FFA9D08E"/>
        <bgColor indexed="64"/>
      </patternFill>
    </fill>
    <fill>
      <patternFill patternType="solid">
        <fgColor rgb="FFED7D31"/>
        <bgColor indexed="64"/>
      </patternFill>
    </fill>
    <fill>
      <patternFill patternType="solid">
        <fgColor rgb="FFFF6600"/>
        <bgColor indexed="64"/>
      </patternFill>
    </fill>
    <fill>
      <patternFill patternType="solid">
        <fgColor rgb="FFD9E1F2"/>
        <bgColor indexed="64"/>
      </patternFill>
    </fill>
  </fills>
  <borders count="5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9" tint="-0.24994659260841701"/>
      </left>
      <right style="medium">
        <color theme="9" tint="-0.24994659260841701"/>
      </right>
      <top/>
      <bottom/>
      <diagonal/>
    </border>
    <border>
      <left style="thin">
        <color indexed="64"/>
      </left>
      <right style="medium">
        <color theme="9" tint="-0.24994659260841701"/>
      </right>
      <top/>
      <bottom/>
      <diagonal/>
    </border>
    <border>
      <left style="thin">
        <color indexed="64"/>
      </left>
      <right style="medium">
        <color theme="9" tint="-0.24994659260841701"/>
      </right>
      <top/>
      <bottom style="medium">
        <color theme="9" tint="-0.24994659260841701"/>
      </bottom>
      <diagonal/>
    </border>
    <border>
      <left style="medium">
        <color theme="9" tint="-0.2499465926084170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top/>
      <bottom/>
      <diagonal/>
    </border>
    <border>
      <left style="medium">
        <color theme="9" tint="-0.499984740745262"/>
      </left>
      <right/>
      <top style="medium">
        <color theme="9" tint="-0.499984740745262"/>
      </top>
      <bottom style="thin">
        <color indexed="64"/>
      </bottom>
      <diagonal/>
    </border>
    <border>
      <left/>
      <right/>
      <top style="medium">
        <color theme="9" tint="-0.499984740745262"/>
      </top>
      <bottom style="thin">
        <color indexed="64"/>
      </bottom>
      <diagonal/>
    </border>
    <border>
      <left style="thin">
        <color indexed="16"/>
      </left>
      <right/>
      <top style="medium">
        <color theme="9" tint="-0.499984740745262"/>
      </top>
      <bottom style="thin">
        <color indexed="64"/>
      </bottom>
      <diagonal/>
    </border>
    <border>
      <left/>
      <right style="medium">
        <color theme="9" tint="-0.499984740745262"/>
      </right>
      <top style="medium">
        <color theme="9" tint="-0.499984740745262"/>
      </top>
      <bottom style="thin">
        <color indexed="64"/>
      </bottom>
      <diagonal/>
    </border>
    <border>
      <left style="medium">
        <color theme="9" tint="-0.499984740745262"/>
      </left>
      <right/>
      <top/>
      <bottom/>
      <diagonal/>
    </border>
    <border>
      <left style="thin">
        <color indexed="16"/>
      </left>
      <right/>
      <top/>
      <bottom/>
      <diagonal/>
    </border>
    <border>
      <left/>
      <right style="medium">
        <color theme="9" tint="-0.499984740745262"/>
      </right>
      <top style="thin">
        <color indexed="64"/>
      </top>
      <bottom/>
      <diagonal/>
    </border>
    <border>
      <left/>
      <right style="medium">
        <color theme="9" tint="-0.499984740745262"/>
      </right>
      <top/>
      <bottom/>
      <diagonal/>
    </border>
    <border>
      <left/>
      <right style="hair">
        <color indexed="64"/>
      </right>
      <top/>
      <bottom/>
      <diagonal/>
    </border>
    <border>
      <left style="hair">
        <color indexed="64"/>
      </left>
      <right/>
      <top/>
      <bottom/>
      <diagonal/>
    </border>
    <border>
      <left style="medium">
        <color theme="9" tint="-0.499984740745262"/>
      </left>
      <right/>
      <top/>
      <bottom style="medium">
        <color theme="9" tint="-0.499984740745262"/>
      </bottom>
      <diagonal/>
    </border>
    <border>
      <left/>
      <right/>
      <top/>
      <bottom style="medium">
        <color theme="9" tint="-0.499984740745262"/>
      </bottom>
      <diagonal/>
    </border>
    <border>
      <left/>
      <right style="hair">
        <color indexed="64"/>
      </right>
      <top/>
      <bottom style="medium">
        <color theme="9" tint="-0.499984740745262"/>
      </bottom>
      <diagonal/>
    </border>
    <border>
      <left style="hair">
        <color indexed="64"/>
      </left>
      <right/>
      <top/>
      <bottom style="medium">
        <color theme="9" tint="-0.499984740745262"/>
      </bottom>
      <diagonal/>
    </border>
    <border>
      <left/>
      <right style="medium">
        <color theme="9" tint="-0.499984740745262"/>
      </right>
      <top/>
      <bottom style="medium">
        <color theme="9" tint="-0.499984740745262"/>
      </bottom>
      <diagonal/>
    </border>
    <border>
      <left style="hair">
        <color theme="9" tint="-0.24994659260841701"/>
      </left>
      <right/>
      <top style="medium">
        <color indexed="64"/>
      </top>
      <bottom/>
      <diagonal/>
    </border>
    <border>
      <left/>
      <right style="hair">
        <color theme="9" tint="-0.24994659260841701"/>
      </right>
      <top style="medium">
        <color indexed="64"/>
      </top>
      <bottom/>
      <diagonal/>
    </border>
    <border>
      <left/>
      <right style="medium">
        <color theme="9" tint="-0.24994659260841701"/>
      </right>
      <top style="medium">
        <color indexed="64"/>
      </top>
      <bottom/>
      <diagonal/>
    </border>
    <border>
      <left style="medium">
        <color theme="9" tint="-0.24994659260841701"/>
      </left>
      <right style="medium">
        <color indexed="64"/>
      </right>
      <top style="medium">
        <color indexed="64"/>
      </top>
      <bottom/>
      <diagonal/>
    </border>
    <border>
      <left/>
      <right style="hair">
        <color theme="9" tint="-0.24994659260841701"/>
      </right>
      <top/>
      <bottom/>
      <diagonal/>
    </border>
    <border>
      <left style="hair">
        <color theme="9" tint="-0.24994659260841701"/>
      </left>
      <right/>
      <top/>
      <bottom/>
      <diagonal/>
    </border>
    <border>
      <left/>
      <right style="medium">
        <color theme="9" tint="-0.24994659260841701"/>
      </right>
      <top/>
      <bottom/>
      <diagonal/>
    </border>
    <border>
      <left style="medium">
        <color theme="9" tint="-0.24994659260841701"/>
      </left>
      <right style="medium">
        <color indexed="64"/>
      </right>
      <top/>
      <bottom/>
      <diagonal/>
    </border>
    <border>
      <left/>
      <right style="medium">
        <color indexed="64"/>
      </right>
      <top/>
      <bottom/>
      <diagonal/>
    </border>
    <border>
      <left/>
      <right style="hair">
        <color theme="9" tint="-0.24994659260841701"/>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bottom style="hair">
        <color indexed="64"/>
      </bottom>
      <diagonal/>
    </border>
    <border>
      <left/>
      <right/>
      <top/>
      <bottom style="hair">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top style="hair">
        <color indexed="64"/>
      </top>
      <bottom style="hair">
        <color indexed="64"/>
      </bottom>
      <diagonal/>
    </border>
    <border>
      <left style="medium">
        <color indexed="64"/>
      </left>
      <right style="hair">
        <color indexed="64"/>
      </right>
      <top/>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right/>
      <top style="thin">
        <color indexed="16"/>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top style="thin">
        <color indexed="64"/>
      </top>
      <bottom style="thin">
        <color indexed="16"/>
      </bottom>
      <diagonal/>
    </border>
    <border>
      <left/>
      <right style="thin">
        <color indexed="64"/>
      </right>
      <top style="thin">
        <color indexed="64"/>
      </top>
      <bottom style="thin">
        <color indexed="16"/>
      </bottom>
      <diagonal/>
    </border>
    <border>
      <left/>
      <right/>
      <top style="thin">
        <color indexed="64"/>
      </top>
      <bottom style="thin">
        <color indexed="16"/>
      </bottom>
      <diagonal/>
    </border>
    <border>
      <left/>
      <right style="medium">
        <color indexed="64"/>
      </right>
      <top style="thin">
        <color indexed="64"/>
      </top>
      <bottom style="thin">
        <color indexed="16"/>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rgb="FFE46D0A"/>
      </bottom>
      <diagonal/>
    </border>
    <border>
      <left/>
      <right style="medium">
        <color indexed="64"/>
      </right>
      <top style="thin">
        <color rgb="FFE46D0A"/>
      </top>
      <bottom/>
      <diagonal/>
    </border>
    <border>
      <left style="medium">
        <color indexed="64"/>
      </left>
      <right/>
      <top/>
      <bottom style="thin">
        <color indexed="16"/>
      </bottom>
      <diagonal/>
    </border>
    <border>
      <left/>
      <right/>
      <top/>
      <bottom style="thin">
        <color indexed="16"/>
      </bottom>
      <diagonal/>
    </border>
    <border>
      <left/>
      <right style="thin">
        <color indexed="16"/>
      </right>
      <top/>
      <bottom/>
      <diagonal/>
    </border>
    <border>
      <left style="medium">
        <color indexed="64"/>
      </left>
      <right/>
      <top style="thin">
        <color indexed="64"/>
      </top>
      <bottom style="thin">
        <color indexed="64"/>
      </bottom>
      <diagonal/>
    </border>
    <border>
      <left/>
      <right style="thin">
        <color indexed="16"/>
      </right>
      <top style="thin">
        <color indexed="64"/>
      </top>
      <bottom style="thin">
        <color indexed="64"/>
      </bottom>
      <diagonal/>
    </border>
    <border>
      <left style="thin">
        <color indexed="16"/>
      </left>
      <right/>
      <top style="thin">
        <color indexed="64"/>
      </top>
      <bottom style="thin">
        <color indexed="64"/>
      </bottom>
      <diagonal/>
    </border>
    <border>
      <left/>
      <right style="thin">
        <color indexed="16"/>
      </right>
      <top style="thin">
        <color indexed="64"/>
      </top>
      <bottom/>
      <diagonal/>
    </border>
    <border>
      <left/>
      <right style="thin">
        <color theme="9" tint="-0.499984740745262"/>
      </right>
      <top/>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theme="9" tint="-0.499984740745262"/>
      </right>
      <top/>
      <bottom style="medium">
        <color indexed="64"/>
      </bottom>
      <diagonal/>
    </border>
    <border>
      <left/>
      <right style="medium">
        <color indexed="64"/>
      </right>
      <top/>
      <bottom style="thin">
        <color indexed="64"/>
      </bottom>
      <diagonal/>
    </border>
    <border>
      <left style="thin">
        <color indexed="16"/>
      </left>
      <right/>
      <top style="thin">
        <color indexed="64"/>
      </top>
      <bottom/>
      <diagonal/>
    </border>
    <border>
      <left/>
      <right style="thin">
        <color indexed="16"/>
      </right>
      <top/>
      <bottom style="thin">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thick">
        <color indexed="9"/>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top style="medium">
        <color auto="1"/>
      </top>
      <bottom/>
      <diagonal/>
    </border>
    <border>
      <left/>
      <right style="medium">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int="-0.499984740745262"/>
      </top>
      <bottom style="thin">
        <color theme="0" tint="-0.499984740745262"/>
      </bottom>
      <diagonal/>
    </border>
    <border>
      <left/>
      <right/>
      <top/>
      <bottom style="thick">
        <color indexed="64"/>
      </bottom>
      <diagonal/>
    </border>
    <border>
      <left style="thin">
        <color indexed="64"/>
      </left>
      <right style="thin">
        <color auto="1"/>
      </right>
      <top/>
      <bottom/>
      <diagonal/>
    </border>
    <border>
      <left/>
      <right/>
      <top style="thick">
        <color auto="1"/>
      </top>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thin">
        <color auto="1"/>
      </left>
      <right/>
      <top style="thin">
        <color auto="1"/>
      </top>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right/>
      <top style="thin">
        <color auto="1"/>
      </top>
      <bottom/>
      <diagonal/>
    </border>
    <border>
      <left/>
      <right style="medium">
        <color auto="1"/>
      </right>
      <top style="thin">
        <color auto="1"/>
      </top>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thin">
        <color auto="1"/>
      </right>
      <top/>
      <bottom style="thin">
        <color auto="1"/>
      </bottom>
      <diagonal/>
    </border>
    <border>
      <left style="thin">
        <color indexed="64"/>
      </left>
      <right style="medium">
        <color auto="1"/>
      </right>
      <top/>
      <bottom style="thin">
        <color auto="1"/>
      </bottom>
      <diagonal/>
    </border>
    <border>
      <left/>
      <right/>
      <top style="thin">
        <color indexed="64"/>
      </top>
      <bottom style="thin">
        <color auto="1"/>
      </bottom>
      <diagonal/>
    </border>
    <border>
      <left/>
      <right style="medium">
        <color auto="1"/>
      </right>
      <top style="thin">
        <color auto="1"/>
      </top>
      <bottom style="thin">
        <color auto="1"/>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auto="1"/>
      </left>
      <right/>
      <top style="thin">
        <color indexed="64"/>
      </top>
      <bottom style="thin">
        <color auto="1"/>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hair">
        <color auto="1"/>
      </left>
      <right style="hair">
        <color auto="1"/>
      </right>
      <top/>
      <bottom/>
      <diagonal/>
    </border>
    <border>
      <left style="medium">
        <color rgb="FF0070C0"/>
      </left>
      <right/>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style="medium">
        <color theme="9" tint="-0.24994659260841701"/>
      </left>
      <right/>
      <top/>
      <bottom style="double">
        <color theme="9" tint="-0.24994659260841701"/>
      </bottom>
      <diagonal/>
    </border>
    <border>
      <left/>
      <right/>
      <top/>
      <bottom style="double">
        <color theme="9" tint="-0.24994659260841701"/>
      </bottom>
      <diagonal/>
    </border>
    <border>
      <left/>
      <right style="medium">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style="thin">
        <color theme="9" tint="-0.24994659260841701"/>
      </bottom>
      <diagonal/>
    </border>
    <border>
      <left/>
      <right/>
      <top/>
      <bottom style="thin">
        <color theme="9" tint="-0.24994659260841701"/>
      </bottom>
      <diagonal/>
    </border>
    <border>
      <left/>
      <right style="double">
        <color theme="9" tint="-0.24994659260841701"/>
      </right>
      <top/>
      <bottom style="thin">
        <color theme="9" tint="-0.24994659260841701"/>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thin">
        <color indexed="64"/>
      </right>
      <top style="medium">
        <color indexed="64"/>
      </top>
      <bottom/>
      <diagonal/>
    </border>
    <border>
      <left style="medium">
        <color auto="1"/>
      </left>
      <right style="thin">
        <color auto="1"/>
      </right>
      <top/>
      <bottom style="medium">
        <color auto="1"/>
      </bottom>
      <diagonal/>
    </border>
    <border>
      <left/>
      <right style="medium">
        <color indexed="64"/>
      </right>
      <top/>
      <bottom style="thin">
        <color rgb="FFE46D0A"/>
      </bottom>
      <diagonal/>
    </border>
    <border>
      <left/>
      <right style="thin">
        <color auto="1"/>
      </right>
      <top/>
      <bottom style="medium">
        <color auto="1"/>
      </bottom>
      <diagonal/>
    </border>
    <border>
      <left style="thin">
        <color indexed="8"/>
      </left>
      <right/>
      <top style="thin">
        <color indexed="8"/>
      </top>
      <bottom/>
      <diagonal/>
    </border>
    <border>
      <left style="thin">
        <color indexed="8"/>
      </left>
      <right/>
      <top/>
      <bottom style="thin">
        <color indexed="8"/>
      </bottom>
      <diagonal/>
    </border>
    <border>
      <left style="medium">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style="thin">
        <color indexed="8"/>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medium">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medium">
        <color indexed="8"/>
      </right>
      <top style="thin">
        <color indexed="8"/>
      </top>
      <bottom/>
      <diagonal/>
    </border>
    <border>
      <left style="medium">
        <color indexed="8"/>
      </left>
      <right style="thin">
        <color indexed="8"/>
      </right>
      <top/>
      <bottom style="medium">
        <color indexed="8"/>
      </bottom>
      <diagonal/>
    </border>
    <border>
      <left/>
      <right/>
      <top/>
      <bottom style="medium">
        <color indexed="8"/>
      </bottom>
      <diagonal/>
    </border>
    <border>
      <left style="thin">
        <color indexed="8"/>
      </left>
      <right/>
      <top/>
      <bottom style="medium">
        <color indexed="8"/>
      </bottom>
      <diagonal/>
    </border>
    <border>
      <left/>
      <right style="medium">
        <color indexed="8"/>
      </right>
      <top/>
      <bottom style="medium">
        <color indexed="8"/>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bottom/>
      <diagonal/>
    </border>
    <border>
      <left style="thin">
        <color auto="1"/>
      </left>
      <right style="medium">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indexed="64"/>
      </left>
      <right/>
      <top/>
      <bottom/>
      <diagonal/>
    </border>
    <border>
      <left style="medium">
        <color indexed="64"/>
      </left>
      <right/>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indexed="64"/>
      </right>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diagonal/>
    </border>
    <border>
      <left/>
      <right style="medium">
        <color theme="9" tint="-0.24994659260841701"/>
      </right>
      <top/>
      <bottom style="thin">
        <color theme="9" tint="-0.24994659260841701"/>
      </bottom>
      <diagonal/>
    </border>
    <border>
      <left style="medium">
        <color theme="9" tint="-0.24994659260841701"/>
      </left>
      <right/>
      <top style="thin">
        <color theme="9" tint="0.39994506668294322"/>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bottom style="thin">
        <color theme="9" tint="0.39994506668294322"/>
      </bottom>
      <diagonal/>
    </border>
    <border>
      <left style="thin">
        <color theme="9" tint="0.39994506668294322"/>
      </left>
      <right style="medium">
        <color theme="9" tint="-0.24994659260841701"/>
      </right>
      <top style="thin">
        <color theme="9" tint="0.39994506668294322"/>
      </top>
      <bottom style="thin">
        <color theme="9" tint="0.39994506668294322"/>
      </bottom>
      <diagonal/>
    </border>
    <border>
      <left style="double">
        <color theme="9" tint="-0.24994659260841701"/>
      </left>
      <right/>
      <top style="double">
        <color theme="9" tint="-0.24994659260841701"/>
      </top>
      <bottom style="double">
        <color theme="9" tint="-0.24994659260841701"/>
      </bottom>
      <diagonal/>
    </border>
    <border>
      <left/>
      <right style="thin">
        <color theme="9" tint="-0.24994659260841701"/>
      </right>
      <top style="double">
        <color theme="9" tint="-0.24994659260841701"/>
      </top>
      <bottom style="double">
        <color theme="9" tint="-0.24994659260841701"/>
      </bottom>
      <diagonal/>
    </border>
    <border>
      <left style="thin">
        <color theme="9" tint="-0.24994659260841701"/>
      </left>
      <right style="thin">
        <color theme="9" tint="-0.24994659260841701"/>
      </right>
      <top style="double">
        <color theme="9" tint="-0.24994659260841701"/>
      </top>
      <bottom style="double">
        <color theme="9" tint="-0.24994659260841701"/>
      </bottom>
      <diagonal/>
    </border>
    <border>
      <left style="thin">
        <color theme="5"/>
      </left>
      <right style="thin">
        <color theme="5"/>
      </right>
      <top style="thin">
        <color theme="5"/>
      </top>
      <bottom style="thin">
        <color theme="5"/>
      </bottom>
      <diagonal/>
    </border>
    <border>
      <left style="thin">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medium">
        <color indexed="64"/>
      </left>
      <right/>
      <top style="medium">
        <color indexed="64"/>
      </top>
      <bottom/>
      <diagonal/>
    </border>
    <border>
      <left/>
      <right/>
      <top style="hair">
        <color theme="0" tint="-0.24994659260841701"/>
      </top>
      <bottom style="hair">
        <color theme="0" tint="-0.24994659260841701"/>
      </bottom>
      <diagonal/>
    </border>
    <border>
      <left style="thin">
        <color theme="0" tint="-0.24994659260841701"/>
      </left>
      <right/>
      <top/>
      <bottom/>
      <diagonal/>
    </border>
    <border>
      <left style="hair">
        <color indexed="64"/>
      </left>
      <right style="thin">
        <color indexed="64"/>
      </right>
      <top/>
      <bottom style="hair">
        <color indexed="64"/>
      </bottom>
      <diagonal/>
    </border>
    <border>
      <left style="thin">
        <color auto="1"/>
      </left>
      <right/>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style="thin">
        <color auto="1"/>
      </left>
      <right/>
      <top style="hair">
        <color theme="0" tint="-0.24994659260841701"/>
      </top>
      <bottom style="hair">
        <color theme="0" tint="-0.24994659260841701"/>
      </bottom>
      <diagonal/>
    </border>
    <border>
      <left style="mediumDashed">
        <color indexed="64"/>
      </left>
      <right style="mediumDashed">
        <color indexed="64"/>
      </right>
      <top style="mediumDashed">
        <color indexed="64"/>
      </top>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
      <left/>
      <right style="dashed">
        <color indexed="64"/>
      </right>
      <top style="hair">
        <color theme="0" tint="-0.24994659260841701"/>
      </top>
      <bottom style="hair">
        <color theme="0" tint="-0.24994659260841701"/>
      </bottom>
      <diagonal/>
    </border>
    <border>
      <left style="medium">
        <color indexed="64"/>
      </left>
      <right/>
      <top style="hair">
        <color indexed="64"/>
      </top>
      <bottom style="mediumDashed">
        <color indexed="64"/>
      </bottom>
      <diagonal/>
    </border>
    <border>
      <left/>
      <right/>
      <top style="medium">
        <color rgb="FF000000"/>
      </top>
      <bottom style="medium">
        <color rgb="FF000000"/>
      </bottom>
      <diagonal/>
    </border>
    <border>
      <left style="medium">
        <color theme="9" tint="-0.24994659260841701"/>
      </left>
      <right/>
      <top/>
      <bottom style="thin">
        <color theme="9" tint="0.39994506668294322"/>
      </bottom>
      <diagonal/>
    </border>
    <border>
      <left/>
      <right style="thin">
        <color theme="9" tint="0.39994506668294322"/>
      </right>
      <top/>
      <bottom style="thin">
        <color theme="9" tint="0.39994506668294322"/>
      </bottom>
      <diagonal/>
    </border>
    <border>
      <left style="thin">
        <color theme="9" tint="0.39994506668294322"/>
      </left>
      <right style="medium">
        <color theme="9" tint="-0.24994659260841701"/>
      </right>
      <top/>
      <bottom style="thin">
        <color theme="9" tint="0.3999450666829432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39994506668294322"/>
      </left>
      <right style="thin">
        <color theme="9" tint="-0.24994659260841701"/>
      </right>
      <top style="thin">
        <color theme="9" tint="0.39991454817346722"/>
      </top>
      <bottom style="thin">
        <color theme="9" tint="0.39991454817346722"/>
      </bottom>
      <diagonal/>
    </border>
    <border>
      <left/>
      <right/>
      <top style="double">
        <color theme="9" tint="-0.24994659260841701"/>
      </top>
      <bottom style="double">
        <color theme="9" tint="-0.24994659260841701"/>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style="double">
        <color theme="9" tint="-0.24994659260841701"/>
      </right>
      <top/>
      <bottom style="double">
        <color theme="9" tint="-0.24994659260841701"/>
      </bottom>
      <diagonal/>
    </border>
    <border>
      <left style="medium">
        <color theme="9" tint="-0.24994659260841701"/>
      </left>
      <right/>
      <top style="thin">
        <color theme="9" tint="0.39994506668294322"/>
      </top>
      <bottom/>
      <diagonal/>
    </border>
    <border>
      <left/>
      <right style="thin">
        <color theme="9" tint="0.39994506668294322"/>
      </right>
      <top style="thin">
        <color theme="9" tint="0.39994506668294322"/>
      </top>
      <bottom/>
      <diagonal/>
    </border>
    <border>
      <left/>
      <right style="thin">
        <color theme="9" tint="0.39994506668294322"/>
      </right>
      <top/>
      <bottom/>
      <diagonal/>
    </border>
    <border>
      <left style="thin">
        <color theme="9" tint="0.39994506668294322"/>
      </left>
      <right style="thin">
        <color theme="9" tint="0.39994506668294322"/>
      </right>
      <top/>
      <bottom/>
      <diagonal/>
    </border>
    <border>
      <left style="thin">
        <color theme="9" tint="0.39994506668294322"/>
      </left>
      <right style="thin">
        <color theme="9" tint="-0.24994659260841701"/>
      </right>
      <top style="thin">
        <color theme="9" tint="0.39991454817346722"/>
      </top>
      <bottom/>
      <diagonal/>
    </border>
    <border>
      <left style="thin">
        <color theme="9" tint="0.39994506668294322"/>
      </left>
      <right style="thin">
        <color theme="9" tint="0.39994506668294322"/>
      </right>
      <top style="thin">
        <color theme="9" tint="0.39994506668294322"/>
      </top>
      <bottom/>
      <diagonal/>
    </border>
    <border>
      <left style="thin">
        <color theme="9" tint="0.39994506668294322"/>
      </left>
      <right style="medium">
        <color theme="9" tint="-0.24994659260841701"/>
      </right>
      <top style="thin">
        <color theme="9" tint="0.39994506668294322"/>
      </top>
      <bottom/>
      <diagonal/>
    </border>
    <border>
      <left/>
      <right style="double">
        <color theme="9" tint="-0.24994659260841701"/>
      </right>
      <top style="double">
        <color theme="9" tint="-0.24994659260841701"/>
      </top>
      <bottom style="double">
        <color theme="9" tint="-0.24994659260841701"/>
      </bottom>
      <diagonal/>
    </border>
    <border>
      <left style="double">
        <color theme="9" tint="-0.24994659260841701"/>
      </left>
      <right style="thin">
        <color theme="9" tint="0.39994506668294322"/>
      </right>
      <top style="double">
        <color theme="9" tint="-0.24994659260841701"/>
      </top>
      <bottom style="double">
        <color theme="9" tint="-0.24994659260841701"/>
      </bottom>
      <diagonal/>
    </border>
    <border>
      <left style="medium">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thin">
        <color theme="9" tint="-0.24994659260841701"/>
      </right>
      <top style="medium">
        <color theme="9" tint="-0.24994659260841701"/>
      </top>
      <bottom style="thin">
        <color theme="9" tint="-0.24994659260841701"/>
      </bottom>
      <diagonal/>
    </border>
    <border>
      <left style="thin">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thin">
        <color theme="9" tint="0.39994506668294322"/>
      </right>
      <top/>
      <bottom style="thin">
        <color theme="9" tint="0.39994506668294322"/>
      </bottom>
      <diagonal/>
    </border>
    <border>
      <left style="medium">
        <color theme="9" tint="-0.24994659260841701"/>
      </left>
      <right style="thin">
        <color theme="9" tint="0.39994506668294322"/>
      </right>
      <top style="thin">
        <color theme="9" tint="0.39994506668294322"/>
      </top>
      <bottom style="thin">
        <color theme="9" tint="0.39994506668294322"/>
      </bottom>
      <diagonal/>
    </border>
    <border>
      <left style="medium">
        <color theme="9" tint="-0.24994659260841701"/>
      </left>
      <right style="thin">
        <color theme="9" tint="0.39994506668294322"/>
      </right>
      <top style="thin">
        <color theme="9" tint="0.39994506668294322"/>
      </top>
      <bottom style="double">
        <color theme="9" tint="-0.24994659260841701"/>
      </bottom>
      <diagonal/>
    </border>
    <border>
      <left/>
      <right style="thin">
        <color theme="9" tint="0.39994506668294322"/>
      </right>
      <top style="thin">
        <color theme="9" tint="0.39994506668294322"/>
      </top>
      <bottom style="double">
        <color theme="9" tint="-0.24994659260841701"/>
      </bottom>
      <diagonal/>
    </border>
    <border>
      <left style="thin">
        <color theme="9" tint="0.39994506668294322"/>
      </left>
      <right style="thin">
        <color theme="9" tint="0.39994506668294322"/>
      </right>
      <top style="thin">
        <color theme="9" tint="0.39994506668294322"/>
      </top>
      <bottom style="double">
        <color theme="9" tint="-0.24994659260841701"/>
      </bottom>
      <diagonal/>
    </border>
    <border>
      <left style="thin">
        <color theme="9" tint="0.39994506668294322"/>
      </left>
      <right style="medium">
        <color theme="9" tint="-0.24994659260841701"/>
      </right>
      <top style="thin">
        <color theme="9" tint="0.39994506668294322"/>
      </top>
      <bottom style="double">
        <color theme="9" tint="-0.24994659260841701"/>
      </bottom>
      <diagonal/>
    </border>
    <border>
      <left style="medium">
        <color rgb="FF000000"/>
      </left>
      <right style="thin">
        <color theme="9" tint="0.39994506668294322"/>
      </right>
      <top/>
      <bottom style="thin">
        <color theme="9" tint="0.39994506668294322"/>
      </bottom>
      <diagonal/>
    </border>
    <border>
      <left style="medium">
        <color rgb="FF000000"/>
      </left>
      <right style="thin">
        <color theme="9" tint="0.39994506668294322"/>
      </right>
      <top style="thin">
        <color theme="9" tint="0.39994506668294322"/>
      </top>
      <bottom style="thin">
        <color theme="9" tint="0.39994506668294322"/>
      </bottom>
      <diagonal/>
    </border>
    <border>
      <left style="medium">
        <color auto="1"/>
      </left>
      <right/>
      <top/>
      <bottom style="thin">
        <color theme="9" tint="0.39994506668294322"/>
      </bottom>
      <diagonal/>
    </border>
    <border>
      <left style="medium">
        <color auto="1"/>
      </left>
      <right/>
      <top style="thin">
        <color theme="9" tint="0.39994506668294322"/>
      </top>
      <bottom style="thin">
        <color theme="9" tint="0.39994506668294322"/>
      </bottom>
      <diagonal/>
    </border>
    <border>
      <left style="medium">
        <color auto="1"/>
      </left>
      <right/>
      <top style="thin">
        <color theme="9" tint="0.39994506668294322"/>
      </top>
      <bottom style="medium">
        <color auto="1"/>
      </bottom>
      <diagonal/>
    </border>
    <border>
      <left style="thin">
        <color rgb="FF000000"/>
      </left>
      <right style="thin">
        <color rgb="FF000000"/>
      </right>
      <top/>
      <bottom/>
      <diagonal/>
    </border>
    <border>
      <left style="thin">
        <color rgb="FF000000"/>
      </left>
      <right style="thin">
        <color rgb="FF000000"/>
      </right>
      <top/>
      <bottom style="medium">
        <color auto="1"/>
      </bottom>
      <diagonal/>
    </border>
    <border>
      <left style="medium">
        <color auto="1"/>
      </left>
      <right style="thin">
        <color theme="9" tint="-0.24994659260841701"/>
      </right>
      <top/>
      <bottom style="thin">
        <color auto="1"/>
      </bottom>
      <diagonal/>
    </border>
    <border>
      <left style="thin">
        <color theme="9" tint="-0.24994659260841701"/>
      </left>
      <right style="thin">
        <color theme="9" tint="-0.24994659260841701"/>
      </right>
      <top/>
      <bottom style="thin">
        <color auto="1"/>
      </bottom>
      <diagonal/>
    </border>
    <border>
      <left style="thin">
        <color theme="9" tint="-0.24994659260841701"/>
      </left>
      <right/>
      <top/>
      <bottom style="thin">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thin">
        <color rgb="FF000000"/>
      </left>
      <right/>
      <top/>
      <bottom/>
      <diagonal/>
    </border>
    <border>
      <left style="medium">
        <color auto="1"/>
      </left>
      <right/>
      <top/>
      <bottom style="medium">
        <color auto="1"/>
      </bottom>
      <diagonal/>
    </border>
    <border>
      <left style="thin">
        <color rgb="FF000000"/>
      </left>
      <right/>
      <top/>
      <bottom style="medium">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medium">
        <color auto="1"/>
      </bottom>
      <diagonal/>
    </border>
    <border>
      <left style="thin">
        <color theme="9" tint="-0.24994659260841701"/>
      </left>
      <right/>
      <top style="thin">
        <color theme="9" tint="-0.24994659260841701"/>
      </top>
      <bottom/>
      <diagonal/>
    </border>
    <border>
      <left style="medium">
        <color theme="9" tint="-0.24994659260841701"/>
      </left>
      <right/>
      <top style="double">
        <color theme="9" tint="-0.24994659260841701"/>
      </top>
      <bottom/>
      <diagonal/>
    </border>
    <border>
      <left/>
      <right style="medium">
        <color theme="9" tint="-0.24994659260841701"/>
      </right>
      <top style="double">
        <color theme="9" tint="-0.24994659260841701"/>
      </top>
      <bottom/>
      <diagonal/>
    </border>
    <border>
      <left style="thin">
        <color indexed="64"/>
      </left>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theme="9" tint="-0.24994659260841701"/>
      </left>
      <right/>
      <top/>
      <bottom style="thin">
        <color theme="9" tint="-0.24994659260841701"/>
      </bottom>
      <diagonal/>
    </border>
    <border>
      <left style="medium">
        <color theme="9" tint="-0.24994659260841701"/>
      </left>
      <right style="thin">
        <color theme="9" tint="-0.24994659260841701"/>
      </right>
      <top style="thin">
        <color theme="9" tint="-0.24994659260841701"/>
      </top>
      <bottom/>
      <diagonal/>
    </border>
    <border>
      <left style="medium">
        <color theme="9" tint="-0.24994659260841701"/>
      </left>
      <right/>
      <top style="hair">
        <color theme="9" tint="-0.24994659260841701"/>
      </top>
      <bottom style="hair">
        <color theme="9" tint="-0.24994659260841701"/>
      </bottom>
      <diagonal/>
    </border>
    <border>
      <left/>
      <right style="thin">
        <color theme="9" tint="0.39994506668294322"/>
      </right>
      <top style="hair">
        <color theme="9" tint="-0.24994659260841701"/>
      </top>
      <bottom style="hair">
        <color theme="9" tint="-0.24994659260841701"/>
      </bottom>
      <diagonal/>
    </border>
    <border>
      <left style="thin">
        <color theme="9" tint="0.39994506668294322"/>
      </left>
      <right style="thin">
        <color theme="9" tint="0.39994506668294322"/>
      </right>
      <top style="hair">
        <color theme="9" tint="-0.24994659260841701"/>
      </top>
      <bottom style="hair">
        <color theme="9" tint="-0.24994659260841701"/>
      </bottom>
      <diagonal/>
    </border>
    <border>
      <left style="thin">
        <color theme="9" tint="0.39994506668294322"/>
      </left>
      <right/>
      <top style="hair">
        <color theme="9" tint="-0.24994659260841701"/>
      </top>
      <bottom style="hair">
        <color theme="9" tint="-0.24994659260841701"/>
      </bottom>
      <diagonal/>
    </border>
    <border>
      <left style="thin">
        <color theme="9" tint="-0.24994659260841701"/>
      </left>
      <right/>
      <top style="double">
        <color theme="9" tint="-0.24994659260841701"/>
      </top>
      <bottom style="double">
        <color theme="9" tint="-0.24994659260841701"/>
      </bottom>
      <diagonal/>
    </border>
    <border>
      <left/>
      <right/>
      <top style="thin">
        <color theme="9" tint="-0.24994659260841701"/>
      </top>
      <bottom/>
      <diagonal/>
    </border>
    <border>
      <left/>
      <right style="medium">
        <color theme="9" tint="-0.24994659260841701"/>
      </right>
      <top style="thin">
        <color theme="9" tint="-0.24994659260841701"/>
      </top>
      <bottom/>
      <diagonal/>
    </border>
    <border>
      <left/>
      <right/>
      <top style="hair">
        <color theme="9" tint="-0.24994659260841701"/>
      </top>
      <bottom style="hair">
        <color theme="9" tint="-0.24994659260841701"/>
      </bottom>
      <diagonal/>
    </border>
    <border>
      <left/>
      <right style="medium">
        <color theme="9" tint="-0.24994659260841701"/>
      </right>
      <top style="hair">
        <color theme="9" tint="-0.24994659260841701"/>
      </top>
      <bottom style="hair">
        <color theme="9" tint="-0.24994659260841701"/>
      </bottom>
      <diagonal/>
    </border>
    <border>
      <left style="thin">
        <color theme="9" tint="-0.24994659260841701"/>
      </left>
      <right/>
      <top style="hair">
        <color theme="9" tint="-0.24994659260841701"/>
      </top>
      <bottom style="hair">
        <color theme="9" tint="-0.24994659260841701"/>
      </bottom>
      <diagonal/>
    </border>
    <border>
      <left style="medium">
        <color theme="9" tint="-0.24994659260841701"/>
      </left>
      <right/>
      <top style="thin">
        <color auto="1"/>
      </top>
      <bottom/>
      <diagonal/>
    </border>
    <border>
      <left/>
      <right style="medium">
        <color theme="9" tint="-0.24994659260841701"/>
      </right>
      <top style="thin">
        <color auto="1"/>
      </top>
      <bottom/>
      <diagonal/>
    </border>
    <border>
      <left style="medium">
        <color theme="9" tint="-0.24994659260841701"/>
      </left>
      <right/>
      <top style="double">
        <color theme="9" tint="-0.24994659260841701"/>
      </top>
      <bottom style="double">
        <color theme="9" tint="-0.24994659260841701"/>
      </bottom>
      <diagonal/>
    </border>
    <border>
      <left/>
      <right style="medium">
        <color theme="9" tint="-0.24994659260841701"/>
      </right>
      <top style="double">
        <color theme="9" tint="-0.24994659260841701"/>
      </top>
      <bottom style="double">
        <color theme="9" tint="-0.24994659260841701"/>
      </bottom>
      <diagonal/>
    </border>
    <border>
      <left style="medium">
        <color auto="1"/>
      </left>
      <right/>
      <top/>
      <bottom style="hair">
        <color theme="0" tint="-0.24994659260841701"/>
      </bottom>
      <diagonal/>
    </border>
    <border>
      <left style="medium">
        <color auto="1"/>
      </left>
      <right/>
      <top style="hair">
        <color theme="0" tint="-0.24994659260841701"/>
      </top>
      <bottom style="hair">
        <color theme="0" tint="-0.24994659260841701"/>
      </bottom>
      <diagonal/>
    </border>
    <border>
      <left/>
      <right style="mediumDashed">
        <color auto="1"/>
      </right>
      <top style="mediumDashed">
        <color auto="1"/>
      </top>
      <bottom/>
      <diagonal/>
    </border>
    <border>
      <left/>
      <right style="mediumDashed">
        <color auto="1"/>
      </right>
      <top/>
      <bottom/>
      <diagonal/>
    </border>
    <border>
      <left/>
      <right style="mediumDashed">
        <color auto="1"/>
      </right>
      <top/>
      <bottom style="mediumDashed">
        <color auto="1"/>
      </bottom>
      <diagonal/>
    </border>
    <border>
      <left/>
      <right style="mediumDashed">
        <color auto="1"/>
      </right>
      <top/>
      <bottom style="medium">
        <color auto="1"/>
      </bottom>
      <diagonal/>
    </border>
    <border>
      <left style="mediumDashed">
        <color auto="1"/>
      </left>
      <right style="hair">
        <color indexed="64"/>
      </right>
      <top style="thin">
        <color indexed="64"/>
      </top>
      <bottom/>
      <diagonal/>
    </border>
    <border>
      <left/>
      <right style="hair">
        <color indexed="64"/>
      </right>
      <top style="thin">
        <color indexed="64"/>
      </top>
      <bottom/>
      <diagonal/>
    </border>
    <border>
      <left style="mediumDashed">
        <color auto="1"/>
      </left>
      <right style="mediumDashed">
        <color auto="1"/>
      </right>
      <top/>
      <bottom/>
      <diagonal/>
    </border>
    <border>
      <left style="mediumDashed">
        <color auto="1"/>
      </left>
      <right style="hair">
        <color indexed="64"/>
      </right>
      <top/>
      <bottom style="hair">
        <color indexed="9"/>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style="mediumDashed">
        <color indexed="64"/>
      </left>
      <right style="mediumDashed">
        <color indexed="64"/>
      </right>
      <top/>
      <bottom style="mediumDashed">
        <color indexed="64"/>
      </bottom>
      <diagonal/>
    </border>
    <border>
      <left style="hair">
        <color indexed="64"/>
      </left>
      <right style="hair">
        <color indexed="64"/>
      </right>
      <top style="thin">
        <color indexed="64"/>
      </top>
      <bottom/>
      <diagonal/>
    </border>
    <border>
      <left style="hair">
        <color indexed="64"/>
      </left>
      <right style="mediumDashed">
        <color indexed="64"/>
      </right>
      <top style="thin">
        <color indexed="64"/>
      </top>
      <bottom/>
      <diagonal/>
    </border>
    <border>
      <left style="hair">
        <color indexed="64"/>
      </left>
      <right style="thin">
        <color indexed="64"/>
      </right>
      <top style="thin">
        <color indexed="64"/>
      </top>
      <bottom/>
      <diagonal/>
    </border>
    <border>
      <left/>
      <right style="hair">
        <color auto="1"/>
      </right>
      <top/>
      <bottom/>
      <diagonal/>
    </border>
    <border>
      <left style="hair">
        <color indexed="64"/>
      </left>
      <right style="mediumDashed">
        <color indexed="64"/>
      </right>
      <top/>
      <bottom/>
      <diagonal/>
    </border>
    <border>
      <left style="hair">
        <color indexed="64"/>
      </left>
      <right style="thin">
        <color indexed="64"/>
      </right>
      <top/>
      <bottom/>
      <diagonal/>
    </border>
    <border>
      <left/>
      <right style="hair">
        <color indexed="64"/>
      </right>
      <top/>
      <bottom style="thin">
        <color auto="1"/>
      </bottom>
      <diagonal/>
    </border>
    <border>
      <left style="hair">
        <color indexed="64"/>
      </left>
      <right style="mediumDashed">
        <color indexed="64"/>
      </right>
      <top/>
      <bottom style="thin">
        <color indexed="64"/>
      </bottom>
      <diagonal/>
    </border>
    <border>
      <left style="hair">
        <color indexed="64"/>
      </left>
      <right style="thin">
        <color indexed="64"/>
      </right>
      <top/>
      <bottom style="mediumDashed">
        <color indexed="64"/>
      </bottom>
      <diagonal/>
    </border>
    <border>
      <left style="thin">
        <color auto="1"/>
      </left>
      <right/>
      <top/>
      <bottom style="mediumDashed">
        <color auto="1"/>
      </bottom>
      <diagonal/>
    </border>
    <border>
      <left/>
      <right/>
      <top style="hair">
        <color indexed="64"/>
      </top>
      <bottom/>
      <diagonal/>
    </border>
    <border>
      <left style="mediumDashed">
        <color indexed="64"/>
      </left>
      <right style="medium">
        <color auto="1"/>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indexed="64"/>
      </left>
      <right style="hair">
        <color indexed="64"/>
      </right>
      <top style="thin">
        <color indexed="64"/>
      </top>
      <bottom/>
      <diagonal/>
    </border>
    <border>
      <left/>
      <right style="medium">
        <color auto="1"/>
      </right>
      <top style="thin">
        <color indexed="64"/>
      </top>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medium">
        <color auto="1"/>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style="thin">
        <color indexed="64"/>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auto="1"/>
      </left>
      <right/>
      <top style="thin">
        <color indexed="64"/>
      </top>
      <bottom style="thin">
        <color auto="1"/>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top style="hair">
        <color auto="1"/>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indexed="64"/>
      </left>
      <right/>
      <top style="thin">
        <color indexed="64"/>
      </top>
      <bottom/>
      <diagonal/>
    </border>
    <border>
      <left/>
      <right style="thin">
        <color auto="1"/>
      </right>
      <top style="thin">
        <color indexed="64"/>
      </top>
      <bottom/>
      <diagonal/>
    </border>
    <border>
      <left style="hair">
        <color indexed="12"/>
      </left>
      <right style="hair">
        <color indexed="12"/>
      </right>
      <top style="hair">
        <color indexed="12"/>
      </top>
      <bottom style="hair">
        <color indexed="12"/>
      </bottom>
      <diagonal/>
    </border>
    <border>
      <left style="medium">
        <color indexed="8"/>
      </left>
      <right style="medium">
        <color indexed="8"/>
      </right>
      <top style="medium">
        <color indexed="8"/>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mediumDashed">
        <color indexed="64"/>
      </left>
      <right/>
      <top style="mediumDashed">
        <color indexed="64"/>
      </top>
      <bottom/>
      <diagonal/>
    </border>
    <border>
      <left style="mediumDashed">
        <color indexed="64"/>
      </left>
      <right/>
      <top/>
      <bottom style="mediumDashed">
        <color indexed="64"/>
      </bottom>
      <diagonal/>
    </border>
    <border>
      <left style="medium">
        <color auto="1"/>
      </left>
      <right/>
      <top style="medium">
        <color auto="1"/>
      </top>
      <bottom/>
      <diagonal/>
    </border>
  </borders>
  <cellStyleXfs count="55">
    <xf numFmtId="0" fontId="0" fillId="0" borderId="0"/>
    <xf numFmtId="0" fontId="7" fillId="0" borderId="0"/>
    <xf numFmtId="0" fontId="8" fillId="0" borderId="0"/>
    <xf numFmtId="0" fontId="7" fillId="0" borderId="0"/>
    <xf numFmtId="0" fontId="11" fillId="0" borderId="0" applyNumberFormat="0" applyFill="0" applyBorder="0" applyAlignment="0" applyProtection="0"/>
    <xf numFmtId="0" fontId="11" fillId="0" borderId="0" applyNumberFormat="0" applyFill="0" applyBorder="0" applyAlignment="0" applyProtection="0">
      <alignment vertical="top"/>
      <protection locked="0"/>
    </xf>
    <xf numFmtId="0" fontId="18" fillId="0" borderId="0"/>
    <xf numFmtId="0" fontId="26" fillId="0" borderId="0"/>
    <xf numFmtId="0" fontId="18" fillId="0" borderId="0"/>
    <xf numFmtId="0" fontId="7" fillId="0" borderId="0"/>
    <xf numFmtId="164" fontId="8" fillId="0" borderId="0" applyFont="0" applyFill="0" applyBorder="0" applyAlignment="0" applyProtection="0"/>
    <xf numFmtId="0" fontId="7" fillId="0" borderId="0"/>
    <xf numFmtId="0" fontId="7" fillId="0" borderId="0"/>
    <xf numFmtId="0" fontId="58" fillId="0" borderId="0" applyNumberFormat="0" applyFill="0" applyBorder="0" applyAlignment="0" applyProtection="0"/>
    <xf numFmtId="0" fontId="58"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xf numFmtId="0" fontId="82" fillId="0" borderId="0"/>
    <xf numFmtId="0" fontId="7" fillId="0" borderId="0"/>
    <xf numFmtId="0" fontId="26" fillId="0" borderId="0"/>
    <xf numFmtId="0" fontId="18" fillId="0" borderId="0"/>
    <xf numFmtId="0" fontId="7" fillId="0" borderId="0"/>
    <xf numFmtId="209" fontId="7" fillId="0" borderId="0" applyFont="0" applyFill="0" applyBorder="0" applyAlignment="0" applyProtection="0"/>
    <xf numFmtId="211" fontId="7" fillId="0" borderId="0" applyFill="0" applyBorder="0" applyAlignment="0" applyProtection="0"/>
    <xf numFmtId="9" fontId="185" fillId="0" borderId="0" applyFont="0" applyFill="0" applyBorder="0" applyAlignment="0" applyProtection="0"/>
    <xf numFmtId="0" fontId="58" fillId="0" borderId="0" applyNumberFormat="0" applyFill="0" applyBorder="0" applyAlignment="0" applyProtection="0"/>
    <xf numFmtId="0" fontId="185" fillId="0" borderId="0"/>
    <xf numFmtId="0" fontId="257" fillId="0" borderId="0"/>
    <xf numFmtId="0" fontId="26" fillId="0" borderId="0"/>
    <xf numFmtId="0" fontId="257" fillId="0" borderId="0"/>
    <xf numFmtId="0" fontId="7" fillId="0" borderId="0"/>
    <xf numFmtId="0" fontId="279" fillId="0" borderId="0"/>
    <xf numFmtId="0" fontId="11" fillId="0" borderId="0" applyNumberFormat="0" applyFill="0" applyBorder="0" applyAlignment="0" applyProtection="0">
      <alignment vertical="top"/>
      <protection locked="0"/>
    </xf>
    <xf numFmtId="0" fontId="7" fillId="0" borderId="0"/>
    <xf numFmtId="0" fontId="6" fillId="0" borderId="0"/>
    <xf numFmtId="0" fontId="7" fillId="0" borderId="0"/>
    <xf numFmtId="0" fontId="257" fillId="0" borderId="0"/>
    <xf numFmtId="0" fontId="7" fillId="0" borderId="0"/>
    <xf numFmtId="0" fontId="7" fillId="0" borderId="0"/>
    <xf numFmtId="0" fontId="7" fillId="0" borderId="0"/>
    <xf numFmtId="0" fontId="4" fillId="0" borderId="0"/>
    <xf numFmtId="0" fontId="8" fillId="0" borderId="0"/>
    <xf numFmtId="0" fontId="7" fillId="0" borderId="0"/>
    <xf numFmtId="0" fontId="7" fillId="0" borderId="0"/>
    <xf numFmtId="0" fontId="8" fillId="0" borderId="0"/>
    <xf numFmtId="0" fontId="589"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xf numFmtId="0" fontId="2" fillId="0" borderId="0"/>
    <xf numFmtId="0" fontId="1" fillId="0" borderId="0"/>
    <xf numFmtId="0" fontId="1" fillId="0" borderId="0"/>
    <xf numFmtId="0" fontId="589" fillId="0" borderId="0" applyNumberFormat="0" applyFill="0" applyBorder="0" applyAlignment="0" applyProtection="0"/>
    <xf numFmtId="0" fontId="257" fillId="0" borderId="0"/>
    <xf numFmtId="0" fontId="257" fillId="0" borderId="0"/>
    <xf numFmtId="0" fontId="11" fillId="0" borderId="0" applyNumberFormat="0" applyFill="0" applyBorder="0" applyAlignment="0" applyProtection="0"/>
  </cellStyleXfs>
  <cellXfs count="6781">
    <xf numFmtId="0" fontId="0" fillId="0" borderId="0" xfId="0"/>
    <xf numFmtId="0" fontId="7" fillId="2" borderId="0" xfId="1" applyFill="1" applyProtection="1">
      <protection hidden="1"/>
    </xf>
    <xf numFmtId="0" fontId="8" fillId="2" borderId="0" xfId="2" applyFill="1"/>
    <xf numFmtId="0" fontId="7" fillId="2" borderId="0" xfId="1" applyFont="1" applyFill="1" applyAlignment="1">
      <alignment vertical="center"/>
    </xf>
    <xf numFmtId="0" fontId="7" fillId="3" borderId="0" xfId="1" applyFont="1" applyFill="1" applyAlignment="1">
      <alignment vertical="center"/>
    </xf>
    <xf numFmtId="0" fontId="7" fillId="0" borderId="0" xfId="1" applyFont="1" applyFill="1" applyAlignment="1">
      <alignment vertical="center"/>
    </xf>
    <xf numFmtId="0" fontId="9" fillId="2" borderId="0" xfId="1" applyFont="1" applyFill="1" applyAlignment="1">
      <alignment vertical="center"/>
    </xf>
    <xf numFmtId="0" fontId="10" fillId="2" borderId="0" xfId="1" applyFont="1" applyFill="1" applyAlignment="1">
      <alignment vertical="center"/>
    </xf>
    <xf numFmtId="0" fontId="7" fillId="2" borderId="0" xfId="3" applyFill="1" applyProtection="1">
      <protection hidden="1"/>
    </xf>
    <xf numFmtId="0" fontId="7" fillId="0" borderId="0" xfId="1" applyProtection="1">
      <protection hidden="1"/>
    </xf>
    <xf numFmtId="0" fontId="8" fillId="0" borderId="0" xfId="2"/>
    <xf numFmtId="0" fontId="15" fillId="2" borderId="0" xfId="1" applyFont="1" applyFill="1" applyAlignment="1">
      <alignment vertical="center"/>
    </xf>
    <xf numFmtId="0" fontId="8" fillId="3" borderId="0" xfId="2" applyFill="1"/>
    <xf numFmtId="0" fontId="17" fillId="3" borderId="0" xfId="2" applyFont="1" applyFill="1" applyAlignment="1">
      <alignment vertical="center"/>
    </xf>
    <xf numFmtId="0" fontId="17" fillId="3" borderId="0" xfId="2" applyFont="1" applyFill="1"/>
    <xf numFmtId="0" fontId="17" fillId="0" borderId="0" xfId="2" applyFont="1" applyAlignment="1">
      <alignment vertical="center"/>
    </xf>
    <xf numFmtId="1" fontId="33" fillId="38" borderId="118" xfId="7" applyNumberFormat="1" applyFont="1" applyFill="1" applyBorder="1" applyAlignment="1" applyProtection="1">
      <alignment horizontal="center" vertical="center"/>
      <protection locked="0"/>
    </xf>
    <xf numFmtId="1" fontId="33" fillId="38" borderId="122" xfId="7" applyNumberFormat="1" applyFont="1" applyFill="1" applyBorder="1" applyAlignment="1" applyProtection="1">
      <alignment horizontal="center" vertical="center"/>
      <protection locked="0"/>
    </xf>
    <xf numFmtId="1" fontId="33" fillId="38" borderId="125" xfId="7" applyNumberFormat="1" applyFont="1" applyFill="1" applyBorder="1" applyAlignment="1" applyProtection="1">
      <alignment horizontal="center" vertical="center"/>
      <protection locked="0"/>
    </xf>
    <xf numFmtId="165" fontId="33" fillId="38" borderId="122" xfId="7" applyNumberFormat="1" applyFont="1" applyFill="1" applyBorder="1" applyAlignment="1" applyProtection="1">
      <alignment horizontal="center" vertical="center"/>
      <protection locked="0"/>
    </xf>
    <xf numFmtId="165" fontId="33" fillId="38" borderId="125" xfId="7" applyNumberFormat="1" applyFont="1" applyFill="1" applyBorder="1" applyAlignment="1" applyProtection="1">
      <alignment horizontal="center" vertical="center"/>
      <protection locked="0"/>
    </xf>
    <xf numFmtId="0" fontId="31" fillId="38" borderId="0" xfId="7" applyFont="1" applyFill="1" applyBorder="1" applyAlignment="1" applyProtection="1">
      <alignment horizontal="right" vertical="center"/>
      <protection locked="0"/>
    </xf>
    <xf numFmtId="0" fontId="31" fillId="38" borderId="20" xfId="7" applyFont="1" applyFill="1" applyBorder="1" applyAlignment="1" applyProtection="1">
      <alignment vertical="center"/>
      <protection locked="0"/>
    </xf>
    <xf numFmtId="0" fontId="31" fillId="38" borderId="0" xfId="7" applyFont="1" applyFill="1" applyBorder="1" applyAlignment="1" applyProtection="1">
      <alignment vertical="center" wrapText="1"/>
      <protection locked="0"/>
    </xf>
    <xf numFmtId="0" fontId="35" fillId="38" borderId="0" xfId="7" applyFont="1" applyFill="1" applyBorder="1" applyAlignment="1" applyProtection="1">
      <alignment horizontal="right" vertical="center"/>
      <protection locked="0"/>
    </xf>
    <xf numFmtId="177" fontId="36" fillId="40" borderId="0" xfId="7" applyNumberFormat="1" applyFont="1" applyFill="1" applyBorder="1" applyAlignment="1" applyProtection="1">
      <alignment horizontal="center" vertical="center"/>
      <protection locked="0"/>
    </xf>
    <xf numFmtId="0" fontId="31" fillId="38" borderId="4" xfId="7" applyFont="1" applyFill="1" applyBorder="1" applyAlignment="1" applyProtection="1">
      <alignment vertical="center"/>
      <protection locked="0"/>
    </xf>
    <xf numFmtId="0" fontId="31" fillId="38" borderId="5" xfId="7" applyFont="1" applyFill="1" applyBorder="1" applyAlignment="1" applyProtection="1">
      <alignment vertical="center"/>
      <protection locked="0"/>
    </xf>
    <xf numFmtId="0" fontId="33" fillId="38" borderId="5" xfId="7" applyFont="1" applyFill="1" applyBorder="1" applyAlignment="1" applyProtection="1">
      <alignment horizontal="right" vertical="center"/>
      <protection locked="0"/>
    </xf>
    <xf numFmtId="2" fontId="37" fillId="38" borderId="5" xfId="7" applyNumberFormat="1" applyFont="1" applyFill="1" applyBorder="1" applyAlignment="1" applyProtection="1">
      <alignment horizontal="center" vertical="center"/>
      <protection locked="0"/>
    </xf>
    <xf numFmtId="0" fontId="31" fillId="39" borderId="15" xfId="7" applyNumberFormat="1" applyFont="1" applyFill="1" applyBorder="1" applyAlignment="1" applyProtection="1">
      <alignment horizontal="center" vertical="center"/>
      <protection locked="0"/>
    </xf>
    <xf numFmtId="0" fontId="38" fillId="39" borderId="15" xfId="7" applyNumberFormat="1" applyFont="1" applyFill="1" applyBorder="1" applyAlignment="1" applyProtection="1">
      <alignment horizontal="center" vertical="center"/>
      <protection locked="0"/>
    </xf>
    <xf numFmtId="1" fontId="39" fillId="39" borderId="58" xfId="7" applyNumberFormat="1" applyFont="1" applyFill="1" applyBorder="1" applyAlignment="1" applyProtection="1">
      <alignment horizontal="center" vertical="center"/>
      <protection locked="0"/>
    </xf>
    <xf numFmtId="176" fontId="33" fillId="3" borderId="139" xfId="7" applyNumberFormat="1" applyFont="1" applyFill="1" applyBorder="1" applyAlignment="1" applyProtection="1">
      <alignment horizontal="center" vertical="center"/>
      <protection locked="0"/>
    </xf>
    <xf numFmtId="0" fontId="33" fillId="3" borderId="140" xfId="7" applyNumberFormat="1" applyFont="1" applyFill="1" applyBorder="1" applyAlignment="1" applyProtection="1">
      <alignment horizontal="right" vertical="center"/>
      <protection locked="0"/>
    </xf>
    <xf numFmtId="173" fontId="33" fillId="3" borderId="140" xfId="7" applyNumberFormat="1" applyFont="1" applyFill="1" applyBorder="1" applyAlignment="1" applyProtection="1">
      <alignment horizontal="right" vertical="center"/>
      <protection locked="0"/>
    </xf>
    <xf numFmtId="174" fontId="33" fillId="3" borderId="15" xfId="2" applyNumberFormat="1" applyFont="1" applyFill="1" applyBorder="1" applyAlignment="1" applyProtection="1">
      <alignment horizontal="center" vertical="center"/>
    </xf>
    <xf numFmtId="1" fontId="40" fillId="3" borderId="141" xfId="7" applyNumberFormat="1" applyFont="1" applyFill="1" applyBorder="1" applyAlignment="1" applyProtection="1">
      <alignment horizontal="left" vertical="center"/>
      <protection locked="0"/>
    </xf>
    <xf numFmtId="1" fontId="40" fillId="3" borderId="58" xfId="7" applyNumberFormat="1" applyFont="1" applyFill="1" applyBorder="1" applyAlignment="1" applyProtection="1">
      <alignment horizontal="left" vertical="center"/>
      <protection locked="0"/>
    </xf>
    <xf numFmtId="0" fontId="31" fillId="39" borderId="15" xfId="7" applyFont="1" applyFill="1" applyBorder="1" applyAlignment="1" applyProtection="1">
      <alignment horizontal="center" vertical="center"/>
      <protection locked="0"/>
    </xf>
    <xf numFmtId="1" fontId="39" fillId="39" borderId="141" xfId="7" applyNumberFormat="1" applyFont="1" applyFill="1" applyBorder="1" applyAlignment="1" applyProtection="1">
      <alignment horizontal="center" vertical="center"/>
      <protection locked="0"/>
    </xf>
    <xf numFmtId="173" fontId="41" fillId="3" borderId="140" xfId="7" applyNumberFormat="1" applyFont="1" applyFill="1" applyBorder="1" applyAlignment="1" applyProtection="1">
      <alignment horizontal="right" vertical="center"/>
      <protection locked="0"/>
    </xf>
    <xf numFmtId="174" fontId="41" fillId="3" borderId="15" xfId="2" applyNumberFormat="1" applyFont="1" applyFill="1" applyBorder="1" applyAlignment="1" applyProtection="1">
      <alignment horizontal="center" vertical="center"/>
    </xf>
    <xf numFmtId="1" fontId="42" fillId="3" borderId="141" xfId="7" applyNumberFormat="1" applyFont="1" applyFill="1" applyBorder="1" applyAlignment="1" applyProtection="1">
      <alignment horizontal="left" vertical="center"/>
      <protection locked="0"/>
    </xf>
    <xf numFmtId="1" fontId="42" fillId="3" borderId="58" xfId="7" applyNumberFormat="1" applyFont="1" applyFill="1" applyBorder="1" applyAlignment="1" applyProtection="1">
      <alignment horizontal="left" vertical="center"/>
      <protection locked="0"/>
    </xf>
    <xf numFmtId="0" fontId="49" fillId="3" borderId="0" xfId="2" applyFont="1" applyFill="1" applyAlignment="1">
      <alignment vertical="center"/>
    </xf>
    <xf numFmtId="0" fontId="50" fillId="3" borderId="20" xfId="2" applyFont="1" applyFill="1" applyBorder="1" applyAlignment="1">
      <alignment horizontal="left" vertical="center"/>
    </xf>
    <xf numFmtId="0" fontId="50" fillId="3" borderId="0" xfId="2" applyFont="1" applyFill="1" applyBorder="1" applyAlignment="1">
      <alignment horizontal="left" vertical="center"/>
    </xf>
    <xf numFmtId="0" fontId="42" fillId="3" borderId="0" xfId="2" applyNumberFormat="1" applyFont="1" applyFill="1" applyBorder="1" applyAlignment="1">
      <alignment vertical="center"/>
    </xf>
    <xf numFmtId="0" fontId="50" fillId="14" borderId="0" xfId="2" applyFont="1" applyFill="1" applyBorder="1" applyAlignment="1">
      <alignment horizontal="left" vertical="center"/>
    </xf>
    <xf numFmtId="0" fontId="42" fillId="3" borderId="0" xfId="2" applyNumberFormat="1" applyFont="1" applyFill="1" applyBorder="1" applyAlignment="1" applyProtection="1">
      <alignment vertical="center"/>
      <protection locked="0"/>
    </xf>
    <xf numFmtId="0" fontId="42" fillId="3" borderId="51" xfId="2" applyNumberFormat="1" applyFont="1" applyFill="1" applyBorder="1" applyAlignment="1">
      <alignment vertical="center"/>
    </xf>
    <xf numFmtId="177" fontId="51" fillId="45" borderId="20" xfId="9" applyNumberFormat="1" applyFont="1" applyFill="1" applyBorder="1" applyAlignment="1">
      <alignment vertical="center"/>
    </xf>
    <xf numFmtId="177" fontId="51" fillId="4" borderId="0" xfId="9" applyNumberFormat="1" applyFont="1" applyFill="1" applyBorder="1" applyAlignment="1">
      <alignment vertical="center"/>
    </xf>
    <xf numFmtId="177" fontId="51" fillId="4" borderId="51" xfId="9" applyNumberFormat="1" applyFont="1" applyFill="1" applyBorder="1" applyAlignment="1">
      <alignment vertical="center"/>
    </xf>
    <xf numFmtId="177" fontId="51" fillId="45" borderId="20" xfId="9" applyNumberFormat="1" applyFont="1" applyFill="1" applyBorder="1" applyAlignment="1">
      <alignment horizontal="left" vertical="center"/>
    </xf>
    <xf numFmtId="0" fontId="53" fillId="3" borderId="0" xfId="2" applyFont="1" applyFill="1" applyAlignment="1">
      <alignment vertical="center"/>
    </xf>
    <xf numFmtId="0" fontId="54" fillId="3" borderId="0" xfId="2" applyFont="1" applyFill="1" applyAlignment="1">
      <alignment vertical="center"/>
    </xf>
    <xf numFmtId="0" fontId="54" fillId="3" borderId="0" xfId="2" applyFont="1" applyFill="1" applyAlignment="1">
      <alignment horizontal="right" vertical="center"/>
    </xf>
    <xf numFmtId="0" fontId="36" fillId="3" borderId="0" xfId="2" applyFont="1" applyFill="1" applyAlignment="1">
      <alignment horizontal="right" vertical="center"/>
    </xf>
    <xf numFmtId="0" fontId="8" fillId="3" borderId="0" xfId="2" applyFill="1" applyBorder="1" applyAlignment="1">
      <alignment vertical="center"/>
    </xf>
    <xf numFmtId="0" fontId="57" fillId="52" borderId="4" xfId="12" applyFont="1" applyFill="1" applyBorder="1" applyAlignment="1" applyProtection="1">
      <alignment horizontal="center" vertical="center"/>
      <protection hidden="1"/>
    </xf>
    <xf numFmtId="0" fontId="60" fillId="3" borderId="0" xfId="2" applyFont="1" applyFill="1"/>
    <xf numFmtId="0" fontId="63" fillId="3" borderId="0" xfId="3" applyFont="1" applyFill="1" applyAlignment="1" applyProtection="1">
      <alignment vertical="center"/>
      <protection hidden="1"/>
    </xf>
    <xf numFmtId="0" fontId="64" fillId="3" borderId="0" xfId="3" applyFont="1" applyFill="1" applyAlignment="1" applyProtection="1">
      <alignment vertical="center"/>
      <protection hidden="1"/>
    </xf>
    <xf numFmtId="0" fontId="57" fillId="52" borderId="0" xfId="12" applyFont="1" applyFill="1" applyAlignment="1" applyProtection="1">
      <alignment horizontal="center" vertical="center"/>
      <protection hidden="1"/>
    </xf>
    <xf numFmtId="0" fontId="65" fillId="3" borderId="0" xfId="14" applyFont="1" applyFill="1" applyAlignment="1" applyProtection="1">
      <alignment vertical="center"/>
      <protection hidden="1"/>
    </xf>
    <xf numFmtId="0" fontId="66" fillId="3" borderId="0" xfId="14" applyFont="1" applyFill="1" applyAlignment="1" applyProtection="1">
      <alignment vertical="center"/>
      <protection hidden="1"/>
    </xf>
    <xf numFmtId="0" fontId="68" fillId="3" borderId="0" xfId="14" applyFont="1" applyFill="1" applyAlignment="1" applyProtection="1">
      <alignment vertical="center"/>
      <protection hidden="1"/>
    </xf>
    <xf numFmtId="0" fontId="69" fillId="0" borderId="0" xfId="2" applyFont="1" applyAlignment="1"/>
    <xf numFmtId="0" fontId="69" fillId="3" borderId="0" xfId="3" applyFont="1" applyFill="1" applyBorder="1" applyAlignment="1" applyProtection="1">
      <alignment horizontal="left" vertical="center"/>
      <protection locked="0"/>
    </xf>
    <xf numFmtId="0" fontId="71" fillId="3" borderId="0" xfId="3" applyFont="1" applyFill="1" applyBorder="1" applyAlignment="1" applyProtection="1">
      <alignment horizontal="left" vertical="center"/>
      <protection locked="0"/>
    </xf>
    <xf numFmtId="0" fontId="71" fillId="3" borderId="167" xfId="3" applyFont="1" applyFill="1" applyBorder="1" applyAlignment="1" applyProtection="1">
      <alignment horizontal="left" vertical="center"/>
      <protection locked="0"/>
    </xf>
    <xf numFmtId="0" fontId="7" fillId="3" borderId="0" xfId="3" applyFill="1" applyBorder="1"/>
    <xf numFmtId="0" fontId="72" fillId="3" borderId="0" xfId="3" applyFont="1" applyFill="1" applyBorder="1" applyAlignment="1">
      <alignment vertical="center" wrapText="1"/>
    </xf>
    <xf numFmtId="0" fontId="64" fillId="3" borderId="0" xfId="3" applyFont="1" applyFill="1" applyBorder="1" applyAlignment="1">
      <alignment horizontal="center" vertical="center"/>
    </xf>
    <xf numFmtId="0" fontId="64" fillId="3" borderId="163" xfId="3" applyFont="1" applyFill="1" applyBorder="1" applyAlignment="1">
      <alignment horizontal="center" vertical="center"/>
    </xf>
    <xf numFmtId="0" fontId="73" fillId="3" borderId="0" xfId="3" applyFont="1" applyFill="1" applyBorder="1" applyAlignment="1">
      <alignment horizontal="center" vertical="center"/>
    </xf>
    <xf numFmtId="0" fontId="74" fillId="3" borderId="0" xfId="3" applyFont="1" applyFill="1" applyBorder="1" applyAlignment="1">
      <alignment horizontal="center" vertical="center"/>
    </xf>
    <xf numFmtId="0" fontId="73" fillId="3" borderId="20" xfId="3" applyFont="1" applyFill="1" applyBorder="1" applyAlignment="1">
      <alignment horizontal="center" vertical="center"/>
    </xf>
    <xf numFmtId="0" fontId="74" fillId="3" borderId="20" xfId="3" applyFont="1" applyFill="1" applyBorder="1" applyAlignment="1">
      <alignment horizontal="center" vertical="center"/>
    </xf>
    <xf numFmtId="0" fontId="75" fillId="56" borderId="0" xfId="2" applyFont="1" applyFill="1" applyAlignment="1">
      <alignment horizontal="center" vertical="center"/>
    </xf>
    <xf numFmtId="0" fontId="76" fillId="5" borderId="0" xfId="2" applyFont="1" applyFill="1" applyBorder="1" applyAlignment="1">
      <alignment horizontal="center" vertical="center"/>
    </xf>
    <xf numFmtId="0" fontId="75" fillId="52" borderId="0" xfId="2" applyFont="1" applyFill="1" applyAlignment="1">
      <alignment horizontal="center" vertical="center"/>
    </xf>
    <xf numFmtId="0" fontId="33" fillId="3" borderId="0" xfId="3" applyFont="1" applyFill="1" applyBorder="1" applyAlignment="1">
      <alignment horizontal="right" vertical="center"/>
    </xf>
    <xf numFmtId="0" fontId="33" fillId="57" borderId="0" xfId="3" applyFont="1" applyFill="1" applyBorder="1" applyAlignment="1">
      <alignment horizontal="left" vertical="center"/>
    </xf>
    <xf numFmtId="0" fontId="69" fillId="3" borderId="0" xfId="3" applyFont="1" applyFill="1" applyAlignment="1">
      <alignment vertical="center"/>
    </xf>
    <xf numFmtId="0" fontId="79" fillId="52" borderId="0" xfId="12" applyFont="1" applyFill="1" applyAlignment="1" applyProtection="1">
      <alignment horizontal="center" vertical="center"/>
      <protection hidden="1"/>
    </xf>
    <xf numFmtId="0" fontId="76" fillId="3" borderId="0" xfId="2" applyFont="1" applyFill="1"/>
    <xf numFmtId="0" fontId="80" fillId="0" borderId="0" xfId="13" applyFont="1"/>
    <xf numFmtId="0" fontId="76" fillId="0" borderId="0" xfId="2" applyFont="1"/>
    <xf numFmtId="0" fontId="60" fillId="3" borderId="0" xfId="2" applyFont="1" applyFill="1" applyAlignment="1">
      <alignment horizontal="left" vertical="center"/>
    </xf>
    <xf numFmtId="0" fontId="60" fillId="0" borderId="0" xfId="2" applyFont="1" applyAlignment="1">
      <alignment horizontal="center" vertical="center"/>
    </xf>
    <xf numFmtId="0" fontId="76" fillId="3" borderId="0" xfId="2" applyFont="1" applyFill="1" applyAlignment="1">
      <alignment vertical="center"/>
    </xf>
    <xf numFmtId="1" fontId="83" fillId="65" borderId="0" xfId="3" applyNumberFormat="1" applyFont="1" applyFill="1" applyBorder="1" applyAlignment="1" applyProtection="1">
      <alignment horizontal="center" vertical="center"/>
      <protection locked="0"/>
    </xf>
    <xf numFmtId="0" fontId="7" fillId="0" borderId="0" xfId="3"/>
    <xf numFmtId="0" fontId="79" fillId="3" borderId="0" xfId="2" applyFont="1" applyFill="1" applyBorder="1" applyAlignment="1">
      <alignment horizontal="center" vertical="center"/>
    </xf>
    <xf numFmtId="0" fontId="33" fillId="6" borderId="0" xfId="9" applyNumberFormat="1" applyFont="1" applyFill="1" applyBorder="1" applyAlignment="1">
      <alignment horizontal="center" vertical="center"/>
    </xf>
    <xf numFmtId="0" fontId="33" fillId="6" borderId="0" xfId="9" applyNumberFormat="1" applyFont="1" applyFill="1" applyBorder="1" applyAlignment="1">
      <alignment vertical="center" wrapText="1"/>
    </xf>
    <xf numFmtId="0" fontId="75" fillId="3" borderId="0" xfId="9" applyNumberFormat="1" applyFont="1" applyFill="1" applyBorder="1" applyAlignment="1">
      <alignment horizontal="center" vertical="center" wrapText="1"/>
    </xf>
    <xf numFmtId="0" fontId="79" fillId="6" borderId="0" xfId="2" applyFont="1" applyFill="1" applyBorder="1" applyAlignment="1">
      <alignment horizontal="center" vertical="center"/>
    </xf>
    <xf numFmtId="0" fontId="80" fillId="3" borderId="0" xfId="13" applyFont="1" applyFill="1" applyAlignment="1">
      <alignment vertical="center"/>
    </xf>
    <xf numFmtId="0" fontId="41" fillId="3" borderId="0" xfId="2" applyFont="1" applyFill="1" applyAlignment="1">
      <alignment vertical="center"/>
    </xf>
    <xf numFmtId="0" fontId="41" fillId="3" borderId="0" xfId="2" applyFont="1" applyFill="1"/>
    <xf numFmtId="0" fontId="85" fillId="0" borderId="0" xfId="13" applyFont="1" applyAlignment="1">
      <alignment vertical="center"/>
    </xf>
    <xf numFmtId="0" fontId="7" fillId="3" borderId="163" xfId="3" applyFill="1" applyBorder="1"/>
    <xf numFmtId="0" fontId="57" fillId="3" borderId="20" xfId="9" applyNumberFormat="1" applyFont="1" applyFill="1" applyBorder="1" applyAlignment="1">
      <alignment horizontal="center" vertical="center" wrapText="1"/>
    </xf>
    <xf numFmtId="0" fontId="57" fillId="3" borderId="0" xfId="9" applyNumberFormat="1" applyFont="1" applyFill="1" applyBorder="1" applyAlignment="1">
      <alignment horizontal="center" vertical="center" wrapText="1"/>
    </xf>
    <xf numFmtId="0" fontId="57" fillId="3" borderId="163" xfId="9" applyNumberFormat="1" applyFont="1" applyFill="1" applyBorder="1" applyAlignment="1">
      <alignment horizontal="center" vertical="center" wrapText="1"/>
    </xf>
    <xf numFmtId="0" fontId="86" fillId="3" borderId="20" xfId="9" applyFont="1" applyFill="1" applyBorder="1" applyAlignment="1">
      <alignment horizontal="center" vertical="center"/>
    </xf>
    <xf numFmtId="0" fontId="41" fillId="3" borderId="0" xfId="3" applyFont="1" applyFill="1" applyBorder="1" applyAlignment="1">
      <alignment vertical="center"/>
    </xf>
    <xf numFmtId="0" fontId="8" fillId="3" borderId="0" xfId="2" applyFill="1" applyBorder="1"/>
    <xf numFmtId="0" fontId="87" fillId="3" borderId="20" xfId="9" applyFont="1" applyFill="1" applyBorder="1" applyAlignment="1">
      <alignment horizontal="center" vertical="center"/>
    </xf>
    <xf numFmtId="0" fontId="88" fillId="3" borderId="20" xfId="3" applyFont="1" applyFill="1" applyBorder="1" applyAlignment="1">
      <alignment horizontal="center" vertical="center"/>
    </xf>
    <xf numFmtId="0" fontId="8" fillId="3" borderId="0" xfId="2" applyFont="1" applyFill="1" applyBorder="1" applyAlignment="1">
      <alignment horizontal="right" vertical="center"/>
    </xf>
    <xf numFmtId="0" fontId="41" fillId="3" borderId="20" xfId="3" applyFont="1" applyFill="1" applyBorder="1" applyAlignment="1">
      <alignment vertical="center" wrapText="1"/>
    </xf>
    <xf numFmtId="0" fontId="41" fillId="3" borderId="0" xfId="3" applyFont="1" applyFill="1" applyBorder="1" applyAlignment="1">
      <alignment vertical="center" wrapText="1"/>
    </xf>
    <xf numFmtId="0" fontId="41" fillId="3" borderId="163" xfId="3" applyFont="1" applyFill="1" applyBorder="1" applyAlignment="1">
      <alignment vertical="center" wrapText="1"/>
    </xf>
    <xf numFmtId="184" fontId="48" fillId="6" borderId="0" xfId="3" applyNumberFormat="1" applyFont="1" applyFill="1" applyBorder="1" applyAlignment="1">
      <alignment horizontal="center" vertical="center"/>
    </xf>
    <xf numFmtId="184" fontId="48" fillId="4" borderId="0" xfId="3" applyNumberFormat="1" applyFont="1" applyFill="1" applyBorder="1" applyAlignment="1">
      <alignment horizontal="center" vertical="center"/>
    </xf>
    <xf numFmtId="182" fontId="48" fillId="6" borderId="0" xfId="3" applyNumberFormat="1" applyFont="1" applyFill="1" applyBorder="1" applyAlignment="1">
      <alignment vertical="center"/>
    </xf>
    <xf numFmtId="182" fontId="48" fillId="4" borderId="163" xfId="3" applyNumberFormat="1" applyFont="1" applyFill="1" applyBorder="1" applyAlignment="1">
      <alignment vertical="center"/>
    </xf>
    <xf numFmtId="0" fontId="52" fillId="3" borderId="54" xfId="3" applyFont="1" applyFill="1" applyBorder="1" applyAlignment="1">
      <alignment vertical="center"/>
    </xf>
    <xf numFmtId="0" fontId="48" fillId="3" borderId="16" xfId="3" applyFont="1" applyFill="1" applyBorder="1" applyAlignment="1">
      <alignment vertical="center"/>
    </xf>
    <xf numFmtId="0" fontId="52" fillId="3" borderId="57" xfId="3" applyFont="1" applyFill="1" applyBorder="1" applyAlignment="1">
      <alignment vertical="center"/>
    </xf>
    <xf numFmtId="0" fontId="48" fillId="3" borderId="15" xfId="3" applyFont="1" applyFill="1" applyBorder="1" applyAlignment="1">
      <alignment vertical="center"/>
    </xf>
    <xf numFmtId="0" fontId="52" fillId="3" borderId="0" xfId="9" applyNumberFormat="1" applyFont="1" applyFill="1" applyBorder="1" applyAlignment="1">
      <alignment horizontal="center" vertical="center" wrapText="1"/>
    </xf>
    <xf numFmtId="0" fontId="8" fillId="0" borderId="0" xfId="2" applyBorder="1"/>
    <xf numFmtId="0" fontId="52" fillId="3" borderId="0" xfId="9" applyNumberFormat="1" applyFont="1" applyFill="1" applyBorder="1" applyAlignment="1">
      <alignment horizontal="center" vertical="center"/>
    </xf>
    <xf numFmtId="0" fontId="8" fillId="0" borderId="163" xfId="2" applyBorder="1"/>
    <xf numFmtId="0" fontId="8" fillId="3" borderId="163" xfId="2" applyFill="1" applyBorder="1"/>
    <xf numFmtId="3" fontId="92" fillId="6" borderId="20" xfId="9" applyNumberFormat="1" applyFont="1" applyFill="1" applyBorder="1" applyAlignment="1">
      <alignment horizontal="center" vertical="center"/>
    </xf>
    <xf numFmtId="185" fontId="36" fillId="3" borderId="0" xfId="3" applyNumberFormat="1" applyFont="1" applyFill="1" applyBorder="1" applyAlignment="1">
      <alignment horizontal="center" vertical="center"/>
    </xf>
    <xf numFmtId="0" fontId="91" fillId="3" borderId="0" xfId="3" applyFont="1" applyFill="1" applyBorder="1" applyAlignment="1">
      <alignment horizontal="center" vertical="center"/>
    </xf>
    <xf numFmtId="2" fontId="41" fillId="3" borderId="0" xfId="3" applyNumberFormat="1" applyFont="1" applyFill="1" applyBorder="1" applyAlignment="1">
      <alignment horizontal="center" vertical="center"/>
    </xf>
    <xf numFmtId="0" fontId="95" fillId="3" borderId="20" xfId="3" applyFont="1" applyFill="1" applyBorder="1" applyAlignment="1">
      <alignment horizontal="left" vertical="center"/>
    </xf>
    <xf numFmtId="0" fontId="96" fillId="3" borderId="0" xfId="2" applyFont="1" applyFill="1" applyBorder="1" applyAlignment="1">
      <alignment wrapText="1"/>
    </xf>
    <xf numFmtId="0" fontId="97" fillId="3" borderId="0" xfId="14" applyFont="1" applyFill="1" applyBorder="1" applyAlignment="1">
      <alignment horizontal="center" vertical="center" wrapText="1"/>
    </xf>
    <xf numFmtId="0" fontId="97" fillId="3" borderId="163" xfId="14" applyFont="1" applyFill="1" applyBorder="1" applyAlignment="1">
      <alignment horizontal="center" vertical="center" wrapText="1"/>
    </xf>
    <xf numFmtId="0" fontId="35" fillId="3" borderId="174" xfId="9" applyNumberFormat="1" applyFont="1" applyFill="1" applyBorder="1" applyAlignment="1">
      <alignment vertical="center"/>
    </xf>
    <xf numFmtId="0" fontId="35" fillId="3" borderId="175" xfId="9" applyNumberFormat="1" applyFont="1" applyFill="1" applyBorder="1" applyAlignment="1">
      <alignment vertical="center"/>
    </xf>
    <xf numFmtId="0" fontId="35" fillId="3" borderId="176" xfId="9" applyNumberFormat="1" applyFont="1" applyFill="1" applyBorder="1" applyAlignment="1">
      <alignment vertical="center"/>
    </xf>
    <xf numFmtId="0" fontId="100" fillId="3" borderId="64" xfId="3" applyFont="1" applyFill="1" applyBorder="1" applyAlignment="1">
      <alignment vertical="center"/>
    </xf>
    <xf numFmtId="0" fontId="101" fillId="3" borderId="172" xfId="3" applyFont="1" applyFill="1" applyBorder="1" applyAlignment="1">
      <alignment vertical="center"/>
    </xf>
    <xf numFmtId="0" fontId="101" fillId="3" borderId="173" xfId="3" applyFont="1" applyFill="1" applyBorder="1" applyAlignment="1">
      <alignment vertical="center"/>
    </xf>
    <xf numFmtId="0" fontId="101" fillId="3" borderId="20" xfId="3" applyFont="1" applyFill="1" applyBorder="1" applyAlignment="1">
      <alignment vertical="center"/>
    </xf>
    <xf numFmtId="0" fontId="101" fillId="3" borderId="0" xfId="3" applyFont="1" applyFill="1" applyBorder="1" applyAlignment="1">
      <alignment vertical="center"/>
    </xf>
    <xf numFmtId="0" fontId="101" fillId="3" borderId="163" xfId="3" applyFont="1" applyFill="1" applyBorder="1" applyAlignment="1">
      <alignment vertical="center"/>
    </xf>
    <xf numFmtId="0" fontId="101" fillId="3" borderId="4" xfId="3" applyFont="1" applyFill="1" applyBorder="1" applyAlignment="1">
      <alignment vertical="center"/>
    </xf>
    <xf numFmtId="0" fontId="101" fillId="3" borderId="5" xfId="3" applyFont="1" applyFill="1" applyBorder="1" applyAlignment="1">
      <alignment vertical="center"/>
    </xf>
    <xf numFmtId="0" fontId="101" fillId="3" borderId="6" xfId="3" applyFont="1" applyFill="1" applyBorder="1" applyAlignment="1">
      <alignment vertical="center"/>
    </xf>
    <xf numFmtId="0" fontId="90" fillId="3" borderId="163" xfId="9" applyNumberFormat="1" applyFont="1" applyFill="1" applyBorder="1" applyAlignment="1">
      <alignment horizontal="center" vertical="center" wrapText="1"/>
    </xf>
    <xf numFmtId="0" fontId="48" fillId="3" borderId="0" xfId="9" applyNumberFormat="1" applyFont="1" applyFill="1" applyBorder="1" applyAlignment="1">
      <alignment horizontal="center" vertical="center" wrapText="1"/>
    </xf>
    <xf numFmtId="0" fontId="90" fillId="3" borderId="0" xfId="9" applyNumberFormat="1" applyFont="1" applyFill="1" applyBorder="1" applyAlignment="1">
      <alignment horizontal="center" vertical="center" wrapText="1"/>
    </xf>
    <xf numFmtId="0" fontId="106" fillId="3" borderId="0" xfId="3" applyFont="1" applyFill="1" applyBorder="1" applyAlignment="1">
      <alignment horizontal="center" vertical="center" wrapText="1"/>
    </xf>
    <xf numFmtId="0" fontId="105" fillId="3" borderId="20" xfId="3" applyFont="1" applyFill="1" applyBorder="1" applyAlignment="1">
      <alignment horizontal="center" vertical="center"/>
    </xf>
    <xf numFmtId="177" fontId="70" fillId="3" borderId="179" xfId="9" applyNumberFormat="1" applyFont="1" applyFill="1" applyBorder="1" applyAlignment="1">
      <alignment horizontal="center" vertical="center"/>
    </xf>
    <xf numFmtId="177" fontId="109" fillId="3" borderId="0" xfId="9" applyNumberFormat="1" applyFont="1" applyFill="1" applyBorder="1" applyAlignment="1">
      <alignment horizontal="left" vertical="center"/>
    </xf>
    <xf numFmtId="177" fontId="109" fillId="3" borderId="182" xfId="9" applyNumberFormat="1" applyFont="1" applyFill="1" applyBorder="1" applyAlignment="1">
      <alignment horizontal="left" vertical="center"/>
    </xf>
    <xf numFmtId="0" fontId="105" fillId="3" borderId="172" xfId="3" applyFont="1" applyFill="1" applyBorder="1" applyAlignment="1">
      <alignment horizontal="center" vertical="center"/>
    </xf>
    <xf numFmtId="0" fontId="48" fillId="3" borderId="0" xfId="9" applyFont="1" applyFill="1" applyBorder="1" applyAlignment="1">
      <alignment horizontal="center" vertical="center" wrapText="1"/>
    </xf>
    <xf numFmtId="0" fontId="114" fillId="3" borderId="0" xfId="9" applyFont="1" applyFill="1" applyBorder="1" applyAlignment="1">
      <alignment horizontal="center" vertical="center" wrapText="1"/>
    </xf>
    <xf numFmtId="187" fontId="35" fillId="4" borderId="0" xfId="3" applyNumberFormat="1" applyFont="1" applyFill="1" applyBorder="1" applyAlignment="1">
      <alignment horizontal="center" vertical="center"/>
    </xf>
    <xf numFmtId="0" fontId="115" fillId="4" borderId="0" xfId="3" applyFont="1" applyFill="1" applyBorder="1" applyAlignment="1">
      <alignment horizontal="center" vertical="center"/>
    </xf>
    <xf numFmtId="176" fontId="99" fillId="4" borderId="0" xfId="3" applyNumberFormat="1" applyFont="1" applyFill="1" applyBorder="1" applyAlignment="1">
      <alignment horizontal="center" vertical="center"/>
    </xf>
    <xf numFmtId="188" fontId="99" fillId="4" borderId="0" xfId="3" applyNumberFormat="1" applyFont="1" applyFill="1" applyBorder="1" applyAlignment="1">
      <alignment horizontal="center" vertical="center"/>
    </xf>
    <xf numFmtId="189" fontId="41" fillId="4" borderId="0" xfId="3" applyNumberFormat="1" applyFont="1" applyFill="1" applyBorder="1" applyAlignment="1">
      <alignment horizontal="left" vertical="center"/>
    </xf>
    <xf numFmtId="176" fontId="99" fillId="4" borderId="175" xfId="3" applyNumberFormat="1" applyFont="1" applyFill="1" applyBorder="1" applyAlignment="1">
      <alignment horizontal="center" vertical="center"/>
    </xf>
    <xf numFmtId="188" fontId="99" fillId="4" borderId="175" xfId="3" applyNumberFormat="1" applyFont="1" applyFill="1" applyBorder="1" applyAlignment="1">
      <alignment horizontal="center" vertical="center"/>
    </xf>
    <xf numFmtId="176" fontId="99" fillId="4" borderId="175" xfId="3" applyNumberFormat="1" applyFont="1" applyFill="1" applyBorder="1" applyAlignment="1">
      <alignment horizontal="right" vertical="center"/>
    </xf>
    <xf numFmtId="0" fontId="115" fillId="4" borderId="175" xfId="3" applyFont="1" applyFill="1" applyBorder="1" applyAlignment="1">
      <alignment horizontal="center" vertical="center"/>
    </xf>
    <xf numFmtId="182" fontId="91" fillId="4" borderId="175" xfId="3" applyNumberFormat="1" applyFont="1" applyFill="1" applyBorder="1" applyAlignment="1">
      <alignment horizontal="left" vertical="center"/>
    </xf>
    <xf numFmtId="0" fontId="119" fillId="4" borderId="0" xfId="9" applyNumberFormat="1" applyFont="1" applyFill="1" applyBorder="1" applyAlignment="1" applyProtection="1">
      <alignment horizontal="center" vertical="center"/>
    </xf>
    <xf numFmtId="177" fontId="113" fillId="4" borderId="0" xfId="3" applyNumberFormat="1" applyFont="1" applyFill="1" applyBorder="1" applyAlignment="1">
      <alignment horizontal="center" vertical="center"/>
    </xf>
    <xf numFmtId="0" fontId="121" fillId="4" borderId="0" xfId="3" applyFont="1" applyFill="1" applyBorder="1" applyAlignment="1">
      <alignment horizontal="center" vertical="center"/>
    </xf>
    <xf numFmtId="176" fontId="99" fillId="4" borderId="0" xfId="3" applyNumberFormat="1" applyFont="1" applyFill="1" applyBorder="1" applyAlignment="1">
      <alignment horizontal="right" vertical="center"/>
    </xf>
    <xf numFmtId="182" fontId="91" fillId="4" borderId="0" xfId="3" applyNumberFormat="1" applyFont="1" applyFill="1" applyBorder="1" applyAlignment="1">
      <alignment horizontal="left" vertical="center"/>
    </xf>
    <xf numFmtId="176" fontId="122" fillId="3" borderId="172" xfId="3" applyNumberFormat="1" applyFont="1" applyFill="1" applyBorder="1" applyAlignment="1">
      <alignment horizontal="right" vertical="center"/>
    </xf>
    <xf numFmtId="0" fontId="123" fillId="3" borderId="172" xfId="3" applyFont="1" applyFill="1" applyBorder="1" applyAlignment="1">
      <alignment horizontal="center" vertical="center"/>
    </xf>
    <xf numFmtId="182" fontId="48" fillId="3" borderId="172" xfId="3" applyNumberFormat="1" applyFont="1" applyFill="1" applyBorder="1" applyAlignment="1">
      <alignment horizontal="left" vertical="center"/>
    </xf>
    <xf numFmtId="0" fontId="124" fillId="3" borderId="0" xfId="3" applyFont="1" applyFill="1" applyBorder="1" applyAlignment="1">
      <alignment horizontal="center" vertical="center"/>
    </xf>
    <xf numFmtId="2" fontId="91" fillId="69" borderId="0" xfId="3" applyNumberFormat="1" applyFont="1" applyFill="1" applyBorder="1" applyAlignment="1" applyProtection="1">
      <alignment vertical="center"/>
      <protection locked="0"/>
    </xf>
    <xf numFmtId="0" fontId="91" fillId="3" borderId="0" xfId="9" applyFont="1" applyFill="1" applyBorder="1" applyAlignment="1">
      <alignment vertical="center"/>
    </xf>
    <xf numFmtId="182" fontId="91" fillId="3" borderId="0" xfId="3" applyNumberFormat="1" applyFont="1" applyFill="1" applyBorder="1" applyAlignment="1">
      <alignment horizontal="left" vertical="center"/>
    </xf>
    <xf numFmtId="176" fontId="99" fillId="3" borderId="0" xfId="3" applyNumberFormat="1" applyFont="1" applyFill="1" applyBorder="1" applyAlignment="1">
      <alignment horizontal="right" vertical="center"/>
    </xf>
    <xf numFmtId="0" fontId="76" fillId="3" borderId="184" xfId="3" applyFont="1" applyFill="1" applyBorder="1" applyAlignment="1">
      <alignment horizontal="right" vertical="center" wrapText="1"/>
    </xf>
    <xf numFmtId="177" fontId="76" fillId="3" borderId="0" xfId="3" applyNumberFormat="1" applyFont="1" applyFill="1" applyBorder="1" applyAlignment="1">
      <alignment horizontal="center" vertical="center" wrapText="1"/>
    </xf>
    <xf numFmtId="0" fontId="125" fillId="3" borderId="0" xfId="3" applyFont="1" applyFill="1" applyBorder="1" applyAlignment="1">
      <alignment horizontal="right" vertical="center"/>
    </xf>
    <xf numFmtId="177" fontId="40" fillId="3" borderId="0" xfId="3" applyNumberFormat="1" applyFont="1" applyFill="1" applyBorder="1" applyAlignment="1">
      <alignment vertical="center"/>
    </xf>
    <xf numFmtId="0" fontId="125" fillId="3" borderId="0" xfId="3" applyFont="1" applyFill="1" applyBorder="1" applyAlignment="1">
      <alignment horizontal="center" vertical="center" wrapText="1"/>
    </xf>
    <xf numFmtId="0" fontId="125" fillId="3" borderId="0" xfId="3" applyFont="1" applyFill="1" applyBorder="1" applyAlignment="1">
      <alignment horizontal="right" vertical="center" wrapText="1"/>
    </xf>
    <xf numFmtId="0" fontId="126" fillId="3" borderId="0" xfId="2" applyFont="1" applyFill="1" applyBorder="1" applyAlignment="1">
      <alignment vertical="center"/>
    </xf>
    <xf numFmtId="0" fontId="127" fillId="3" borderId="0" xfId="2" applyFont="1" applyFill="1" applyBorder="1" applyAlignment="1">
      <alignment vertical="center"/>
    </xf>
    <xf numFmtId="0" fontId="126" fillId="3" borderId="0" xfId="2" applyFont="1" applyFill="1" applyBorder="1" applyAlignment="1">
      <alignment horizontal="left" vertical="center"/>
    </xf>
    <xf numFmtId="0" fontId="128" fillId="3" borderId="0" xfId="14" applyFont="1" applyFill="1" applyBorder="1" applyAlignment="1">
      <alignment vertical="center"/>
    </xf>
    <xf numFmtId="0" fontId="94" fillId="3" borderId="0" xfId="2" applyFont="1" applyFill="1" applyBorder="1"/>
    <xf numFmtId="0" fontId="60" fillId="3" borderId="56" xfId="2" applyFont="1" applyFill="1" applyBorder="1" applyAlignment="1">
      <alignment horizontal="center"/>
    </xf>
    <xf numFmtId="0" fontId="60" fillId="3" borderId="0" xfId="2" applyFont="1" applyFill="1" applyBorder="1" applyAlignment="1">
      <alignment horizontal="left"/>
    </xf>
    <xf numFmtId="191" fontId="44" fillId="3" borderId="0" xfId="3" applyNumberFormat="1" applyFont="1" applyFill="1" applyBorder="1" applyAlignment="1" applyProtection="1">
      <alignment horizontal="center" vertical="center"/>
      <protection hidden="1"/>
    </xf>
    <xf numFmtId="192" fontId="29" fillId="3" borderId="0" xfId="3" applyNumberFormat="1" applyFont="1" applyFill="1" applyBorder="1" applyAlignment="1" applyProtection="1">
      <alignment horizontal="center" vertical="center"/>
      <protection hidden="1"/>
    </xf>
    <xf numFmtId="177" fontId="25" fillId="61" borderId="163" xfId="9" applyNumberFormat="1" applyFont="1" applyFill="1" applyBorder="1" applyAlignment="1">
      <alignment horizontal="center" vertical="center"/>
    </xf>
    <xf numFmtId="0" fontId="60" fillId="3" borderId="5" xfId="2" applyFont="1" applyFill="1" applyBorder="1" applyAlignment="1">
      <alignment horizontal="left"/>
    </xf>
    <xf numFmtId="0" fontId="70" fillId="3" borderId="185" xfId="3" applyFont="1" applyFill="1" applyBorder="1" applyAlignment="1">
      <alignment horizontal="center" vertical="center"/>
    </xf>
    <xf numFmtId="0" fontId="70" fillId="3" borderId="186" xfId="3" applyFont="1" applyFill="1" applyBorder="1" applyAlignment="1">
      <alignment horizontal="center" vertical="center"/>
    </xf>
    <xf numFmtId="0" fontId="70" fillId="3" borderId="187" xfId="3" applyFont="1" applyFill="1" applyBorder="1" applyAlignment="1">
      <alignment horizontal="center" vertical="center"/>
    </xf>
    <xf numFmtId="0" fontId="36" fillId="3" borderId="193" xfId="3" applyFont="1" applyFill="1" applyBorder="1" applyAlignment="1">
      <alignment horizontal="center" vertical="center"/>
    </xf>
    <xf numFmtId="0" fontId="36" fillId="5" borderId="82" xfId="3" applyFont="1" applyFill="1" applyBorder="1" applyAlignment="1">
      <alignment horizontal="center" vertical="center"/>
    </xf>
    <xf numFmtId="0" fontId="41" fillId="3" borderId="196" xfId="3" applyFont="1" applyFill="1" applyBorder="1" applyAlignment="1">
      <alignment horizontal="center" vertical="center"/>
    </xf>
    <xf numFmtId="0" fontId="41" fillId="3" borderId="197" xfId="3" applyFont="1" applyFill="1" applyBorder="1" applyAlignment="1">
      <alignment horizontal="center" vertical="center"/>
    </xf>
    <xf numFmtId="0" fontId="41" fillId="3" borderId="201" xfId="3" applyFont="1" applyFill="1" applyBorder="1" applyAlignment="1">
      <alignment horizontal="center" vertical="center"/>
    </xf>
    <xf numFmtId="0" fontId="36" fillId="5" borderId="196" xfId="3" applyFont="1" applyFill="1" applyBorder="1" applyAlignment="1">
      <alignment horizontal="center" vertical="center"/>
    </xf>
    <xf numFmtId="49" fontId="41" fillId="3" borderId="202" xfId="2" applyNumberFormat="1" applyFont="1" applyFill="1" applyBorder="1" applyAlignment="1">
      <alignment horizontal="right" vertical="center"/>
    </xf>
    <xf numFmtId="49" fontId="8" fillId="3" borderId="203" xfId="2" applyNumberFormat="1" applyFont="1" applyFill="1" applyBorder="1" applyAlignment="1">
      <alignment horizontal="center" vertical="center"/>
    </xf>
    <xf numFmtId="49" fontId="8" fillId="3" borderId="204" xfId="2" applyNumberFormat="1" applyFont="1" applyFill="1" applyBorder="1" applyAlignment="1">
      <alignment horizontal="center" vertical="center"/>
    </xf>
    <xf numFmtId="0" fontId="41" fillId="3" borderId="54" xfId="3" applyFont="1" applyFill="1" applyBorder="1" applyAlignment="1">
      <alignment horizontal="center" vertical="center"/>
    </xf>
    <xf numFmtId="0" fontId="41" fillId="3" borderId="188" xfId="3" applyFont="1" applyFill="1" applyBorder="1" applyAlignment="1">
      <alignment horizontal="center" vertical="center"/>
    </xf>
    <xf numFmtId="0" fontId="36" fillId="5" borderId="189" xfId="3" applyFont="1" applyFill="1" applyBorder="1" applyAlignment="1">
      <alignment horizontal="center" vertical="center"/>
    </xf>
    <xf numFmtId="49" fontId="41" fillId="3" borderId="20" xfId="2" applyNumberFormat="1" applyFont="1" applyFill="1" applyBorder="1" applyAlignment="1">
      <alignment horizontal="right" vertical="center"/>
    </xf>
    <xf numFmtId="49" fontId="8" fillId="3" borderId="0" xfId="2" applyNumberFormat="1" applyFont="1" applyFill="1" applyBorder="1" applyAlignment="1">
      <alignment horizontal="center" vertical="center"/>
    </xf>
    <xf numFmtId="49" fontId="8" fillId="3" borderId="163" xfId="2" applyNumberFormat="1" applyFont="1" applyFill="1" applyBorder="1" applyAlignment="1">
      <alignment horizontal="center" vertical="center"/>
    </xf>
    <xf numFmtId="0" fontId="65" fillId="3" borderId="0" xfId="15" applyFont="1" applyFill="1" applyAlignment="1" applyProtection="1">
      <alignment vertical="center"/>
      <protection hidden="1"/>
    </xf>
    <xf numFmtId="0" fontId="66" fillId="3" borderId="0" xfId="15" applyFont="1" applyFill="1" applyAlignment="1" applyProtection="1">
      <alignment vertical="center"/>
      <protection hidden="1"/>
    </xf>
    <xf numFmtId="0" fontId="133" fillId="3" borderId="0" xfId="2" applyFont="1" applyFill="1"/>
    <xf numFmtId="0" fontId="71" fillId="3" borderId="20" xfId="2" applyFont="1" applyFill="1" applyBorder="1" applyAlignment="1" applyProtection="1">
      <alignment horizontal="left" vertical="center"/>
      <protection locked="0"/>
    </xf>
    <xf numFmtId="0" fontId="71" fillId="3" borderId="0" xfId="2" applyFont="1" applyFill="1" applyBorder="1" applyAlignment="1" applyProtection="1">
      <alignment horizontal="left" vertical="center"/>
      <protection locked="0"/>
    </xf>
    <xf numFmtId="0" fontId="137" fillId="3" borderId="189" xfId="3" applyFont="1" applyFill="1" applyBorder="1" applyAlignment="1" applyProtection="1">
      <alignment horizontal="right" vertical="center"/>
      <protection hidden="1"/>
    </xf>
    <xf numFmtId="0" fontId="71" fillId="3" borderId="163" xfId="2" applyFont="1" applyFill="1" applyBorder="1" applyAlignment="1" applyProtection="1">
      <alignment horizontal="left" vertical="center"/>
      <protection locked="0"/>
    </xf>
    <xf numFmtId="0" fontId="138" fillId="3" borderId="0" xfId="3" applyFont="1" applyFill="1" applyBorder="1" applyAlignment="1">
      <alignment horizontal="center" vertical="center"/>
    </xf>
    <xf numFmtId="0" fontId="139" fillId="3" borderId="27" xfId="3" applyFont="1" applyFill="1" applyBorder="1" applyAlignment="1">
      <alignment horizontal="center" vertical="center"/>
    </xf>
    <xf numFmtId="196" fontId="140" fillId="72" borderId="0" xfId="2" applyNumberFormat="1" applyFont="1" applyFill="1" applyBorder="1" applyAlignment="1">
      <alignment horizontal="center" vertical="center"/>
    </xf>
    <xf numFmtId="0" fontId="36" fillId="3" borderId="0" xfId="2" applyFont="1" applyFill="1" applyBorder="1" applyAlignment="1">
      <alignment horizontal="center" vertical="center" wrapText="1"/>
    </xf>
    <xf numFmtId="0" fontId="36" fillId="3" borderId="21" xfId="2" applyFont="1" applyFill="1" applyBorder="1" applyAlignment="1">
      <alignment horizontal="center" vertical="center" wrapText="1"/>
    </xf>
    <xf numFmtId="0" fontId="36" fillId="5" borderId="27" xfId="2" applyFont="1" applyFill="1" applyBorder="1" applyAlignment="1">
      <alignment horizontal="center" vertical="center"/>
    </xf>
    <xf numFmtId="0" fontId="62" fillId="3" borderId="0" xfId="2" applyFont="1" applyFill="1" applyBorder="1" applyAlignment="1">
      <alignment horizontal="left" vertical="center"/>
    </xf>
    <xf numFmtId="196" fontId="41" fillId="3" borderId="0" xfId="2" applyNumberFormat="1" applyFont="1" applyFill="1" applyBorder="1" applyAlignment="1">
      <alignment horizontal="center" vertical="center"/>
    </xf>
    <xf numFmtId="0" fontId="8" fillId="3" borderId="0" xfId="2" applyFill="1" applyBorder="1" applyAlignment="1">
      <alignment horizontal="center" vertical="center"/>
    </xf>
    <xf numFmtId="0" fontId="138" fillId="3" borderId="27" xfId="3" applyFont="1" applyFill="1" applyBorder="1" applyAlignment="1">
      <alignment horizontal="center" vertical="center"/>
    </xf>
    <xf numFmtId="0" fontId="141" fillId="3" borderId="0" xfId="3" applyFont="1" applyFill="1" applyBorder="1" applyAlignment="1" applyProtection="1">
      <alignment horizontal="left"/>
      <protection hidden="1"/>
    </xf>
    <xf numFmtId="0" fontId="142" fillId="3" borderId="0" xfId="3" applyFont="1" applyFill="1" applyBorder="1" applyAlignment="1" applyProtection="1">
      <alignment horizontal="left"/>
      <protection hidden="1"/>
    </xf>
    <xf numFmtId="0" fontId="138" fillId="3" borderId="229" xfId="3" applyFont="1" applyFill="1" applyBorder="1" applyAlignment="1">
      <alignment horizontal="center" vertical="center"/>
    </xf>
    <xf numFmtId="0" fontId="143" fillId="3" borderId="230" xfId="3" applyFont="1" applyFill="1" applyBorder="1" applyAlignment="1" applyProtection="1">
      <alignment horizontal="left"/>
      <protection hidden="1"/>
    </xf>
    <xf numFmtId="0" fontId="36" fillId="3" borderId="230" xfId="2" applyFont="1" applyFill="1" applyBorder="1" applyAlignment="1">
      <alignment horizontal="center" vertical="center" wrapText="1"/>
    </xf>
    <xf numFmtId="0" fontId="36" fillId="3" borderId="231" xfId="2" applyFont="1" applyFill="1" applyBorder="1" applyAlignment="1">
      <alignment horizontal="center" vertical="center" wrapText="1"/>
    </xf>
    <xf numFmtId="0" fontId="139" fillId="5" borderId="76" xfId="3" applyFont="1" applyFill="1" applyBorder="1" applyAlignment="1">
      <alignment horizontal="center" vertical="center"/>
    </xf>
    <xf numFmtId="0" fontId="144" fillId="3" borderId="15" xfId="3" applyFont="1" applyFill="1" applyBorder="1" applyAlignment="1" applyProtection="1">
      <alignment horizontal="left"/>
      <protection hidden="1"/>
    </xf>
    <xf numFmtId="0" fontId="36" fillId="3" borderId="15" xfId="2" applyFont="1" applyFill="1" applyBorder="1" applyAlignment="1">
      <alignment horizontal="center" vertical="center" wrapText="1"/>
    </xf>
    <xf numFmtId="0" fontId="36" fillId="3" borderId="58" xfId="2" applyFont="1" applyFill="1" applyBorder="1" applyAlignment="1">
      <alignment horizontal="center" vertical="center" wrapText="1"/>
    </xf>
    <xf numFmtId="0" fontId="145" fillId="0" borderId="0" xfId="2" applyFont="1" applyAlignment="1">
      <alignment vertical="top"/>
    </xf>
    <xf numFmtId="0" fontId="139" fillId="3" borderId="57" xfId="3" applyFont="1" applyFill="1" applyBorder="1" applyAlignment="1">
      <alignment horizontal="center" vertical="center"/>
    </xf>
    <xf numFmtId="0" fontId="138" fillId="3" borderId="15" xfId="3" applyFont="1" applyFill="1" applyBorder="1" applyAlignment="1">
      <alignment horizontal="center" vertical="center"/>
    </xf>
    <xf numFmtId="0" fontId="139" fillId="3" borderId="15" xfId="3" applyFont="1" applyFill="1" applyBorder="1" applyAlignment="1">
      <alignment horizontal="center" vertical="center"/>
    </xf>
    <xf numFmtId="196" fontId="146" fillId="72" borderId="188" xfId="2" applyNumberFormat="1" applyFont="1" applyFill="1" applyBorder="1" applyAlignment="1">
      <alignment horizontal="center" vertical="center"/>
    </xf>
    <xf numFmtId="0" fontId="36" fillId="5" borderId="20" xfId="2" applyFont="1" applyFill="1" applyBorder="1" applyAlignment="1">
      <alignment horizontal="center" vertical="center"/>
    </xf>
    <xf numFmtId="0" fontId="62" fillId="3" borderId="163" xfId="2" applyFont="1" applyFill="1" applyBorder="1" applyAlignment="1">
      <alignment horizontal="left" vertical="center"/>
    </xf>
    <xf numFmtId="0" fontId="147" fillId="3" borderId="20" xfId="2" applyFont="1" applyFill="1" applyBorder="1" applyAlignment="1">
      <alignment horizontal="center" vertical="center"/>
    </xf>
    <xf numFmtId="0" fontId="147" fillId="3" borderId="0" xfId="2" applyFont="1" applyFill="1" applyBorder="1" applyAlignment="1">
      <alignment horizontal="center" vertical="center"/>
    </xf>
    <xf numFmtId="0" fontId="147" fillId="3" borderId="163" xfId="2" applyFont="1" applyFill="1" applyBorder="1" applyAlignment="1">
      <alignment horizontal="center" vertical="center"/>
    </xf>
    <xf numFmtId="197" fontId="60" fillId="3" borderId="20" xfId="2" applyNumberFormat="1" applyFont="1" applyFill="1" applyBorder="1" applyAlignment="1">
      <alignment horizontal="center" vertical="center"/>
    </xf>
    <xf numFmtId="198" fontId="148" fillId="3" borderId="0" xfId="2" applyNumberFormat="1" applyFont="1" applyFill="1" applyBorder="1" applyAlignment="1">
      <alignment horizontal="center" vertical="center"/>
    </xf>
    <xf numFmtId="198" fontId="60" fillId="3" borderId="0" xfId="2" applyNumberFormat="1" applyFont="1" applyFill="1" applyBorder="1" applyAlignment="1">
      <alignment horizontal="center" vertical="center"/>
    </xf>
    <xf numFmtId="198" fontId="148" fillId="3" borderId="163" xfId="2" applyNumberFormat="1" applyFont="1" applyFill="1" applyBorder="1" applyAlignment="1">
      <alignment horizontal="center" vertical="center"/>
    </xf>
    <xf numFmtId="169" fontId="138" fillId="71" borderId="20" xfId="2" applyNumberFormat="1" applyFont="1" applyFill="1" applyBorder="1" applyAlignment="1">
      <alignment horizontal="center" vertical="center"/>
    </xf>
    <xf numFmtId="169" fontId="138" fillId="71" borderId="0" xfId="2" applyNumberFormat="1" applyFont="1" applyFill="1" applyBorder="1" applyAlignment="1">
      <alignment horizontal="center" vertical="center"/>
    </xf>
    <xf numFmtId="169" fontId="138" fillId="3" borderId="0" xfId="2" applyNumberFormat="1" applyFont="1" applyFill="1" applyBorder="1" applyAlignment="1">
      <alignment horizontal="center" vertical="center"/>
    </xf>
    <xf numFmtId="169" fontId="138" fillId="71" borderId="163" xfId="2" applyNumberFormat="1" applyFont="1" applyFill="1" applyBorder="1" applyAlignment="1">
      <alignment horizontal="center" vertical="center"/>
    </xf>
    <xf numFmtId="169" fontId="138" fillId="3" borderId="57" xfId="2" applyNumberFormat="1" applyFont="1" applyFill="1" applyBorder="1" applyAlignment="1">
      <alignment horizontal="center" vertical="center"/>
    </xf>
    <xf numFmtId="169" fontId="138" fillId="3" borderId="15" xfId="2" applyNumberFormat="1" applyFont="1" applyFill="1" applyBorder="1" applyAlignment="1">
      <alignment horizontal="center" vertical="center"/>
    </xf>
    <xf numFmtId="0" fontId="138" fillId="3" borderId="90" xfId="3" applyFont="1" applyFill="1" applyBorder="1" applyAlignment="1">
      <alignment horizontal="center" vertical="center"/>
    </xf>
    <xf numFmtId="0" fontId="138" fillId="3" borderId="20" xfId="3" applyFont="1" applyFill="1" applyBorder="1" applyAlignment="1">
      <alignment horizontal="center" vertical="center"/>
    </xf>
    <xf numFmtId="0" fontId="143" fillId="3" borderId="0" xfId="3" applyFont="1" applyFill="1" applyBorder="1" applyAlignment="1" applyProtection="1">
      <alignment horizontal="left"/>
      <protection hidden="1"/>
    </xf>
    <xf numFmtId="0" fontId="90" fillId="3" borderId="0" xfId="3" applyFont="1" applyFill="1" applyBorder="1" applyAlignment="1">
      <alignment vertical="center"/>
    </xf>
    <xf numFmtId="0" fontId="90" fillId="3" borderId="163" xfId="3" applyFont="1" applyFill="1" applyBorder="1" applyAlignment="1">
      <alignment vertical="center"/>
    </xf>
    <xf numFmtId="0" fontId="139" fillId="5" borderId="20" xfId="3" applyFont="1" applyFill="1" applyBorder="1" applyAlignment="1">
      <alignment horizontal="center" vertical="center"/>
    </xf>
    <xf numFmtId="0" fontId="144" fillId="3" borderId="0" xfId="3" applyFont="1" applyFill="1" applyBorder="1" applyAlignment="1" applyProtection="1">
      <alignment horizontal="left"/>
      <protection hidden="1"/>
    </xf>
    <xf numFmtId="0" fontId="137" fillId="3" borderId="163" xfId="3" applyFont="1" applyFill="1" applyBorder="1" applyAlignment="1" applyProtection="1">
      <alignment horizontal="right" vertical="center"/>
      <protection hidden="1"/>
    </xf>
    <xf numFmtId="169" fontId="138" fillId="3" borderId="20" xfId="2" applyNumberFormat="1" applyFont="1" applyFill="1" applyBorder="1" applyAlignment="1">
      <alignment horizontal="center" vertical="center"/>
    </xf>
    <xf numFmtId="0" fontId="149" fillId="0" borderId="0" xfId="2" applyFont="1" applyFill="1" applyAlignment="1">
      <alignment horizontal="center" vertical="center"/>
    </xf>
    <xf numFmtId="0" fontId="149" fillId="3" borderId="0" xfId="2" applyFont="1" applyFill="1" applyAlignment="1">
      <alignment vertical="center"/>
    </xf>
    <xf numFmtId="0" fontId="149" fillId="0" borderId="0" xfId="2" applyFont="1" applyFill="1" applyAlignment="1">
      <alignment vertical="center"/>
    </xf>
    <xf numFmtId="0" fontId="150" fillId="16" borderId="27" xfId="2" applyFont="1" applyFill="1" applyBorder="1" applyAlignment="1" applyProtection="1">
      <alignment horizontal="right" vertical="center"/>
      <protection locked="0"/>
    </xf>
    <xf numFmtId="0" fontId="150" fillId="3" borderId="0" xfId="2" applyFont="1" applyFill="1" applyBorder="1" applyAlignment="1" applyProtection="1">
      <alignment horizontal="right" vertical="center"/>
      <protection locked="0"/>
    </xf>
    <xf numFmtId="0" fontId="150" fillId="16" borderId="177" xfId="2" applyFont="1" applyFill="1" applyBorder="1" applyAlignment="1" applyProtection="1">
      <alignment horizontal="right" vertical="center"/>
      <protection locked="0"/>
    </xf>
    <xf numFmtId="0" fontId="151" fillId="16" borderId="27" xfId="2" applyFont="1" applyFill="1" applyBorder="1" applyAlignment="1" applyProtection="1">
      <alignment horizontal="right" vertical="center"/>
      <protection locked="0"/>
    </xf>
    <xf numFmtId="0" fontId="151" fillId="3" borderId="0" xfId="2" applyFont="1" applyFill="1" applyBorder="1" applyAlignment="1" applyProtection="1">
      <alignment horizontal="right" vertical="center"/>
      <protection locked="0"/>
    </xf>
    <xf numFmtId="0" fontId="91" fillId="16" borderId="27" xfId="2" applyFont="1" applyFill="1" applyBorder="1" applyAlignment="1" applyProtection="1">
      <alignment horizontal="right" vertical="center"/>
      <protection locked="0"/>
    </xf>
    <xf numFmtId="196" fontId="91" fillId="16" borderId="21" xfId="2" applyNumberFormat="1" applyFont="1" applyFill="1" applyBorder="1" applyAlignment="1" applyProtection="1">
      <alignment horizontal="center" vertical="center"/>
      <protection locked="0"/>
    </xf>
    <xf numFmtId="200" fontId="91" fillId="16" borderId="21" xfId="2" applyNumberFormat="1" applyFont="1" applyFill="1" applyBorder="1" applyAlignment="1" applyProtection="1">
      <alignment horizontal="center" vertical="center"/>
      <protection locked="0"/>
    </xf>
    <xf numFmtId="178" fontId="91" fillId="16" borderId="21" xfId="2" applyNumberFormat="1" applyFont="1" applyFill="1" applyBorder="1" applyAlignment="1" applyProtection="1">
      <alignment horizontal="center" vertical="center"/>
      <protection locked="0"/>
    </xf>
    <xf numFmtId="0" fontId="91" fillId="16" borderId="76" xfId="2" applyFont="1" applyFill="1" applyBorder="1" applyAlignment="1" applyProtection="1">
      <alignment horizontal="right" vertical="center"/>
      <protection locked="0"/>
    </xf>
    <xf numFmtId="169" fontId="91" fillId="16" borderId="58" xfId="2" applyNumberFormat="1" applyFont="1" applyFill="1" applyBorder="1" applyAlignment="1" applyProtection="1">
      <alignment horizontal="center" vertical="center"/>
      <protection locked="0"/>
    </xf>
    <xf numFmtId="171" fontId="91" fillId="16" borderId="58" xfId="2" applyNumberFormat="1" applyFont="1" applyFill="1" applyBorder="1" applyAlignment="1" applyProtection="1">
      <alignment horizontal="center" vertical="center"/>
      <protection locked="0"/>
    </xf>
    <xf numFmtId="0" fontId="152" fillId="16" borderId="27" xfId="2" applyFont="1" applyFill="1" applyBorder="1" applyAlignment="1" applyProtection="1">
      <alignment horizontal="right" vertical="center"/>
      <protection locked="0"/>
    </xf>
    <xf numFmtId="0" fontId="152" fillId="16" borderId="188" xfId="2" applyFont="1" applyFill="1" applyBorder="1" applyAlignment="1" applyProtection="1">
      <alignment horizontal="right" vertical="center"/>
      <protection locked="0"/>
    </xf>
    <xf numFmtId="0" fontId="152" fillId="16" borderId="177" xfId="2" applyFont="1" applyFill="1" applyBorder="1" applyAlignment="1" applyProtection="1">
      <alignment horizontal="right" vertical="center"/>
      <protection locked="0"/>
    </xf>
    <xf numFmtId="0" fontId="36" fillId="16" borderId="27" xfId="2" applyFont="1" applyFill="1" applyBorder="1" applyAlignment="1" applyProtection="1">
      <alignment horizontal="right" vertical="center"/>
      <protection locked="0"/>
    </xf>
    <xf numFmtId="0" fontId="36" fillId="16" borderId="0" xfId="2" applyFont="1" applyFill="1" applyBorder="1" applyAlignment="1" applyProtection="1">
      <alignment horizontal="right" vertical="center"/>
      <protection locked="0"/>
    </xf>
    <xf numFmtId="200" fontId="91" fillId="16" borderId="58" xfId="2" applyNumberFormat="1" applyFont="1" applyFill="1" applyBorder="1" applyAlignment="1" applyProtection="1">
      <alignment horizontal="center" vertical="center"/>
      <protection locked="0"/>
    </xf>
    <xf numFmtId="178" fontId="91" fillId="16" borderId="58" xfId="2" applyNumberFormat="1" applyFont="1" applyFill="1" applyBorder="1" applyAlignment="1" applyProtection="1">
      <alignment horizontal="center" vertical="center"/>
      <protection locked="0"/>
    </xf>
    <xf numFmtId="0" fontId="61" fillId="3" borderId="0" xfId="3" applyFont="1" applyFill="1" applyProtection="1">
      <protection hidden="1"/>
    </xf>
    <xf numFmtId="0" fontId="69" fillId="3" borderId="0" xfId="2" applyFont="1" applyFill="1"/>
    <xf numFmtId="0" fontId="65" fillId="3" borderId="0" xfId="13" applyFont="1" applyFill="1"/>
    <xf numFmtId="0" fontId="151" fillId="16" borderId="20" xfId="2" applyFont="1" applyFill="1" applyBorder="1" applyAlignment="1" applyProtection="1">
      <alignment horizontal="right" vertical="center"/>
      <protection locked="0"/>
    </xf>
    <xf numFmtId="0" fontId="154" fillId="16" borderId="20" xfId="2" applyFont="1" applyFill="1" applyBorder="1" applyAlignment="1" applyProtection="1">
      <alignment horizontal="right" vertical="center"/>
      <protection locked="0"/>
    </xf>
    <xf numFmtId="0" fontId="36" fillId="16" borderId="20" xfId="2" applyFont="1" applyFill="1" applyBorder="1" applyAlignment="1" applyProtection="1">
      <alignment horizontal="right" vertical="center"/>
      <protection locked="0"/>
    </xf>
    <xf numFmtId="0" fontId="102" fillId="16" borderId="20" xfId="2" applyFont="1" applyFill="1" applyBorder="1" applyAlignment="1" applyProtection="1">
      <alignment horizontal="right" vertical="center"/>
      <protection locked="0"/>
    </xf>
    <xf numFmtId="0" fontId="91" fillId="16" borderId="20" xfId="2" applyFont="1" applyFill="1" applyBorder="1" applyAlignment="1" applyProtection="1">
      <alignment horizontal="right" vertical="center"/>
      <protection locked="0"/>
    </xf>
    <xf numFmtId="202" fontId="91" fillId="3" borderId="163" xfId="2" applyNumberFormat="1" applyFont="1" applyFill="1" applyBorder="1" applyAlignment="1" applyProtection="1">
      <alignment horizontal="center" vertical="center"/>
      <protection locked="0"/>
    </xf>
    <xf numFmtId="0" fontId="41" fillId="16" borderId="20" xfId="2" applyFont="1" applyFill="1" applyBorder="1" applyAlignment="1" applyProtection="1">
      <alignment horizontal="right" vertical="center"/>
      <protection locked="0"/>
    </xf>
    <xf numFmtId="2" fontId="41" fillId="16" borderId="163" xfId="2" applyNumberFormat="1" applyFont="1" applyFill="1" applyBorder="1" applyAlignment="1" applyProtection="1">
      <alignment horizontal="center" vertical="center"/>
      <protection locked="0"/>
    </xf>
    <xf numFmtId="176" fontId="91" fillId="16" borderId="163" xfId="2" applyNumberFormat="1" applyFont="1" applyFill="1" applyBorder="1" applyAlignment="1" applyProtection="1">
      <alignment horizontal="center" vertical="center"/>
      <protection locked="0"/>
    </xf>
    <xf numFmtId="0" fontId="41" fillId="16" borderId="4" xfId="2" applyFont="1" applyFill="1" applyBorder="1" applyAlignment="1" applyProtection="1">
      <alignment horizontal="right" vertical="center"/>
      <protection locked="0"/>
    </xf>
    <xf numFmtId="203" fontId="41" fillId="3" borderId="6" xfId="2" applyNumberFormat="1" applyFont="1" applyFill="1" applyBorder="1" applyAlignment="1" applyProtection="1">
      <alignment horizontal="center" vertical="center"/>
      <protection locked="0"/>
    </xf>
    <xf numFmtId="202" fontId="41" fillId="3" borderId="163" xfId="2" applyNumberFormat="1" applyFont="1" applyFill="1" applyBorder="1" applyAlignment="1" applyProtection="1">
      <alignment horizontal="center" vertical="center"/>
      <protection locked="0"/>
    </xf>
    <xf numFmtId="176" fontId="41" fillId="16" borderId="198" xfId="2" applyNumberFormat="1" applyFont="1" applyFill="1" applyBorder="1" applyAlignment="1" applyProtection="1">
      <alignment horizontal="center" vertical="center"/>
      <protection locked="0"/>
    </xf>
    <xf numFmtId="202" fontId="41" fillId="3" borderId="200" xfId="2" applyNumberFormat="1" applyFont="1" applyFill="1" applyBorder="1" applyAlignment="1" applyProtection="1">
      <alignment horizontal="center" vertical="center"/>
      <protection locked="0"/>
    </xf>
    <xf numFmtId="0" fontId="155" fillId="16" borderId="20" xfId="2" applyFont="1" applyFill="1" applyBorder="1" applyAlignment="1" applyProtection="1">
      <alignment horizontal="right" vertical="center"/>
      <protection locked="0"/>
    </xf>
    <xf numFmtId="176" fontId="91" fillId="16" borderId="4" xfId="2" applyNumberFormat="1" applyFont="1" applyFill="1" applyBorder="1" applyAlignment="1" applyProtection="1">
      <alignment horizontal="center" vertical="center"/>
      <protection locked="0"/>
    </xf>
    <xf numFmtId="202" fontId="41" fillId="3" borderId="6" xfId="2" applyNumberFormat="1" applyFont="1" applyFill="1" applyBorder="1" applyAlignment="1" applyProtection="1">
      <alignment horizontal="center" vertical="center"/>
      <protection locked="0"/>
    </xf>
    <xf numFmtId="0" fontId="156" fillId="16" borderId="20" xfId="2" applyFont="1" applyFill="1" applyBorder="1" applyAlignment="1" applyProtection="1">
      <alignment horizontal="right" vertical="center"/>
      <protection locked="0"/>
    </xf>
    <xf numFmtId="2" fontId="41" fillId="16" borderId="4" xfId="2" applyNumberFormat="1" applyFont="1" applyFill="1" applyBorder="1" applyAlignment="1" applyProtection="1">
      <alignment horizontal="center" vertical="center"/>
      <protection locked="0"/>
    </xf>
    <xf numFmtId="203" fontId="41" fillId="4" borderId="240" xfId="2" applyNumberFormat="1" applyFont="1" applyFill="1" applyBorder="1" applyAlignment="1" applyProtection="1">
      <alignment horizontal="center" vertical="center"/>
      <protection locked="0"/>
    </xf>
    <xf numFmtId="203" fontId="41" fillId="4" borderId="163" xfId="2" applyNumberFormat="1" applyFont="1" applyFill="1" applyBorder="1" applyAlignment="1" applyProtection="1">
      <alignment horizontal="center" vertical="center"/>
      <protection locked="0"/>
    </xf>
    <xf numFmtId="203" fontId="41" fillId="4" borderId="0" xfId="2" applyNumberFormat="1" applyFont="1" applyFill="1" applyBorder="1" applyAlignment="1" applyProtection="1">
      <alignment horizontal="center" vertical="center"/>
      <protection locked="0"/>
    </xf>
    <xf numFmtId="203" fontId="41" fillId="4" borderId="5" xfId="2" applyNumberFormat="1" applyFont="1" applyFill="1" applyBorder="1" applyAlignment="1" applyProtection="1">
      <alignment horizontal="center" vertical="center"/>
      <protection locked="0"/>
    </xf>
    <xf numFmtId="203" fontId="41" fillId="4" borderId="6" xfId="2" applyNumberFormat="1" applyFont="1" applyFill="1" applyBorder="1" applyAlignment="1" applyProtection="1">
      <alignment horizontal="center" vertical="center"/>
      <protection locked="0"/>
    </xf>
    <xf numFmtId="2" fontId="41" fillId="16" borderId="0" xfId="2" applyNumberFormat="1" applyFont="1" applyFill="1" applyBorder="1" applyAlignment="1" applyProtection="1">
      <alignment horizontal="center" vertical="center"/>
      <protection locked="0"/>
    </xf>
    <xf numFmtId="202" fontId="41" fillId="3" borderId="0" xfId="2" applyNumberFormat="1" applyFont="1" applyFill="1" applyBorder="1" applyAlignment="1" applyProtection="1">
      <alignment horizontal="center" vertical="center"/>
      <protection locked="0"/>
    </xf>
    <xf numFmtId="0" fontId="159" fillId="3" borderId="0" xfId="2" applyFont="1" applyFill="1" applyBorder="1"/>
    <xf numFmtId="0" fontId="145" fillId="3" borderId="27" xfId="2" applyFont="1" applyFill="1" applyBorder="1" applyAlignment="1">
      <alignment horizontal="left" vertical="center"/>
    </xf>
    <xf numFmtId="0" fontId="145" fillId="3" borderId="0" xfId="2" applyFont="1" applyFill="1" applyBorder="1" applyAlignment="1">
      <alignment horizontal="left" vertical="center"/>
    </xf>
    <xf numFmtId="0" fontId="145" fillId="3" borderId="21" xfId="2" applyFont="1" applyFill="1" applyBorder="1" applyAlignment="1">
      <alignment horizontal="left" vertical="center"/>
    </xf>
    <xf numFmtId="0" fontId="161" fillId="3" borderId="0" xfId="2" applyFont="1" applyFill="1" applyBorder="1" applyAlignment="1">
      <alignment horizontal="left" vertical="center"/>
    </xf>
    <xf numFmtId="0" fontId="162" fillId="3" borderId="0" xfId="2" applyFont="1" applyFill="1" applyBorder="1" applyAlignment="1">
      <alignment horizontal="left" vertical="center"/>
    </xf>
    <xf numFmtId="0" fontId="163" fillId="3" borderId="0" xfId="2" applyFont="1" applyFill="1" applyBorder="1" applyAlignment="1">
      <alignment horizontal="left" vertical="center"/>
    </xf>
    <xf numFmtId="0" fontId="62" fillId="3" borderId="0" xfId="2" applyFont="1" applyFill="1" applyAlignment="1">
      <alignment vertical="center"/>
    </xf>
    <xf numFmtId="0" fontId="69" fillId="3" borderId="0" xfId="2" applyFont="1" applyFill="1" applyAlignment="1">
      <alignment horizontal="left" vertical="center"/>
    </xf>
    <xf numFmtId="0" fontId="69" fillId="3" borderId="0" xfId="2" applyFont="1" applyFill="1" applyAlignment="1">
      <alignment horizontal="right" vertical="center"/>
    </xf>
    <xf numFmtId="0" fontId="168" fillId="3" borderId="0" xfId="2" applyFont="1" applyFill="1" applyAlignment="1">
      <alignment vertical="center"/>
    </xf>
    <xf numFmtId="0" fontId="169" fillId="3" borderId="0" xfId="2" applyFont="1" applyFill="1" applyAlignment="1">
      <alignment vertical="center"/>
    </xf>
    <xf numFmtId="0" fontId="172" fillId="7" borderId="277" xfId="2" applyFont="1" applyFill="1" applyBorder="1" applyAlignment="1">
      <alignment vertical="center"/>
    </xf>
    <xf numFmtId="0" fontId="33" fillId="7" borderId="0" xfId="2" applyFont="1" applyFill="1" applyBorder="1" applyAlignment="1">
      <alignment horizontal="right" vertical="center"/>
    </xf>
    <xf numFmtId="210" fontId="35" fillId="7" borderId="0" xfId="2" applyNumberFormat="1" applyFont="1" applyFill="1" applyBorder="1" applyAlignment="1">
      <alignment horizontal="left" vertical="center"/>
    </xf>
    <xf numFmtId="0" fontId="33" fillId="7" borderId="0" xfId="3" applyFont="1" applyFill="1" applyBorder="1" applyAlignment="1">
      <alignment horizontal="center" vertical="center"/>
    </xf>
    <xf numFmtId="0" fontId="33" fillId="7" borderId="49" xfId="3" applyFont="1" applyFill="1" applyBorder="1" applyAlignment="1">
      <alignment horizontal="center" vertical="center"/>
    </xf>
    <xf numFmtId="0" fontId="172" fillId="3" borderId="277" xfId="2" applyFont="1" applyFill="1" applyBorder="1" applyAlignment="1">
      <alignment vertical="center"/>
    </xf>
    <xf numFmtId="0" fontId="33" fillId="3" borderId="0" xfId="2" applyFont="1" applyFill="1" applyBorder="1" applyAlignment="1">
      <alignment horizontal="right" vertical="center"/>
    </xf>
    <xf numFmtId="210" fontId="35" fillId="3" borderId="0" xfId="2" applyNumberFormat="1" applyFont="1" applyFill="1" applyBorder="1" applyAlignment="1">
      <alignment horizontal="left" vertical="center"/>
    </xf>
    <xf numFmtId="0" fontId="33" fillId="3" borderId="0" xfId="3" applyFont="1" applyFill="1" applyBorder="1" applyAlignment="1">
      <alignment horizontal="center" vertical="center"/>
    </xf>
    <xf numFmtId="0" fontId="33" fillId="3" borderId="49" xfId="3" applyFont="1" applyFill="1" applyBorder="1" applyAlignment="1">
      <alignment horizontal="center" vertical="center"/>
    </xf>
    <xf numFmtId="0" fontId="33" fillId="3" borderId="0" xfId="3" applyFont="1" applyFill="1" applyBorder="1" applyAlignment="1" applyProtection="1">
      <alignment horizontal="left" vertical="center"/>
      <protection hidden="1"/>
    </xf>
    <xf numFmtId="0" fontId="33" fillId="3" borderId="49" xfId="3" applyFont="1" applyFill="1" applyBorder="1" applyAlignment="1" applyProtection="1">
      <alignment horizontal="left" vertical="center"/>
      <protection hidden="1"/>
    </xf>
    <xf numFmtId="0" fontId="173" fillId="3" borderId="278" xfId="3" applyFont="1" applyFill="1" applyBorder="1" applyAlignment="1" applyProtection="1">
      <alignment horizontal="center" vertical="center"/>
      <protection hidden="1"/>
    </xf>
    <xf numFmtId="0" fontId="33" fillId="3" borderId="279" xfId="3" applyFont="1" applyFill="1" applyBorder="1" applyAlignment="1" applyProtection="1">
      <alignment horizontal="left" vertical="center"/>
      <protection hidden="1"/>
    </xf>
    <xf numFmtId="0" fontId="33" fillId="3" borderId="280" xfId="3" applyFont="1" applyFill="1" applyBorder="1" applyAlignment="1" applyProtection="1">
      <alignment horizontal="left" vertical="center"/>
      <protection hidden="1"/>
    </xf>
    <xf numFmtId="0" fontId="172" fillId="7" borderId="281" xfId="3" applyFont="1" applyFill="1" applyBorder="1" applyAlignment="1">
      <alignment horizontal="left" vertical="center"/>
    </xf>
    <xf numFmtId="0" fontId="172" fillId="7" borderId="282" xfId="3" applyFont="1" applyFill="1" applyBorder="1" applyAlignment="1">
      <alignment horizontal="left" vertical="center"/>
    </xf>
    <xf numFmtId="0" fontId="163" fillId="3" borderId="287" xfId="3" applyFont="1" applyFill="1" applyBorder="1" applyAlignment="1">
      <alignment horizontal="left" vertical="center"/>
    </xf>
    <xf numFmtId="0" fontId="173" fillId="3" borderId="251" xfId="3" applyFont="1" applyFill="1" applyBorder="1" applyAlignment="1" applyProtection="1">
      <alignment horizontal="center" vertical="center"/>
      <protection hidden="1"/>
    </xf>
    <xf numFmtId="0" fontId="173" fillId="3" borderId="27" xfId="3" applyFont="1" applyFill="1" applyBorder="1" applyAlignment="1" applyProtection="1">
      <alignment horizontal="center" vertical="center"/>
      <protection hidden="1"/>
    </xf>
    <xf numFmtId="0" fontId="173" fillId="3" borderId="76" xfId="3" applyFont="1" applyFill="1" applyBorder="1" applyAlignment="1" applyProtection="1">
      <alignment horizontal="center" vertical="center"/>
      <protection hidden="1"/>
    </xf>
    <xf numFmtId="0" fontId="52" fillId="3" borderId="0" xfId="6" applyNumberFormat="1" applyFont="1" applyFill="1" applyBorder="1" applyAlignment="1">
      <alignment horizontal="right" vertical="center"/>
    </xf>
    <xf numFmtId="0" fontId="176" fillId="0" borderId="0" xfId="0" applyFont="1" applyAlignment="1">
      <alignment vertical="center"/>
    </xf>
    <xf numFmtId="0" fontId="0" fillId="0" borderId="0" xfId="0" applyAlignment="1"/>
    <xf numFmtId="0" fontId="177" fillId="0" borderId="361" xfId="0" applyFont="1" applyBorder="1" applyAlignment="1">
      <alignment vertical="center"/>
    </xf>
    <xf numFmtId="0" fontId="175" fillId="89" borderId="359" xfId="0" applyFont="1" applyFill="1" applyBorder="1" applyAlignment="1">
      <alignment vertical="center"/>
    </xf>
    <xf numFmtId="0" fontId="175" fillId="89" borderId="360" xfId="0" applyFont="1" applyFill="1" applyBorder="1" applyAlignment="1">
      <alignment vertical="center"/>
    </xf>
    <xf numFmtId="0" fontId="176" fillId="0" borderId="362" xfId="0" applyFont="1" applyBorder="1" applyAlignment="1">
      <alignment vertical="center"/>
    </xf>
    <xf numFmtId="0" fontId="176" fillId="90" borderId="362" xfId="0" applyFont="1" applyFill="1" applyBorder="1" applyAlignment="1">
      <alignment vertical="center"/>
    </xf>
    <xf numFmtId="0" fontId="164" fillId="90" borderId="362" xfId="0" applyFont="1" applyFill="1" applyBorder="1" applyAlignment="1">
      <alignment vertical="center"/>
    </xf>
    <xf numFmtId="8" fontId="176" fillId="89" borderId="362" xfId="0" applyNumberFormat="1" applyFont="1" applyFill="1" applyBorder="1" applyAlignment="1">
      <alignment vertical="center"/>
    </xf>
    <xf numFmtId="0" fontId="42" fillId="0" borderId="0" xfId="3" applyFont="1" applyAlignment="1">
      <alignment horizontal="center" vertical="center"/>
    </xf>
    <xf numFmtId="0" fontId="42" fillId="0" borderId="0" xfId="3" applyFont="1" applyAlignment="1">
      <alignment horizontal="left" vertical="center"/>
    </xf>
    <xf numFmtId="0" fontId="182" fillId="3" borderId="277" xfId="3" applyFont="1" applyFill="1" applyBorder="1" applyAlignment="1" applyProtection="1">
      <alignment horizontal="center"/>
      <protection locked="0"/>
    </xf>
    <xf numFmtId="0" fontId="8" fillId="92" borderId="369" xfId="2" applyNumberFormat="1" applyFont="1" applyFill="1" applyBorder="1" applyAlignment="1">
      <alignment horizontal="center" vertical="center"/>
    </xf>
    <xf numFmtId="0" fontId="8" fillId="92" borderId="370" xfId="2" applyNumberFormat="1" applyFont="1" applyFill="1" applyBorder="1" applyAlignment="1">
      <alignment vertical="center"/>
    </xf>
    <xf numFmtId="213" fontId="186" fillId="92" borderId="371" xfId="3" applyNumberFormat="1" applyFont="1" applyFill="1" applyBorder="1" applyAlignment="1">
      <alignment horizontal="center" vertical="center"/>
    </xf>
    <xf numFmtId="213" fontId="91" fillId="92" borderId="373" xfId="3" applyNumberFormat="1" applyFont="1" applyFill="1" applyBorder="1" applyAlignment="1">
      <alignment horizontal="center" vertical="center"/>
    </xf>
    <xf numFmtId="0" fontId="187" fillId="90" borderId="369" xfId="2" applyNumberFormat="1" applyFont="1" applyFill="1" applyBorder="1" applyAlignment="1">
      <alignment horizontal="center" vertical="center"/>
    </xf>
    <xf numFmtId="0" fontId="187" fillId="90" borderId="370" xfId="2" applyNumberFormat="1" applyFont="1" applyFill="1" applyBorder="1" applyAlignment="1">
      <alignment vertical="center"/>
    </xf>
    <xf numFmtId="213" fontId="186" fillId="0" borderId="371" xfId="3" applyNumberFormat="1" applyFont="1" applyBorder="1" applyAlignment="1">
      <alignment horizontal="center" vertical="center"/>
    </xf>
    <xf numFmtId="213" fontId="91" fillId="0" borderId="373" xfId="3" applyNumberFormat="1" applyFont="1" applyBorder="1" applyAlignment="1">
      <alignment horizontal="center" vertical="center"/>
    </xf>
    <xf numFmtId="0" fontId="41" fillId="0" borderId="262" xfId="3" applyNumberFormat="1" applyFont="1" applyFill="1" applyBorder="1" applyAlignment="1">
      <alignment horizontal="left" vertical="center"/>
    </xf>
    <xf numFmtId="0" fontId="41" fillId="4" borderId="262" xfId="3" applyNumberFormat="1" applyFont="1" applyFill="1" applyBorder="1" applyAlignment="1">
      <alignment horizontal="left" vertical="center"/>
    </xf>
    <xf numFmtId="214" fontId="91" fillId="0" borderId="376" xfId="3" applyNumberFormat="1" applyFont="1" applyBorder="1" applyAlignment="1">
      <alignment horizontal="center" vertical="center"/>
    </xf>
    <xf numFmtId="213" fontId="184" fillId="0" borderId="376" xfId="3" applyNumberFormat="1" applyFont="1" applyBorder="1" applyAlignment="1">
      <alignment horizontal="center" vertical="center"/>
    </xf>
    <xf numFmtId="2" fontId="188" fillId="0" borderId="377" xfId="2" applyNumberFormat="1" applyFont="1" applyFill="1" applyBorder="1" applyAlignment="1">
      <alignment horizontal="center"/>
    </xf>
    <xf numFmtId="2" fontId="189" fillId="0" borderId="377" xfId="2" applyNumberFormat="1" applyFont="1" applyFill="1" applyBorder="1" applyAlignment="1">
      <alignment horizontal="center" textRotation="90"/>
    </xf>
    <xf numFmtId="0" fontId="188" fillId="0" borderId="0" xfId="2" applyFont="1"/>
    <xf numFmtId="2" fontId="190" fillId="0" borderId="0" xfId="2" applyNumberFormat="1" applyFont="1" applyFill="1" applyAlignment="1">
      <alignment horizontal="center"/>
    </xf>
    <xf numFmtId="0" fontId="8" fillId="0" borderId="0" xfId="2" applyFill="1"/>
    <xf numFmtId="0" fontId="191" fillId="0" borderId="0" xfId="2" applyFont="1" applyFill="1" applyBorder="1" applyAlignment="1">
      <alignment horizontal="center" vertical="center"/>
    </xf>
    <xf numFmtId="0" fontId="193" fillId="0" borderId="0" xfId="2" applyFont="1" applyAlignment="1">
      <alignment horizontal="right" vertical="center"/>
    </xf>
    <xf numFmtId="0" fontId="135" fillId="93" borderId="162" xfId="6" applyFont="1" applyFill="1" applyBorder="1" applyAlignment="1">
      <alignment vertical="center"/>
    </xf>
    <xf numFmtId="0" fontId="194" fillId="7" borderId="210" xfId="2" applyFont="1" applyFill="1" applyBorder="1" applyAlignment="1">
      <alignment vertical="center"/>
    </xf>
    <xf numFmtId="0" fontId="69" fillId="6" borderId="357" xfId="2" applyFont="1" applyFill="1" applyBorder="1" applyAlignment="1">
      <alignment vertical="center"/>
    </xf>
    <xf numFmtId="0" fontId="69" fillId="6" borderId="0" xfId="2" applyFont="1" applyFill="1" applyBorder="1" applyAlignment="1">
      <alignment vertical="center"/>
    </xf>
    <xf numFmtId="0" fontId="135" fillId="77" borderId="162" xfId="6" applyFont="1" applyFill="1" applyBorder="1" applyAlignment="1">
      <alignment vertical="center"/>
    </xf>
    <xf numFmtId="0" fontId="22" fillId="3" borderId="379" xfId="3" applyFont="1" applyFill="1" applyBorder="1" applyAlignment="1" applyProtection="1">
      <alignment horizontal="center" vertical="center"/>
      <protection hidden="1"/>
    </xf>
    <xf numFmtId="0" fontId="135" fillId="77" borderId="380" xfId="6" applyFont="1" applyFill="1" applyBorder="1" applyAlignment="1">
      <alignment vertical="center"/>
    </xf>
    <xf numFmtId="0" fontId="22" fillId="85" borderId="188" xfId="3" applyFont="1" applyFill="1" applyBorder="1" applyAlignment="1" applyProtection="1">
      <alignment horizontal="center" vertical="center"/>
      <protection hidden="1"/>
    </xf>
    <xf numFmtId="0" fontId="195" fillId="3" borderId="0" xfId="3" applyFont="1" applyFill="1" applyBorder="1" applyAlignment="1">
      <alignment horizontal="center" vertical="center"/>
    </xf>
    <xf numFmtId="0" fontId="196" fillId="7" borderId="381" xfId="2" applyFont="1" applyFill="1" applyBorder="1" applyAlignment="1">
      <alignment horizontal="left" vertical="center" wrapText="1"/>
    </xf>
    <xf numFmtId="0" fontId="181" fillId="7" borderId="379" xfId="2" applyFont="1" applyFill="1" applyBorder="1" applyAlignment="1">
      <alignment horizontal="center" vertical="center" wrapText="1"/>
    </xf>
    <xf numFmtId="2" fontId="33" fillId="95" borderId="0" xfId="3" applyNumberFormat="1" applyFont="1" applyFill="1" applyBorder="1" applyAlignment="1">
      <alignment vertical="center" wrapText="1"/>
    </xf>
    <xf numFmtId="0" fontId="166" fillId="3" borderId="0" xfId="3" applyFont="1" applyFill="1" applyBorder="1" applyAlignment="1">
      <alignment vertical="center" wrapText="1"/>
    </xf>
    <xf numFmtId="0" fontId="198" fillId="7" borderId="357" xfId="2" applyFont="1" applyFill="1" applyBorder="1" applyAlignment="1">
      <alignment vertical="center"/>
    </xf>
    <xf numFmtId="0" fontId="199" fillId="7" borderId="0" xfId="2" applyFont="1" applyFill="1" applyBorder="1" applyAlignment="1">
      <alignment vertical="center"/>
    </xf>
    <xf numFmtId="0" fontId="166" fillId="3" borderId="0" xfId="3" applyFont="1" applyFill="1" applyBorder="1" applyAlignment="1">
      <alignment vertical="center"/>
    </xf>
    <xf numFmtId="0" fontId="199" fillId="7" borderId="357" xfId="2" applyFont="1" applyFill="1" applyBorder="1" applyAlignment="1">
      <alignment horizontal="left" vertical="center"/>
    </xf>
    <xf numFmtId="165" fontId="90" fillId="4" borderId="0" xfId="9" applyNumberFormat="1" applyFont="1" applyFill="1" applyBorder="1" applyAlignment="1">
      <alignment horizontal="center" wrapText="1"/>
    </xf>
    <xf numFmtId="177" fontId="54" fillId="3" borderId="184" xfId="9" applyNumberFormat="1" applyFont="1" applyFill="1" applyBorder="1" applyAlignment="1">
      <alignment vertical="center"/>
    </xf>
    <xf numFmtId="0" fontId="52" fillId="3" borderId="184" xfId="2" applyFont="1" applyFill="1" applyBorder="1" applyAlignment="1">
      <alignment vertical="center"/>
    </xf>
    <xf numFmtId="0" fontId="52" fillId="3" borderId="184" xfId="2" applyFont="1" applyFill="1" applyBorder="1" applyAlignment="1">
      <alignment horizontal="center" vertical="center"/>
    </xf>
    <xf numFmtId="0" fontId="54" fillId="3" borderId="184" xfId="2" applyFont="1" applyFill="1" applyBorder="1" applyAlignment="1">
      <alignment vertical="center" wrapText="1"/>
    </xf>
    <xf numFmtId="176" fontId="52" fillId="3" borderId="184" xfId="9" applyNumberFormat="1" applyFont="1" applyFill="1" applyBorder="1" applyAlignment="1">
      <alignment vertical="center"/>
    </xf>
    <xf numFmtId="0" fontId="172" fillId="7" borderId="357" xfId="3" applyFont="1" applyFill="1" applyBorder="1" applyAlignment="1">
      <alignment vertical="center"/>
    </xf>
    <xf numFmtId="0" fontId="166" fillId="3" borderId="0" xfId="2" applyFont="1" applyFill="1" applyBorder="1" applyAlignment="1" applyProtection="1">
      <alignment horizontal="center" vertical="center"/>
      <protection locked="0"/>
    </xf>
    <xf numFmtId="210" fontId="33" fillId="3" borderId="0" xfId="2" applyNumberFormat="1" applyFont="1" applyFill="1" applyBorder="1" applyAlignment="1">
      <alignment horizontal="left" vertical="center"/>
    </xf>
    <xf numFmtId="0" fontId="172" fillId="7" borderId="357" xfId="2" applyFont="1" applyFill="1" applyBorder="1" applyAlignment="1">
      <alignment vertical="center"/>
    </xf>
    <xf numFmtId="210" fontId="35" fillId="7" borderId="163" xfId="2" applyNumberFormat="1" applyFont="1" applyFill="1" applyBorder="1" applyAlignment="1">
      <alignment horizontal="left" vertical="center"/>
    </xf>
    <xf numFmtId="0" fontId="54" fillId="3" borderId="56" xfId="2" applyFont="1" applyFill="1" applyBorder="1" applyAlignment="1" applyProtection="1">
      <alignment horizontal="center" vertical="center"/>
      <protection locked="0"/>
    </xf>
    <xf numFmtId="0" fontId="52" fillId="3" borderId="56" xfId="2" applyFont="1" applyFill="1" applyBorder="1" applyAlignment="1">
      <alignment horizontal="left" vertical="center"/>
    </xf>
    <xf numFmtId="0" fontId="52" fillId="3" borderId="56" xfId="2" applyFont="1" applyFill="1" applyBorder="1" applyAlignment="1">
      <alignment vertical="center" wrapText="1"/>
    </xf>
    <xf numFmtId="0" fontId="52" fillId="3" borderId="56" xfId="2" applyFont="1" applyFill="1" applyBorder="1" applyAlignment="1">
      <alignment horizontal="right" vertical="center"/>
    </xf>
    <xf numFmtId="177" fontId="54" fillId="3" borderId="56" xfId="9" applyNumberFormat="1" applyFont="1" applyFill="1" applyBorder="1" applyAlignment="1">
      <alignment vertical="center"/>
    </xf>
    <xf numFmtId="2" fontId="38" fillId="3" borderId="357" xfId="2" applyNumberFormat="1" applyFont="1" applyFill="1" applyBorder="1" applyAlignment="1">
      <alignment vertical="center"/>
    </xf>
    <xf numFmtId="2" fontId="38" fillId="3" borderId="0" xfId="2" applyNumberFormat="1" applyFont="1" applyFill="1" applyBorder="1" applyAlignment="1">
      <alignment vertical="center"/>
    </xf>
    <xf numFmtId="0" fontId="38" fillId="0" borderId="0" xfId="2" applyFont="1" applyBorder="1" applyAlignment="1">
      <alignment horizontal="left"/>
    </xf>
    <xf numFmtId="0" fontId="166" fillId="3" borderId="0" xfId="9" applyNumberFormat="1" applyFont="1" applyFill="1" applyBorder="1" applyAlignment="1">
      <alignment horizontal="right" vertical="center"/>
    </xf>
    <xf numFmtId="0" fontId="203" fillId="3" borderId="0" xfId="3" applyFont="1" applyFill="1" applyBorder="1" applyAlignment="1" applyProtection="1">
      <alignment vertical="center" wrapText="1"/>
      <protection hidden="1"/>
    </xf>
    <xf numFmtId="0" fontId="27" fillId="13" borderId="163" xfId="2" applyFont="1" applyFill="1" applyBorder="1" applyAlignment="1" applyProtection="1">
      <alignment horizontal="center" vertical="center"/>
      <protection locked="0"/>
    </xf>
    <xf numFmtId="169" fontId="130" fillId="5" borderId="0" xfId="2" applyNumberFormat="1" applyFont="1" applyFill="1" applyBorder="1" applyAlignment="1" applyProtection="1">
      <alignment horizontal="center" vertical="center"/>
      <protection locked="0"/>
    </xf>
    <xf numFmtId="0" fontId="41" fillId="3" borderId="62" xfId="3" applyFont="1" applyFill="1" applyBorder="1" applyAlignment="1" applyProtection="1">
      <alignment horizontal="center" vertical="center" wrapText="1"/>
      <protection hidden="1"/>
    </xf>
    <xf numFmtId="0" fontId="41" fillId="98" borderId="383" xfId="3" applyNumberFormat="1" applyFont="1" applyFill="1" applyBorder="1" applyAlignment="1">
      <alignment horizontal="center" vertical="center"/>
    </xf>
    <xf numFmtId="0" fontId="41" fillId="98" borderId="0" xfId="3" applyNumberFormat="1" applyFont="1" applyFill="1" applyBorder="1" applyAlignment="1">
      <alignment horizontal="center" vertical="center"/>
    </xf>
    <xf numFmtId="0" fontId="203" fillId="71" borderId="0" xfId="3" applyFont="1" applyFill="1" applyBorder="1" applyAlignment="1" applyProtection="1">
      <alignment horizontal="center" vertical="center" wrapText="1"/>
      <protection hidden="1"/>
    </xf>
    <xf numFmtId="0" fontId="41" fillId="98" borderId="36" xfId="3" applyNumberFormat="1" applyFont="1" applyFill="1" applyBorder="1" applyAlignment="1">
      <alignment horizontal="center" vertical="center"/>
    </xf>
    <xf numFmtId="196" fontId="206" fillId="4" borderId="384" xfId="9" applyNumberFormat="1" applyFont="1" applyFill="1" applyBorder="1" applyAlignment="1">
      <alignment horizontal="center" vertical="center" wrapText="1"/>
    </xf>
    <xf numFmtId="0" fontId="209" fillId="3" borderId="0" xfId="3" applyFont="1" applyFill="1" applyBorder="1" applyAlignment="1">
      <alignment horizontal="center" vertical="center"/>
    </xf>
    <xf numFmtId="0" fontId="41" fillId="4" borderId="357" xfId="2" applyNumberFormat="1" applyFont="1" applyFill="1" applyBorder="1" applyAlignment="1" applyProtection="1">
      <alignment horizontal="center" vertical="center"/>
      <protection locked="0"/>
    </xf>
    <xf numFmtId="0" fontId="41" fillId="4" borderId="0" xfId="2" applyNumberFormat="1" applyFont="1" applyFill="1" applyBorder="1" applyAlignment="1" applyProtection="1">
      <alignment horizontal="center" vertical="center"/>
      <protection locked="0"/>
    </xf>
    <xf numFmtId="0" fontId="210" fillId="3" borderId="385" xfId="2" applyFont="1" applyFill="1" applyBorder="1" applyAlignment="1">
      <alignment horizontal="right" vertical="center"/>
    </xf>
    <xf numFmtId="176" fontId="81" fillId="3" borderId="386" xfId="2" applyNumberFormat="1" applyFont="1" applyFill="1" applyBorder="1" applyAlignment="1">
      <alignment horizontal="right" vertical="center"/>
    </xf>
    <xf numFmtId="165" fontId="211" fillId="3" borderId="382" xfId="2" applyNumberFormat="1" applyFont="1" applyFill="1" applyBorder="1" applyAlignment="1">
      <alignment horizontal="left" vertical="center"/>
    </xf>
    <xf numFmtId="169" fontId="52" fillId="38" borderId="382" xfId="3" applyNumberFormat="1" applyFont="1" applyFill="1" applyBorder="1" applyAlignment="1">
      <alignment horizontal="center" vertical="center" wrapText="1"/>
    </xf>
    <xf numFmtId="169" fontId="212" fillId="74" borderId="0" xfId="24" applyNumberFormat="1" applyFont="1" applyFill="1" applyBorder="1" applyAlignment="1">
      <alignment horizontal="center" vertical="center"/>
    </xf>
    <xf numFmtId="0" fontId="210" fillId="16" borderId="0" xfId="2" applyFont="1" applyFill="1" applyBorder="1" applyAlignment="1">
      <alignment horizontal="left" vertical="center"/>
    </xf>
    <xf numFmtId="9" fontId="130" fillId="7" borderId="0" xfId="2" applyNumberFormat="1" applyFont="1" applyFill="1" applyBorder="1" applyAlignment="1" applyProtection="1">
      <alignment horizontal="center" vertical="center"/>
      <protection locked="0"/>
    </xf>
    <xf numFmtId="0" fontId="210" fillId="3" borderId="387" xfId="2" applyFont="1" applyFill="1" applyBorder="1" applyAlignment="1">
      <alignment horizontal="right" vertical="center"/>
    </xf>
    <xf numFmtId="0" fontId="64" fillId="3" borderId="0" xfId="3" applyFont="1" applyFill="1" applyBorder="1" applyAlignment="1" applyProtection="1">
      <alignment horizontal="left" vertical="center"/>
      <protection hidden="1"/>
    </xf>
    <xf numFmtId="0" fontId="42" fillId="98" borderId="0" xfId="3" applyNumberFormat="1" applyFont="1" applyFill="1" applyBorder="1" applyAlignment="1">
      <alignment horizontal="center"/>
    </xf>
    <xf numFmtId="0" fontId="42" fillId="98" borderId="345" xfId="3" applyNumberFormat="1" applyFont="1" applyFill="1" applyBorder="1" applyAlignment="1">
      <alignment horizontal="center"/>
    </xf>
    <xf numFmtId="0" fontId="216" fillId="101" borderId="0" xfId="3" applyNumberFormat="1" applyFont="1" applyFill="1" applyBorder="1" applyAlignment="1">
      <alignment horizontal="center" vertical="center" wrapText="1"/>
    </xf>
    <xf numFmtId="0" fontId="40" fillId="3" borderId="0" xfId="3" applyFont="1" applyFill="1" applyBorder="1" applyAlignment="1" applyProtection="1">
      <alignment horizontal="left" vertical="center"/>
      <protection hidden="1"/>
    </xf>
    <xf numFmtId="0" fontId="23" fillId="102" borderId="0" xfId="3" applyFont="1" applyFill="1" applyBorder="1" applyAlignment="1">
      <alignment vertical="center"/>
    </xf>
    <xf numFmtId="0" fontId="23" fillId="102" borderId="388" xfId="3" applyFont="1" applyFill="1" applyBorder="1" applyAlignment="1">
      <alignment horizontal="center" vertical="center"/>
    </xf>
    <xf numFmtId="0" fontId="42" fillId="98" borderId="0" xfId="3" applyNumberFormat="1" applyFont="1" applyFill="1" applyBorder="1" applyAlignment="1">
      <alignment horizontal="center" vertical="center"/>
    </xf>
    <xf numFmtId="9" fontId="217" fillId="71" borderId="0" xfId="9" applyNumberFormat="1" applyFont="1" applyFill="1" applyBorder="1" applyAlignment="1">
      <alignment horizontal="center" vertical="center"/>
    </xf>
    <xf numFmtId="9" fontId="167" fillId="71" borderId="0" xfId="9" applyNumberFormat="1" applyFont="1" applyFill="1" applyBorder="1" applyAlignment="1">
      <alignment horizontal="center" vertical="center"/>
    </xf>
    <xf numFmtId="0" fontId="24" fillId="3" borderId="0" xfId="3" applyFont="1" applyFill="1" applyBorder="1" applyProtection="1">
      <protection hidden="1"/>
    </xf>
    <xf numFmtId="0" fontId="173" fillId="3" borderId="0" xfId="3" applyFont="1" applyFill="1" applyBorder="1" applyAlignment="1" applyProtection="1">
      <alignment horizontal="right" vertical="center"/>
      <protection hidden="1"/>
    </xf>
    <xf numFmtId="49" fontId="221" fillId="3" borderId="0" xfId="16" applyNumberFormat="1" applyFont="1" applyFill="1" applyBorder="1" applyAlignment="1">
      <alignment vertical="center"/>
    </xf>
    <xf numFmtId="0" fontId="91" fillId="3" borderId="0" xfId="3" applyFont="1" applyFill="1" applyBorder="1" applyAlignment="1" applyProtection="1">
      <alignment horizontal="left" vertical="center"/>
      <protection hidden="1"/>
    </xf>
    <xf numFmtId="176" fontId="33" fillId="4" borderId="391" xfId="9" applyNumberFormat="1" applyFont="1" applyFill="1" applyBorder="1" applyAlignment="1">
      <alignment horizontal="center" vertical="center"/>
    </xf>
    <xf numFmtId="0" fontId="69" fillId="82" borderId="0" xfId="2" applyFont="1" applyFill="1" applyBorder="1" applyAlignment="1">
      <alignment horizontal="right" vertical="center"/>
    </xf>
    <xf numFmtId="0" fontId="65" fillId="3" borderId="0" xfId="25" applyFont="1" applyFill="1" applyBorder="1" applyAlignment="1">
      <alignment vertical="center"/>
    </xf>
    <xf numFmtId="0" fontId="60" fillId="3" borderId="354" xfId="2" applyFont="1" applyFill="1" applyBorder="1" applyAlignment="1">
      <alignment horizontal="left"/>
    </xf>
    <xf numFmtId="191" fontId="44" fillId="3" borderId="354" xfId="3" applyNumberFormat="1" applyFont="1" applyFill="1" applyBorder="1" applyAlignment="1" applyProtection="1">
      <alignment horizontal="center" vertical="center"/>
      <protection hidden="1"/>
    </xf>
    <xf numFmtId="192" fontId="29" fillId="3" borderId="354" xfId="3" applyNumberFormat="1" applyFont="1" applyFill="1" applyBorder="1" applyAlignment="1" applyProtection="1">
      <alignment horizontal="center" vertical="center"/>
      <protection hidden="1"/>
    </xf>
    <xf numFmtId="177" fontId="25" fillId="61" borderId="356" xfId="9" applyNumberFormat="1" applyFont="1" applyFill="1" applyBorder="1" applyAlignment="1">
      <alignment horizontal="center" vertical="center"/>
    </xf>
    <xf numFmtId="0" fontId="223" fillId="3" borderId="357" xfId="3" applyFont="1" applyFill="1" applyBorder="1" applyAlignment="1">
      <alignment horizontal="left" vertical="center"/>
    </xf>
    <xf numFmtId="0" fontId="32" fillId="3" borderId="0" xfId="3" applyFont="1" applyFill="1" applyBorder="1" applyAlignment="1">
      <alignment horizontal="center" vertical="center"/>
    </xf>
    <xf numFmtId="0" fontId="224" fillId="3" borderId="163" xfId="3" applyFont="1" applyFill="1" applyBorder="1" applyAlignment="1" applyProtection="1">
      <alignment horizontal="center" vertical="center"/>
      <protection hidden="1"/>
    </xf>
    <xf numFmtId="0" fontId="8" fillId="52" borderId="0" xfId="2" applyFill="1"/>
    <xf numFmtId="0" fontId="8" fillId="68" borderId="0" xfId="2" applyFill="1"/>
    <xf numFmtId="2" fontId="197" fillId="105" borderId="0" xfId="3" applyNumberFormat="1" applyFont="1" applyFill="1" applyBorder="1" applyAlignment="1">
      <alignment vertical="center"/>
    </xf>
    <xf numFmtId="2" fontId="197" fillId="105" borderId="163" xfId="3" applyNumberFormat="1" applyFont="1" applyFill="1" applyBorder="1" applyAlignment="1">
      <alignment vertical="center"/>
    </xf>
    <xf numFmtId="2" fontId="54" fillId="105" borderId="357" xfId="3" applyNumberFormat="1" applyFont="1" applyFill="1" applyBorder="1" applyAlignment="1">
      <alignment horizontal="center" vertical="center" wrapText="1"/>
    </xf>
    <xf numFmtId="2" fontId="41" fillId="105" borderId="0" xfId="3" applyNumberFormat="1" applyFont="1" applyFill="1" applyBorder="1" applyAlignment="1">
      <alignment horizontal="left" vertical="center"/>
    </xf>
    <xf numFmtId="2" fontId="50" fillId="105" borderId="0" xfId="3" applyNumberFormat="1" applyFont="1" applyFill="1" applyBorder="1" applyAlignment="1">
      <alignment vertical="center"/>
    </xf>
    <xf numFmtId="2" fontId="50" fillId="105" borderId="163" xfId="3" applyNumberFormat="1" applyFont="1" applyFill="1" applyBorder="1" applyAlignment="1">
      <alignment vertical="center"/>
    </xf>
    <xf numFmtId="177" fontId="201" fillId="97" borderId="0" xfId="3" applyNumberFormat="1" applyFont="1" applyFill="1" applyBorder="1" applyAlignment="1">
      <alignment horizontal="center" vertical="center"/>
    </xf>
    <xf numFmtId="2" fontId="56" fillId="4" borderId="0" xfId="2" applyNumberFormat="1" applyFont="1" applyFill="1" applyBorder="1" applyAlignment="1">
      <alignment horizontal="right" vertical="center"/>
    </xf>
    <xf numFmtId="0" fontId="163" fillId="4" borderId="0" xfId="2" applyFont="1" applyFill="1" applyBorder="1"/>
    <xf numFmtId="0" fontId="183" fillId="3" borderId="0" xfId="2" applyFont="1" applyFill="1" applyBorder="1" applyAlignment="1">
      <alignment vertical="center"/>
    </xf>
    <xf numFmtId="0" fontId="227" fillId="3" borderId="0" xfId="2" applyFont="1" applyFill="1" applyBorder="1" applyAlignment="1">
      <alignment horizontal="right" vertical="center"/>
    </xf>
    <xf numFmtId="1" fontId="34" fillId="81" borderId="0" xfId="9" applyNumberFormat="1" applyFont="1" applyFill="1" applyBorder="1" applyAlignment="1">
      <alignment horizontal="center" vertical="center"/>
    </xf>
    <xf numFmtId="0" fontId="228" fillId="16" borderId="0" xfId="3" applyFont="1" applyFill="1" applyBorder="1" applyAlignment="1">
      <alignment horizontal="center" vertical="center" wrapText="1"/>
    </xf>
    <xf numFmtId="177" fontId="166" fillId="3" borderId="0" xfId="9" applyNumberFormat="1" applyFont="1" applyFill="1" applyBorder="1" applyAlignment="1">
      <alignment horizontal="center" vertical="center"/>
    </xf>
    <xf numFmtId="0" fontId="36" fillId="106" borderId="0" xfId="24" applyNumberFormat="1" applyFont="1" applyFill="1" applyBorder="1" applyAlignment="1">
      <alignment horizontal="left" vertical="center"/>
    </xf>
    <xf numFmtId="0" fontId="53" fillId="106" borderId="0" xfId="24" applyNumberFormat="1" applyFont="1" applyFill="1" applyBorder="1" applyAlignment="1">
      <alignment horizontal="left" vertical="center"/>
    </xf>
    <xf numFmtId="0" fontId="71" fillId="106" borderId="163" xfId="24" applyNumberFormat="1" applyFont="1" applyFill="1" applyBorder="1" applyAlignment="1">
      <alignment horizontal="center" vertical="center"/>
    </xf>
    <xf numFmtId="0" fontId="41" fillId="105" borderId="357" xfId="3" applyNumberFormat="1" applyFont="1" applyFill="1" applyBorder="1" applyAlignment="1">
      <alignment vertical="center"/>
    </xf>
    <xf numFmtId="0" fontId="41" fillId="105" borderId="0" xfId="3" applyNumberFormat="1" applyFont="1" applyFill="1" applyBorder="1" applyAlignment="1">
      <alignment horizontal="right" vertical="center"/>
    </xf>
    <xf numFmtId="1" fontId="41" fillId="105" borderId="0" xfId="3" applyNumberFormat="1" applyFont="1" applyFill="1" applyBorder="1" applyAlignment="1">
      <alignment horizontal="center" vertical="center"/>
    </xf>
    <xf numFmtId="0" fontId="41" fillId="105" borderId="0" xfId="3" applyNumberFormat="1" applyFont="1" applyFill="1" applyBorder="1" applyAlignment="1">
      <alignment vertical="center"/>
    </xf>
    <xf numFmtId="196" fontId="41" fillId="105" borderId="357" xfId="3" applyNumberFormat="1" applyFont="1" applyFill="1" applyBorder="1" applyAlignment="1">
      <alignment horizontal="center" vertical="center"/>
    </xf>
    <xf numFmtId="1" fontId="41" fillId="105" borderId="163" xfId="3" applyNumberFormat="1" applyFont="1" applyFill="1" applyBorder="1" applyAlignment="1">
      <alignment horizontal="center" vertical="center"/>
    </xf>
    <xf numFmtId="196" fontId="41" fillId="105" borderId="0" xfId="3" applyNumberFormat="1" applyFont="1" applyFill="1" applyBorder="1" applyAlignment="1">
      <alignment horizontal="center" vertical="center"/>
    </xf>
    <xf numFmtId="169" fontId="167" fillId="106" borderId="0" xfId="9" applyNumberFormat="1" applyFont="1" applyFill="1" applyBorder="1" applyAlignment="1">
      <alignment horizontal="right" vertical="center"/>
    </xf>
    <xf numFmtId="0" fontId="201" fillId="107" borderId="0" xfId="3" applyNumberFormat="1" applyFont="1" applyFill="1" applyBorder="1" applyAlignment="1">
      <alignment horizontal="left" vertical="center"/>
    </xf>
    <xf numFmtId="0" fontId="50" fillId="71" borderId="0" xfId="2" applyNumberFormat="1" applyFont="1" applyFill="1" applyBorder="1" applyAlignment="1" applyProtection="1">
      <alignment horizontal="center" vertical="center"/>
      <protection locked="0"/>
    </xf>
    <xf numFmtId="0" fontId="50" fillId="71" borderId="163" xfId="2" applyNumberFormat="1" applyFont="1" applyFill="1" applyBorder="1" applyAlignment="1" applyProtection="1">
      <alignment horizontal="center" vertical="center"/>
      <protection locked="0"/>
    </xf>
    <xf numFmtId="0" fontId="36" fillId="71" borderId="0" xfId="2" applyNumberFormat="1" applyFont="1" applyFill="1" applyBorder="1" applyAlignment="1" applyProtection="1">
      <alignment horizontal="center" vertical="center" wrapText="1"/>
      <protection locked="0"/>
    </xf>
    <xf numFmtId="0" fontId="50" fillId="71" borderId="0" xfId="2" applyNumberFormat="1" applyFont="1" applyFill="1" applyBorder="1" applyAlignment="1" applyProtection="1">
      <alignment horizontal="center" vertical="center" wrapText="1"/>
      <protection locked="0"/>
    </xf>
    <xf numFmtId="0" fontId="50" fillId="71" borderId="357" xfId="2" applyNumberFormat="1" applyFont="1" applyFill="1" applyBorder="1" applyAlignment="1" applyProtection="1">
      <alignment horizontal="center" vertical="center"/>
      <protection locked="0"/>
    </xf>
    <xf numFmtId="177" fontId="166" fillId="3" borderId="382" xfId="9" applyNumberFormat="1" applyFont="1" applyFill="1" applyBorder="1" applyAlignment="1">
      <alignment horizontal="center" vertical="center"/>
    </xf>
    <xf numFmtId="203" fontId="229" fillId="3" borderId="392" xfId="9" applyNumberFormat="1" applyFont="1" applyFill="1" applyBorder="1" applyAlignment="1">
      <alignment horizontal="center" vertical="center"/>
    </xf>
    <xf numFmtId="177" fontId="214" fillId="99" borderId="163" xfId="3" applyNumberFormat="1" applyFont="1" applyFill="1" applyBorder="1" applyAlignment="1">
      <alignment horizontal="center" vertical="center"/>
    </xf>
    <xf numFmtId="177" fontId="215" fillId="105" borderId="0" xfId="3" applyNumberFormat="1" applyFont="1" applyFill="1" applyBorder="1" applyAlignment="1">
      <alignment horizontal="center" vertical="center"/>
    </xf>
    <xf numFmtId="2" fontId="215" fillId="105" borderId="0" xfId="3" applyNumberFormat="1" applyFont="1" applyFill="1" applyBorder="1" applyAlignment="1">
      <alignment horizontal="center" vertical="center"/>
    </xf>
    <xf numFmtId="200" fontId="215" fillId="105" borderId="163" xfId="3" applyNumberFormat="1" applyFont="1" applyFill="1" applyBorder="1" applyAlignment="1">
      <alignment horizontal="left" vertical="center"/>
    </xf>
    <xf numFmtId="169" fontId="42" fillId="105" borderId="0" xfId="3" applyNumberFormat="1" applyFont="1" applyFill="1" applyBorder="1" applyAlignment="1">
      <alignment horizontal="center" vertical="center" wrapText="1"/>
    </xf>
    <xf numFmtId="169" fontId="71" fillId="106" borderId="163" xfId="24" applyNumberFormat="1" applyFont="1" applyFill="1" applyBorder="1" applyAlignment="1">
      <alignment horizontal="center" vertical="center"/>
    </xf>
    <xf numFmtId="203" fontId="231" fillId="106" borderId="357" xfId="26" applyNumberFormat="1" applyFont="1" applyFill="1" applyBorder="1" applyAlignment="1">
      <alignment horizontal="center" vertical="center"/>
    </xf>
    <xf numFmtId="200" fontId="215" fillId="105" borderId="0" xfId="3" applyNumberFormat="1" applyFont="1" applyFill="1" applyBorder="1" applyAlignment="1">
      <alignment horizontal="left" vertical="center"/>
    </xf>
    <xf numFmtId="203" fontId="201" fillId="100" borderId="357" xfId="3" applyNumberFormat="1" applyFont="1" applyFill="1" applyBorder="1" applyAlignment="1">
      <alignment horizontal="center" vertical="center"/>
    </xf>
    <xf numFmtId="203" fontId="215" fillId="105" borderId="0" xfId="3" applyNumberFormat="1" applyFont="1" applyFill="1" applyBorder="1" applyAlignment="1">
      <alignment horizontal="center" vertical="center"/>
    </xf>
    <xf numFmtId="203" fontId="201" fillId="100" borderId="0" xfId="3" applyNumberFormat="1" applyFont="1" applyFill="1" applyBorder="1" applyAlignment="1">
      <alignment horizontal="center" vertical="center"/>
    </xf>
    <xf numFmtId="0" fontId="201" fillId="105" borderId="357" xfId="3" applyNumberFormat="1" applyFont="1" applyFill="1" applyBorder="1" applyAlignment="1">
      <alignment horizontal="center" vertical="center"/>
    </xf>
    <xf numFmtId="0" fontId="215" fillId="105" borderId="0" xfId="3" applyNumberFormat="1" applyFont="1" applyFill="1" applyBorder="1" applyAlignment="1">
      <alignment horizontal="center" vertical="center"/>
    </xf>
    <xf numFmtId="177" fontId="167" fillId="103" borderId="393" xfId="9" applyNumberFormat="1" applyFont="1" applyFill="1" applyBorder="1" applyAlignment="1">
      <alignment horizontal="center" vertical="center"/>
    </xf>
    <xf numFmtId="177" fontId="167" fillId="103" borderId="0" xfId="9" applyNumberFormat="1" applyFont="1" applyFill="1" applyBorder="1" applyAlignment="1">
      <alignment horizontal="center" vertical="center"/>
    </xf>
    <xf numFmtId="177" fontId="167" fillId="104" borderId="163" xfId="9" applyNumberFormat="1" applyFont="1" applyFill="1" applyBorder="1" applyAlignment="1">
      <alignment horizontal="center" vertical="center"/>
    </xf>
    <xf numFmtId="0" fontId="41" fillId="101" borderId="163" xfId="3" applyFont="1" applyFill="1" applyBorder="1" applyAlignment="1">
      <alignment horizontal="left" vertical="center"/>
    </xf>
    <xf numFmtId="0" fontId="41" fillId="101" borderId="0" xfId="3" applyFont="1" applyFill="1" applyBorder="1" applyAlignment="1">
      <alignment horizontal="left" vertical="center"/>
    </xf>
    <xf numFmtId="0" fontId="42" fillId="98" borderId="357" xfId="3" applyNumberFormat="1" applyFont="1" applyFill="1" applyBorder="1" applyAlignment="1">
      <alignment horizontal="center"/>
    </xf>
    <xf numFmtId="0" fontId="42" fillId="98" borderId="163" xfId="3" applyNumberFormat="1" applyFont="1" applyFill="1" applyBorder="1" applyAlignment="1">
      <alignment horizontal="center"/>
    </xf>
    <xf numFmtId="0" fontId="42" fillId="98" borderId="0" xfId="3" applyNumberFormat="1" applyFont="1" applyFill="1" applyBorder="1" applyAlignment="1">
      <alignment horizontal="right"/>
    </xf>
    <xf numFmtId="203" fontId="167" fillId="71" borderId="0" xfId="9" applyNumberFormat="1" applyFont="1" applyFill="1" applyBorder="1" applyAlignment="1">
      <alignment horizontal="center" vertical="center"/>
    </xf>
    <xf numFmtId="1" fontId="167" fillId="71" borderId="0" xfId="9" applyNumberFormat="1" applyFont="1" applyFill="1" applyBorder="1" applyAlignment="1">
      <alignment horizontal="center" vertical="center"/>
    </xf>
    <xf numFmtId="196" fontId="167" fillId="71" borderId="163" xfId="9" applyNumberFormat="1" applyFont="1" applyFill="1" applyBorder="1" applyAlignment="1">
      <alignment horizontal="left" vertical="center"/>
    </xf>
    <xf numFmtId="216" fontId="48" fillId="108" borderId="0" xfId="3" applyNumberFormat="1" applyFont="1" applyFill="1" applyBorder="1" applyAlignment="1">
      <alignment horizontal="center" vertical="center"/>
    </xf>
    <xf numFmtId="196" fontId="167" fillId="71" borderId="0" xfId="9" applyNumberFormat="1" applyFont="1" applyFill="1" applyBorder="1" applyAlignment="1">
      <alignment horizontal="left" vertical="center"/>
    </xf>
    <xf numFmtId="203" fontId="219" fillId="71" borderId="357" xfId="9" applyNumberFormat="1" applyFont="1" applyFill="1" applyBorder="1" applyAlignment="1">
      <alignment horizontal="center" vertical="center"/>
    </xf>
    <xf numFmtId="179" fontId="41" fillId="109" borderId="0" xfId="2" applyNumberFormat="1" applyFont="1" applyFill="1" applyBorder="1" applyAlignment="1" applyProtection="1">
      <alignment horizontal="center" vertical="center"/>
      <protection locked="0"/>
    </xf>
    <xf numFmtId="203" fontId="167" fillId="71" borderId="163" xfId="9" applyNumberFormat="1" applyFont="1" applyFill="1" applyBorder="1" applyAlignment="1">
      <alignment horizontal="center" vertical="center"/>
    </xf>
    <xf numFmtId="217" fontId="41" fillId="109" borderId="0" xfId="2" applyNumberFormat="1" applyFont="1" applyFill="1" applyBorder="1" applyAlignment="1" applyProtection="1">
      <alignment horizontal="center" vertical="center"/>
      <protection locked="0"/>
    </xf>
    <xf numFmtId="0" fontId="167" fillId="71" borderId="0" xfId="9" applyNumberFormat="1" applyFont="1" applyFill="1" applyBorder="1" applyAlignment="1">
      <alignment horizontal="center" vertical="center"/>
    </xf>
    <xf numFmtId="0" fontId="220" fillId="71" borderId="0" xfId="9" applyNumberFormat="1" applyFont="1" applyFill="1" applyBorder="1" applyAlignment="1">
      <alignment horizontal="center" vertical="center"/>
    </xf>
    <xf numFmtId="0" fontId="167" fillId="110" borderId="0" xfId="9" applyNumberFormat="1" applyFont="1" applyFill="1" applyBorder="1" applyAlignment="1">
      <alignment horizontal="center" vertical="center"/>
    </xf>
    <xf numFmtId="0" fontId="42" fillId="101" borderId="357" xfId="3" applyNumberFormat="1" applyFont="1" applyFill="1" applyBorder="1" applyAlignment="1">
      <alignment horizontal="left" vertical="center"/>
    </xf>
    <xf numFmtId="0" fontId="42" fillId="101" borderId="0" xfId="3" applyNumberFormat="1" applyFont="1" applyFill="1" applyBorder="1" applyAlignment="1">
      <alignment horizontal="left" vertical="center"/>
    </xf>
    <xf numFmtId="0" fontId="42" fillId="101" borderId="163" xfId="3" applyNumberFormat="1" applyFont="1" applyFill="1" applyBorder="1" applyAlignment="1">
      <alignment horizontal="left" vertical="center"/>
    </xf>
    <xf numFmtId="203" fontId="205" fillId="7" borderId="389" xfId="9" applyNumberFormat="1" applyFont="1" applyFill="1" applyBorder="1" applyAlignment="1">
      <alignment horizontal="center" vertical="center"/>
    </xf>
    <xf numFmtId="0" fontId="218" fillId="3" borderId="390" xfId="3" applyFont="1" applyFill="1" applyBorder="1" applyAlignment="1">
      <alignment horizontal="right" vertical="center" wrapText="1"/>
    </xf>
    <xf numFmtId="0" fontId="42" fillId="98" borderId="354" xfId="3" applyNumberFormat="1" applyFont="1" applyFill="1" applyBorder="1" applyAlignment="1">
      <alignment horizontal="center" vertical="center"/>
    </xf>
    <xf numFmtId="0" fontId="42" fillId="101" borderId="354" xfId="3" applyNumberFormat="1" applyFont="1" applyFill="1" applyBorder="1" applyAlignment="1">
      <alignment horizontal="left" vertical="center"/>
    </xf>
    <xf numFmtId="0" fontId="42" fillId="101" borderId="354" xfId="3" applyNumberFormat="1" applyFont="1" applyFill="1" applyBorder="1" applyAlignment="1">
      <alignment horizontal="center" vertical="center"/>
    </xf>
    <xf numFmtId="0" fontId="42" fillId="101" borderId="356" xfId="3" applyNumberFormat="1" applyFont="1" applyFill="1" applyBorder="1" applyAlignment="1">
      <alignment horizontal="left" vertical="center"/>
    </xf>
    <xf numFmtId="0" fontId="42" fillId="101" borderId="358" xfId="3" applyNumberFormat="1" applyFont="1" applyFill="1" applyBorder="1" applyAlignment="1">
      <alignment horizontal="left" vertical="center"/>
    </xf>
    <xf numFmtId="0" fontId="33" fillId="3" borderId="0" xfId="3" applyFont="1" applyFill="1" applyBorder="1" applyAlignment="1" applyProtection="1">
      <alignment vertical="center"/>
      <protection hidden="1"/>
    </xf>
    <xf numFmtId="0" fontId="8" fillId="92" borderId="395" xfId="2" applyNumberFormat="1" applyFont="1" applyFill="1" applyBorder="1" applyAlignment="1">
      <alignment horizontal="center" vertical="center"/>
    </xf>
    <xf numFmtId="0" fontId="8" fillId="92" borderId="396" xfId="2" applyNumberFormat="1" applyFont="1" applyFill="1" applyBorder="1" applyAlignment="1">
      <alignment vertical="center"/>
    </xf>
    <xf numFmtId="213" fontId="186" fillId="92" borderId="372" xfId="3" applyNumberFormat="1" applyFont="1" applyFill="1" applyBorder="1" applyAlignment="1">
      <alignment horizontal="center" vertical="center"/>
    </xf>
    <xf numFmtId="0" fontId="43" fillId="0" borderId="399" xfId="3" applyFont="1" applyBorder="1" applyAlignment="1">
      <alignment horizontal="center" vertical="center"/>
    </xf>
    <xf numFmtId="0" fontId="150" fillId="0" borderId="399" xfId="3" applyFont="1" applyBorder="1" applyAlignment="1">
      <alignment horizontal="center" vertical="center"/>
    </xf>
    <xf numFmtId="0" fontId="91" fillId="0" borderId="400" xfId="3" applyFont="1" applyBorder="1" applyAlignment="1">
      <alignment horizontal="center" vertical="center"/>
    </xf>
    <xf numFmtId="218" fontId="91" fillId="92" borderId="397" xfId="3" applyNumberFormat="1" applyFont="1" applyFill="1" applyBorder="1" applyAlignment="1">
      <alignment horizontal="center" vertical="center"/>
    </xf>
    <xf numFmtId="212" fontId="232" fillId="0" borderId="371" xfId="3" applyNumberFormat="1" applyFont="1" applyBorder="1" applyAlignment="1">
      <alignment horizontal="center" vertical="center"/>
    </xf>
    <xf numFmtId="212" fontId="202" fillId="92" borderId="372" xfId="3" applyNumberFormat="1" applyFont="1" applyFill="1" applyBorder="1" applyAlignment="1">
      <alignment horizontal="center" vertical="center"/>
    </xf>
    <xf numFmtId="0" fontId="232" fillId="90" borderId="370" xfId="2" applyNumberFormat="1" applyFont="1" applyFill="1" applyBorder="1" applyAlignment="1">
      <alignment horizontal="center" vertical="center"/>
    </xf>
    <xf numFmtId="0" fontId="202" fillId="92" borderId="396" xfId="2" applyNumberFormat="1" applyFont="1" applyFill="1" applyBorder="1" applyAlignment="1">
      <alignment horizontal="center" vertical="center"/>
    </xf>
    <xf numFmtId="0" fontId="43" fillId="4" borderId="401" xfId="3" applyFont="1" applyFill="1" applyBorder="1" applyAlignment="1">
      <alignment horizontal="center" vertical="center"/>
    </xf>
    <xf numFmtId="1" fontId="91" fillId="0" borderId="375" xfId="3" applyNumberFormat="1" applyFont="1" applyBorder="1" applyAlignment="1">
      <alignment horizontal="center"/>
    </xf>
    <xf numFmtId="9" fontId="43" fillId="5" borderId="0" xfId="3" applyNumberFormat="1" applyFont="1" applyFill="1" applyBorder="1" applyAlignment="1">
      <alignment horizontal="center"/>
    </xf>
    <xf numFmtId="213" fontId="91" fillId="3" borderId="405" xfId="3" applyNumberFormat="1" applyFont="1" applyFill="1" applyBorder="1" applyAlignment="1">
      <alignment horizontal="center" vertical="center"/>
    </xf>
    <xf numFmtId="213" fontId="184" fillId="3" borderId="279" xfId="3" applyNumberFormat="1" applyFont="1" applyFill="1" applyBorder="1" applyAlignment="1">
      <alignment horizontal="center" vertical="center"/>
    </xf>
    <xf numFmtId="0" fontId="91" fillId="3" borderId="281" xfId="3" applyFont="1" applyFill="1" applyBorder="1" applyAlignment="1">
      <alignment vertical="center"/>
    </xf>
    <xf numFmtId="0" fontId="91" fillId="3" borderId="282" xfId="3" applyFont="1" applyFill="1" applyBorder="1" applyAlignment="1">
      <alignment vertical="center"/>
    </xf>
    <xf numFmtId="0" fontId="91" fillId="3" borderId="404" xfId="3" applyFont="1" applyFill="1" applyBorder="1" applyAlignment="1">
      <alignment vertical="center"/>
    </xf>
    <xf numFmtId="0" fontId="91" fillId="3" borderId="0" xfId="3" applyFont="1" applyFill="1" applyBorder="1" applyAlignment="1">
      <alignment vertical="center"/>
    </xf>
    <xf numFmtId="0" fontId="91" fillId="3" borderId="282" xfId="3" applyFont="1" applyFill="1" applyBorder="1" applyAlignment="1">
      <alignment horizontal="right" vertical="center"/>
    </xf>
    <xf numFmtId="0" fontId="91" fillId="3" borderId="0" xfId="3" applyFont="1" applyFill="1" applyBorder="1" applyAlignment="1">
      <alignment horizontal="right" vertical="center"/>
    </xf>
    <xf numFmtId="0" fontId="91" fillId="3" borderId="406" xfId="3" applyFont="1" applyFill="1" applyBorder="1" applyAlignment="1"/>
    <xf numFmtId="0" fontId="91" fillId="3" borderId="279" xfId="3" applyFont="1" applyFill="1" applyBorder="1" applyAlignment="1"/>
    <xf numFmtId="0" fontId="91" fillId="3" borderId="279" xfId="3" applyFont="1" applyFill="1" applyBorder="1" applyAlignment="1">
      <alignment horizontal="right"/>
    </xf>
    <xf numFmtId="0" fontId="8" fillId="92" borderId="408" xfId="2" applyNumberFormat="1" applyFont="1" applyFill="1" applyBorder="1" applyAlignment="1">
      <alignment horizontal="center" vertical="center"/>
    </xf>
    <xf numFmtId="0" fontId="8" fillId="92" borderId="409" xfId="2" applyNumberFormat="1" applyFont="1" applyFill="1" applyBorder="1" applyAlignment="1">
      <alignment vertical="center"/>
    </xf>
    <xf numFmtId="0" fontId="202" fillId="92" borderId="410" xfId="2" applyNumberFormat="1" applyFont="1" applyFill="1" applyBorder="1" applyAlignment="1">
      <alignment horizontal="center" vertical="center"/>
    </xf>
    <xf numFmtId="212" fontId="202" fillId="92" borderId="411" xfId="3" applyNumberFormat="1" applyFont="1" applyFill="1" applyBorder="1" applyAlignment="1">
      <alignment horizontal="center" vertical="center"/>
    </xf>
    <xf numFmtId="213" fontId="186" fillId="92" borderId="413" xfId="3" applyNumberFormat="1" applyFont="1" applyFill="1" applyBorder="1" applyAlignment="1">
      <alignment horizontal="center" vertical="center"/>
    </xf>
    <xf numFmtId="213" fontId="91" fillId="92" borderId="414" xfId="3" applyNumberFormat="1" applyFont="1" applyFill="1" applyBorder="1" applyAlignment="1">
      <alignment horizontal="center" vertical="center"/>
    </xf>
    <xf numFmtId="213" fontId="41" fillId="3" borderId="407" xfId="3" applyNumberFormat="1" applyFont="1" applyFill="1" applyBorder="1" applyAlignment="1">
      <alignment horizontal="center" vertical="center"/>
    </xf>
    <xf numFmtId="213" fontId="41" fillId="0" borderId="283" xfId="3" applyNumberFormat="1" applyFont="1" applyBorder="1" applyAlignment="1">
      <alignment horizontal="center" vertical="center"/>
    </xf>
    <xf numFmtId="1" fontId="33" fillId="4" borderId="282" xfId="9" applyNumberFormat="1" applyFont="1" applyFill="1" applyBorder="1" applyAlignment="1">
      <alignment horizontal="center" vertical="center"/>
    </xf>
    <xf numFmtId="0" fontId="208" fillId="55" borderId="56" xfId="3" applyFont="1" applyFill="1" applyBorder="1" applyAlignment="1" applyProtection="1">
      <alignment horizontal="center" vertical="center"/>
      <protection hidden="1"/>
    </xf>
    <xf numFmtId="171" fontId="207" fillId="55" borderId="24" xfId="3" applyNumberFormat="1" applyFont="1" applyFill="1" applyBorder="1" applyAlignment="1" applyProtection="1">
      <alignment horizontal="center" vertical="center"/>
      <protection hidden="1"/>
    </xf>
    <xf numFmtId="0" fontId="222" fillId="55" borderId="55" xfId="3" applyFont="1" applyFill="1" applyBorder="1" applyAlignment="1" applyProtection="1">
      <alignment horizontal="center" vertical="center"/>
      <protection hidden="1"/>
    </xf>
    <xf numFmtId="0" fontId="222" fillId="55" borderId="56" xfId="3" applyFont="1" applyFill="1" applyBorder="1" applyAlignment="1" applyProtection="1">
      <alignment horizontal="center" vertical="center" wrapText="1"/>
      <protection hidden="1"/>
    </xf>
    <xf numFmtId="0" fontId="222" fillId="55" borderId="56" xfId="3" applyFont="1" applyFill="1" applyBorder="1" applyAlignment="1" applyProtection="1">
      <alignment horizontal="center" vertical="center"/>
      <protection hidden="1"/>
    </xf>
    <xf numFmtId="0" fontId="223" fillId="81" borderId="235" xfId="2" applyFont="1" applyFill="1" applyBorder="1" applyAlignment="1" applyProtection="1">
      <alignment horizontal="center" vertical="center"/>
      <protection locked="0"/>
    </xf>
    <xf numFmtId="165" fontId="230" fillId="81" borderId="62" xfId="2" applyNumberFormat="1" applyFont="1" applyFill="1" applyBorder="1" applyAlignment="1">
      <alignment horizontal="left" vertical="center" wrapText="1"/>
    </xf>
    <xf numFmtId="177" fontId="223" fillId="81" borderId="62" xfId="9" applyNumberFormat="1" applyFont="1" applyFill="1" applyBorder="1" applyAlignment="1">
      <alignment horizontal="center" vertical="center"/>
    </xf>
    <xf numFmtId="0" fontId="205" fillId="114" borderId="0" xfId="3" applyFont="1" applyFill="1" applyBorder="1" applyAlignment="1">
      <alignment horizontal="right" vertical="center"/>
    </xf>
    <xf numFmtId="213" fontId="233" fillId="0" borderId="415" xfId="0" applyNumberFormat="1" applyFont="1" applyBorder="1" applyAlignment="1">
      <alignment vertical="center"/>
    </xf>
    <xf numFmtId="0" fontId="225" fillId="3" borderId="417" xfId="3" applyFont="1" applyFill="1" applyBorder="1" applyAlignment="1" applyProtection="1">
      <alignment horizontal="left" vertical="center"/>
      <protection hidden="1"/>
    </xf>
    <xf numFmtId="0" fontId="225" fillId="3" borderId="418" xfId="3" applyFont="1" applyFill="1" applyBorder="1" applyAlignment="1" applyProtection="1">
      <alignment horizontal="center" vertical="center"/>
      <protection hidden="1"/>
    </xf>
    <xf numFmtId="0" fontId="225" fillId="3" borderId="418" xfId="3" applyFont="1" applyFill="1" applyBorder="1" applyAlignment="1" applyProtection="1">
      <alignment horizontal="center" vertical="center" wrapText="1"/>
      <protection hidden="1"/>
    </xf>
    <xf numFmtId="0" fontId="225" fillId="3" borderId="419" xfId="3" applyFont="1" applyFill="1" applyBorder="1" applyAlignment="1" applyProtection="1">
      <alignment horizontal="center" vertical="center" wrapText="1"/>
      <protection hidden="1"/>
    </xf>
    <xf numFmtId="0" fontId="170" fillId="0" borderId="431" xfId="0" applyFont="1" applyBorder="1" applyAlignment="1">
      <alignment horizontal="center" vertical="center"/>
    </xf>
    <xf numFmtId="0" fontId="170" fillId="0" borderId="431" xfId="0" applyFont="1" applyBorder="1" applyAlignment="1">
      <alignment horizontal="center" vertical="top"/>
    </xf>
    <xf numFmtId="0" fontId="170" fillId="0" borderId="432" xfId="0" applyFont="1" applyBorder="1" applyAlignment="1">
      <alignment horizontal="center" vertical="top"/>
    </xf>
    <xf numFmtId="0" fontId="170" fillId="0" borderId="432" xfId="0" applyFont="1" applyBorder="1" applyAlignment="1">
      <alignment horizontal="center" vertical="center"/>
    </xf>
    <xf numFmtId="0" fontId="225" fillId="3" borderId="433" xfId="3" applyFont="1" applyFill="1" applyBorder="1" applyAlignment="1" applyProtection="1">
      <alignment horizontal="center" vertical="center"/>
      <protection hidden="1"/>
    </xf>
    <xf numFmtId="0" fontId="225" fillId="3" borderId="434" xfId="3" applyFont="1" applyFill="1" applyBorder="1" applyAlignment="1" applyProtection="1">
      <alignment horizontal="center" vertical="center"/>
      <protection hidden="1"/>
    </xf>
    <xf numFmtId="0" fontId="170" fillId="0" borderId="439" xfId="0" applyFont="1" applyBorder="1" applyAlignment="1">
      <alignment horizontal="center" vertical="center"/>
    </xf>
    <xf numFmtId="0" fontId="177" fillId="0" borderId="0" xfId="0" applyFont="1" applyBorder="1" applyAlignment="1">
      <alignment vertical="center"/>
    </xf>
    <xf numFmtId="0" fontId="170" fillId="0" borderId="441" xfId="0" applyFont="1" applyBorder="1" applyAlignment="1">
      <alignment horizontal="center" vertical="center"/>
    </xf>
    <xf numFmtId="0" fontId="225" fillId="3" borderId="442" xfId="3" applyFont="1" applyFill="1" applyBorder="1" applyAlignment="1" applyProtection="1">
      <alignment horizontal="center" vertical="center"/>
      <protection hidden="1"/>
    </xf>
    <xf numFmtId="0" fontId="170" fillId="0" borderId="349" xfId="0" applyFont="1" applyBorder="1" applyAlignment="1">
      <alignment horizontal="center" vertical="center"/>
    </xf>
    <xf numFmtId="0" fontId="170" fillId="0" borderId="443" xfId="0" applyFont="1" applyBorder="1" applyAlignment="1">
      <alignment horizontal="center" vertical="center"/>
    </xf>
    <xf numFmtId="0" fontId="175" fillId="3" borderId="0" xfId="0" applyFont="1" applyFill="1" applyAlignment="1">
      <alignment horizontal="center" vertical="center"/>
    </xf>
    <xf numFmtId="0" fontId="174" fillId="3" borderId="0" xfId="0" applyFont="1" applyFill="1" applyAlignment="1">
      <alignment vertical="center"/>
    </xf>
    <xf numFmtId="0" fontId="233" fillId="3" borderId="0" xfId="0" applyFont="1" applyFill="1" applyAlignment="1">
      <alignment vertical="center"/>
    </xf>
    <xf numFmtId="0" fontId="236" fillId="3" borderId="0" xfId="0" applyFont="1" applyFill="1" applyAlignment="1">
      <alignment vertical="center"/>
    </xf>
    <xf numFmtId="0" fontId="176" fillId="3" borderId="0" xfId="0" applyFont="1" applyFill="1" applyAlignment="1">
      <alignment vertical="center"/>
    </xf>
    <xf numFmtId="0" fontId="177" fillId="3" borderId="0" xfId="0" applyFont="1" applyFill="1" applyAlignment="1">
      <alignment vertical="center"/>
    </xf>
    <xf numFmtId="0" fontId="175" fillId="3" borderId="0" xfId="0" applyFont="1" applyFill="1" applyAlignment="1">
      <alignment vertical="center"/>
    </xf>
    <xf numFmtId="0" fontId="173" fillId="3" borderId="0" xfId="3" applyFont="1" applyFill="1" applyBorder="1" applyAlignment="1" applyProtection="1">
      <alignment horizontal="center" vertical="center"/>
      <protection hidden="1"/>
    </xf>
    <xf numFmtId="2" fontId="54" fillId="105" borderId="0" xfId="3" applyNumberFormat="1" applyFont="1" applyFill="1" applyBorder="1" applyAlignment="1">
      <alignment horizontal="center" vertical="center" wrapText="1"/>
    </xf>
    <xf numFmtId="0" fontId="166" fillId="3" borderId="0" xfId="3" applyFont="1" applyFill="1" applyBorder="1" applyAlignment="1">
      <alignment horizontal="center" vertical="center"/>
    </xf>
    <xf numFmtId="0" fontId="75" fillId="73" borderId="0" xfId="2" applyFont="1" applyFill="1" applyBorder="1" applyAlignment="1">
      <alignment horizontal="center" vertical="center"/>
    </xf>
    <xf numFmtId="0" fontId="25" fillId="3" borderId="56" xfId="3" applyFont="1" applyFill="1" applyBorder="1" applyAlignment="1" applyProtection="1">
      <alignment horizontal="center" vertical="center"/>
      <protection hidden="1"/>
    </xf>
    <xf numFmtId="1" fontId="173" fillId="4" borderId="282" xfId="9" applyNumberFormat="1" applyFont="1" applyFill="1" applyBorder="1" applyAlignment="1">
      <alignment horizontal="center" vertical="center"/>
    </xf>
    <xf numFmtId="0" fontId="226" fillId="4" borderId="0" xfId="3" applyFont="1" applyFill="1" applyBorder="1" applyAlignment="1" applyProtection="1">
      <alignment horizontal="center" vertical="center"/>
      <protection hidden="1"/>
    </xf>
    <xf numFmtId="0" fontId="41" fillId="68" borderId="262" xfId="3" applyNumberFormat="1" applyFont="1" applyFill="1" applyBorder="1" applyAlignment="1">
      <alignment horizontal="left" vertical="center"/>
    </xf>
    <xf numFmtId="0" fontId="33" fillId="68" borderId="262" xfId="2" applyFont="1" applyFill="1" applyBorder="1" applyAlignment="1">
      <alignment horizontal="center" vertical="center"/>
    </xf>
    <xf numFmtId="0" fontId="33" fillId="4" borderId="262" xfId="2" applyFont="1" applyFill="1" applyBorder="1" applyAlignment="1">
      <alignment horizontal="center" vertical="center"/>
    </xf>
    <xf numFmtId="0" fontId="33" fillId="0" borderId="262" xfId="2" applyFont="1" applyFill="1" applyBorder="1" applyAlignment="1">
      <alignment horizontal="center" vertical="center"/>
    </xf>
    <xf numFmtId="0" fontId="147" fillId="55" borderId="169" xfId="2" applyFont="1" applyFill="1" applyBorder="1" applyAlignment="1">
      <alignment vertical="center"/>
    </xf>
    <xf numFmtId="0" fontId="57" fillId="73" borderId="0" xfId="2" applyFont="1" applyFill="1" applyAlignment="1">
      <alignment vertical="center"/>
    </xf>
    <xf numFmtId="0" fontId="42" fillId="98" borderId="27" xfId="3" applyNumberFormat="1" applyFont="1" applyFill="1" applyBorder="1" applyAlignment="1">
      <alignment horizontal="center"/>
    </xf>
    <xf numFmtId="2" fontId="214" fillId="71" borderId="27" xfId="9" applyNumberFormat="1" applyFont="1" applyFill="1" applyBorder="1" applyAlignment="1">
      <alignment horizontal="center" vertical="center"/>
    </xf>
    <xf numFmtId="0" fontId="42" fillId="98" borderId="447" xfId="3" applyNumberFormat="1" applyFont="1" applyFill="1" applyBorder="1" applyAlignment="1">
      <alignment horizontal="center"/>
    </xf>
    <xf numFmtId="0" fontId="42" fillId="98" borderId="336" xfId="3" applyNumberFormat="1" applyFont="1" applyFill="1" applyBorder="1" applyAlignment="1">
      <alignment horizontal="center"/>
    </xf>
    <xf numFmtId="0" fontId="42" fillId="98" borderId="337" xfId="3" applyNumberFormat="1" applyFont="1" applyFill="1" applyBorder="1" applyAlignment="1">
      <alignment horizontal="center"/>
    </xf>
    <xf numFmtId="0" fontId="147" fillId="55" borderId="169" xfId="2" applyFont="1" applyFill="1" applyBorder="1" applyAlignment="1">
      <alignment horizontal="center" vertical="center" textRotation="90"/>
    </xf>
    <xf numFmtId="0" fontId="42" fillId="101" borderId="440" xfId="3" applyNumberFormat="1" applyFont="1" applyFill="1" applyBorder="1" applyAlignment="1">
      <alignment horizontal="left" vertical="center"/>
    </xf>
    <xf numFmtId="0" fontId="33" fillId="3" borderId="357" xfId="2" applyFont="1" applyFill="1" applyBorder="1" applyAlignment="1">
      <alignment horizontal="center"/>
    </xf>
    <xf numFmtId="0" fontId="33" fillId="3" borderId="0" xfId="2" applyFont="1" applyFill="1" applyBorder="1" applyAlignment="1">
      <alignment horizontal="center"/>
    </xf>
    <xf numFmtId="0" fontId="33" fillId="0" borderId="163" xfId="2" applyFont="1" applyBorder="1" applyAlignment="1">
      <alignment horizontal="center"/>
    </xf>
    <xf numFmtId="0" fontId="76" fillId="3" borderId="357" xfId="2" applyFont="1" applyFill="1" applyBorder="1"/>
    <xf numFmtId="219" fontId="25" fillId="61" borderId="163" xfId="9" applyNumberFormat="1" applyFont="1" applyFill="1" applyBorder="1" applyAlignment="1">
      <alignment horizontal="center" vertical="center"/>
    </xf>
    <xf numFmtId="0" fontId="196" fillId="7" borderId="357" xfId="2" applyFont="1" applyFill="1" applyBorder="1" applyAlignment="1">
      <alignment horizontal="left" vertical="center" wrapText="1"/>
    </xf>
    <xf numFmtId="0" fontId="241" fillId="7" borderId="163" xfId="2" applyFont="1" applyFill="1" applyBorder="1" applyAlignment="1">
      <alignment horizontal="center" vertical="center" wrapText="1"/>
    </xf>
    <xf numFmtId="220" fontId="29" fillId="3" borderId="0" xfId="3" applyNumberFormat="1" applyFont="1" applyFill="1" applyBorder="1" applyAlignment="1" applyProtection="1">
      <alignment horizontal="center" vertical="center"/>
      <protection hidden="1"/>
    </xf>
    <xf numFmtId="0" fontId="242" fillId="7" borderId="357" xfId="2" applyFont="1" applyFill="1" applyBorder="1" applyAlignment="1">
      <alignment horizontal="left" vertical="center"/>
    </xf>
    <xf numFmtId="0" fontId="172" fillId="7" borderId="163" xfId="2" applyFont="1" applyFill="1" applyBorder="1" applyAlignment="1">
      <alignment horizontal="center" vertical="center"/>
    </xf>
    <xf numFmtId="220" fontId="29" fillId="3" borderId="354" xfId="3" applyNumberFormat="1" applyFont="1" applyFill="1" applyBorder="1" applyAlignment="1" applyProtection="1">
      <alignment horizontal="center" vertical="center"/>
      <protection hidden="1"/>
    </xf>
    <xf numFmtId="219" fontId="25" fillId="61" borderId="356" xfId="9" applyNumberFormat="1" applyFont="1" applyFill="1" applyBorder="1" applyAlignment="1">
      <alignment horizontal="center" vertical="center"/>
    </xf>
    <xf numFmtId="0" fontId="172" fillId="7" borderId="357" xfId="3" applyFont="1" applyFill="1" applyBorder="1" applyAlignment="1">
      <alignment horizontal="left" vertical="center"/>
    </xf>
    <xf numFmtId="0" fontId="41" fillId="3" borderId="357" xfId="2" applyFont="1" applyFill="1" applyBorder="1" applyAlignment="1">
      <alignment horizontal="left" vertical="center"/>
    </xf>
    <xf numFmtId="0" fontId="36" fillId="3" borderId="0" xfId="2" applyFont="1" applyFill="1" applyBorder="1" applyAlignment="1">
      <alignment horizontal="left" vertical="center" wrapText="1"/>
    </xf>
    <xf numFmtId="0" fontId="60" fillId="3" borderId="163" xfId="2" applyFont="1" applyFill="1" applyBorder="1" applyAlignment="1">
      <alignment horizontal="right"/>
    </xf>
    <xf numFmtId="0" fontId="208" fillId="54" borderId="163" xfId="3" applyFont="1" applyFill="1" applyBorder="1" applyAlignment="1" applyProtection="1">
      <alignment horizontal="center" vertical="center"/>
      <protection hidden="1"/>
    </xf>
    <xf numFmtId="0" fontId="208" fillId="3" borderId="163" xfId="3" applyFont="1" applyFill="1" applyBorder="1" applyAlignment="1" applyProtection="1">
      <alignment horizontal="center" vertical="center"/>
      <protection hidden="1"/>
    </xf>
    <xf numFmtId="0" fontId="210" fillId="16" borderId="357" xfId="2" applyFont="1" applyFill="1" applyBorder="1" applyAlignment="1">
      <alignment horizontal="center" vertical="center"/>
    </xf>
    <xf numFmtId="0" fontId="210" fillId="16" borderId="0" xfId="2" applyFont="1" applyFill="1" applyBorder="1" applyAlignment="1">
      <alignment horizontal="center" vertical="center"/>
    </xf>
    <xf numFmtId="0" fontId="222" fillId="54" borderId="357" xfId="3" applyFont="1" applyFill="1" applyBorder="1" applyAlignment="1" applyProtection="1">
      <alignment horizontal="center" vertical="center"/>
      <protection hidden="1"/>
    </xf>
    <xf numFmtId="0" fontId="222" fillId="54" borderId="0" xfId="3" applyFont="1" applyFill="1" applyBorder="1" applyAlignment="1" applyProtection="1">
      <alignment horizontal="center" vertical="center" wrapText="1"/>
      <protection hidden="1"/>
    </xf>
    <xf numFmtId="0" fontId="222" fillId="54" borderId="0" xfId="3" applyFont="1" applyFill="1" applyBorder="1" applyAlignment="1" applyProtection="1">
      <alignment horizontal="left" vertical="center"/>
      <protection hidden="1"/>
    </xf>
    <xf numFmtId="0" fontId="222" fillId="3" borderId="0" xfId="3" applyFont="1" applyFill="1" applyBorder="1" applyAlignment="1" applyProtection="1">
      <alignment horizontal="center" vertical="center"/>
      <protection hidden="1"/>
    </xf>
    <xf numFmtId="165" fontId="223" fillId="3" borderId="235" xfId="2" applyNumberFormat="1" applyFont="1" applyFill="1" applyBorder="1" applyAlignment="1">
      <alignment horizontal="center" vertical="center" wrapText="1"/>
    </xf>
    <xf numFmtId="165" fontId="223" fillId="3" borderId="62" xfId="2" applyNumberFormat="1" applyFont="1" applyFill="1" applyBorder="1" applyAlignment="1">
      <alignment horizontal="center" vertical="center" wrapText="1"/>
    </xf>
    <xf numFmtId="0" fontId="223" fillId="3" borderId="0" xfId="3" applyFont="1" applyFill="1" applyBorder="1" applyAlignment="1" applyProtection="1">
      <alignment horizontal="left" vertical="center"/>
      <protection hidden="1"/>
    </xf>
    <xf numFmtId="0" fontId="223" fillId="53" borderId="235" xfId="2" applyFont="1" applyFill="1" applyBorder="1" applyAlignment="1" applyProtection="1">
      <alignment horizontal="center" vertical="center"/>
      <protection locked="0"/>
    </xf>
    <xf numFmtId="165" fontId="230" fillId="53" borderId="62" xfId="2" applyNumberFormat="1" applyFont="1" applyFill="1" applyBorder="1" applyAlignment="1">
      <alignment horizontal="left" vertical="center" wrapText="1"/>
    </xf>
    <xf numFmtId="177" fontId="223" fillId="53" borderId="62" xfId="9" applyNumberFormat="1" applyFont="1" applyFill="1" applyBorder="1" applyAlignment="1">
      <alignment horizontal="center" vertical="center"/>
    </xf>
    <xf numFmtId="0" fontId="219" fillId="3" borderId="0" xfId="3" applyFont="1" applyFill="1" applyBorder="1" applyAlignment="1" applyProtection="1">
      <alignment horizontal="left" vertical="center"/>
      <protection hidden="1"/>
    </xf>
    <xf numFmtId="165" fontId="243" fillId="3" borderId="357" xfId="2" applyNumberFormat="1" applyFont="1" applyFill="1" applyBorder="1" applyAlignment="1">
      <alignment horizontal="center" vertical="center" wrapText="1"/>
    </xf>
    <xf numFmtId="165" fontId="243" fillId="3" borderId="0" xfId="2" applyNumberFormat="1" applyFont="1" applyFill="1" applyBorder="1" applyAlignment="1">
      <alignment horizontal="center" vertical="center" wrapText="1"/>
    </xf>
    <xf numFmtId="0" fontId="223" fillId="115" borderId="357" xfId="3" applyFont="1" applyFill="1" applyBorder="1" applyAlignment="1">
      <alignment horizontal="left" vertical="center"/>
    </xf>
    <xf numFmtId="0" fontId="224" fillId="115" borderId="163" xfId="3" applyFont="1" applyFill="1" applyBorder="1" applyAlignment="1" applyProtection="1">
      <alignment horizontal="center" vertical="center"/>
      <protection hidden="1"/>
    </xf>
    <xf numFmtId="0" fontId="205" fillId="116" borderId="357" xfId="3" applyFont="1" applyFill="1" applyBorder="1" applyAlignment="1">
      <alignment horizontal="left" vertical="center"/>
    </xf>
    <xf numFmtId="0" fontId="165" fillId="13" borderId="163" xfId="3" applyFont="1" applyFill="1" applyBorder="1" applyAlignment="1" applyProtection="1">
      <alignment horizontal="center" vertical="center"/>
      <protection hidden="1"/>
    </xf>
    <xf numFmtId="0" fontId="166" fillId="3" borderId="357" xfId="3" applyFont="1" applyFill="1" applyBorder="1" applyAlignment="1">
      <alignment horizontal="center" vertical="center"/>
    </xf>
    <xf numFmtId="0" fontId="166" fillId="3" borderId="163" xfId="3" applyFont="1" applyFill="1" applyBorder="1" applyAlignment="1">
      <alignment horizontal="center" vertical="center"/>
    </xf>
    <xf numFmtId="0" fontId="205" fillId="7" borderId="357" xfId="3" applyFont="1" applyFill="1" applyBorder="1" applyAlignment="1">
      <alignment horizontal="left" vertical="center"/>
    </xf>
    <xf numFmtId="0" fontId="165" fillId="7" borderId="163" xfId="3" applyFont="1" applyFill="1" applyBorder="1" applyAlignment="1" applyProtection="1">
      <alignment horizontal="center" vertical="center"/>
      <protection hidden="1"/>
    </xf>
    <xf numFmtId="0" fontId="219" fillId="71" borderId="357" xfId="3" applyFont="1" applyFill="1" applyBorder="1" applyAlignment="1">
      <alignment horizontal="left" vertical="center"/>
    </xf>
    <xf numFmtId="0" fontId="166" fillId="71" borderId="163" xfId="3" applyFont="1" applyFill="1" applyBorder="1" applyAlignment="1" applyProtection="1">
      <alignment horizontal="center" vertical="center"/>
      <protection hidden="1"/>
    </xf>
    <xf numFmtId="0" fontId="41" fillId="4" borderId="357" xfId="3" applyFont="1" applyFill="1" applyBorder="1"/>
    <xf numFmtId="0" fontId="41" fillId="4" borderId="0" xfId="2" applyFont="1" applyFill="1" applyBorder="1"/>
    <xf numFmtId="0" fontId="166" fillId="4" borderId="163" xfId="3" applyFont="1" applyFill="1" applyBorder="1" applyAlignment="1">
      <alignment horizontal="center" vertical="center"/>
    </xf>
    <xf numFmtId="0" fontId="166" fillId="3" borderId="163" xfId="3" applyFont="1" applyFill="1" applyBorder="1" applyAlignment="1" applyProtection="1">
      <alignment horizontal="center" vertical="center"/>
      <protection hidden="1"/>
    </xf>
    <xf numFmtId="0" fontId="94" fillId="3" borderId="357" xfId="2" applyFont="1" applyFill="1" applyBorder="1"/>
    <xf numFmtId="0" fontId="125" fillId="3" borderId="163" xfId="2" applyFont="1" applyFill="1" applyBorder="1"/>
    <xf numFmtId="0" fontId="205" fillId="3" borderId="357" xfId="3" applyFont="1" applyFill="1" applyBorder="1" applyAlignment="1">
      <alignment horizontal="left" vertical="center"/>
    </xf>
    <xf numFmtId="0" fontId="165" fillId="3" borderId="163" xfId="3" applyFont="1" applyFill="1" applyBorder="1" applyAlignment="1">
      <alignment horizontal="center" vertical="center"/>
    </xf>
    <xf numFmtId="0" fontId="75" fillId="28" borderId="163" xfId="2" applyFont="1" applyFill="1" applyBorder="1" applyAlignment="1">
      <alignment horizontal="center" vertical="center"/>
    </xf>
    <xf numFmtId="0" fontId="238" fillId="16" borderId="357" xfId="3" applyFont="1" applyFill="1" applyBorder="1" applyAlignment="1">
      <alignment horizontal="left" vertical="center"/>
    </xf>
    <xf numFmtId="0" fontId="7" fillId="3" borderId="357" xfId="3" applyFill="1" applyBorder="1"/>
    <xf numFmtId="0" fontId="23" fillId="102" borderId="357" xfId="3" applyFont="1" applyFill="1" applyBorder="1" applyAlignment="1">
      <alignment vertical="center"/>
    </xf>
    <xf numFmtId="0" fontId="23" fillId="102" borderId="163" xfId="3" applyFont="1" applyFill="1" applyBorder="1" applyAlignment="1">
      <alignment vertical="center"/>
    </xf>
    <xf numFmtId="0" fontId="7" fillId="3" borderId="440" xfId="3" applyFill="1" applyBorder="1"/>
    <xf numFmtId="0" fontId="7" fillId="3" borderId="354" xfId="3" applyFill="1" applyBorder="1"/>
    <xf numFmtId="0" fontId="172" fillId="4" borderId="277" xfId="2" applyFont="1" applyFill="1" applyBorder="1" applyAlignment="1">
      <alignment vertical="center"/>
    </xf>
    <xf numFmtId="0" fontId="187" fillId="90" borderId="452" xfId="2" applyNumberFormat="1" applyFont="1" applyFill="1" applyBorder="1" applyAlignment="1">
      <alignment horizontal="center" vertical="center"/>
    </xf>
    <xf numFmtId="1" fontId="91" fillId="0" borderId="375" xfId="3" applyNumberFormat="1" applyFont="1" applyBorder="1" applyAlignment="1">
      <alignment horizontal="center" vertical="center"/>
    </xf>
    <xf numFmtId="9" fontId="43" fillId="5" borderId="0" xfId="3" applyNumberFormat="1" applyFont="1" applyFill="1" applyBorder="1" applyAlignment="1">
      <alignment horizontal="center" vertical="center"/>
    </xf>
    <xf numFmtId="214" fontId="91" fillId="0" borderId="456" xfId="3" applyNumberFormat="1" applyFont="1" applyBorder="1" applyAlignment="1">
      <alignment horizontal="center" vertical="center"/>
    </xf>
    <xf numFmtId="213" fontId="248" fillId="4" borderId="415" xfId="3" applyNumberFormat="1" applyFont="1" applyFill="1" applyBorder="1" applyAlignment="1">
      <alignment horizontal="center" vertical="center"/>
    </xf>
    <xf numFmtId="0" fontId="150" fillId="0" borderId="444" xfId="3" applyFont="1" applyBorder="1" applyAlignment="1">
      <alignment horizontal="center" vertical="center"/>
    </xf>
    <xf numFmtId="213" fontId="186" fillId="0" borderId="455" xfId="3" applyNumberFormat="1" applyFont="1" applyFill="1" applyBorder="1" applyAlignment="1">
      <alignment horizontal="center" vertical="center"/>
    </xf>
    <xf numFmtId="0" fontId="91" fillId="61" borderId="458" xfId="3" applyFont="1" applyFill="1" applyBorder="1" applyAlignment="1">
      <alignment horizontal="center" vertical="center"/>
    </xf>
    <xf numFmtId="0" fontId="115" fillId="3" borderId="0" xfId="3" applyFont="1" applyFill="1" applyBorder="1" applyAlignment="1">
      <alignment horizontal="right" vertical="center"/>
    </xf>
    <xf numFmtId="0" fontId="250" fillId="3" borderId="277" xfId="3" applyFont="1" applyFill="1" applyBorder="1" applyAlignment="1" applyProtection="1">
      <alignment horizontal="center" vertical="center"/>
      <protection hidden="1"/>
    </xf>
    <xf numFmtId="2" fontId="251" fillId="0" borderId="377" xfId="2" applyNumberFormat="1" applyFont="1" applyFill="1" applyBorder="1" applyAlignment="1">
      <alignment horizontal="center"/>
    </xf>
    <xf numFmtId="0" fontId="252" fillId="0" borderId="453" xfId="2" applyNumberFormat="1" applyFont="1" applyFill="1" applyBorder="1" applyAlignment="1">
      <alignment horizontal="right" vertical="center"/>
    </xf>
    <xf numFmtId="0" fontId="253" fillId="0" borderId="453" xfId="2" applyNumberFormat="1" applyFont="1" applyFill="1" applyBorder="1" applyAlignment="1">
      <alignment horizontal="center" vertical="center"/>
    </xf>
    <xf numFmtId="212" fontId="253" fillId="0" borderId="454" xfId="3" applyNumberFormat="1" applyFont="1" applyFill="1" applyBorder="1" applyAlignment="1">
      <alignment horizontal="center" vertical="center"/>
    </xf>
    <xf numFmtId="0" fontId="33" fillId="61" borderId="459" xfId="2" applyNumberFormat="1" applyFont="1" applyFill="1" applyBorder="1" applyAlignment="1">
      <alignment horizontal="center" vertical="center"/>
    </xf>
    <xf numFmtId="218" fontId="40" fillId="61" borderId="460" xfId="3" applyNumberFormat="1" applyFont="1" applyFill="1" applyBorder="1" applyAlignment="1">
      <alignment horizontal="center" vertical="center"/>
    </xf>
    <xf numFmtId="213" fontId="40" fillId="61" borderId="460" xfId="3" applyNumberFormat="1" applyFont="1" applyFill="1" applyBorder="1" applyAlignment="1">
      <alignment horizontal="center" vertical="center"/>
    </xf>
    <xf numFmtId="0" fontId="91" fillId="3" borderId="188" xfId="3" applyFont="1" applyFill="1" applyBorder="1" applyAlignment="1">
      <alignment vertical="center"/>
    </xf>
    <xf numFmtId="0" fontId="254" fillId="3" borderId="188" xfId="3" applyFont="1" applyFill="1" applyBorder="1" applyAlignment="1">
      <alignment vertical="center"/>
    </xf>
    <xf numFmtId="0" fontId="33" fillId="3" borderId="188" xfId="3" applyFont="1" applyFill="1" applyBorder="1" applyAlignment="1">
      <alignment horizontal="left" vertical="center"/>
    </xf>
    <xf numFmtId="0" fontId="33" fillId="3" borderId="0" xfId="3" applyFont="1" applyFill="1" applyBorder="1" applyAlignment="1">
      <alignment horizontal="left" vertical="center"/>
    </xf>
    <xf numFmtId="0" fontId="172" fillId="7" borderId="277" xfId="3" applyFont="1" applyFill="1" applyBorder="1" applyAlignment="1">
      <alignment vertical="center"/>
    </xf>
    <xf numFmtId="0" fontId="91" fillId="3" borderId="462" xfId="3" applyFont="1" applyFill="1" applyBorder="1" applyAlignment="1">
      <alignment vertical="center"/>
    </xf>
    <xf numFmtId="0" fontId="152" fillId="3" borderId="277" xfId="3" applyFont="1" applyFill="1" applyBorder="1" applyAlignment="1">
      <alignment vertical="center"/>
    </xf>
    <xf numFmtId="0" fontId="91" fillId="3" borderId="288" xfId="3" applyFont="1" applyFill="1" applyBorder="1" applyAlignment="1">
      <alignment vertical="center"/>
    </xf>
    <xf numFmtId="0" fontId="33" fillId="3" borderId="288" xfId="3" applyFont="1" applyFill="1" applyBorder="1" applyAlignment="1">
      <alignment horizontal="left" vertical="center"/>
    </xf>
    <xf numFmtId="0" fontId="255" fillId="3" borderId="453" xfId="2" applyNumberFormat="1" applyFont="1" applyFill="1" applyBorder="1" applyAlignment="1">
      <alignment horizontal="center" vertical="center"/>
    </xf>
    <xf numFmtId="212" fontId="255" fillId="3" borderId="454" xfId="3" applyNumberFormat="1" applyFont="1" applyFill="1" applyBorder="1" applyAlignment="1">
      <alignment horizontal="center" vertical="center"/>
    </xf>
    <xf numFmtId="213" fontId="155" fillId="3" borderId="455" xfId="3" applyNumberFormat="1" applyFont="1" applyFill="1" applyBorder="1" applyAlignment="1">
      <alignment horizontal="center" vertical="center"/>
    </xf>
    <xf numFmtId="0" fontId="247" fillId="3" borderId="453" xfId="2" applyNumberFormat="1" applyFont="1" applyFill="1" applyBorder="1" applyAlignment="1">
      <alignment horizontal="right" vertical="center"/>
    </xf>
    <xf numFmtId="0" fontId="91" fillId="3" borderId="285" xfId="3" applyFont="1" applyFill="1" applyBorder="1" applyAlignment="1">
      <alignment vertical="center"/>
    </xf>
    <xf numFmtId="0" fontId="41" fillId="3" borderId="285" xfId="3" applyFont="1" applyFill="1" applyBorder="1" applyAlignment="1">
      <alignment horizontal="right" vertical="center"/>
    </xf>
    <xf numFmtId="213" fontId="184" fillId="3" borderId="285" xfId="3" applyNumberFormat="1" applyFont="1" applyFill="1" applyBorder="1" applyAlignment="1">
      <alignment horizontal="center" vertical="center"/>
    </xf>
    <xf numFmtId="213" fontId="248" fillId="4" borderId="465" xfId="3" applyNumberFormat="1" applyFont="1" applyFill="1" applyBorder="1" applyAlignment="1">
      <alignment horizontal="center" vertical="center"/>
    </xf>
    <xf numFmtId="0" fontId="91" fillId="3" borderId="445" xfId="3" applyFont="1" applyFill="1" applyBorder="1" applyAlignment="1">
      <alignment vertical="center"/>
    </xf>
    <xf numFmtId="213" fontId="41" fillId="0" borderId="446" xfId="3" applyNumberFormat="1" applyFont="1" applyBorder="1" applyAlignment="1">
      <alignment horizontal="center" vertical="center"/>
    </xf>
    <xf numFmtId="213" fontId="91" fillId="3" borderId="49" xfId="3" applyNumberFormat="1" applyFont="1" applyFill="1" applyBorder="1" applyAlignment="1">
      <alignment horizontal="center" vertical="center"/>
    </xf>
    <xf numFmtId="0" fontId="91" fillId="3" borderId="450" xfId="3" applyFont="1" applyFill="1" applyBorder="1" applyAlignment="1">
      <alignment vertical="center"/>
    </xf>
    <xf numFmtId="213" fontId="41" fillId="3" borderId="368" xfId="3" applyNumberFormat="1" applyFont="1" applyFill="1" applyBorder="1" applyAlignment="1">
      <alignment horizontal="center" vertical="center"/>
    </xf>
    <xf numFmtId="0" fontId="33" fillId="3" borderId="459" xfId="2" applyNumberFormat="1" applyFont="1" applyFill="1" applyBorder="1" applyAlignment="1">
      <alignment horizontal="center" vertical="center"/>
    </xf>
    <xf numFmtId="221" fontId="40" fillId="61" borderId="460" xfId="3" applyNumberFormat="1" applyFont="1" applyFill="1" applyBorder="1" applyAlignment="1">
      <alignment horizontal="center" vertical="center"/>
    </xf>
    <xf numFmtId="213" fontId="40" fillId="3" borderId="460" xfId="3" applyNumberFormat="1" applyFont="1" applyFill="1" applyBorder="1" applyAlignment="1">
      <alignment horizontal="center" vertical="center"/>
    </xf>
    <xf numFmtId="0" fontId="249" fillId="119" borderId="453" xfId="2" applyNumberFormat="1" applyFont="1" applyFill="1" applyBorder="1" applyAlignment="1">
      <alignment horizontal="right" vertical="center"/>
    </xf>
    <xf numFmtId="0" fontId="255" fillId="119" borderId="453" xfId="2" applyNumberFormat="1" applyFont="1" applyFill="1" applyBorder="1" applyAlignment="1">
      <alignment horizontal="center" vertical="center"/>
    </xf>
    <xf numFmtId="212" fontId="255" fillId="119" borderId="454" xfId="3" applyNumberFormat="1" applyFont="1" applyFill="1" applyBorder="1" applyAlignment="1">
      <alignment horizontal="center" vertical="center"/>
    </xf>
    <xf numFmtId="213" fontId="186" fillId="119" borderId="455" xfId="3" applyNumberFormat="1" applyFont="1" applyFill="1" applyBorder="1" applyAlignment="1">
      <alignment horizontal="center" vertical="center"/>
    </xf>
    <xf numFmtId="0" fontId="8" fillId="119" borderId="452" xfId="2" applyNumberFormat="1" applyFont="1" applyFill="1" applyBorder="1" applyAlignment="1">
      <alignment horizontal="center" vertical="center"/>
    </xf>
    <xf numFmtId="0" fontId="246" fillId="81" borderId="452" xfId="2" applyNumberFormat="1" applyFont="1" applyFill="1" applyBorder="1" applyAlignment="1">
      <alignment horizontal="center" vertical="center"/>
    </xf>
    <xf numFmtId="1" fontId="247" fillId="7" borderId="285" xfId="9" applyNumberFormat="1" applyFont="1" applyFill="1" applyBorder="1" applyAlignment="1">
      <alignment horizontal="center" vertical="center"/>
    </xf>
    <xf numFmtId="0" fontId="196" fillId="3" borderId="277" xfId="3" applyFont="1" applyFill="1" applyBorder="1" applyAlignment="1">
      <alignment vertical="center" wrapText="1"/>
    </xf>
    <xf numFmtId="0" fontId="242" fillId="3" borderId="277" xfId="3" applyFont="1" applyFill="1" applyBorder="1" applyAlignment="1">
      <alignment vertical="center"/>
    </xf>
    <xf numFmtId="0" fontId="182" fillId="3" borderId="277" xfId="3" applyFont="1" applyFill="1" applyBorder="1" applyAlignment="1" applyProtection="1">
      <alignment horizontal="center" vertical="center"/>
      <protection locked="0"/>
    </xf>
    <xf numFmtId="0" fontId="52" fillId="61" borderId="277" xfId="3" applyFont="1" applyFill="1" applyBorder="1" applyAlignment="1" applyProtection="1">
      <alignment horizontal="center" vertical="center"/>
      <protection locked="0"/>
    </xf>
    <xf numFmtId="0" fontId="52" fillId="4" borderId="277" xfId="3" applyFont="1" applyFill="1" applyBorder="1" applyAlignment="1" applyProtection="1">
      <alignment horizontal="center" vertical="center"/>
      <protection locked="0"/>
    </xf>
    <xf numFmtId="0" fontId="33" fillId="4" borderId="0" xfId="2" applyFont="1" applyFill="1" applyBorder="1" applyAlignment="1">
      <alignment horizontal="right" vertical="center"/>
    </xf>
    <xf numFmtId="210" fontId="35" fillId="4" borderId="0" xfId="2" applyNumberFormat="1" applyFont="1" applyFill="1" applyBorder="1" applyAlignment="1">
      <alignment horizontal="left" vertical="center"/>
    </xf>
    <xf numFmtId="0" fontId="172" fillId="61" borderId="277" xfId="2" applyFont="1" applyFill="1" applyBorder="1" applyAlignment="1">
      <alignment vertical="center"/>
    </xf>
    <xf numFmtId="0" fontId="33" fillId="61" borderId="0" xfId="3" applyFont="1" applyFill="1" applyBorder="1" applyAlignment="1">
      <alignment horizontal="center" vertical="center"/>
    </xf>
    <xf numFmtId="0" fontId="33" fillId="61" borderId="0" xfId="2" applyFont="1" applyFill="1" applyBorder="1" applyAlignment="1">
      <alignment horizontal="right" vertical="center"/>
    </xf>
    <xf numFmtId="210" fontId="35" fillId="61" borderId="0" xfId="2" applyNumberFormat="1" applyFont="1" applyFill="1" applyBorder="1" applyAlignment="1">
      <alignment horizontal="left" vertical="center"/>
    </xf>
    <xf numFmtId="0" fontId="33" fillId="61" borderId="49" xfId="3" applyFont="1" applyFill="1" applyBorder="1" applyAlignment="1">
      <alignment horizontal="center" vertical="center"/>
    </xf>
    <xf numFmtId="0" fontId="41" fillId="3" borderId="235" xfId="3" applyFont="1" applyFill="1" applyBorder="1" applyAlignment="1" applyProtection="1">
      <alignment horizontal="center" vertical="center" wrapText="1"/>
      <protection hidden="1"/>
    </xf>
    <xf numFmtId="0" fontId="210" fillId="3" borderId="467" xfId="2" applyFont="1" applyFill="1" applyBorder="1" applyAlignment="1">
      <alignment horizontal="right" vertical="center"/>
    </xf>
    <xf numFmtId="0" fontId="210" fillId="3" borderId="466" xfId="2" applyFont="1" applyFill="1" applyBorder="1" applyAlignment="1">
      <alignment horizontal="right" vertical="center"/>
    </xf>
    <xf numFmtId="0" fontId="42" fillId="98" borderId="357" xfId="3" applyNumberFormat="1" applyFont="1" applyFill="1" applyBorder="1" applyAlignment="1">
      <alignment horizontal="center" vertical="center"/>
    </xf>
    <xf numFmtId="0" fontId="42" fillId="98" borderId="440" xfId="3" applyNumberFormat="1" applyFont="1" applyFill="1" applyBorder="1" applyAlignment="1">
      <alignment horizontal="center"/>
    </xf>
    <xf numFmtId="0" fontId="42" fillId="98" borderId="354" xfId="3" applyNumberFormat="1" applyFont="1" applyFill="1" applyBorder="1" applyAlignment="1">
      <alignment horizontal="center"/>
    </xf>
    <xf numFmtId="0" fontId="42" fillId="98" borderId="356" xfId="3" applyNumberFormat="1" applyFont="1" applyFill="1" applyBorder="1" applyAlignment="1">
      <alignment horizontal="center"/>
    </xf>
    <xf numFmtId="0" fontId="234" fillId="7" borderId="466" xfId="2" applyFont="1" applyFill="1" applyBorder="1" applyAlignment="1">
      <alignment horizontal="right" vertical="center"/>
    </xf>
    <xf numFmtId="0" fontId="235" fillId="7" borderId="466" xfId="2" applyFont="1" applyFill="1" applyBorder="1" applyAlignment="1">
      <alignment horizontal="right" vertical="center"/>
    </xf>
    <xf numFmtId="177" fontId="54" fillId="3" borderId="448" xfId="9" applyNumberFormat="1" applyFont="1" applyFill="1" applyBorder="1" applyAlignment="1">
      <alignment vertical="center"/>
    </xf>
    <xf numFmtId="176" fontId="52" fillId="3" borderId="449" xfId="9" applyNumberFormat="1" applyFont="1" applyFill="1" applyBorder="1" applyAlignment="1">
      <alignment vertical="center"/>
    </xf>
    <xf numFmtId="210" fontId="33" fillId="3" borderId="163" xfId="2" applyNumberFormat="1" applyFont="1" applyFill="1" applyBorder="1" applyAlignment="1">
      <alignment horizontal="left" vertical="center"/>
    </xf>
    <xf numFmtId="0" fontId="54" fillId="3" borderId="55" xfId="2" applyFont="1" applyFill="1" applyBorder="1" applyAlignment="1" applyProtection="1">
      <alignment horizontal="center" vertical="center"/>
      <protection locked="0"/>
    </xf>
    <xf numFmtId="177" fontId="54" fillId="3" borderId="24" xfId="9" applyNumberFormat="1" applyFont="1" applyFill="1" applyBorder="1" applyAlignment="1">
      <alignment vertical="center"/>
    </xf>
    <xf numFmtId="0" fontId="33" fillId="3" borderId="163" xfId="3" applyFont="1" applyFill="1" applyBorder="1" applyAlignment="1" applyProtection="1">
      <alignment horizontal="left" vertical="center"/>
      <protection hidden="1"/>
    </xf>
    <xf numFmtId="0" fontId="64" fillId="3" borderId="163" xfId="3" applyFont="1" applyFill="1" applyBorder="1" applyAlignment="1" applyProtection="1">
      <alignment horizontal="left" vertical="center"/>
      <protection hidden="1"/>
    </xf>
    <xf numFmtId="0" fontId="240" fillId="120" borderId="381" xfId="2" applyFont="1" applyFill="1" applyBorder="1" applyAlignment="1" applyProtection="1">
      <alignment vertical="center"/>
      <protection locked="0"/>
    </xf>
    <xf numFmtId="0" fontId="237" fillId="120" borderId="357" xfId="2" applyFont="1" applyFill="1" applyBorder="1" applyAlignment="1" applyProtection="1">
      <alignment horizontal="left" vertical="center"/>
      <protection locked="0"/>
    </xf>
    <xf numFmtId="0" fontId="75" fillId="4" borderId="0" xfId="27" applyFont="1" applyFill="1" applyBorder="1" applyAlignment="1">
      <alignment horizontal="center" vertical="center"/>
    </xf>
    <xf numFmtId="0" fontId="48" fillId="0" borderId="0" xfId="27" applyFont="1" applyFill="1" applyBorder="1" applyAlignment="1">
      <alignment horizontal="left" vertical="center"/>
    </xf>
    <xf numFmtId="0" fontId="259" fillId="3" borderId="345" xfId="27" applyFont="1" applyFill="1" applyBorder="1" applyAlignment="1">
      <alignment horizontal="center" vertical="center"/>
    </xf>
    <xf numFmtId="0" fontId="260" fillId="3" borderId="336" xfId="27" applyNumberFormat="1" applyFont="1" applyFill="1" applyBorder="1" applyAlignment="1">
      <alignment horizontal="center" vertical="center"/>
    </xf>
    <xf numFmtId="0" fontId="261" fillId="3" borderId="0" xfId="27" applyFont="1" applyFill="1" applyBorder="1" applyAlignment="1">
      <alignment horizontal="left" vertical="center"/>
    </xf>
    <xf numFmtId="49" fontId="262" fillId="3" borderId="0" xfId="27" applyNumberFormat="1" applyFont="1" applyFill="1" applyBorder="1" applyAlignment="1">
      <alignment horizontal="left" vertical="center"/>
    </xf>
    <xf numFmtId="0" fontId="48" fillId="3" borderId="0" xfId="27" applyFont="1" applyFill="1" applyBorder="1" applyAlignment="1">
      <alignment horizontal="center" vertical="center"/>
    </xf>
    <xf numFmtId="0" fontId="48" fillId="0" borderId="0" xfId="27" applyFont="1" applyFill="1" applyBorder="1" applyAlignment="1">
      <alignment horizontal="center" vertical="center"/>
    </xf>
    <xf numFmtId="0" fontId="42" fillId="0" borderId="0" xfId="27" applyFont="1" applyFill="1" applyBorder="1" applyAlignment="1">
      <alignment horizontal="center" vertical="center"/>
    </xf>
    <xf numFmtId="1" fontId="265" fillId="62" borderId="148" xfId="28" applyNumberFormat="1" applyFont="1" applyFill="1" applyBorder="1" applyAlignment="1">
      <alignment horizontal="center" vertical="center" wrapText="1"/>
    </xf>
    <xf numFmtId="0" fontId="42" fillId="0" borderId="0" xfId="29" applyFont="1"/>
    <xf numFmtId="1" fontId="266" fillId="62" borderId="477" xfId="28" applyNumberFormat="1" applyFont="1" applyFill="1" applyBorder="1" applyAlignment="1">
      <alignment horizontal="center" vertical="center" wrapText="1"/>
    </xf>
    <xf numFmtId="1" fontId="268" fillId="3" borderId="478" xfId="28" applyNumberFormat="1" applyFont="1" applyFill="1" applyBorder="1" applyAlignment="1">
      <alignment horizontal="center" vertical="center" wrapText="1"/>
    </xf>
    <xf numFmtId="1" fontId="171" fillId="4" borderId="188" xfId="28" applyNumberFormat="1" applyFont="1" applyFill="1" applyBorder="1" applyAlignment="1">
      <alignment horizontal="center" vertical="center" wrapText="1"/>
    </xf>
    <xf numFmtId="2" fontId="269" fillId="7" borderId="481" xfId="27" applyNumberFormat="1" applyFont="1" applyFill="1" applyBorder="1" applyAlignment="1">
      <alignment horizontal="center" vertical="center" wrapText="1"/>
    </xf>
    <xf numFmtId="1" fontId="268" fillId="4" borderId="0" xfId="28" applyNumberFormat="1" applyFont="1" applyFill="1" applyBorder="1" applyAlignment="1">
      <alignment horizontal="center" vertical="center" wrapText="1"/>
    </xf>
    <xf numFmtId="0" fontId="267" fillId="4" borderId="0" xfId="29" applyFont="1" applyFill="1" applyBorder="1" applyAlignment="1">
      <alignment horizontal="center"/>
    </xf>
    <xf numFmtId="2" fontId="269" fillId="7" borderId="484" xfId="27" applyNumberFormat="1" applyFont="1" applyFill="1" applyBorder="1" applyAlignment="1">
      <alignment horizontal="center" vertical="center" wrapText="1"/>
    </xf>
    <xf numFmtId="1" fontId="270" fillId="124" borderId="140" xfId="28" applyNumberFormat="1" applyFont="1" applyFill="1" applyBorder="1" applyAlignment="1">
      <alignment horizontal="center" vertical="center" wrapText="1"/>
    </xf>
    <xf numFmtId="0" fontId="42" fillId="4" borderId="0" xfId="27" applyFont="1" applyFill="1" applyBorder="1" applyAlignment="1">
      <alignment horizontal="center" vertical="center"/>
    </xf>
    <xf numFmtId="0" fontId="40" fillId="0" borderId="62" xfId="27" applyFont="1" applyBorder="1" applyAlignment="1">
      <alignment horizontal="center" vertical="center" wrapText="1"/>
    </xf>
    <xf numFmtId="0" fontId="40" fillId="0" borderId="62" xfId="27" applyFont="1" applyBorder="1" applyAlignment="1">
      <alignment horizontal="left" vertical="center" wrapText="1"/>
    </xf>
    <xf numFmtId="1" fontId="271" fillId="62" borderId="477" xfId="28" applyNumberFormat="1" applyFont="1" applyFill="1" applyBorder="1" applyAlignment="1">
      <alignment horizontal="center" vertical="center" wrapText="1"/>
    </xf>
    <xf numFmtId="1" fontId="171" fillId="3" borderId="122" xfId="28" applyNumberFormat="1" applyFont="1" applyFill="1" applyBorder="1" applyAlignment="1">
      <alignment horizontal="center" vertical="center"/>
    </xf>
    <xf numFmtId="0" fontId="7" fillId="0" borderId="0" xfId="3" applyAlignment="1">
      <alignment vertical="center"/>
    </xf>
    <xf numFmtId="0" fontId="272" fillId="0" borderId="62" xfId="27" applyFont="1" applyBorder="1" applyAlignment="1">
      <alignment horizontal="left" vertical="center"/>
    </xf>
    <xf numFmtId="1" fontId="227" fillId="16" borderId="122" xfId="27" applyNumberFormat="1" applyFont="1" applyFill="1" applyBorder="1" applyAlignment="1">
      <alignment horizontal="center" vertical="center"/>
    </xf>
    <xf numFmtId="166" fontId="39" fillId="7" borderId="62" xfId="27" applyNumberFormat="1" applyFont="1" applyFill="1" applyBorder="1" applyAlignment="1">
      <alignment horizontal="center" vertical="center"/>
    </xf>
    <xf numFmtId="166" fontId="33" fillId="4" borderId="62" xfId="27" applyNumberFormat="1" applyFont="1" applyFill="1" applyBorder="1" applyAlignment="1">
      <alignment horizontal="center" vertical="center"/>
    </xf>
    <xf numFmtId="1" fontId="77" fillId="3" borderId="122" xfId="28" applyNumberFormat="1" applyFont="1" applyFill="1" applyBorder="1" applyAlignment="1">
      <alignment horizontal="center" vertical="center"/>
    </xf>
    <xf numFmtId="0" fontId="75" fillId="4" borderId="163" xfId="27" applyFont="1" applyFill="1" applyBorder="1" applyAlignment="1">
      <alignment horizontal="center" vertical="center"/>
    </xf>
    <xf numFmtId="0" fontId="48" fillId="3" borderId="163" xfId="27" applyFont="1" applyFill="1" applyBorder="1" applyAlignment="1">
      <alignment horizontal="center" vertical="center"/>
    </xf>
    <xf numFmtId="0" fontId="274" fillId="3" borderId="0" xfId="27" applyFont="1" applyFill="1" applyBorder="1" applyAlignment="1">
      <alignment horizontal="left" vertical="center"/>
    </xf>
    <xf numFmtId="0" fontId="274" fillId="3" borderId="489" xfId="27" applyFont="1" applyFill="1" applyBorder="1" applyAlignment="1">
      <alignment horizontal="left" vertical="center"/>
    </xf>
    <xf numFmtId="0" fontId="42" fillId="3" borderId="163" xfId="29" applyFont="1" applyFill="1" applyBorder="1"/>
    <xf numFmtId="0" fontId="261" fillId="3" borderId="364" xfId="27" applyFont="1" applyFill="1" applyBorder="1" applyAlignment="1">
      <alignment horizontal="left" vertical="center"/>
    </xf>
    <xf numFmtId="0" fontId="42" fillId="0" borderId="0" xfId="3" applyFont="1" applyAlignment="1">
      <alignment vertical="center"/>
    </xf>
    <xf numFmtId="0" fontId="275" fillId="3" borderId="0" xfId="6" applyFont="1" applyFill="1" applyAlignment="1">
      <alignment horizontal="center" vertical="center"/>
    </xf>
    <xf numFmtId="0" fontId="276" fillId="3" borderId="0" xfId="6" applyFont="1" applyFill="1" applyAlignment="1">
      <alignment horizontal="center" vertical="center"/>
    </xf>
    <xf numFmtId="0" fontId="40" fillId="3" borderId="0" xfId="6" applyFont="1" applyFill="1" applyAlignment="1">
      <alignment vertical="center"/>
    </xf>
    <xf numFmtId="0" fontId="35" fillId="3" borderId="0" xfId="6" applyFont="1" applyFill="1" applyAlignment="1">
      <alignment horizontal="center" vertical="center"/>
    </xf>
    <xf numFmtId="0" fontId="277" fillId="3" borderId="0" xfId="6" applyFont="1" applyFill="1" applyAlignment="1">
      <alignment horizontal="center" vertical="center"/>
    </xf>
    <xf numFmtId="0" fontId="279" fillId="60" borderId="0" xfId="31" applyFill="1" applyAlignment="1">
      <alignment horizontal="center" vertical="center"/>
    </xf>
    <xf numFmtId="0" fontId="279" fillId="16" borderId="0" xfId="31" applyFill="1" applyAlignment="1">
      <alignment horizontal="center" vertical="center"/>
    </xf>
    <xf numFmtId="0" fontId="279" fillId="127" borderId="0" xfId="31" applyFill="1" applyAlignment="1">
      <alignment horizontal="center" vertical="center"/>
    </xf>
    <xf numFmtId="0" fontId="279" fillId="64" borderId="0" xfId="31" applyFill="1" applyAlignment="1">
      <alignment horizontal="center" vertical="center"/>
    </xf>
    <xf numFmtId="0" fontId="279" fillId="63" borderId="0" xfId="31" applyFill="1" applyAlignment="1">
      <alignment horizontal="center" vertical="center"/>
    </xf>
    <xf numFmtId="0" fontId="279" fillId="58" borderId="0" xfId="31" applyFill="1" applyAlignment="1">
      <alignment horizontal="center" vertical="center"/>
    </xf>
    <xf numFmtId="0" fontId="279" fillId="128" borderId="0" xfId="31" applyFill="1" applyAlignment="1">
      <alignment horizontal="center" vertical="center"/>
    </xf>
    <xf numFmtId="0" fontId="279" fillId="129" borderId="0" xfId="31" applyFill="1" applyAlignment="1">
      <alignment horizontal="center" vertical="center"/>
    </xf>
    <xf numFmtId="0" fontId="279" fillId="130" borderId="0" xfId="31" applyFill="1" applyAlignment="1">
      <alignment horizontal="center" vertical="center"/>
    </xf>
    <xf numFmtId="0" fontId="279" fillId="131" borderId="0" xfId="31" applyFill="1" applyAlignment="1">
      <alignment horizontal="center" vertical="center"/>
    </xf>
    <xf numFmtId="0" fontId="279" fillId="132" borderId="0" xfId="31" applyFill="1" applyAlignment="1">
      <alignment horizontal="center" vertical="center"/>
    </xf>
    <xf numFmtId="0" fontId="279" fillId="133" borderId="0" xfId="31" applyFill="1" applyAlignment="1">
      <alignment horizontal="center" vertical="center"/>
    </xf>
    <xf numFmtId="0" fontId="279" fillId="134" borderId="0" xfId="31" applyFill="1" applyAlignment="1">
      <alignment horizontal="center" vertical="center"/>
    </xf>
    <xf numFmtId="0" fontId="279" fillId="135" borderId="0" xfId="31" applyFill="1" applyAlignment="1">
      <alignment horizontal="center" vertical="center"/>
    </xf>
    <xf numFmtId="0" fontId="279" fillId="47" borderId="0" xfId="31" applyFill="1" applyAlignment="1">
      <alignment horizontal="center" vertical="center"/>
    </xf>
    <xf numFmtId="0" fontId="279" fillId="49" borderId="0" xfId="31" applyFill="1" applyAlignment="1">
      <alignment horizontal="center" vertical="center"/>
    </xf>
    <xf numFmtId="0" fontId="7" fillId="0" borderId="0" xfId="30"/>
    <xf numFmtId="0" fontId="279" fillId="137" borderId="0" xfId="31" applyFill="1" applyAlignment="1">
      <alignment horizontal="center" vertical="center"/>
    </xf>
    <xf numFmtId="0" fontId="279" fillId="138" borderId="0" xfId="31" applyFill="1" applyAlignment="1">
      <alignment horizontal="center" vertical="center"/>
    </xf>
    <xf numFmtId="0" fontId="279" fillId="37" borderId="0" xfId="31" applyFill="1" applyAlignment="1">
      <alignment horizontal="center" vertical="center"/>
    </xf>
    <xf numFmtId="0" fontId="279" fillId="139" borderId="0" xfId="31" applyFill="1" applyAlignment="1">
      <alignment horizontal="center" vertical="center"/>
    </xf>
    <xf numFmtId="0" fontId="279" fillId="140" borderId="0" xfId="31" applyFill="1" applyAlignment="1">
      <alignment horizontal="center" vertical="center"/>
    </xf>
    <xf numFmtId="0" fontId="279" fillId="141" borderId="0" xfId="31" applyFill="1" applyAlignment="1">
      <alignment horizontal="center" vertical="center"/>
    </xf>
    <xf numFmtId="0" fontId="279" fillId="142" borderId="0" xfId="31" applyFill="1" applyAlignment="1">
      <alignment horizontal="center" vertical="center"/>
    </xf>
    <xf numFmtId="0" fontId="279" fillId="44" borderId="0" xfId="31" applyFill="1" applyAlignment="1">
      <alignment horizontal="center" vertical="center"/>
    </xf>
    <xf numFmtId="0" fontId="279" fillId="144" borderId="0" xfId="31" applyFill="1" applyAlignment="1">
      <alignment horizontal="center" vertical="center"/>
    </xf>
    <xf numFmtId="0" fontId="279" fillId="145" borderId="0" xfId="31" applyFill="1" applyAlignment="1">
      <alignment horizontal="center" vertical="center"/>
    </xf>
    <xf numFmtId="0" fontId="279" fillId="146" borderId="0" xfId="31" applyFill="1" applyAlignment="1">
      <alignment horizontal="center" vertical="center"/>
    </xf>
    <xf numFmtId="0" fontId="279" fillId="147" borderId="0" xfId="31" applyFill="1" applyAlignment="1">
      <alignment horizontal="center" vertical="center"/>
    </xf>
    <xf numFmtId="0" fontId="279" fillId="148" borderId="0" xfId="31" applyFill="1" applyAlignment="1">
      <alignment horizontal="center" vertical="center"/>
    </xf>
    <xf numFmtId="0" fontId="279" fillId="149" borderId="0" xfId="31" applyFill="1" applyAlignment="1">
      <alignment horizontal="center" vertical="center"/>
    </xf>
    <xf numFmtId="0" fontId="279" fillId="150" borderId="0" xfId="31" applyFill="1" applyAlignment="1">
      <alignment horizontal="center" vertical="center"/>
    </xf>
    <xf numFmtId="0" fontId="279" fillId="151" borderId="0" xfId="31" applyFill="1" applyAlignment="1">
      <alignment horizontal="center" vertical="center"/>
    </xf>
    <xf numFmtId="0" fontId="279" fillId="153" borderId="0" xfId="31" applyFill="1" applyAlignment="1">
      <alignment horizontal="center" vertical="center"/>
    </xf>
    <xf numFmtId="0" fontId="279" fillId="154" borderId="0" xfId="31" applyFill="1" applyAlignment="1">
      <alignment horizontal="center" vertical="center"/>
    </xf>
    <xf numFmtId="0" fontId="279" fillId="14" borderId="0" xfId="31" applyFill="1" applyAlignment="1">
      <alignment horizontal="center" vertical="center"/>
    </xf>
    <xf numFmtId="0" fontId="279" fillId="48" borderId="0" xfId="31" applyFill="1" applyAlignment="1">
      <alignment horizontal="center" vertical="center"/>
    </xf>
    <xf numFmtId="0" fontId="279" fillId="155" borderId="0" xfId="31" applyFill="1" applyAlignment="1">
      <alignment horizontal="center" vertical="center"/>
    </xf>
    <xf numFmtId="0" fontId="279" fillId="156" borderId="0" xfId="31" applyFill="1" applyAlignment="1">
      <alignment horizontal="center" vertical="center"/>
    </xf>
    <xf numFmtId="0" fontId="279" fillId="36" borderId="0" xfId="31" applyFill="1" applyAlignment="1">
      <alignment horizontal="center" vertical="center"/>
    </xf>
    <xf numFmtId="0" fontId="279" fillId="157" borderId="0" xfId="31" applyFill="1" applyAlignment="1">
      <alignment horizontal="center" vertical="center"/>
    </xf>
    <xf numFmtId="0" fontId="279" fillId="158" borderId="0" xfId="31" applyFill="1" applyAlignment="1">
      <alignment horizontal="center" vertical="center"/>
    </xf>
    <xf numFmtId="0" fontId="279" fillId="159" borderId="0" xfId="31" applyFill="1" applyAlignment="1">
      <alignment horizontal="center" vertical="center"/>
    </xf>
    <xf numFmtId="0" fontId="279" fillId="78" borderId="0" xfId="31" applyFill="1" applyAlignment="1">
      <alignment horizontal="center" vertical="center"/>
    </xf>
    <xf numFmtId="0" fontId="279" fillId="125" borderId="0" xfId="31" applyFill="1" applyAlignment="1">
      <alignment horizontal="center" vertical="center"/>
    </xf>
    <xf numFmtId="0" fontId="279" fillId="160" borderId="0" xfId="31" applyFill="1" applyAlignment="1">
      <alignment horizontal="center" vertical="center"/>
    </xf>
    <xf numFmtId="0" fontId="279" fillId="8" borderId="0" xfId="31" applyFill="1" applyAlignment="1">
      <alignment horizontal="center" vertical="center"/>
    </xf>
    <xf numFmtId="0" fontId="279" fillId="161" borderId="0" xfId="31" applyFill="1" applyAlignment="1">
      <alignment horizontal="center" vertical="center"/>
    </xf>
    <xf numFmtId="0" fontId="279" fillId="162" borderId="0" xfId="31" applyFill="1" applyAlignment="1">
      <alignment horizontal="center" vertical="center"/>
    </xf>
    <xf numFmtId="0" fontId="279" fillId="163" borderId="0" xfId="31" applyFill="1" applyAlignment="1">
      <alignment horizontal="center" vertical="center"/>
    </xf>
    <xf numFmtId="0" fontId="279" fillId="164" borderId="0" xfId="31" applyFill="1" applyAlignment="1">
      <alignment horizontal="center" vertical="center"/>
    </xf>
    <xf numFmtId="0" fontId="279" fillId="165" borderId="0" xfId="31" applyFill="1" applyAlignment="1">
      <alignment horizontal="center" vertical="center"/>
    </xf>
    <xf numFmtId="0" fontId="279" fillId="166" borderId="0" xfId="31" applyFill="1" applyAlignment="1">
      <alignment horizontal="center" vertical="center"/>
    </xf>
    <xf numFmtId="0" fontId="279" fillId="167" borderId="0" xfId="31" applyFill="1" applyAlignment="1">
      <alignment horizontal="center" vertical="center"/>
    </xf>
    <xf numFmtId="0" fontId="279" fillId="168" borderId="0" xfId="31" applyFill="1" applyAlignment="1">
      <alignment horizontal="center" vertical="center"/>
    </xf>
    <xf numFmtId="0" fontId="279" fillId="169" borderId="0" xfId="31" applyFill="1" applyAlignment="1">
      <alignment horizontal="center" vertical="center"/>
    </xf>
    <xf numFmtId="0" fontId="279" fillId="50" borderId="0" xfId="31" applyFill="1" applyAlignment="1">
      <alignment horizontal="center" vertical="center"/>
    </xf>
    <xf numFmtId="0" fontId="282" fillId="16" borderId="495" xfId="31" applyFont="1" applyFill="1" applyBorder="1" applyAlignment="1">
      <alignment vertical="center" wrapText="1"/>
    </xf>
    <xf numFmtId="0" fontId="282" fillId="47" borderId="495" xfId="31" applyFont="1" applyFill="1" applyBorder="1" applyAlignment="1">
      <alignment vertical="center" wrapText="1"/>
    </xf>
    <xf numFmtId="0" fontId="158" fillId="16" borderId="495" xfId="31" applyFont="1" applyFill="1" applyBorder="1" applyAlignment="1">
      <alignment vertical="center" wrapText="1"/>
    </xf>
    <xf numFmtId="0" fontId="282" fillId="130" borderId="495" xfId="31" applyFont="1" applyFill="1" applyBorder="1" applyAlignment="1">
      <alignment vertical="center" wrapText="1"/>
    </xf>
    <xf numFmtId="0" fontId="283" fillId="16" borderId="495" xfId="31" applyFont="1" applyFill="1" applyBorder="1" applyAlignment="1">
      <alignment vertical="center" wrapText="1"/>
    </xf>
    <xf numFmtId="0" fontId="282" fillId="160" borderId="495" xfId="31" applyFont="1" applyFill="1" applyBorder="1" applyAlignment="1">
      <alignment vertical="center" wrapText="1"/>
    </xf>
    <xf numFmtId="0" fontId="284" fillId="16" borderId="495" xfId="31" applyFont="1" applyFill="1" applyBorder="1" applyAlignment="1">
      <alignment vertical="center" wrapText="1"/>
    </xf>
    <xf numFmtId="0" fontId="282" fillId="60" borderId="495" xfId="31" applyFont="1" applyFill="1" applyBorder="1" applyAlignment="1">
      <alignment vertical="center" wrapText="1"/>
    </xf>
    <xf numFmtId="0" fontId="282" fillId="49" borderId="495" xfId="31" applyFont="1" applyFill="1" applyBorder="1" applyAlignment="1">
      <alignment vertical="center" wrapText="1"/>
    </xf>
    <xf numFmtId="0" fontId="285" fillId="16" borderId="495" xfId="31" applyFont="1" applyFill="1" applyBorder="1" applyAlignment="1">
      <alignment vertical="center" wrapText="1"/>
    </xf>
    <xf numFmtId="0" fontId="282" fillId="135" borderId="495" xfId="31" applyFont="1" applyFill="1" applyBorder="1" applyAlignment="1">
      <alignment vertical="center" wrapText="1"/>
    </xf>
    <xf numFmtId="0" fontId="286" fillId="16" borderId="495" xfId="31" applyFont="1" applyFill="1" applyBorder="1" applyAlignment="1">
      <alignment vertical="center" wrapText="1"/>
    </xf>
    <xf numFmtId="0" fontId="282" fillId="8" borderId="495" xfId="31" applyFont="1" applyFill="1" applyBorder="1" applyAlignment="1">
      <alignment vertical="center" wrapText="1"/>
    </xf>
    <xf numFmtId="0" fontId="287" fillId="16" borderId="495" xfId="31" applyFont="1" applyFill="1" applyBorder="1" applyAlignment="1">
      <alignment vertical="center" wrapText="1"/>
    </xf>
    <xf numFmtId="0" fontId="134" fillId="16" borderId="495" xfId="31" applyFont="1" applyFill="1" applyBorder="1" applyAlignment="1">
      <alignment vertical="center" wrapText="1"/>
    </xf>
    <xf numFmtId="0" fontId="282" fillId="137" borderId="495" xfId="31" applyFont="1" applyFill="1" applyBorder="1" applyAlignment="1">
      <alignment vertical="center" wrapText="1"/>
    </xf>
    <xf numFmtId="0" fontId="288" fillId="16" borderId="495" xfId="31" applyFont="1" applyFill="1" applyBorder="1" applyAlignment="1">
      <alignment vertical="center" wrapText="1"/>
    </xf>
    <xf numFmtId="0" fontId="282" fillId="63" borderId="495" xfId="31" applyFont="1" applyFill="1" applyBorder="1" applyAlignment="1">
      <alignment vertical="center" wrapText="1"/>
    </xf>
    <xf numFmtId="0" fontId="47" fillId="16" borderId="495" xfId="31" applyFont="1" applyFill="1" applyBorder="1" applyAlignment="1">
      <alignment vertical="center" wrapText="1"/>
    </xf>
    <xf numFmtId="0" fontId="282" fillId="161" borderId="495" xfId="31" applyFont="1" applyFill="1" applyBorder="1" applyAlignment="1">
      <alignment vertical="center" wrapText="1"/>
    </xf>
    <xf numFmtId="0" fontId="289" fillId="16" borderId="495" xfId="31" applyFont="1" applyFill="1" applyBorder="1" applyAlignment="1">
      <alignment vertical="center" wrapText="1"/>
    </xf>
    <xf numFmtId="0" fontId="282" fillId="127" borderId="495" xfId="31" applyFont="1" applyFill="1" applyBorder="1" applyAlignment="1">
      <alignment vertical="center" wrapText="1"/>
    </xf>
    <xf numFmtId="0" fontId="21" fillId="16" borderId="495" xfId="31" applyFont="1" applyFill="1" applyBorder="1" applyAlignment="1">
      <alignment vertical="center" wrapText="1"/>
    </xf>
    <xf numFmtId="0" fontId="282" fillId="138" borderId="495" xfId="31" applyFont="1" applyFill="1" applyBorder="1" applyAlignment="1">
      <alignment vertical="center" wrapText="1"/>
    </xf>
    <xf numFmtId="0" fontId="290" fillId="16" borderId="495" xfId="31" applyFont="1" applyFill="1" applyBorder="1" applyAlignment="1">
      <alignment vertical="center" wrapText="1"/>
    </xf>
    <xf numFmtId="0" fontId="282" fillId="153" borderId="495" xfId="31" applyFont="1" applyFill="1" applyBorder="1" applyAlignment="1">
      <alignment vertical="center" wrapText="1"/>
    </xf>
    <xf numFmtId="0" fontId="291" fillId="16" borderId="495" xfId="31" applyFont="1" applyFill="1" applyBorder="1" applyAlignment="1">
      <alignment vertical="center" wrapText="1"/>
    </xf>
    <xf numFmtId="0" fontId="282" fillId="162" borderId="495" xfId="31" applyFont="1" applyFill="1" applyBorder="1" applyAlignment="1">
      <alignment vertical="center" wrapText="1"/>
    </xf>
    <xf numFmtId="0" fontId="292" fillId="16" borderId="495" xfId="31" applyFont="1" applyFill="1" applyBorder="1" applyAlignment="1">
      <alignment vertical="center" wrapText="1"/>
    </xf>
    <xf numFmtId="0" fontId="282" fillId="64" borderId="495" xfId="31" applyFont="1" applyFill="1" applyBorder="1" applyAlignment="1">
      <alignment vertical="center" wrapText="1"/>
    </xf>
    <xf numFmtId="0" fontId="293" fillId="16" borderId="495" xfId="31" applyFont="1" applyFill="1" applyBorder="1" applyAlignment="1">
      <alignment vertical="center" wrapText="1"/>
    </xf>
    <xf numFmtId="0" fontId="282" fillId="37" borderId="495" xfId="31" applyFont="1" applyFill="1" applyBorder="1" applyAlignment="1">
      <alignment vertical="center" wrapText="1"/>
    </xf>
    <xf numFmtId="0" fontId="294" fillId="16" borderId="495" xfId="31" applyFont="1" applyFill="1" applyBorder="1" applyAlignment="1">
      <alignment vertical="center" wrapText="1"/>
    </xf>
    <xf numFmtId="0" fontId="282" fillId="139" borderId="495" xfId="31" applyFont="1" applyFill="1" applyBorder="1" applyAlignment="1">
      <alignment vertical="center" wrapText="1"/>
    </xf>
    <xf numFmtId="0" fontId="295" fillId="16" borderId="495" xfId="31" applyFont="1" applyFill="1" applyBorder="1" applyAlignment="1">
      <alignment vertical="center" wrapText="1"/>
    </xf>
    <xf numFmtId="0" fontId="282" fillId="163" borderId="495" xfId="31" applyFont="1" applyFill="1" applyBorder="1" applyAlignment="1">
      <alignment vertical="center" wrapText="1"/>
    </xf>
    <xf numFmtId="0" fontId="296" fillId="16" borderId="495" xfId="31" applyFont="1" applyFill="1" applyBorder="1" applyAlignment="1">
      <alignment vertical="center" wrapText="1"/>
    </xf>
    <xf numFmtId="0" fontId="282" fillId="14" borderId="495" xfId="31" applyFont="1" applyFill="1" applyBorder="1" applyAlignment="1">
      <alignment vertical="center" wrapText="1"/>
    </xf>
    <xf numFmtId="0" fontId="297" fillId="16" borderId="495" xfId="31" applyFont="1" applyFill="1" applyBorder="1" applyAlignment="1">
      <alignment vertical="center" wrapText="1"/>
    </xf>
    <xf numFmtId="0" fontId="282" fillId="164" borderId="495" xfId="31" applyFont="1" applyFill="1" applyBorder="1" applyAlignment="1">
      <alignment vertical="center" wrapText="1"/>
    </xf>
    <xf numFmtId="0" fontId="298" fillId="16" borderId="495" xfId="31" applyFont="1" applyFill="1" applyBorder="1" applyAlignment="1">
      <alignment vertical="center" wrapText="1"/>
    </xf>
    <xf numFmtId="0" fontId="282" fillId="58" borderId="495" xfId="31" applyFont="1" applyFill="1" applyBorder="1" applyAlignment="1">
      <alignment vertical="center" wrapText="1"/>
    </xf>
    <xf numFmtId="0" fontId="299" fillId="16" borderId="495" xfId="31" applyFont="1" applyFill="1" applyBorder="1" applyAlignment="1">
      <alignment vertical="center" wrapText="1"/>
    </xf>
    <xf numFmtId="0" fontId="282" fillId="140" borderId="495" xfId="31" applyFont="1" applyFill="1" applyBorder="1" applyAlignment="1">
      <alignment vertical="center" wrapText="1"/>
    </xf>
    <xf numFmtId="0" fontId="300" fillId="16" borderId="495" xfId="31" applyFont="1" applyFill="1" applyBorder="1" applyAlignment="1">
      <alignment vertical="center" wrapText="1"/>
    </xf>
    <xf numFmtId="0" fontId="282" fillId="48" borderId="495" xfId="31" applyFont="1" applyFill="1" applyBorder="1" applyAlignment="1">
      <alignment vertical="center" wrapText="1"/>
    </xf>
    <xf numFmtId="0" fontId="301" fillId="16" borderId="495" xfId="31" applyFont="1" applyFill="1" applyBorder="1" applyAlignment="1">
      <alignment vertical="center" wrapText="1"/>
    </xf>
    <xf numFmtId="0" fontId="282" fillId="165" borderId="495" xfId="31" applyFont="1" applyFill="1" applyBorder="1" applyAlignment="1">
      <alignment vertical="center" wrapText="1"/>
    </xf>
    <xf numFmtId="0" fontId="302" fillId="16" borderId="495" xfId="31" applyFont="1" applyFill="1" applyBorder="1" applyAlignment="1">
      <alignment vertical="center" wrapText="1"/>
    </xf>
    <xf numFmtId="0" fontId="282" fillId="128" borderId="495" xfId="31" applyFont="1" applyFill="1" applyBorder="1" applyAlignment="1">
      <alignment vertical="center" wrapText="1"/>
    </xf>
    <xf numFmtId="0" fontId="303" fillId="16" borderId="495" xfId="31" applyFont="1" applyFill="1" applyBorder="1" applyAlignment="1">
      <alignment vertical="center" wrapText="1"/>
    </xf>
    <xf numFmtId="0" fontId="282" fillId="141" borderId="495" xfId="31" applyFont="1" applyFill="1" applyBorder="1" applyAlignment="1">
      <alignment vertical="center" wrapText="1"/>
    </xf>
    <xf numFmtId="0" fontId="304" fillId="16" borderId="495" xfId="31" applyFont="1" applyFill="1" applyBorder="1" applyAlignment="1">
      <alignment vertical="center" wrapText="1"/>
    </xf>
    <xf numFmtId="0" fontId="282" fillId="155" borderId="495" xfId="31" applyFont="1" applyFill="1" applyBorder="1" applyAlignment="1">
      <alignment vertical="center" wrapText="1"/>
    </xf>
    <xf numFmtId="0" fontId="305" fillId="16" borderId="495" xfId="31" applyFont="1" applyFill="1" applyBorder="1" applyAlignment="1">
      <alignment vertical="center" wrapText="1"/>
    </xf>
    <xf numFmtId="0" fontId="282" fillId="166" borderId="495" xfId="31" applyFont="1" applyFill="1" applyBorder="1" applyAlignment="1">
      <alignment vertical="center" wrapText="1"/>
    </xf>
    <xf numFmtId="0" fontId="306" fillId="16" borderId="495" xfId="31" applyFont="1" applyFill="1" applyBorder="1" applyAlignment="1">
      <alignment vertical="center" wrapText="1"/>
    </xf>
    <xf numFmtId="0" fontId="282" fillId="129" borderId="495" xfId="31" applyFont="1" applyFill="1" applyBorder="1" applyAlignment="1">
      <alignment vertical="center" wrapText="1"/>
    </xf>
    <xf numFmtId="0" fontId="307" fillId="16" borderId="495" xfId="31" applyFont="1" applyFill="1" applyBorder="1" applyAlignment="1">
      <alignment vertical="center" wrapText="1"/>
    </xf>
    <xf numFmtId="0" fontId="282" fillId="142" borderId="495" xfId="31" applyFont="1" applyFill="1" applyBorder="1" applyAlignment="1">
      <alignment vertical="center" wrapText="1"/>
    </xf>
    <xf numFmtId="0" fontId="308" fillId="16" borderId="495" xfId="31" applyFont="1" applyFill="1" applyBorder="1" applyAlignment="1">
      <alignment vertical="center" wrapText="1"/>
    </xf>
    <xf numFmtId="0" fontId="282" fillId="156" borderId="495" xfId="31" applyFont="1" applyFill="1" applyBorder="1" applyAlignment="1">
      <alignment vertical="center" wrapText="1"/>
    </xf>
    <xf numFmtId="0" fontId="309" fillId="16" borderId="495" xfId="31" applyFont="1" applyFill="1" applyBorder="1" applyAlignment="1">
      <alignment vertical="center" wrapText="1"/>
    </xf>
    <xf numFmtId="0" fontId="282" fillId="167" borderId="495" xfId="31" applyFont="1" applyFill="1" applyBorder="1" applyAlignment="1">
      <alignment vertical="center" wrapText="1"/>
    </xf>
    <xf numFmtId="0" fontId="310" fillId="16" borderId="495" xfId="31" applyFont="1" applyFill="1" applyBorder="1" applyAlignment="1">
      <alignment vertical="center" wrapText="1"/>
    </xf>
    <xf numFmtId="0" fontId="282" fillId="44" borderId="495" xfId="31" applyFont="1" applyFill="1" applyBorder="1" applyAlignment="1">
      <alignment vertical="center" wrapText="1"/>
    </xf>
    <xf numFmtId="0" fontId="311" fillId="16" borderId="495" xfId="31" applyFont="1" applyFill="1" applyBorder="1" applyAlignment="1">
      <alignment vertical="center" wrapText="1"/>
    </xf>
    <xf numFmtId="0" fontId="282" fillId="36" borderId="495" xfId="31" applyFont="1" applyFill="1" applyBorder="1" applyAlignment="1">
      <alignment vertical="center" wrapText="1"/>
    </xf>
    <xf numFmtId="0" fontId="312" fillId="16" borderId="495" xfId="31" applyFont="1" applyFill="1" applyBorder="1" applyAlignment="1">
      <alignment vertical="center" wrapText="1"/>
    </xf>
    <xf numFmtId="0" fontId="313" fillId="61" borderId="0" xfId="3" applyFont="1" applyFill="1" applyAlignment="1">
      <alignment horizontal="right" vertical="center"/>
    </xf>
    <xf numFmtId="0" fontId="282" fillId="131" borderId="495" xfId="31" applyFont="1" applyFill="1" applyBorder="1" applyAlignment="1">
      <alignment vertical="center" wrapText="1"/>
    </xf>
    <xf numFmtId="0" fontId="314" fillId="16" borderId="495" xfId="31" applyFont="1" applyFill="1" applyBorder="1" applyAlignment="1">
      <alignment vertical="center" wrapText="1"/>
    </xf>
    <xf numFmtId="0" fontId="282" fillId="132" borderId="495" xfId="31" applyFont="1" applyFill="1" applyBorder="1" applyAlignment="1">
      <alignment vertical="center" wrapText="1"/>
    </xf>
    <xf numFmtId="0" fontId="315" fillId="16" borderId="495" xfId="31" applyFont="1" applyFill="1" applyBorder="1" applyAlignment="1">
      <alignment vertical="center" wrapText="1"/>
    </xf>
    <xf numFmtId="0" fontId="282" fillId="157" borderId="495" xfId="31" applyFont="1" applyFill="1" applyBorder="1" applyAlignment="1">
      <alignment vertical="center" wrapText="1"/>
    </xf>
    <xf numFmtId="0" fontId="316" fillId="16" borderId="495" xfId="31" applyFont="1" applyFill="1" applyBorder="1" applyAlignment="1">
      <alignment vertical="center" wrapText="1"/>
    </xf>
    <xf numFmtId="0" fontId="282" fillId="169" borderId="495" xfId="31" applyFont="1" applyFill="1" applyBorder="1" applyAlignment="1">
      <alignment vertical="center" wrapText="1"/>
    </xf>
    <xf numFmtId="0" fontId="317" fillId="16" borderId="495" xfId="31" applyFont="1" applyFill="1" applyBorder="1" applyAlignment="1">
      <alignment vertical="center" wrapText="1"/>
    </xf>
    <xf numFmtId="0" fontId="282" fillId="158" borderId="495" xfId="31" applyFont="1" applyFill="1" applyBorder="1" applyAlignment="1">
      <alignment vertical="center" wrapText="1"/>
    </xf>
    <xf numFmtId="0" fontId="318" fillId="16" borderId="495" xfId="31" applyFont="1" applyFill="1" applyBorder="1" applyAlignment="1">
      <alignment vertical="center" wrapText="1"/>
    </xf>
    <xf numFmtId="0" fontId="282" fillId="50" borderId="495" xfId="31" applyFont="1" applyFill="1" applyBorder="1" applyAlignment="1">
      <alignment vertical="center" wrapText="1"/>
    </xf>
    <xf numFmtId="0" fontId="319" fillId="16" borderId="495" xfId="31" applyFont="1" applyFill="1" applyBorder="1" applyAlignment="1">
      <alignment vertical="center" wrapText="1"/>
    </xf>
    <xf numFmtId="0" fontId="282" fillId="133" borderId="495" xfId="31" applyFont="1" applyFill="1" applyBorder="1" applyAlignment="1">
      <alignment vertical="center" wrapText="1"/>
    </xf>
    <xf numFmtId="0" fontId="320" fillId="16" borderId="495" xfId="31" applyFont="1" applyFill="1" applyBorder="1" applyAlignment="1">
      <alignment vertical="center" wrapText="1"/>
    </xf>
    <xf numFmtId="0" fontId="282" fillId="159" borderId="495" xfId="31" applyFont="1" applyFill="1" applyBorder="1" applyAlignment="1">
      <alignment vertical="center" wrapText="1"/>
    </xf>
    <xf numFmtId="0" fontId="321" fillId="16" borderId="495" xfId="31" applyFont="1" applyFill="1" applyBorder="1" applyAlignment="1">
      <alignment vertical="center" wrapText="1"/>
    </xf>
    <xf numFmtId="0" fontId="282" fillId="134" borderId="495" xfId="31" applyFont="1" applyFill="1" applyBorder="1" applyAlignment="1">
      <alignment vertical="center" wrapText="1"/>
    </xf>
    <xf numFmtId="0" fontId="322" fillId="16" borderId="495" xfId="31" applyFont="1" applyFill="1" applyBorder="1" applyAlignment="1">
      <alignment vertical="center" wrapText="1"/>
    </xf>
    <xf numFmtId="0" fontId="282" fillId="78" borderId="495" xfId="31" applyFont="1" applyFill="1" applyBorder="1" applyAlignment="1">
      <alignment vertical="center" wrapText="1"/>
    </xf>
    <xf numFmtId="0" fontId="323" fillId="16" borderId="495" xfId="31" applyFont="1" applyFill="1" applyBorder="1" applyAlignment="1">
      <alignment vertical="center" wrapText="1"/>
    </xf>
    <xf numFmtId="0" fontId="282" fillId="125" borderId="495" xfId="31" applyFont="1" applyFill="1" applyBorder="1" applyAlignment="1">
      <alignment vertical="center" wrapText="1"/>
    </xf>
    <xf numFmtId="0" fontId="324" fillId="16" borderId="495" xfId="31" applyFont="1" applyFill="1" applyBorder="1" applyAlignment="1">
      <alignment vertical="center" wrapText="1"/>
    </xf>
    <xf numFmtId="0" fontId="279" fillId="16" borderId="496" xfId="31" applyFill="1" applyBorder="1" applyAlignment="1">
      <alignment vertical="center"/>
    </xf>
    <xf numFmtId="0" fontId="7" fillId="0" borderId="0" xfId="33" applyAlignment="1">
      <alignment vertical="center"/>
    </xf>
    <xf numFmtId="0" fontId="325" fillId="16" borderId="495" xfId="31" applyFont="1" applyFill="1" applyBorder="1" applyAlignment="1">
      <alignment vertical="center" wrapText="1"/>
    </xf>
    <xf numFmtId="0" fontId="46" fillId="16" borderId="495" xfId="31" applyFont="1" applyFill="1" applyBorder="1" applyAlignment="1">
      <alignment horizontal="center" vertical="center" wrapText="1"/>
    </xf>
    <xf numFmtId="0" fontId="157" fillId="16" borderId="495" xfId="31" applyFont="1" applyFill="1" applyBorder="1" applyAlignment="1">
      <alignment horizontal="center" vertical="center" wrapText="1"/>
    </xf>
    <xf numFmtId="0" fontId="45" fillId="16" borderId="495" xfId="31" applyFont="1" applyFill="1" applyBorder="1" applyAlignment="1">
      <alignment horizontal="center" vertical="center" wrapText="1"/>
    </xf>
    <xf numFmtId="0" fontId="326" fillId="16" borderId="495" xfId="31" applyFont="1" applyFill="1" applyBorder="1" applyAlignment="1">
      <alignment vertical="center" wrapText="1"/>
    </xf>
    <xf numFmtId="0" fontId="134" fillId="60" borderId="495" xfId="31" applyFont="1" applyFill="1" applyBorder="1" applyAlignment="1">
      <alignment vertical="center" wrapText="1"/>
    </xf>
    <xf numFmtId="0" fontId="282" fillId="16" borderId="495" xfId="31" applyFont="1" applyFill="1" applyBorder="1" applyAlignment="1">
      <alignment horizontal="right" vertical="center" wrapText="1"/>
    </xf>
    <xf numFmtId="0" fontId="282" fillId="134" borderId="495" xfId="31" applyFont="1" applyFill="1" applyBorder="1" applyAlignment="1">
      <alignment wrapText="1"/>
    </xf>
    <xf numFmtId="0" fontId="322" fillId="16" borderId="495" xfId="31" applyFont="1" applyFill="1" applyBorder="1" applyAlignment="1">
      <alignment wrapText="1"/>
    </xf>
    <xf numFmtId="0" fontId="282" fillId="16" borderId="495" xfId="31" applyFont="1" applyFill="1" applyBorder="1" applyAlignment="1">
      <alignment wrapText="1"/>
    </xf>
    <xf numFmtId="0" fontId="282" fillId="16" borderId="495" xfId="31" applyFont="1" applyFill="1" applyBorder="1" applyAlignment="1">
      <alignment horizontal="right" wrapText="1"/>
    </xf>
    <xf numFmtId="0" fontId="282" fillId="135" borderId="495" xfId="31" applyFont="1" applyFill="1" applyBorder="1" applyAlignment="1">
      <alignment wrapText="1"/>
    </xf>
    <xf numFmtId="0" fontId="286" fillId="16" borderId="495" xfId="31" applyFont="1" applyFill="1" applyBorder="1" applyAlignment="1">
      <alignment wrapText="1"/>
    </xf>
    <xf numFmtId="0" fontId="282" fillId="47" borderId="495" xfId="31" applyFont="1" applyFill="1" applyBorder="1" applyAlignment="1">
      <alignment wrapText="1"/>
    </xf>
    <xf numFmtId="0" fontId="158" fillId="16" borderId="495" xfId="31" applyFont="1" applyFill="1" applyBorder="1" applyAlignment="1">
      <alignment wrapText="1"/>
    </xf>
    <xf numFmtId="0" fontId="282" fillId="49" borderId="495" xfId="31" applyFont="1" applyFill="1" applyBorder="1" applyAlignment="1">
      <alignment wrapText="1"/>
    </xf>
    <xf numFmtId="0" fontId="285" fillId="16" borderId="495" xfId="31" applyFont="1" applyFill="1" applyBorder="1" applyAlignment="1">
      <alignment wrapText="1"/>
    </xf>
    <xf numFmtId="0" fontId="282" fillId="137" borderId="495" xfId="31" applyFont="1" applyFill="1" applyBorder="1" applyAlignment="1">
      <alignment wrapText="1"/>
    </xf>
    <xf numFmtId="0" fontId="288" fillId="16" borderId="495" xfId="31" applyFont="1" applyFill="1" applyBorder="1" applyAlignment="1">
      <alignment wrapText="1"/>
    </xf>
    <xf numFmtId="0" fontId="282" fillId="138" borderId="495" xfId="31" applyFont="1" applyFill="1" applyBorder="1" applyAlignment="1">
      <alignment wrapText="1"/>
    </xf>
    <xf numFmtId="0" fontId="290" fillId="16" borderId="495" xfId="31" applyFont="1" applyFill="1" applyBorder="1" applyAlignment="1">
      <alignment wrapText="1"/>
    </xf>
    <xf numFmtId="0" fontId="282" fillId="139" borderId="495" xfId="31" applyFont="1" applyFill="1" applyBorder="1" applyAlignment="1">
      <alignment wrapText="1"/>
    </xf>
    <xf numFmtId="0" fontId="295" fillId="16" borderId="495" xfId="31" applyFont="1" applyFill="1" applyBorder="1" applyAlignment="1">
      <alignment wrapText="1"/>
    </xf>
    <xf numFmtId="0" fontId="282" fillId="140" borderId="495" xfId="31" applyFont="1" applyFill="1" applyBorder="1" applyAlignment="1">
      <alignment wrapText="1"/>
    </xf>
    <xf numFmtId="0" fontId="300" fillId="16" borderId="495" xfId="31" applyFont="1" applyFill="1" applyBorder="1" applyAlignment="1">
      <alignment wrapText="1"/>
    </xf>
    <xf numFmtId="0" fontId="282" fillId="141" borderId="495" xfId="31" applyFont="1" applyFill="1" applyBorder="1" applyAlignment="1">
      <alignment wrapText="1"/>
    </xf>
    <xf numFmtId="0" fontId="304" fillId="16" borderId="495" xfId="31" applyFont="1" applyFill="1" applyBorder="1" applyAlignment="1">
      <alignment wrapText="1"/>
    </xf>
    <xf numFmtId="0" fontId="282" fillId="142" borderId="495" xfId="31" applyFont="1" applyFill="1" applyBorder="1" applyAlignment="1">
      <alignment wrapText="1"/>
    </xf>
    <xf numFmtId="0" fontId="308" fillId="16" borderId="495" xfId="31" applyFont="1" applyFill="1" applyBorder="1" applyAlignment="1">
      <alignment wrapText="1"/>
    </xf>
    <xf numFmtId="0" fontId="282" fillId="44" borderId="495" xfId="31" applyFont="1" applyFill="1" applyBorder="1" applyAlignment="1">
      <alignment wrapText="1"/>
    </xf>
    <xf numFmtId="0" fontId="311" fillId="16" borderId="495" xfId="31" applyFont="1" applyFill="1" applyBorder="1" applyAlignment="1">
      <alignment wrapText="1"/>
    </xf>
    <xf numFmtId="0" fontId="282" fillId="132" borderId="495" xfId="31" applyFont="1" applyFill="1" applyBorder="1" applyAlignment="1">
      <alignment wrapText="1"/>
    </xf>
    <xf numFmtId="0" fontId="315" fillId="16" borderId="495" xfId="31" applyFont="1" applyFill="1" applyBorder="1" applyAlignment="1">
      <alignment wrapText="1"/>
    </xf>
    <xf numFmtId="0" fontId="282" fillId="128" borderId="495" xfId="31" applyFont="1" applyFill="1" applyBorder="1" applyAlignment="1">
      <alignment wrapText="1"/>
    </xf>
    <xf numFmtId="0" fontId="303" fillId="16" borderId="495" xfId="31" applyFont="1" applyFill="1" applyBorder="1" applyAlignment="1">
      <alignment wrapText="1"/>
    </xf>
    <xf numFmtId="0" fontId="282" fillId="58" borderId="495" xfId="31" applyFont="1" applyFill="1" applyBorder="1" applyAlignment="1">
      <alignment wrapText="1"/>
    </xf>
    <xf numFmtId="0" fontId="299" fillId="16" borderId="495" xfId="31" applyFont="1" applyFill="1" applyBorder="1" applyAlignment="1">
      <alignment wrapText="1"/>
    </xf>
    <xf numFmtId="0" fontId="282" fillId="129" borderId="495" xfId="31" applyFont="1" applyFill="1" applyBorder="1" applyAlignment="1">
      <alignment wrapText="1"/>
    </xf>
    <xf numFmtId="0" fontId="307" fillId="16" borderId="495" xfId="31" applyFont="1" applyFill="1" applyBorder="1" applyAlignment="1">
      <alignment wrapText="1"/>
    </xf>
    <xf numFmtId="0" fontId="282" fillId="130" borderId="495" xfId="31" applyFont="1" applyFill="1" applyBorder="1" applyAlignment="1">
      <alignment wrapText="1"/>
    </xf>
    <xf numFmtId="0" fontId="283" fillId="16" borderId="495" xfId="31" applyFont="1" applyFill="1" applyBorder="1" applyAlignment="1">
      <alignment wrapText="1"/>
    </xf>
    <xf numFmtId="0" fontId="282" fillId="63" borderId="495" xfId="31" applyFont="1" applyFill="1" applyBorder="1" applyAlignment="1">
      <alignment wrapText="1"/>
    </xf>
    <xf numFmtId="0" fontId="47" fillId="16" borderId="495" xfId="31" applyFont="1" applyFill="1" applyBorder="1" applyAlignment="1">
      <alignment wrapText="1"/>
    </xf>
    <xf numFmtId="0" fontId="282" fillId="153" borderId="495" xfId="31" applyFont="1" applyFill="1" applyBorder="1" applyAlignment="1">
      <alignment wrapText="1"/>
    </xf>
    <xf numFmtId="0" fontId="291" fillId="16" borderId="495" xfId="31" applyFont="1" applyFill="1" applyBorder="1" applyAlignment="1">
      <alignment wrapText="1"/>
    </xf>
    <xf numFmtId="0" fontId="282" fillId="14" borderId="495" xfId="31" applyFont="1" applyFill="1" applyBorder="1" applyAlignment="1">
      <alignment wrapText="1"/>
    </xf>
    <xf numFmtId="0" fontId="297" fillId="16" borderId="495" xfId="31" applyFont="1" applyFill="1" applyBorder="1" applyAlignment="1">
      <alignment wrapText="1"/>
    </xf>
    <xf numFmtId="0" fontId="282" fillId="48" borderId="495" xfId="31" applyFont="1" applyFill="1" applyBorder="1" applyAlignment="1">
      <alignment wrapText="1"/>
    </xf>
    <xf numFmtId="0" fontId="301" fillId="16" borderId="495" xfId="31" applyFont="1" applyFill="1" applyBorder="1" applyAlignment="1">
      <alignment wrapText="1"/>
    </xf>
    <xf numFmtId="0" fontId="282" fillId="155" borderId="495" xfId="31" applyFont="1" applyFill="1" applyBorder="1" applyAlignment="1">
      <alignment wrapText="1"/>
    </xf>
    <xf numFmtId="0" fontId="305" fillId="16" borderId="495" xfId="31" applyFont="1" applyFill="1" applyBorder="1" applyAlignment="1">
      <alignment wrapText="1"/>
    </xf>
    <xf numFmtId="0" fontId="282" fillId="156" borderId="495" xfId="31" applyFont="1" applyFill="1" applyBorder="1" applyAlignment="1">
      <alignment wrapText="1"/>
    </xf>
    <xf numFmtId="0" fontId="309" fillId="16" borderId="495" xfId="31" applyFont="1" applyFill="1" applyBorder="1" applyAlignment="1">
      <alignment wrapText="1"/>
    </xf>
    <xf numFmtId="0" fontId="282" fillId="36" borderId="495" xfId="31" applyFont="1" applyFill="1" applyBorder="1" applyAlignment="1">
      <alignment wrapText="1"/>
    </xf>
    <xf numFmtId="0" fontId="312" fillId="16" borderId="495" xfId="31" applyFont="1" applyFill="1" applyBorder="1" applyAlignment="1">
      <alignment wrapText="1"/>
    </xf>
    <xf numFmtId="0" fontId="282" fillId="157" borderId="495" xfId="31" applyFont="1" applyFill="1" applyBorder="1" applyAlignment="1">
      <alignment wrapText="1"/>
    </xf>
    <xf numFmtId="0" fontId="316" fillId="16" borderId="495" xfId="31" applyFont="1" applyFill="1" applyBorder="1" applyAlignment="1">
      <alignment wrapText="1"/>
    </xf>
    <xf numFmtId="0" fontId="282" fillId="158" borderId="495" xfId="31" applyFont="1" applyFill="1" applyBorder="1" applyAlignment="1">
      <alignment wrapText="1"/>
    </xf>
    <xf numFmtId="0" fontId="318" fillId="16" borderId="495" xfId="31" applyFont="1" applyFill="1" applyBorder="1" applyAlignment="1">
      <alignment wrapText="1"/>
    </xf>
    <xf numFmtId="0" fontId="282" fillId="159" borderId="495" xfId="31" applyFont="1" applyFill="1" applyBorder="1" applyAlignment="1">
      <alignment wrapText="1"/>
    </xf>
    <xf numFmtId="0" fontId="321" fillId="16" borderId="495" xfId="31" applyFont="1" applyFill="1" applyBorder="1" applyAlignment="1">
      <alignment wrapText="1"/>
    </xf>
    <xf numFmtId="0" fontId="282" fillId="78" borderId="495" xfId="31" applyFont="1" applyFill="1" applyBorder="1" applyAlignment="1">
      <alignment wrapText="1"/>
    </xf>
    <xf numFmtId="0" fontId="323" fillId="16" borderId="495" xfId="31" applyFont="1" applyFill="1" applyBorder="1" applyAlignment="1">
      <alignment wrapText="1"/>
    </xf>
    <xf numFmtId="0" fontId="282" fillId="125" borderId="495" xfId="31" applyFont="1" applyFill="1" applyBorder="1" applyAlignment="1">
      <alignment wrapText="1"/>
    </xf>
    <xf numFmtId="0" fontId="324" fillId="16" borderId="495" xfId="31" applyFont="1" applyFill="1" applyBorder="1" applyAlignment="1">
      <alignment wrapText="1"/>
    </xf>
    <xf numFmtId="0" fontId="282" fillId="160" borderId="495" xfId="31" applyFont="1" applyFill="1" applyBorder="1" applyAlignment="1">
      <alignment wrapText="1"/>
    </xf>
    <xf numFmtId="0" fontId="284" fillId="16" borderId="495" xfId="31" applyFont="1" applyFill="1" applyBorder="1" applyAlignment="1">
      <alignment wrapText="1"/>
    </xf>
    <xf numFmtId="0" fontId="282" fillId="8" borderId="495" xfId="31" applyFont="1" applyFill="1" applyBorder="1" applyAlignment="1">
      <alignment wrapText="1"/>
    </xf>
    <xf numFmtId="0" fontId="287" fillId="16" borderId="495" xfId="31" applyFont="1" applyFill="1" applyBorder="1" applyAlignment="1">
      <alignment wrapText="1"/>
    </xf>
    <xf numFmtId="0" fontId="282" fillId="161" borderId="495" xfId="31" applyFont="1" applyFill="1" applyBorder="1" applyAlignment="1">
      <alignment wrapText="1"/>
    </xf>
    <xf numFmtId="0" fontId="289" fillId="16" borderId="495" xfId="31" applyFont="1" applyFill="1" applyBorder="1" applyAlignment="1">
      <alignment wrapText="1"/>
    </xf>
    <xf numFmtId="0" fontId="282" fillId="162" borderId="495" xfId="31" applyFont="1" applyFill="1" applyBorder="1" applyAlignment="1">
      <alignment wrapText="1"/>
    </xf>
    <xf numFmtId="0" fontId="292" fillId="16" borderId="495" xfId="31" applyFont="1" applyFill="1" applyBorder="1" applyAlignment="1">
      <alignment wrapText="1"/>
    </xf>
    <xf numFmtId="0" fontId="282" fillId="163" borderId="495" xfId="31" applyFont="1" applyFill="1" applyBorder="1" applyAlignment="1">
      <alignment wrapText="1"/>
    </xf>
    <xf numFmtId="0" fontId="296" fillId="16" borderId="495" xfId="31" applyFont="1" applyFill="1" applyBorder="1" applyAlignment="1">
      <alignment wrapText="1"/>
    </xf>
    <xf numFmtId="0" fontId="282" fillId="164" borderId="495" xfId="31" applyFont="1" applyFill="1" applyBorder="1" applyAlignment="1">
      <alignment wrapText="1"/>
    </xf>
    <xf numFmtId="0" fontId="298" fillId="16" borderId="495" xfId="31" applyFont="1" applyFill="1" applyBorder="1" applyAlignment="1">
      <alignment wrapText="1"/>
    </xf>
    <xf numFmtId="0" fontId="282" fillId="165" borderId="495" xfId="31" applyFont="1" applyFill="1" applyBorder="1" applyAlignment="1">
      <alignment wrapText="1"/>
    </xf>
    <xf numFmtId="0" fontId="302" fillId="16" borderId="495" xfId="31" applyFont="1" applyFill="1" applyBorder="1" applyAlignment="1">
      <alignment wrapText="1"/>
    </xf>
    <xf numFmtId="0" fontId="282" fillId="166" borderId="495" xfId="31" applyFont="1" applyFill="1" applyBorder="1" applyAlignment="1">
      <alignment wrapText="1"/>
    </xf>
    <xf numFmtId="0" fontId="306" fillId="16" borderId="495" xfId="31" applyFont="1" applyFill="1" applyBorder="1" applyAlignment="1">
      <alignment wrapText="1"/>
    </xf>
    <xf numFmtId="0" fontId="282" fillId="167" borderId="495" xfId="31" applyFont="1" applyFill="1" applyBorder="1" applyAlignment="1">
      <alignment wrapText="1"/>
    </xf>
    <xf numFmtId="0" fontId="310" fillId="16" borderId="495" xfId="31" applyFont="1" applyFill="1" applyBorder="1" applyAlignment="1">
      <alignment wrapText="1"/>
    </xf>
    <xf numFmtId="0" fontId="282" fillId="169" borderId="495" xfId="31" applyFont="1" applyFill="1" applyBorder="1" applyAlignment="1">
      <alignment wrapText="1"/>
    </xf>
    <xf numFmtId="0" fontId="317" fillId="16" borderId="495" xfId="31" applyFont="1" applyFill="1" applyBorder="1" applyAlignment="1">
      <alignment wrapText="1"/>
    </xf>
    <xf numFmtId="0" fontId="282" fillId="50" borderId="495" xfId="31" applyFont="1" applyFill="1" applyBorder="1" applyAlignment="1">
      <alignment wrapText="1"/>
    </xf>
    <xf numFmtId="0" fontId="319" fillId="16" borderId="495" xfId="31" applyFont="1" applyFill="1" applyBorder="1" applyAlignment="1">
      <alignment wrapText="1"/>
    </xf>
    <xf numFmtId="0" fontId="327" fillId="0" borderId="0" xfId="31" applyFont="1"/>
    <xf numFmtId="0" fontId="33" fillId="4" borderId="277" xfId="3" applyFont="1" applyFill="1" applyBorder="1" applyAlignment="1">
      <alignment horizontal="center" vertical="center"/>
    </xf>
    <xf numFmtId="0" fontId="33" fillId="4" borderId="0" xfId="3" applyFont="1" applyFill="1" applyBorder="1" applyAlignment="1">
      <alignment horizontal="center" vertical="center"/>
    </xf>
    <xf numFmtId="0" fontId="33" fillId="4" borderId="49" xfId="3" applyFont="1" applyFill="1" applyBorder="1" applyAlignment="1">
      <alignment horizontal="center" vertical="center"/>
    </xf>
    <xf numFmtId="0" fontId="173" fillId="3" borderId="277" xfId="3" applyFont="1" applyFill="1" applyBorder="1" applyAlignment="1" applyProtection="1">
      <alignment horizontal="center" vertical="center"/>
      <protection hidden="1"/>
    </xf>
    <xf numFmtId="0" fontId="173" fillId="3" borderId="357" xfId="3" applyFont="1" applyFill="1" applyBorder="1" applyAlignment="1" applyProtection="1">
      <alignment horizontal="center" vertical="center"/>
      <protection hidden="1"/>
    </xf>
    <xf numFmtId="2" fontId="54" fillId="105" borderId="0" xfId="3" applyNumberFormat="1" applyFont="1" applyFill="1" applyBorder="1" applyAlignment="1">
      <alignment horizontal="center" vertical="center" wrapText="1"/>
    </xf>
    <xf numFmtId="0" fontId="91" fillId="0" borderId="375" xfId="3" applyFont="1" applyBorder="1" applyAlignment="1">
      <alignment horizontal="center"/>
    </xf>
    <xf numFmtId="0" fontId="91" fillId="0" borderId="375" xfId="3" applyFont="1" applyBorder="1" applyAlignment="1">
      <alignment horizontal="center" vertical="center"/>
    </xf>
    <xf numFmtId="0" fontId="225" fillId="3" borderId="435" xfId="3" applyFont="1" applyFill="1" applyBorder="1" applyAlignment="1" applyProtection="1">
      <alignment horizontal="center" vertical="center"/>
      <protection hidden="1"/>
    </xf>
    <xf numFmtId="0" fontId="72" fillId="3" borderId="0" xfId="3" applyFont="1" applyFill="1" applyBorder="1" applyAlignment="1">
      <alignment horizontal="center" vertical="center" wrapText="1"/>
    </xf>
    <xf numFmtId="0" fontId="72" fillId="3" borderId="163" xfId="3" applyFont="1" applyFill="1" applyBorder="1" applyAlignment="1">
      <alignment horizontal="center" vertical="center" wrapText="1"/>
    </xf>
    <xf numFmtId="0" fontId="80" fillId="3" borderId="0" xfId="13" applyFont="1" applyFill="1" applyBorder="1" applyAlignment="1">
      <alignment horizontal="left" vertical="center"/>
    </xf>
    <xf numFmtId="0" fontId="33" fillId="3" borderId="0" xfId="3" applyFont="1" applyFill="1" applyBorder="1" applyAlignment="1">
      <alignment horizontal="center" vertical="center" wrapText="1"/>
    </xf>
    <xf numFmtId="0" fontId="62" fillId="3" borderId="179" xfId="2" applyFont="1" applyFill="1" applyBorder="1" applyAlignment="1">
      <alignment horizontal="center" vertical="center"/>
    </xf>
    <xf numFmtId="2" fontId="113" fillId="69" borderId="0" xfId="3" applyNumberFormat="1" applyFont="1" applyFill="1" applyBorder="1" applyAlignment="1" applyProtection="1">
      <alignment horizontal="center" vertical="center" wrapText="1"/>
      <protection locked="0"/>
    </xf>
    <xf numFmtId="187" fontId="117" fillId="61" borderId="0" xfId="3" applyNumberFormat="1" applyFont="1" applyFill="1" applyBorder="1" applyAlignment="1">
      <alignment horizontal="center" vertical="center"/>
    </xf>
    <xf numFmtId="0" fontId="76" fillId="3" borderId="0" xfId="3" applyFont="1" applyFill="1" applyBorder="1" applyAlignment="1">
      <alignment horizontal="center" vertical="center" wrapText="1"/>
    </xf>
    <xf numFmtId="0" fontId="120" fillId="4" borderId="0" xfId="3" applyFont="1" applyFill="1" applyBorder="1" applyAlignment="1">
      <alignment horizontal="center" vertical="center"/>
    </xf>
    <xf numFmtId="0" fontId="33" fillId="3" borderId="15" xfId="7" applyNumberFormat="1" applyFont="1" applyFill="1" applyBorder="1" applyAlignment="1" applyProtection="1">
      <alignment horizontal="left" vertical="center"/>
      <protection locked="0"/>
    </xf>
    <xf numFmtId="0" fontId="62" fillId="3" borderId="0" xfId="2" applyFont="1" applyFill="1" applyBorder="1" applyAlignment="1">
      <alignment horizontal="center" vertical="center"/>
    </xf>
    <xf numFmtId="0" fontId="7" fillId="2" borderId="0" xfId="3" applyFill="1" applyAlignment="1">
      <alignment vertical="center"/>
    </xf>
    <xf numFmtId="0" fontId="12" fillId="2" borderId="0" xfId="3" applyFont="1" applyFill="1" applyAlignment="1">
      <alignment vertical="center"/>
    </xf>
    <xf numFmtId="0" fontId="332" fillId="2" borderId="0" xfId="17" applyFont="1" applyFill="1" applyAlignment="1">
      <alignment vertical="center"/>
    </xf>
    <xf numFmtId="0" fontId="14" fillId="2" borderId="0" xfId="3" applyFont="1" applyFill="1" applyAlignment="1">
      <alignment vertical="center"/>
    </xf>
    <xf numFmtId="0" fontId="333" fillId="2" borderId="0" xfId="3" applyFont="1" applyFill="1" applyAlignment="1">
      <alignment vertical="center"/>
    </xf>
    <xf numFmtId="0" fontId="334" fillId="2" borderId="0" xfId="34" applyFont="1" applyFill="1" applyAlignment="1">
      <alignment horizontal="left" vertical="center"/>
    </xf>
    <xf numFmtId="0" fontId="9" fillId="2" borderId="0" xfId="3" applyFont="1" applyFill="1" applyAlignment="1">
      <alignment vertical="center"/>
    </xf>
    <xf numFmtId="0" fontId="333" fillId="2" borderId="0" xfId="3" applyFont="1" applyFill="1" applyAlignment="1">
      <alignment horizontal="center" vertical="center"/>
    </xf>
    <xf numFmtId="0" fontId="84" fillId="2" borderId="0" xfId="3" applyFont="1" applyFill="1" applyAlignment="1">
      <alignment vertical="center"/>
    </xf>
    <xf numFmtId="177" fontId="335" fillId="2" borderId="62" xfId="9" applyNumberFormat="1" applyFont="1" applyFill="1" applyBorder="1" applyAlignment="1">
      <alignment horizontal="center" vertical="center"/>
    </xf>
    <xf numFmtId="199" fontId="28" fillId="177" borderId="501" xfId="0" applyNumberFormat="1" applyFont="1" applyFill="1" applyBorder="1" applyAlignment="1" applyProtection="1">
      <alignment horizontal="center" vertical="center"/>
      <protection locked="0"/>
    </xf>
    <xf numFmtId="166" fontId="336" fillId="178" borderId="502" xfId="3" applyNumberFormat="1" applyFont="1" applyFill="1" applyBorder="1" applyAlignment="1">
      <alignment horizontal="center" vertical="center"/>
    </xf>
    <xf numFmtId="0" fontId="337" fillId="2" borderId="0" xfId="3" applyFont="1" applyFill="1" applyAlignment="1">
      <alignment horizontal="right" vertical="center"/>
    </xf>
    <xf numFmtId="0" fontId="14" fillId="2" borderId="0" xfId="3" applyFont="1" applyFill="1" applyAlignment="1">
      <alignment horizontal="center" vertical="center"/>
    </xf>
    <xf numFmtId="0" fontId="338" fillId="2" borderId="0" xfId="0" applyFont="1" applyFill="1" applyAlignment="1">
      <alignment horizontal="left" vertical="center"/>
    </xf>
    <xf numFmtId="0" fontId="339" fillId="2" borderId="0" xfId="0" applyFont="1" applyFill="1" applyAlignment="1">
      <alignment horizontal="left" vertical="center"/>
    </xf>
    <xf numFmtId="0" fontId="340" fillId="2" borderId="0" xfId="0" applyFont="1" applyFill="1" applyAlignment="1">
      <alignment horizontal="left" vertical="center"/>
    </xf>
    <xf numFmtId="0" fontId="341" fillId="2" borderId="0" xfId="0" applyFont="1" applyFill="1" applyAlignment="1">
      <alignment horizontal="left" vertical="center"/>
    </xf>
    <xf numFmtId="0" fontId="342" fillId="2" borderId="0" xfId="0" applyFont="1" applyFill="1" applyAlignment="1">
      <alignment horizontal="left" vertical="center"/>
    </xf>
    <xf numFmtId="0" fontId="343" fillId="2" borderId="0" xfId="0" applyFont="1" applyFill="1" applyAlignment="1">
      <alignment horizontal="left" vertical="center"/>
    </xf>
    <xf numFmtId="0" fontId="344" fillId="2" borderId="0" xfId="0" applyFont="1" applyFill="1" applyAlignment="1">
      <alignment horizontal="left" vertical="center"/>
    </xf>
    <xf numFmtId="0" fontId="345" fillId="2" borderId="0" xfId="0" applyFont="1" applyFill="1" applyAlignment="1">
      <alignment horizontal="left" vertical="center"/>
    </xf>
    <xf numFmtId="0" fontId="346" fillId="2" borderId="0" xfId="0" applyFont="1" applyFill="1" applyAlignment="1">
      <alignment horizontal="left" vertical="center"/>
    </xf>
    <xf numFmtId="0" fontId="7" fillId="2" borderId="0" xfId="35" applyFill="1" applyProtection="1">
      <protection hidden="1"/>
    </xf>
    <xf numFmtId="0" fontId="7" fillId="2" borderId="0" xfId="35" applyFill="1" applyAlignment="1">
      <alignment vertical="center"/>
    </xf>
    <xf numFmtId="0" fontId="7" fillId="0" borderId="0" xfId="35"/>
    <xf numFmtId="0" fontId="7" fillId="0" borderId="0" xfId="35" applyAlignment="1">
      <alignment vertical="center"/>
    </xf>
    <xf numFmtId="0" fontId="12" fillId="2" borderId="0" xfId="35" applyFont="1" applyFill="1" applyAlignment="1">
      <alignment vertical="center"/>
    </xf>
    <xf numFmtId="0" fontId="347" fillId="16" borderId="0" xfId="35" applyFont="1" applyFill="1" applyAlignment="1">
      <alignment horizontal="center" vertical="center"/>
    </xf>
    <xf numFmtId="0" fontId="348" fillId="16" borderId="0" xfId="35" applyFont="1" applyFill="1" applyAlignment="1">
      <alignment horizontal="center" vertical="center"/>
    </xf>
    <xf numFmtId="0" fontId="349" fillId="16" borderId="0" xfId="35" applyFont="1" applyFill="1" applyAlignment="1">
      <alignment horizontal="center" vertical="center"/>
    </xf>
    <xf numFmtId="0" fontId="350" fillId="16" borderId="0" xfId="35" applyFont="1" applyFill="1" applyAlignment="1">
      <alignment horizontal="center" vertical="center"/>
    </xf>
    <xf numFmtId="0" fontId="351" fillId="16" borderId="0" xfId="35" applyFont="1" applyFill="1" applyAlignment="1">
      <alignment horizontal="center" vertical="center"/>
    </xf>
    <xf numFmtId="0" fontId="352" fillId="16" borderId="0" xfId="35" applyFont="1" applyFill="1" applyAlignment="1">
      <alignment horizontal="center" vertical="center"/>
    </xf>
    <xf numFmtId="0" fontId="353" fillId="16" borderId="0" xfId="35" applyFont="1" applyFill="1" applyAlignment="1">
      <alignment horizontal="center" vertical="center"/>
    </xf>
    <xf numFmtId="0" fontId="354" fillId="16" borderId="0" xfId="35" applyFont="1" applyFill="1" applyAlignment="1">
      <alignment horizontal="center" vertical="center"/>
    </xf>
    <xf numFmtId="0" fontId="355" fillId="16" borderId="0" xfId="35" applyFont="1" applyFill="1" applyAlignment="1">
      <alignment horizontal="center" vertical="center"/>
    </xf>
    <xf numFmtId="0" fontId="356" fillId="16" borderId="0" xfId="35" applyFont="1" applyFill="1" applyAlignment="1">
      <alignment horizontal="center" vertical="center"/>
    </xf>
    <xf numFmtId="0" fontId="357" fillId="16" borderId="0" xfId="35" applyFont="1" applyFill="1" applyAlignment="1">
      <alignment horizontal="center" vertical="center"/>
    </xf>
    <xf numFmtId="0" fontId="358" fillId="16" borderId="0" xfId="35" applyFont="1" applyFill="1" applyAlignment="1">
      <alignment horizontal="center" vertical="center"/>
    </xf>
    <xf numFmtId="0" fontId="359" fillId="16" borderId="0" xfId="35" applyFont="1" applyFill="1" applyAlignment="1">
      <alignment horizontal="center" vertical="center"/>
    </xf>
    <xf numFmtId="0" fontId="360" fillId="16" borderId="0" xfId="35" applyFont="1" applyFill="1" applyAlignment="1">
      <alignment horizontal="center" vertical="center"/>
    </xf>
    <xf numFmtId="0" fontId="361" fillId="16" borderId="0" xfId="35" applyFont="1" applyFill="1" applyAlignment="1">
      <alignment horizontal="center" vertical="center"/>
    </xf>
    <xf numFmtId="0" fontId="362" fillId="16" borderId="0" xfId="35" applyFont="1" applyFill="1" applyAlignment="1">
      <alignment horizontal="center" vertical="center"/>
    </xf>
    <xf numFmtId="0" fontId="363" fillId="16" borderId="0" xfId="35" applyFont="1" applyFill="1" applyAlignment="1">
      <alignment horizontal="center" vertical="center"/>
    </xf>
    <xf numFmtId="0" fontId="364" fillId="16" borderId="0" xfId="35" applyFont="1" applyFill="1" applyAlignment="1">
      <alignment horizontal="center" vertical="center"/>
    </xf>
    <xf numFmtId="0" fontId="365" fillId="3" borderId="357" xfId="35" applyFont="1" applyFill="1" applyBorder="1" applyAlignment="1">
      <alignment horizontal="center" vertical="center"/>
    </xf>
    <xf numFmtId="0" fontId="366" fillId="0" borderId="63" xfId="36" applyFont="1" applyBorder="1" applyAlignment="1">
      <alignment horizontal="center" vertical="center"/>
    </xf>
    <xf numFmtId="0" fontId="367" fillId="179" borderId="357" xfId="35" applyFont="1" applyFill="1" applyBorder="1" applyAlignment="1">
      <alignment horizontal="center" vertical="center"/>
    </xf>
    <xf numFmtId="0" fontId="367" fillId="180" borderId="357" xfId="35" applyFont="1" applyFill="1" applyBorder="1" applyAlignment="1">
      <alignment horizontal="center" vertical="center"/>
    </xf>
    <xf numFmtId="0" fontId="368" fillId="2" borderId="0" xfId="3" applyFont="1" applyFill="1" applyAlignment="1">
      <alignment horizontal="center" vertical="center"/>
    </xf>
    <xf numFmtId="0" fontId="369" fillId="3" borderId="0" xfId="35" applyFont="1" applyFill="1" applyAlignment="1">
      <alignment vertical="center"/>
    </xf>
    <xf numFmtId="0" fontId="7" fillId="3" borderId="0" xfId="35" applyFill="1" applyProtection="1">
      <protection hidden="1"/>
    </xf>
    <xf numFmtId="0" fontId="370" fillId="3" borderId="357" xfId="35" applyFont="1" applyFill="1" applyBorder="1" applyAlignment="1">
      <alignment vertical="center"/>
    </xf>
    <xf numFmtId="0" fontId="7" fillId="3" borderId="0" xfId="35" applyFill="1" applyAlignment="1">
      <alignment vertical="center"/>
    </xf>
    <xf numFmtId="182" fontId="371" fillId="3" borderId="0" xfId="35" applyNumberFormat="1" applyFont="1" applyFill="1" applyAlignment="1">
      <alignment vertical="center"/>
    </xf>
    <xf numFmtId="0" fontId="372" fillId="3" borderId="0" xfId="37" applyFont="1" applyFill="1" applyAlignment="1">
      <alignment horizontal="right" vertical="center"/>
    </xf>
    <xf numFmtId="183" fontId="28" fillId="31" borderId="0" xfId="37" applyNumberFormat="1" applyFont="1" applyFill="1" applyAlignment="1">
      <alignment horizontal="center" vertical="center"/>
    </xf>
    <xf numFmtId="0" fontId="192" fillId="56" borderId="0" xfId="35" applyFont="1" applyFill="1" applyAlignment="1">
      <alignment horizontal="center" vertical="center"/>
    </xf>
    <xf numFmtId="0" fontId="370" fillId="3" borderId="0" xfId="35" applyFont="1" applyFill="1" applyAlignment="1">
      <alignment horizontal="left" vertical="center"/>
    </xf>
    <xf numFmtId="0" fontId="7" fillId="0" borderId="0" xfId="35" applyProtection="1">
      <protection hidden="1"/>
    </xf>
    <xf numFmtId="0" fontId="373" fillId="42" borderId="0" xfId="35" applyFont="1" applyFill="1" applyAlignment="1">
      <alignment horizontal="center" vertical="center"/>
    </xf>
    <xf numFmtId="0" fontId="374" fillId="55" borderId="0" xfId="35" applyFont="1" applyFill="1" applyAlignment="1">
      <alignment horizontal="center" vertical="center"/>
    </xf>
    <xf numFmtId="0" fontId="14" fillId="2" borderId="0" xfId="35" applyFont="1" applyFill="1" applyAlignment="1">
      <alignment vertical="center"/>
    </xf>
    <xf numFmtId="0" fontId="14" fillId="2" borderId="357" xfId="35" applyFont="1" applyFill="1" applyBorder="1" applyAlignment="1">
      <alignment vertical="center"/>
    </xf>
    <xf numFmtId="0" fontId="375" fillId="3" borderId="0" xfId="35" applyFont="1" applyFill="1" applyAlignment="1">
      <alignment horizontal="center" vertical="center"/>
    </xf>
    <xf numFmtId="0" fontId="192" fillId="52" borderId="0" xfId="35" applyFont="1" applyFill="1" applyAlignment="1">
      <alignment horizontal="center" vertical="center"/>
    </xf>
    <xf numFmtId="0" fontId="376" fillId="5" borderId="0" xfId="35" applyFont="1" applyFill="1" applyAlignment="1">
      <alignment horizontal="center" vertical="center"/>
    </xf>
    <xf numFmtId="0" fontId="14" fillId="2" borderId="0" xfId="35" applyFont="1" applyFill="1" applyAlignment="1">
      <alignment horizontal="right" vertical="center"/>
    </xf>
    <xf numFmtId="0" fontId="375" fillId="4" borderId="0" xfId="35" applyFont="1" applyFill="1" applyAlignment="1">
      <alignment horizontal="center" vertical="center"/>
    </xf>
    <xf numFmtId="0" fontId="192" fillId="2" borderId="0" xfId="35" applyFont="1" applyFill="1" applyAlignment="1">
      <alignment horizontal="right" vertical="center"/>
    </xf>
    <xf numFmtId="0" fontId="7" fillId="61" borderId="0" xfId="35" applyFill="1" applyAlignment="1">
      <alignment vertical="center"/>
    </xf>
    <xf numFmtId="0" fontId="14" fillId="2" borderId="0" xfId="38" applyFont="1" applyFill="1" applyAlignment="1">
      <alignment vertical="center"/>
    </xf>
    <xf numFmtId="0" fontId="14" fillId="2" borderId="0" xfId="17" applyFont="1" applyFill="1" applyAlignment="1">
      <alignment horizontal="center" vertical="center"/>
    </xf>
    <xf numFmtId="0" fontId="14" fillId="2" borderId="0" xfId="17" applyFont="1" applyFill="1" applyAlignment="1">
      <alignment horizontal="center" vertical="top"/>
    </xf>
    <xf numFmtId="0" fontId="378" fillId="3" borderId="0" xfId="3" applyFont="1" applyFill="1" applyBorder="1" applyAlignment="1" applyProtection="1">
      <alignment horizontal="center"/>
      <protection hidden="1"/>
    </xf>
    <xf numFmtId="169" fontId="52" fillId="82" borderId="489" xfId="20" applyNumberFormat="1" applyFont="1" applyFill="1" applyBorder="1" applyAlignment="1">
      <alignment horizontal="left" vertical="center"/>
    </xf>
    <xf numFmtId="169" fontId="52" fillId="5" borderId="0" xfId="20" applyNumberFormat="1" applyFont="1" applyFill="1" applyBorder="1" applyAlignment="1">
      <alignment horizontal="left" vertical="center"/>
    </xf>
    <xf numFmtId="169" fontId="379" fillId="122" borderId="0" xfId="20" applyNumberFormat="1" applyFont="1" applyFill="1" applyBorder="1" applyAlignment="1">
      <alignment horizontal="left" vertical="center"/>
    </xf>
    <xf numFmtId="169" fontId="52" fillId="55" borderId="0" xfId="20" applyNumberFormat="1" applyFont="1" applyFill="1" applyBorder="1" applyAlignment="1">
      <alignment horizontal="left" vertical="center"/>
    </xf>
    <xf numFmtId="169" fontId="52" fillId="123" borderId="336" xfId="20" applyNumberFormat="1" applyFont="1" applyFill="1" applyBorder="1" applyAlignment="1">
      <alignment horizontal="left" vertical="center"/>
    </xf>
    <xf numFmtId="169" fontId="52" fillId="9" borderId="0" xfId="20" applyNumberFormat="1" applyFont="1" applyFill="1" applyBorder="1" applyAlignment="1">
      <alignment horizontal="left" vertical="center"/>
    </xf>
    <xf numFmtId="169" fontId="379" fillId="33" borderId="0" xfId="20" applyNumberFormat="1" applyFont="1" applyFill="1" applyBorder="1" applyAlignment="1">
      <alignment horizontal="left" vertical="center"/>
    </xf>
    <xf numFmtId="169" fontId="379" fillId="73" borderId="0" xfId="20" applyNumberFormat="1" applyFont="1" applyFill="1" applyBorder="1" applyAlignment="1">
      <alignment horizontal="left" vertical="center"/>
    </xf>
    <xf numFmtId="0" fontId="89" fillId="7" borderId="175" xfId="3" applyFont="1" applyFill="1" applyBorder="1" applyAlignment="1" applyProtection="1">
      <alignment horizontal="center" vertical="center"/>
      <protection hidden="1"/>
    </xf>
    <xf numFmtId="0" fontId="380" fillId="7" borderId="487" xfId="3" applyFont="1" applyFill="1" applyBorder="1" applyAlignment="1" applyProtection="1">
      <alignment horizontal="center" vertical="center"/>
      <protection hidden="1"/>
    </xf>
    <xf numFmtId="0" fontId="61" fillId="7" borderId="488" xfId="3" applyFont="1" applyFill="1" applyBorder="1" applyAlignment="1" applyProtection="1">
      <alignment horizontal="center" vertical="center"/>
      <protection hidden="1"/>
    </xf>
    <xf numFmtId="0" fontId="64" fillId="61" borderId="490" xfId="3" applyFont="1" applyFill="1" applyBorder="1" applyAlignment="1" applyProtection="1">
      <alignment horizontal="center" vertical="center"/>
      <protection hidden="1"/>
    </xf>
    <xf numFmtId="0" fontId="8" fillId="0" borderId="0" xfId="0" applyFont="1" applyAlignment="1">
      <alignment vertical="center"/>
    </xf>
    <xf numFmtId="169" fontId="52" fillId="55" borderId="0" xfId="20" applyNumberFormat="1" applyFont="1" applyFill="1" applyBorder="1" applyAlignment="1">
      <alignment horizontal="center" vertical="center"/>
    </xf>
    <xf numFmtId="0" fontId="245" fillId="0" borderId="0" xfId="3" applyFont="1" applyAlignment="1">
      <alignment vertical="center"/>
    </xf>
    <xf numFmtId="169" fontId="52" fillId="82" borderId="489" xfId="20" applyNumberFormat="1" applyFont="1" applyFill="1" applyBorder="1" applyAlignment="1">
      <alignment horizontal="center" vertical="center"/>
    </xf>
    <xf numFmtId="169" fontId="379" fillId="33" borderId="0" xfId="20" applyNumberFormat="1" applyFont="1" applyFill="1" applyBorder="1" applyAlignment="1">
      <alignment horizontal="center" vertical="center"/>
    </xf>
    <xf numFmtId="169" fontId="52" fillId="5" borderId="0" xfId="20" applyNumberFormat="1" applyFont="1" applyFill="1" applyBorder="1" applyAlignment="1">
      <alignment horizontal="center" vertical="center"/>
    </xf>
    <xf numFmtId="169" fontId="52" fillId="123" borderId="0" xfId="20" applyNumberFormat="1" applyFont="1" applyFill="1" applyBorder="1" applyAlignment="1">
      <alignment horizontal="center" vertical="center"/>
    </xf>
    <xf numFmtId="169" fontId="379" fillId="73" borderId="0" xfId="20" applyNumberFormat="1" applyFont="1" applyFill="1" applyBorder="1" applyAlignment="1">
      <alignment horizontal="center" vertical="center"/>
    </xf>
    <xf numFmtId="169" fontId="379" fillId="122" borderId="0" xfId="20" applyNumberFormat="1" applyFont="1" applyFill="1" applyBorder="1" applyAlignment="1">
      <alignment horizontal="center" vertical="center"/>
    </xf>
    <xf numFmtId="169" fontId="52" fillId="9" borderId="0" xfId="20" applyNumberFormat="1" applyFont="1" applyFill="1" applyBorder="1" applyAlignment="1">
      <alignment horizontal="center" vertical="center"/>
    </xf>
    <xf numFmtId="0" fontId="42" fillId="0" borderId="0" xfId="1" applyFont="1" applyFill="1" applyAlignment="1">
      <alignment horizontal="center" vertical="center"/>
    </xf>
    <xf numFmtId="0" fontId="42" fillId="0" borderId="0" xfId="1" applyFont="1" applyFill="1" applyAlignment="1">
      <alignment vertical="center"/>
    </xf>
    <xf numFmtId="0" fontId="42" fillId="0" borderId="0" xfId="1" applyFont="1" applyProtection="1">
      <protection hidden="1"/>
    </xf>
    <xf numFmtId="165" fontId="42" fillId="3" borderId="0" xfId="1" applyNumberFormat="1" applyFont="1" applyFill="1" applyBorder="1" applyAlignment="1" applyProtection="1">
      <alignment horizontal="right"/>
      <protection hidden="1"/>
    </xf>
    <xf numFmtId="0" fontId="8" fillId="0" borderId="0" xfId="2" applyFont="1"/>
    <xf numFmtId="0" fontId="77" fillId="17" borderId="0" xfId="6" applyFont="1" applyFill="1" applyBorder="1" applyAlignment="1">
      <alignment horizontal="center" vertical="center"/>
    </xf>
    <xf numFmtId="0" fontId="77" fillId="0" borderId="1" xfId="6" applyFont="1" applyFill="1" applyBorder="1" applyAlignment="1">
      <alignment horizontal="center" vertical="center"/>
    </xf>
    <xf numFmtId="0" fontId="272" fillId="0" borderId="2" xfId="1" applyFont="1" applyFill="1" applyBorder="1" applyAlignment="1">
      <alignment horizontal="left" vertical="center"/>
    </xf>
    <xf numFmtId="0" fontId="42" fillId="0" borderId="2" xfId="1" applyFont="1" applyFill="1" applyBorder="1"/>
    <xf numFmtId="0" fontId="42" fillId="3" borderId="0" xfId="1" applyFont="1" applyFill="1" applyProtection="1">
      <protection hidden="1"/>
    </xf>
    <xf numFmtId="0" fontId="382" fillId="20" borderId="0" xfId="6" applyFont="1" applyFill="1" applyBorder="1" applyAlignment="1">
      <alignment horizontal="center" vertical="center"/>
    </xf>
    <xf numFmtId="0" fontId="382" fillId="0" borderId="20" xfId="6" applyFont="1" applyFill="1" applyBorder="1" applyAlignment="1">
      <alignment horizontal="center" vertical="center"/>
    </xf>
    <xf numFmtId="0" fontId="385" fillId="3" borderId="20" xfId="1" applyFont="1" applyFill="1" applyBorder="1" applyAlignment="1" applyProtection="1">
      <alignment horizontal="center" vertical="center" wrapText="1"/>
      <protection hidden="1"/>
    </xf>
    <xf numFmtId="0" fontId="186" fillId="20" borderId="0" xfId="1" applyFont="1" applyFill="1" applyBorder="1" applyAlignment="1">
      <alignment horizontal="left" vertical="center" wrapText="1"/>
    </xf>
    <xf numFmtId="0" fontId="186" fillId="0" borderId="20" xfId="1" applyFont="1" applyFill="1" applyBorder="1" applyAlignment="1">
      <alignment horizontal="left" vertical="center" wrapText="1"/>
    </xf>
    <xf numFmtId="0" fontId="63" fillId="3" borderId="0" xfId="6" applyFont="1" applyFill="1" applyBorder="1" applyAlignment="1">
      <alignment vertical="center"/>
    </xf>
    <xf numFmtId="0" fontId="42" fillId="0" borderId="0" xfId="1" applyFont="1" applyBorder="1"/>
    <xf numFmtId="0" fontId="388" fillId="0" borderId="0" xfId="5" applyFont="1" applyBorder="1" applyAlignment="1" applyProtection="1">
      <alignment horizontal="left" vertical="center"/>
    </xf>
    <xf numFmtId="0" fontId="63" fillId="0" borderId="15" xfId="1" applyFont="1" applyBorder="1" applyAlignment="1">
      <alignment vertical="center"/>
    </xf>
    <xf numFmtId="0" fontId="63" fillId="0" borderId="52" xfId="1" applyFont="1" applyBorder="1" applyAlignment="1">
      <alignment vertical="center"/>
    </xf>
    <xf numFmtId="0" fontId="91" fillId="3" borderId="0" xfId="6" applyFont="1" applyFill="1" applyBorder="1" applyAlignment="1">
      <alignment vertical="center"/>
    </xf>
    <xf numFmtId="0" fontId="77" fillId="3" borderId="0" xfId="1" applyFont="1" applyFill="1" applyAlignment="1" applyProtection="1">
      <alignment horizontal="left" vertical="center"/>
      <protection hidden="1"/>
    </xf>
    <xf numFmtId="0" fontId="389" fillId="5" borderId="0" xfId="5" applyFont="1" applyFill="1" applyAlignment="1" applyProtection="1">
      <alignment vertical="center"/>
    </xf>
    <xf numFmtId="0" fontId="42" fillId="3" borderId="0" xfId="1" applyFont="1" applyFill="1" applyAlignment="1" applyProtection="1">
      <alignment vertical="center"/>
      <protection hidden="1"/>
    </xf>
    <xf numFmtId="0" fontId="8" fillId="3" borderId="0" xfId="2" applyFont="1" applyFill="1" applyAlignment="1">
      <alignment vertical="center"/>
    </xf>
    <xf numFmtId="0" fontId="8" fillId="3" borderId="0" xfId="2" applyFont="1" applyFill="1"/>
    <xf numFmtId="0" fontId="42" fillId="3" borderId="0" xfId="1" applyFont="1" applyFill="1" applyAlignment="1">
      <alignment vertical="center"/>
    </xf>
    <xf numFmtId="0" fontId="91" fillId="20" borderId="0" xfId="1" applyFont="1" applyFill="1" applyBorder="1" applyAlignment="1">
      <alignment vertical="center"/>
    </xf>
    <xf numFmtId="0" fontId="64" fillId="4" borderId="54" xfId="1" applyFont="1" applyFill="1" applyBorder="1" applyAlignment="1" applyProtection="1">
      <alignment horizontal="center" vertical="center" wrapText="1"/>
      <protection hidden="1"/>
    </xf>
    <xf numFmtId="0" fontId="64" fillId="4" borderId="16" xfId="1" applyFont="1" applyFill="1" applyBorder="1" applyAlignment="1" applyProtection="1">
      <alignment horizontal="center" vertical="center" wrapText="1"/>
      <protection hidden="1"/>
    </xf>
    <xf numFmtId="0" fontId="64" fillId="4" borderId="16" xfId="1" applyFont="1" applyFill="1" applyBorder="1" applyAlignment="1">
      <alignment horizontal="center" vertical="center"/>
    </xf>
    <xf numFmtId="0" fontId="33" fillId="11" borderId="54" xfId="1" applyFont="1" applyFill="1" applyBorder="1" applyAlignment="1" applyProtection="1">
      <alignment horizontal="center" vertical="center" wrapText="1"/>
      <protection hidden="1"/>
    </xf>
    <xf numFmtId="0" fontId="33" fillId="11" borderId="16" xfId="1" applyFont="1" applyFill="1" applyBorder="1" applyAlignment="1" applyProtection="1">
      <alignment horizontal="center" vertical="center" wrapText="1"/>
      <protection hidden="1"/>
    </xf>
    <xf numFmtId="0" fontId="41" fillId="11" borderId="16" xfId="1" applyFont="1" applyFill="1" applyBorder="1" applyAlignment="1">
      <alignment horizontal="center" vertical="center"/>
    </xf>
    <xf numFmtId="166" fontId="41" fillId="11" borderId="17" xfId="1" applyNumberFormat="1" applyFont="1" applyFill="1" applyBorder="1" applyAlignment="1">
      <alignment horizontal="center" vertical="center" wrapText="1"/>
    </xf>
    <xf numFmtId="0" fontId="264" fillId="3" borderId="0" xfId="1" applyFont="1" applyFill="1" applyAlignment="1" applyProtection="1">
      <alignment horizontal="left" vertical="center"/>
      <protection hidden="1"/>
    </xf>
    <xf numFmtId="0" fontId="33" fillId="20" borderId="0" xfId="1" applyFont="1" applyFill="1" applyBorder="1" applyAlignment="1" applyProtection="1">
      <alignment horizontal="center" vertical="center" wrapText="1"/>
      <protection hidden="1"/>
    </xf>
    <xf numFmtId="0" fontId="33" fillId="3" borderId="20" xfId="1" applyFont="1" applyFill="1" applyBorder="1" applyAlignment="1" applyProtection="1">
      <alignment horizontal="center" vertical="center" wrapText="1"/>
      <protection hidden="1"/>
    </xf>
    <xf numFmtId="0" fontId="64" fillId="3" borderId="0" xfId="6" applyFont="1" applyFill="1" applyBorder="1" applyAlignment="1">
      <alignment horizontal="right" vertical="center"/>
    </xf>
    <xf numFmtId="0" fontId="64" fillId="3" borderId="21" xfId="1" applyFont="1" applyFill="1" applyBorder="1" applyAlignment="1" applyProtection="1">
      <alignment horizontal="center" vertical="center" wrapText="1"/>
      <protection hidden="1"/>
    </xf>
    <xf numFmtId="1" fontId="77" fillId="3" borderId="22" xfId="1" applyNumberFormat="1" applyFont="1" applyFill="1" applyBorder="1" applyAlignment="1" applyProtection="1">
      <alignment horizontal="center" vertical="center"/>
      <protection hidden="1"/>
    </xf>
    <xf numFmtId="1" fontId="41" fillId="3" borderId="23" xfId="1" applyNumberFormat="1" applyFont="1" applyFill="1" applyBorder="1" applyAlignment="1" applyProtection="1">
      <alignment vertical="center"/>
      <protection hidden="1"/>
    </xf>
    <xf numFmtId="1" fontId="64" fillId="4" borderId="55" xfId="1" applyNumberFormat="1" applyFont="1" applyFill="1" applyBorder="1" applyAlignment="1" applyProtection="1">
      <alignment horizontal="left" vertical="center"/>
      <protection hidden="1"/>
    </xf>
    <xf numFmtId="1" fontId="64" fillId="4" borderId="56" xfId="1" applyNumberFormat="1" applyFont="1" applyFill="1" applyBorder="1" applyAlignment="1" applyProtection="1">
      <alignment horizontal="right" vertical="center"/>
      <protection hidden="1"/>
    </xf>
    <xf numFmtId="166" fontId="64" fillId="4" borderId="56" xfId="1" applyNumberFormat="1" applyFont="1" applyFill="1" applyBorder="1" applyAlignment="1">
      <alignment vertical="center"/>
    </xf>
    <xf numFmtId="0" fontId="313" fillId="3" borderId="20" xfId="1" applyFont="1" applyFill="1" applyBorder="1" applyAlignment="1" applyProtection="1">
      <alignment horizontal="center" vertical="center" wrapText="1"/>
      <protection hidden="1"/>
    </xf>
    <xf numFmtId="0" fontId="313" fillId="3" borderId="0" xfId="1" applyFont="1" applyFill="1" applyBorder="1" applyAlignment="1" applyProtection="1">
      <alignment horizontal="center" vertical="center" wrapText="1"/>
      <protection hidden="1"/>
    </xf>
    <xf numFmtId="0" fontId="385" fillId="3" borderId="0" xfId="6" applyFont="1" applyFill="1" applyBorder="1" applyAlignment="1">
      <alignment horizontal="right" vertical="center"/>
    </xf>
    <xf numFmtId="0" fontId="385" fillId="3" borderId="21" xfId="1" applyFont="1" applyFill="1" applyBorder="1" applyAlignment="1" applyProtection="1">
      <alignment horizontal="center" vertical="center" wrapText="1"/>
      <protection hidden="1"/>
    </xf>
    <xf numFmtId="165" fontId="40" fillId="20" borderId="0" xfId="1" applyNumberFormat="1" applyFont="1" applyFill="1" applyBorder="1" applyAlignment="1" applyProtection="1">
      <alignment horizontal="center" vertical="center"/>
    </xf>
    <xf numFmtId="165" fontId="40" fillId="3" borderId="57" xfId="1" applyNumberFormat="1" applyFont="1" applyFill="1" applyBorder="1" applyAlignment="1" applyProtection="1">
      <alignment horizontal="center" vertical="center"/>
    </xf>
    <xf numFmtId="0" fontId="33" fillId="3" borderId="15" xfId="1" applyFont="1" applyFill="1" applyBorder="1" applyAlignment="1" applyProtection="1">
      <alignment horizontal="center" vertical="center" wrapText="1"/>
      <protection hidden="1"/>
    </xf>
    <xf numFmtId="0" fontId="91" fillId="3" borderId="58" xfId="1" applyFont="1" applyFill="1" applyBorder="1" applyAlignment="1">
      <alignment horizontal="center" vertical="center"/>
    </xf>
    <xf numFmtId="0" fontId="64" fillId="0" borderId="59" xfId="1" applyFont="1" applyFill="1" applyBorder="1" applyAlignment="1" applyProtection="1">
      <alignment horizontal="center" vertical="center" wrapText="1"/>
      <protection hidden="1"/>
    </xf>
    <xf numFmtId="0" fontId="64" fillId="0" borderId="60" xfId="1" applyFont="1" applyFill="1" applyBorder="1" applyAlignment="1" applyProtection="1">
      <alignment horizontal="center" vertical="center" wrapText="1"/>
      <protection hidden="1"/>
    </xf>
    <xf numFmtId="0" fontId="77" fillId="0" borderId="61" xfId="1" applyFont="1" applyFill="1" applyBorder="1" applyAlignment="1" applyProtection="1">
      <alignment horizontal="center" vertical="center" wrapText="1"/>
      <protection hidden="1"/>
    </xf>
    <xf numFmtId="0" fontId="77" fillId="3" borderId="62" xfId="1" applyFont="1" applyFill="1" applyBorder="1" applyAlignment="1" applyProtection="1">
      <alignment horizontal="center" vertical="center" wrapText="1"/>
      <protection hidden="1"/>
    </xf>
    <xf numFmtId="0" fontId="63" fillId="12" borderId="62" xfId="1" applyFont="1" applyFill="1" applyBorder="1" applyAlignment="1" applyProtection="1">
      <alignment horizontal="center" vertical="center"/>
      <protection hidden="1"/>
    </xf>
    <xf numFmtId="165" fontId="313" fillId="3" borderId="20" xfId="1" applyNumberFormat="1" applyFont="1" applyFill="1" applyBorder="1" applyAlignment="1" applyProtection="1">
      <alignment horizontal="right" vertical="center"/>
    </xf>
    <xf numFmtId="165" fontId="313" fillId="3" borderId="0" xfId="1" applyNumberFormat="1" applyFont="1" applyFill="1" applyBorder="1" applyAlignment="1" applyProtection="1">
      <alignment horizontal="right" vertical="center"/>
    </xf>
    <xf numFmtId="165" fontId="390" fillId="3" borderId="0" xfId="1" applyNumberFormat="1" applyFont="1" applyFill="1" applyBorder="1" applyAlignment="1" applyProtection="1">
      <alignment horizontal="right" vertical="center"/>
    </xf>
    <xf numFmtId="0" fontId="390" fillId="3" borderId="21" xfId="1" applyFont="1" applyFill="1" applyBorder="1" applyAlignment="1" applyProtection="1">
      <alignment horizontal="center" vertical="center" wrapText="1"/>
      <protection hidden="1"/>
    </xf>
    <xf numFmtId="1" fontId="313" fillId="7" borderId="22" xfId="1" applyNumberFormat="1" applyFont="1" applyFill="1" applyBorder="1" applyAlignment="1" applyProtection="1">
      <alignment horizontal="center" vertical="center"/>
      <protection hidden="1"/>
    </xf>
    <xf numFmtId="165" fontId="40" fillId="12" borderId="23" xfId="1" applyNumberFormat="1" applyFont="1" applyFill="1" applyBorder="1" applyAlignment="1" applyProtection="1">
      <alignment horizontal="center" vertical="center"/>
    </xf>
    <xf numFmtId="1" fontId="313" fillId="7" borderId="56" xfId="1" applyNumberFormat="1" applyFont="1" applyFill="1" applyBorder="1" applyAlignment="1" applyProtection="1">
      <alignment horizontal="center" vertical="center"/>
      <protection hidden="1"/>
    </xf>
    <xf numFmtId="165" fontId="40" fillId="12" borderId="24" xfId="1" applyNumberFormat="1" applyFont="1" applyFill="1" applyBorder="1" applyAlignment="1" applyProtection="1">
      <alignment horizontal="center" vertical="center"/>
    </xf>
    <xf numFmtId="0" fontId="372" fillId="3" borderId="0" xfId="1" applyFont="1" applyFill="1" applyAlignment="1" applyProtection="1">
      <alignment vertical="center"/>
      <protection hidden="1"/>
    </xf>
    <xf numFmtId="0" fontId="391" fillId="3" borderId="0" xfId="1" applyFont="1" applyFill="1" applyAlignment="1" applyProtection="1">
      <alignment horizontal="left" vertical="center"/>
      <protection hidden="1"/>
    </xf>
    <xf numFmtId="169" fontId="52" fillId="20" borderId="0" xfId="6" applyNumberFormat="1" applyFont="1" applyFill="1" applyBorder="1" applyAlignment="1">
      <alignment horizontal="center" vertical="center"/>
    </xf>
    <xf numFmtId="169" fontId="52" fillId="0" borderId="20" xfId="6" applyNumberFormat="1" applyFont="1" applyFill="1" applyBorder="1" applyAlignment="1">
      <alignment horizontal="center" vertical="center"/>
    </xf>
    <xf numFmtId="0" fontId="64" fillId="0" borderId="0" xfId="1" applyFont="1" applyFill="1" applyBorder="1" applyAlignment="1">
      <alignment horizontal="right" vertical="center"/>
    </xf>
    <xf numFmtId="0" fontId="91" fillId="0" borderId="0" xfId="1" applyFont="1" applyFill="1" applyBorder="1" applyAlignment="1">
      <alignment horizontal="center" vertical="center"/>
    </xf>
    <xf numFmtId="2" fontId="64" fillId="3" borderId="27" xfId="6" applyNumberFormat="1" applyFont="1" applyFill="1" applyBorder="1" applyAlignment="1">
      <alignment horizontal="center" vertical="center"/>
    </xf>
    <xf numFmtId="166" fontId="64" fillId="3" borderId="37" xfId="1" applyNumberFormat="1" applyFont="1" applyFill="1" applyBorder="1" applyAlignment="1">
      <alignment vertical="center"/>
    </xf>
    <xf numFmtId="2" fontId="77" fillId="0" borderId="63" xfId="6" applyNumberFormat="1" applyFont="1" applyFill="1" applyBorder="1" applyAlignment="1">
      <alignment horizontal="center" vertical="center"/>
    </xf>
    <xf numFmtId="166" fontId="372" fillId="0" borderId="0" xfId="1" applyNumberFormat="1" applyFont="1" applyFill="1" applyBorder="1" applyAlignment="1">
      <alignment vertical="center"/>
    </xf>
    <xf numFmtId="10" fontId="91" fillId="12" borderId="0" xfId="6" applyNumberFormat="1" applyFont="1" applyFill="1" applyBorder="1" applyAlignment="1">
      <alignment horizontal="center" vertical="center"/>
    </xf>
    <xf numFmtId="169" fontId="52" fillId="0" borderId="64" xfId="6" applyNumberFormat="1" applyFont="1" applyFill="1" applyBorder="1" applyAlignment="1">
      <alignment horizontal="center" vertical="center"/>
    </xf>
    <xf numFmtId="0" fontId="392" fillId="0" borderId="26" xfId="1" applyFont="1" applyFill="1" applyBorder="1" applyAlignment="1">
      <alignment horizontal="right" vertical="center"/>
    </xf>
    <xf numFmtId="0" fontId="393" fillId="0" borderId="26" xfId="1" applyFont="1" applyFill="1" applyBorder="1" applyAlignment="1">
      <alignment horizontal="center" vertical="center"/>
    </xf>
    <xf numFmtId="166" fontId="394" fillId="7" borderId="65" xfId="1" applyNumberFormat="1" applyFont="1" applyFill="1" applyBorder="1" applyAlignment="1">
      <alignment vertical="center"/>
    </xf>
    <xf numFmtId="165" fontId="392" fillId="0" borderId="20" xfId="6" applyNumberFormat="1" applyFont="1" applyFill="1" applyBorder="1" applyAlignment="1">
      <alignment horizontal="center" vertical="center"/>
    </xf>
    <xf numFmtId="169" fontId="91" fillId="12" borderId="21" xfId="6" applyNumberFormat="1" applyFont="1" applyFill="1" applyBorder="1" applyAlignment="1">
      <alignment horizontal="center" vertical="center"/>
    </xf>
    <xf numFmtId="169" fontId="91" fillId="12" borderId="51" xfId="6" applyNumberFormat="1" applyFont="1" applyFill="1" applyBorder="1" applyAlignment="1">
      <alignment horizontal="center" vertical="center"/>
    </xf>
    <xf numFmtId="169" fontId="52" fillId="4" borderId="20" xfId="6" applyNumberFormat="1" applyFont="1" applyFill="1" applyBorder="1" applyAlignment="1">
      <alignment horizontal="center" vertical="center"/>
    </xf>
    <xf numFmtId="0" fontId="171" fillId="4" borderId="0" xfId="1" applyFont="1" applyFill="1" applyBorder="1" applyAlignment="1">
      <alignment horizontal="right" vertical="center"/>
    </xf>
    <xf numFmtId="169" fontId="52" fillId="11" borderId="20" xfId="6" applyNumberFormat="1" applyFont="1" applyFill="1" applyBorder="1" applyAlignment="1">
      <alignment horizontal="center" vertical="center"/>
    </xf>
    <xf numFmtId="0" fontId="171" fillId="11" borderId="0" xfId="1" applyFont="1" applyFill="1" applyBorder="1" applyAlignment="1">
      <alignment horizontal="right" vertical="center"/>
    </xf>
    <xf numFmtId="0" fontId="393" fillId="0" borderId="0" xfId="1" applyFont="1" applyFill="1" applyBorder="1" applyAlignment="1">
      <alignment horizontal="center" vertical="center"/>
    </xf>
    <xf numFmtId="166" fontId="395" fillId="7" borderId="66" xfId="1" applyNumberFormat="1" applyFont="1" applyFill="1" applyBorder="1" applyAlignment="1">
      <alignment vertical="center"/>
    </xf>
    <xf numFmtId="0" fontId="372" fillId="0" borderId="0" xfId="1" applyFont="1" applyFill="1" applyBorder="1" applyAlignment="1">
      <alignment horizontal="right" vertical="center"/>
    </xf>
    <xf numFmtId="0" fontId="372" fillId="0" borderId="0" xfId="1" applyFont="1" applyFill="1" applyBorder="1" applyAlignment="1">
      <alignment horizontal="center" vertical="center"/>
    </xf>
    <xf numFmtId="169" fontId="372" fillId="0" borderId="20" xfId="6" applyNumberFormat="1" applyFont="1" applyFill="1" applyBorder="1" applyAlignment="1">
      <alignment horizontal="center" vertical="center"/>
    </xf>
    <xf numFmtId="0" fontId="396" fillId="0" borderId="0" xfId="1" applyFont="1" applyFill="1" applyBorder="1" applyAlignment="1">
      <alignment horizontal="right" vertical="center"/>
    </xf>
    <xf numFmtId="0" fontId="396" fillId="0" borderId="0" xfId="1" applyFont="1" applyFill="1" applyBorder="1" applyAlignment="1">
      <alignment horizontal="center" vertical="center"/>
    </xf>
    <xf numFmtId="0" fontId="77" fillId="3" borderId="0" xfId="1" applyFont="1" applyFill="1" applyAlignment="1" applyProtection="1">
      <alignment horizontal="center" vertical="center"/>
      <protection hidden="1"/>
    </xf>
    <xf numFmtId="0" fontId="77" fillId="0" borderId="0" xfId="1" applyFont="1" applyFill="1" applyBorder="1" applyAlignment="1">
      <alignment horizontal="right" vertical="center"/>
    </xf>
    <xf numFmtId="0" fontId="398" fillId="3" borderId="0" xfId="1" applyFont="1" applyFill="1" applyBorder="1" applyAlignment="1" applyProtection="1">
      <alignment horizontal="center" vertical="center"/>
      <protection hidden="1"/>
    </xf>
    <xf numFmtId="0" fontId="381" fillId="6" borderId="0" xfId="1" applyFont="1" applyFill="1" applyAlignment="1" applyProtection="1">
      <alignment horizontal="center" vertical="center"/>
      <protection hidden="1"/>
    </xf>
    <xf numFmtId="0" fontId="395" fillId="3" borderId="0" xfId="1" applyFont="1" applyFill="1" applyAlignment="1" applyProtection="1">
      <alignment vertical="center"/>
      <protection hidden="1"/>
    </xf>
    <xf numFmtId="0" fontId="399" fillId="3" borderId="0" xfId="1" applyFont="1" applyFill="1" applyAlignment="1" applyProtection="1">
      <alignment vertical="center"/>
      <protection hidden="1"/>
    </xf>
    <xf numFmtId="0" fontId="42" fillId="3" borderId="0" xfId="1" applyFont="1" applyFill="1" applyBorder="1" applyAlignment="1" applyProtection="1">
      <alignment vertical="center"/>
      <protection hidden="1"/>
    </xf>
    <xf numFmtId="0" fontId="395" fillId="3" borderId="0" xfId="1" applyFont="1" applyFill="1" applyBorder="1" applyAlignment="1" applyProtection="1">
      <alignment vertical="center"/>
      <protection hidden="1"/>
    </xf>
    <xf numFmtId="0" fontId="400" fillId="3" borderId="0" xfId="1" applyFont="1" applyFill="1" applyBorder="1" applyAlignment="1" applyProtection="1">
      <alignment horizontal="center" vertical="center" wrapText="1"/>
      <protection hidden="1"/>
    </xf>
    <xf numFmtId="0" fontId="401" fillId="3" borderId="0" xfId="1" applyFont="1" applyFill="1" applyBorder="1" applyAlignment="1">
      <alignment vertical="center"/>
    </xf>
    <xf numFmtId="0" fontId="42" fillId="0" borderId="0" xfId="1" applyFont="1"/>
    <xf numFmtId="0" fontId="395" fillId="0" borderId="0" xfId="1" applyFont="1" applyAlignment="1" applyProtection="1">
      <alignment vertical="center"/>
      <protection hidden="1"/>
    </xf>
    <xf numFmtId="0" fontId="399" fillId="0" borderId="0" xfId="1" applyFont="1" applyAlignment="1" applyProtection="1">
      <alignment vertical="center"/>
      <protection hidden="1"/>
    </xf>
    <xf numFmtId="0" fontId="372" fillId="0" borderId="0" xfId="1" applyFont="1" applyAlignment="1" applyProtection="1">
      <alignment vertical="center"/>
      <protection hidden="1"/>
    </xf>
    <xf numFmtId="0" fontId="372" fillId="0" borderId="0" xfId="1" applyFont="1" applyProtection="1">
      <protection hidden="1"/>
    </xf>
    <xf numFmtId="0" fontId="372" fillId="3" borderId="0" xfId="1" applyFont="1" applyFill="1" applyProtection="1">
      <protection hidden="1"/>
    </xf>
    <xf numFmtId="0" fontId="372" fillId="3" borderId="2" xfId="1" applyFont="1" applyFill="1" applyBorder="1" applyAlignment="1">
      <alignment horizontal="center" vertical="center"/>
    </xf>
    <xf numFmtId="0" fontId="63" fillId="0" borderId="0" xfId="1" applyFont="1" applyFill="1" applyBorder="1" applyAlignment="1">
      <alignment horizontal="right" vertical="center"/>
    </xf>
    <xf numFmtId="165" fontId="77" fillId="0" borderId="63" xfId="6" applyNumberFormat="1" applyFont="1" applyFill="1" applyBorder="1" applyAlignment="1">
      <alignment horizontal="center" vertical="center"/>
    </xf>
    <xf numFmtId="170" fontId="372" fillId="0" borderId="0" xfId="1" applyNumberFormat="1" applyFont="1" applyFill="1" applyBorder="1" applyAlignment="1">
      <alignment vertical="center"/>
    </xf>
    <xf numFmtId="0" fontId="42" fillId="3" borderId="0" xfId="1" applyFont="1" applyFill="1"/>
    <xf numFmtId="0" fontId="33" fillId="8" borderId="10" xfId="1" applyFont="1" applyFill="1" applyBorder="1" applyAlignment="1">
      <alignment horizontal="center" vertical="center" textRotation="90"/>
    </xf>
    <xf numFmtId="0" fontId="33" fillId="9" borderId="10" xfId="1" applyFont="1" applyFill="1" applyBorder="1" applyAlignment="1">
      <alignment horizontal="center" vertical="center" textRotation="90"/>
    </xf>
    <xf numFmtId="0" fontId="33" fillId="10" borderId="10" xfId="1" applyFont="1" applyFill="1" applyBorder="1" applyAlignment="1">
      <alignment horizontal="center" vertical="center" textRotation="90"/>
    </xf>
    <xf numFmtId="0" fontId="33" fillId="5" borderId="10" xfId="1" applyFont="1" applyFill="1" applyBorder="1" applyAlignment="1">
      <alignment horizontal="center" vertical="center" textRotation="90"/>
    </xf>
    <xf numFmtId="0" fontId="77" fillId="8" borderId="14" xfId="1" applyFont="1" applyFill="1" applyBorder="1" applyAlignment="1">
      <alignment horizontal="center" vertical="center" textRotation="90"/>
    </xf>
    <xf numFmtId="0" fontId="77" fillId="9" borderId="14" xfId="1" applyFont="1" applyFill="1" applyBorder="1" applyAlignment="1">
      <alignment horizontal="center" vertical="center" textRotation="90"/>
    </xf>
    <xf numFmtId="0" fontId="77" fillId="10" borderId="14" xfId="1" applyFont="1" applyFill="1" applyBorder="1" applyAlignment="1">
      <alignment horizontal="center" vertical="center" textRotation="90"/>
    </xf>
    <xf numFmtId="0" fontId="77" fillId="5" borderId="14" xfId="1" applyFont="1" applyFill="1" applyBorder="1" applyAlignment="1">
      <alignment horizontal="center" vertical="center" textRotation="90"/>
    </xf>
    <xf numFmtId="0" fontId="372" fillId="3" borderId="0" xfId="1" applyFont="1" applyFill="1"/>
    <xf numFmtId="165" fontId="403" fillId="3" borderId="20" xfId="1" applyNumberFormat="1" applyFont="1" applyFill="1" applyBorder="1" applyAlignment="1" applyProtection="1">
      <alignment horizontal="right" vertical="center"/>
    </xf>
    <xf numFmtId="165" fontId="403" fillId="3" borderId="0" xfId="1" applyNumberFormat="1" applyFont="1" applyFill="1" applyBorder="1" applyAlignment="1" applyProtection="1">
      <alignment horizontal="right" vertical="center"/>
    </xf>
    <xf numFmtId="0" fontId="403" fillId="3" borderId="21" xfId="1" applyFont="1" applyFill="1" applyBorder="1" applyAlignment="1" applyProtection="1">
      <alignment horizontal="center" vertical="center" wrapText="1"/>
      <protection hidden="1"/>
    </xf>
    <xf numFmtId="1" fontId="403" fillId="7" borderId="22" xfId="1" applyNumberFormat="1" applyFont="1" applyFill="1" applyBorder="1" applyAlignment="1" applyProtection="1">
      <alignment horizontal="center" vertical="center"/>
      <protection hidden="1"/>
    </xf>
    <xf numFmtId="165" fontId="372" fillId="12" borderId="23" xfId="1" applyNumberFormat="1" applyFont="1" applyFill="1" applyBorder="1" applyAlignment="1" applyProtection="1">
      <alignment horizontal="center" vertical="center"/>
    </xf>
    <xf numFmtId="165" fontId="372" fillId="12" borderId="24" xfId="1" applyNumberFormat="1" applyFont="1" applyFill="1" applyBorder="1" applyAlignment="1" applyProtection="1">
      <alignment horizontal="center" vertical="center"/>
    </xf>
    <xf numFmtId="0" fontId="403" fillId="3" borderId="20" xfId="1" applyFont="1" applyFill="1" applyBorder="1" applyAlignment="1" applyProtection="1">
      <alignment horizontal="center" vertical="center" wrapText="1"/>
      <protection hidden="1"/>
    </xf>
    <xf numFmtId="0" fontId="403" fillId="3" borderId="0" xfId="1" applyFont="1" applyFill="1" applyBorder="1" applyAlignment="1" applyProtection="1">
      <alignment horizontal="center" vertical="center" wrapText="1"/>
      <protection hidden="1"/>
    </xf>
    <xf numFmtId="0" fontId="400" fillId="3" borderId="21" xfId="1" applyFont="1" applyFill="1" applyBorder="1" applyAlignment="1" applyProtection="1">
      <alignment horizontal="center" vertical="center" wrapText="1"/>
      <protection hidden="1"/>
    </xf>
    <xf numFmtId="1" fontId="400" fillId="13" borderId="0" xfId="1" applyNumberFormat="1" applyFont="1" applyFill="1" applyBorder="1" applyAlignment="1" applyProtection="1">
      <alignment horizontal="center" vertical="center"/>
      <protection hidden="1"/>
    </xf>
    <xf numFmtId="2" fontId="404" fillId="0" borderId="21" xfId="1" applyNumberFormat="1" applyFont="1" applyBorder="1" applyAlignment="1">
      <alignment horizontal="center" vertical="center"/>
    </xf>
    <xf numFmtId="2" fontId="404" fillId="0" borderId="0" xfId="1" applyNumberFormat="1" applyFont="1" applyBorder="1" applyAlignment="1">
      <alignment horizontal="center" vertical="center"/>
    </xf>
    <xf numFmtId="0" fontId="42" fillId="3" borderId="0" xfId="1" applyFont="1" applyFill="1" applyBorder="1" applyProtection="1">
      <protection hidden="1"/>
    </xf>
    <xf numFmtId="0" fontId="77" fillId="11" borderId="16" xfId="1" applyFont="1" applyFill="1" applyBorder="1" applyAlignment="1">
      <alignment horizontal="center" vertical="center"/>
    </xf>
    <xf numFmtId="166" fontId="33" fillId="11" borderId="17" xfId="1" applyNumberFormat="1" applyFont="1" applyFill="1" applyBorder="1" applyAlignment="1">
      <alignment horizontal="center" vertical="center" wrapText="1"/>
    </xf>
    <xf numFmtId="2" fontId="385" fillId="0" borderId="63" xfId="6" applyNumberFormat="1" applyFont="1" applyFill="1" applyBorder="1" applyAlignment="1">
      <alignment horizontal="center" vertical="center"/>
    </xf>
    <xf numFmtId="166" fontId="63" fillId="0" borderId="0" xfId="1" applyNumberFormat="1" applyFont="1" applyFill="1" applyBorder="1" applyAlignment="1">
      <alignment vertical="center"/>
    </xf>
    <xf numFmtId="165" fontId="392" fillId="0" borderId="57" xfId="6" applyNumberFormat="1" applyFont="1" applyFill="1" applyBorder="1" applyAlignment="1">
      <alignment horizontal="center" vertical="center"/>
    </xf>
    <xf numFmtId="169" fontId="48" fillId="22" borderId="0" xfId="6" applyNumberFormat="1" applyFont="1" applyFill="1" applyBorder="1" applyAlignment="1">
      <alignment horizontal="center" vertical="center"/>
    </xf>
    <xf numFmtId="169" fontId="48" fillId="23" borderId="54" xfId="6" applyNumberFormat="1" applyFont="1" applyFill="1" applyBorder="1" applyAlignment="1">
      <alignment horizontal="center" vertical="center"/>
    </xf>
    <xf numFmtId="169" fontId="405" fillId="23" borderId="16" xfId="6" applyNumberFormat="1" applyFont="1" applyFill="1" applyBorder="1" applyAlignment="1">
      <alignment horizontal="center" vertical="center"/>
    </xf>
    <xf numFmtId="0" fontId="406" fillId="23" borderId="67" xfId="6" applyNumberFormat="1" applyFont="1" applyFill="1" applyBorder="1" applyAlignment="1">
      <alignment horizontal="center" vertical="center"/>
    </xf>
    <xf numFmtId="165" fontId="91" fillId="23" borderId="68" xfId="6" applyNumberFormat="1" applyFont="1" applyFill="1" applyBorder="1" applyAlignment="1">
      <alignment horizontal="center" vertical="center"/>
    </xf>
    <xf numFmtId="166" fontId="33" fillId="4" borderId="69" xfId="1" applyNumberFormat="1" applyFont="1" applyFill="1" applyBorder="1" applyAlignment="1">
      <alignment vertical="center"/>
    </xf>
    <xf numFmtId="166" fontId="33" fillId="4" borderId="70" xfId="1" applyNumberFormat="1" applyFont="1" applyFill="1" applyBorder="1" applyAlignment="1">
      <alignment vertical="center"/>
    </xf>
    <xf numFmtId="165" fontId="91" fillId="23" borderId="18" xfId="6" applyNumberFormat="1" applyFont="1" applyFill="1" applyBorder="1" applyAlignment="1">
      <alignment horizontal="center" vertical="center"/>
    </xf>
    <xf numFmtId="166" fontId="33" fillId="4" borderId="16" xfId="1" applyNumberFormat="1" applyFont="1" applyFill="1" applyBorder="1" applyAlignment="1">
      <alignment vertical="center"/>
    </xf>
    <xf numFmtId="169" fontId="91" fillId="23" borderId="16" xfId="6" applyNumberFormat="1" applyFont="1" applyFill="1" applyBorder="1" applyAlignment="1">
      <alignment horizontal="center" vertical="center"/>
    </xf>
    <xf numFmtId="165" fontId="91" fillId="24" borderId="71" xfId="6" applyNumberFormat="1" applyFont="1" applyFill="1" applyBorder="1" applyAlignment="1">
      <alignment horizontal="center" vertical="center"/>
    </xf>
    <xf numFmtId="169" fontId="91" fillId="24" borderId="72" xfId="6" applyNumberFormat="1" applyFont="1" applyFill="1" applyBorder="1" applyAlignment="1">
      <alignment horizontal="center" vertical="center"/>
    </xf>
    <xf numFmtId="165" fontId="91" fillId="24" borderId="73" xfId="6" applyNumberFormat="1" applyFont="1" applyFill="1" applyBorder="1" applyAlignment="1">
      <alignment horizontal="center" vertical="center"/>
    </xf>
    <xf numFmtId="169" fontId="91" fillId="24" borderId="74" xfId="6" applyNumberFormat="1" applyFont="1" applyFill="1" applyBorder="1" applyAlignment="1">
      <alignment horizontal="center" vertical="center"/>
    </xf>
    <xf numFmtId="0" fontId="48" fillId="20" borderId="0" xfId="1" applyFont="1" applyFill="1" applyBorder="1" applyAlignment="1">
      <alignment horizontal="centerContinuous" vertical="center" wrapText="1"/>
    </xf>
    <xf numFmtId="0" fontId="42" fillId="3" borderId="20" xfId="1" applyFont="1" applyFill="1" applyBorder="1" applyAlignment="1">
      <alignment vertical="center"/>
    </xf>
    <xf numFmtId="0" fontId="64" fillId="3" borderId="0" xfId="1" applyFont="1" applyFill="1" applyBorder="1" applyAlignment="1">
      <alignment vertical="center"/>
    </xf>
    <xf numFmtId="0" fontId="407" fillId="3" borderId="0" xfId="1" applyFont="1" applyFill="1" applyBorder="1" applyAlignment="1">
      <alignment horizontal="right" vertical="center"/>
    </xf>
    <xf numFmtId="165" fontId="408" fillId="3" borderId="27" xfId="6" applyNumberFormat="1" applyFont="1" applyFill="1" applyBorder="1" applyAlignment="1">
      <alignment horizontal="right" vertical="center"/>
    </xf>
    <xf numFmtId="165" fontId="407" fillId="3" borderId="21" xfId="6" applyNumberFormat="1" applyFont="1" applyFill="1" applyBorder="1" applyAlignment="1">
      <alignment horizontal="left" vertical="center"/>
    </xf>
    <xf numFmtId="165" fontId="407" fillId="3" borderId="0" xfId="6" applyNumberFormat="1" applyFont="1" applyFill="1" applyBorder="1" applyAlignment="1">
      <alignment horizontal="left" vertical="center"/>
    </xf>
    <xf numFmtId="165" fontId="33" fillId="3" borderId="27" xfId="6" applyNumberFormat="1" applyFont="1" applyFill="1" applyBorder="1" applyAlignment="1">
      <alignment horizontal="center" vertical="center"/>
    </xf>
    <xf numFmtId="0" fontId="42" fillId="3" borderId="21" xfId="1" applyFont="1" applyFill="1" applyBorder="1" applyAlignment="1">
      <alignment vertical="center"/>
    </xf>
    <xf numFmtId="0" fontId="42" fillId="3" borderId="51" xfId="1" applyFont="1" applyFill="1" applyBorder="1" applyAlignment="1">
      <alignment vertical="center"/>
    </xf>
    <xf numFmtId="0" fontId="156" fillId="20" borderId="0" xfId="6" applyNumberFormat="1" applyFont="1" applyFill="1" applyBorder="1" applyAlignment="1">
      <alignment horizontal="center" vertical="center"/>
    </xf>
    <xf numFmtId="0" fontId="42" fillId="3" borderId="55" xfId="1" applyFont="1" applyFill="1" applyBorder="1" applyAlignment="1">
      <alignment vertical="center"/>
    </xf>
    <xf numFmtId="0" fontId="42" fillId="3" borderId="56" xfId="1" applyFont="1" applyFill="1" applyBorder="1" applyAlignment="1">
      <alignment vertical="center"/>
    </xf>
    <xf numFmtId="0" fontId="409" fillId="3" borderId="56" xfId="1" applyFont="1" applyFill="1" applyBorder="1" applyAlignment="1">
      <alignment horizontal="right" vertical="center"/>
    </xf>
    <xf numFmtId="166" fontId="33" fillId="3" borderId="22" xfId="1" applyNumberFormat="1" applyFont="1" applyFill="1" applyBorder="1" applyAlignment="1">
      <alignment vertical="center"/>
    </xf>
    <xf numFmtId="170" fontId="410" fillId="3" borderId="23" xfId="6" applyNumberFormat="1" applyFont="1" applyFill="1" applyBorder="1" applyAlignment="1">
      <alignment horizontal="center" vertical="center"/>
    </xf>
    <xf numFmtId="1" fontId="38" fillId="3" borderId="27" xfId="1" applyNumberFormat="1" applyFont="1" applyFill="1" applyBorder="1" applyAlignment="1" applyProtection="1">
      <alignment vertical="center"/>
      <protection hidden="1"/>
    </xf>
    <xf numFmtId="170" fontId="410" fillId="3" borderId="0" xfId="6" applyNumberFormat="1" applyFont="1" applyFill="1" applyBorder="1" applyAlignment="1">
      <alignment horizontal="center" vertical="center"/>
    </xf>
    <xf numFmtId="1" fontId="38" fillId="3" borderId="0" xfId="1" applyNumberFormat="1" applyFont="1" applyFill="1" applyBorder="1" applyAlignment="1" applyProtection="1">
      <alignment vertical="center"/>
      <protection hidden="1"/>
    </xf>
    <xf numFmtId="0" fontId="42" fillId="0" borderId="20" xfId="1" applyFont="1" applyBorder="1"/>
    <xf numFmtId="0" fontId="35" fillId="3" borderId="25" xfId="1" applyFont="1" applyFill="1" applyBorder="1" applyAlignment="1">
      <alignment horizontal="right" vertical="center"/>
    </xf>
    <xf numFmtId="0" fontId="35" fillId="3" borderId="0" xfId="1" applyFont="1" applyFill="1" applyBorder="1" applyAlignment="1">
      <alignment horizontal="right" vertical="center"/>
    </xf>
    <xf numFmtId="2" fontId="35" fillId="13" borderId="25" xfId="6" applyNumberFormat="1" applyFont="1" applyFill="1" applyBorder="1" applyAlignment="1">
      <alignment horizontal="right" vertical="center"/>
    </xf>
    <xf numFmtId="2" fontId="35" fillId="13" borderId="26" xfId="6" applyNumberFormat="1" applyFont="1" applyFill="1" applyBorder="1" applyAlignment="1">
      <alignment horizontal="right" vertical="center"/>
    </xf>
    <xf numFmtId="0" fontId="35" fillId="3" borderId="27" xfId="1" applyFont="1" applyFill="1" applyBorder="1" applyAlignment="1">
      <alignment horizontal="right" vertical="center"/>
    </xf>
    <xf numFmtId="2" fontId="35" fillId="13" borderId="0" xfId="6" applyNumberFormat="1" applyFont="1" applyFill="1" applyBorder="1" applyAlignment="1">
      <alignment horizontal="center" vertical="center"/>
    </xf>
    <xf numFmtId="0" fontId="42" fillId="0" borderId="0" xfId="1" applyFont="1" applyBorder="1" applyAlignment="1">
      <alignment horizontal="center" vertical="center"/>
    </xf>
    <xf numFmtId="0" fontId="42" fillId="25" borderId="4" xfId="1" applyFont="1" applyFill="1" applyBorder="1" applyAlignment="1">
      <alignment vertical="center"/>
    </xf>
    <xf numFmtId="0" fontId="42" fillId="25" borderId="5" xfId="1" applyFont="1" applyFill="1" applyBorder="1" applyAlignment="1">
      <alignment vertical="center"/>
    </xf>
    <xf numFmtId="0" fontId="42" fillId="25" borderId="6" xfId="1" applyFont="1" applyFill="1" applyBorder="1" applyAlignment="1">
      <alignment vertical="center"/>
    </xf>
    <xf numFmtId="0" fontId="156" fillId="0" borderId="57" xfId="6" applyNumberFormat="1" applyFont="1" applyFill="1" applyBorder="1" applyAlignment="1">
      <alignment horizontal="center" vertical="center"/>
    </xf>
    <xf numFmtId="0" fontId="50" fillId="0" borderId="15" xfId="1" applyFont="1" applyBorder="1" applyAlignment="1">
      <alignment horizontal="left" vertical="center"/>
    </xf>
    <xf numFmtId="0" fontId="33" fillId="3" borderId="58" xfId="1" applyFont="1" applyFill="1" applyBorder="1" applyAlignment="1">
      <alignment horizontal="right" vertical="center"/>
    </xf>
    <xf numFmtId="0" fontId="33" fillId="3" borderId="15" xfId="1" applyFont="1" applyFill="1" applyBorder="1" applyAlignment="1">
      <alignment horizontal="right" vertical="center"/>
    </xf>
    <xf numFmtId="166" fontId="33" fillId="3" borderId="58" xfId="1" applyNumberFormat="1" applyFont="1" applyFill="1" applyBorder="1" applyAlignment="1">
      <alignment horizontal="right" vertical="center"/>
    </xf>
    <xf numFmtId="166" fontId="33" fillId="3" borderId="15" xfId="1" applyNumberFormat="1" applyFont="1" applyFill="1" applyBorder="1" applyAlignment="1">
      <alignment horizontal="right" vertical="center"/>
    </xf>
    <xf numFmtId="0" fontId="33" fillId="3" borderId="76" xfId="1" applyFont="1" applyFill="1" applyBorder="1" applyAlignment="1">
      <alignment horizontal="right" vertical="center"/>
    </xf>
    <xf numFmtId="165" fontId="33" fillId="3" borderId="15" xfId="1" applyNumberFormat="1" applyFont="1" applyFill="1" applyBorder="1" applyAlignment="1" applyProtection="1">
      <alignment horizontal="center" vertical="center"/>
      <protection hidden="1"/>
    </xf>
    <xf numFmtId="0" fontId="372" fillId="3" borderId="0" xfId="1" applyFont="1" applyFill="1" applyAlignment="1">
      <alignment vertical="center"/>
    </xf>
    <xf numFmtId="0" fontId="412" fillId="0" borderId="20" xfId="1" applyFont="1" applyBorder="1" applyAlignment="1" applyProtection="1">
      <alignment vertical="center"/>
      <protection hidden="1"/>
    </xf>
    <xf numFmtId="0" fontId="40" fillId="0" borderId="0" xfId="1" applyNumberFormat="1" applyFont="1" applyFill="1" applyBorder="1" applyAlignment="1">
      <alignment horizontal="left" vertical="center" wrapText="1"/>
    </xf>
    <xf numFmtId="0" fontId="413" fillId="3" borderId="0" xfId="1" applyFont="1" applyFill="1" applyProtection="1">
      <protection hidden="1"/>
    </xf>
    <xf numFmtId="0" fontId="40" fillId="25" borderId="20" xfId="1" applyFont="1" applyFill="1" applyBorder="1" applyAlignment="1">
      <alignment vertical="center"/>
    </xf>
    <xf numFmtId="0" fontId="40" fillId="25" borderId="0" xfId="1" applyFont="1" applyFill="1" applyBorder="1" applyAlignment="1">
      <alignment vertical="center"/>
    </xf>
    <xf numFmtId="0" fontId="372" fillId="3" borderId="0" xfId="1" applyFont="1" applyFill="1" applyBorder="1" applyProtection="1">
      <protection hidden="1"/>
    </xf>
    <xf numFmtId="0" fontId="372" fillId="3" borderId="0" xfId="1" applyFont="1" applyFill="1" applyBorder="1"/>
    <xf numFmtId="0" fontId="200" fillId="3" borderId="25" xfId="1" applyFont="1" applyFill="1" applyBorder="1" applyAlignment="1">
      <alignment horizontal="right" vertical="center"/>
    </xf>
    <xf numFmtId="0" fontId="200" fillId="3" borderId="0" xfId="1" applyFont="1" applyFill="1" applyBorder="1" applyAlignment="1">
      <alignment horizontal="right" vertical="center"/>
    </xf>
    <xf numFmtId="2" fontId="200" fillId="13" borderId="25" xfId="6" applyNumberFormat="1" applyFont="1" applyFill="1" applyBorder="1" applyAlignment="1">
      <alignment horizontal="right" vertical="center"/>
    </xf>
    <xf numFmtId="2" fontId="200" fillId="13" borderId="26" xfId="6" applyNumberFormat="1" applyFont="1" applyFill="1" applyBorder="1" applyAlignment="1">
      <alignment horizontal="right" vertical="center"/>
    </xf>
    <xf numFmtId="0" fontId="200" fillId="3" borderId="27" xfId="1" applyFont="1" applyFill="1" applyBorder="1" applyAlignment="1">
      <alignment horizontal="right" vertical="center"/>
    </xf>
    <xf numFmtId="0" fontId="77" fillId="11" borderId="20" xfId="1" applyFont="1" applyFill="1" applyBorder="1" applyAlignment="1">
      <alignment horizontal="center" vertical="center" wrapText="1"/>
    </xf>
    <xf numFmtId="0" fontId="77" fillId="11" borderId="0" xfId="1" applyFont="1" applyFill="1" applyBorder="1" applyAlignment="1">
      <alignment horizontal="center" vertical="center" wrapText="1"/>
    </xf>
    <xf numFmtId="0" fontId="264" fillId="11" borderId="0" xfId="6" applyNumberFormat="1" applyFont="1" applyFill="1" applyBorder="1" applyAlignment="1">
      <alignment horizontal="center" vertical="center"/>
    </xf>
    <xf numFmtId="0" fontId="414" fillId="0" borderId="20" xfId="6" applyNumberFormat="1" applyFont="1" applyFill="1" applyBorder="1" applyAlignment="1">
      <alignment horizontal="center" vertical="center"/>
    </xf>
    <xf numFmtId="0" fontId="396" fillId="0" borderId="33" xfId="6" applyNumberFormat="1" applyFont="1" applyFill="1" applyBorder="1" applyAlignment="1">
      <alignment horizontal="center" vertical="center"/>
    </xf>
    <xf numFmtId="0" fontId="415" fillId="0" borderId="0" xfId="1" applyFont="1" applyAlignment="1">
      <alignment horizontal="left" readingOrder="1"/>
    </xf>
    <xf numFmtId="0" fontId="396" fillId="0" borderId="20" xfId="6" applyNumberFormat="1" applyFont="1" applyFill="1" applyBorder="1" applyAlignment="1">
      <alignment horizontal="center" vertical="center"/>
    </xf>
    <xf numFmtId="0" fontId="274" fillId="0" borderId="32" xfId="6" applyNumberFormat="1" applyFont="1" applyFill="1" applyBorder="1" applyAlignment="1">
      <alignment horizontal="center" vertical="center"/>
    </xf>
    <xf numFmtId="0" fontId="274" fillId="0" borderId="33" xfId="6" applyNumberFormat="1" applyFont="1" applyFill="1" applyBorder="1" applyAlignment="1">
      <alignment horizontal="center" vertical="center"/>
    </xf>
    <xf numFmtId="0" fontId="416" fillId="0" borderId="32" xfId="6" applyNumberFormat="1" applyFont="1" applyFill="1" applyBorder="1" applyAlignment="1">
      <alignment horizontal="center" vertical="center"/>
    </xf>
    <xf numFmtId="0" fontId="195" fillId="0" borderId="0" xfId="6" applyNumberFormat="1" applyFont="1" applyFill="1" applyBorder="1" applyAlignment="1">
      <alignment vertical="center" wrapText="1"/>
    </xf>
    <xf numFmtId="0" fontId="195" fillId="0" borderId="35" xfId="6" applyNumberFormat="1" applyFont="1" applyFill="1" applyBorder="1" applyAlignment="1">
      <alignment vertical="center" wrapText="1"/>
    </xf>
    <xf numFmtId="0" fontId="372" fillId="0" borderId="0" xfId="6" applyNumberFormat="1" applyFont="1" applyFill="1" applyBorder="1" applyAlignment="1">
      <alignment horizontal="left" vertical="center"/>
    </xf>
    <xf numFmtId="0" fontId="372" fillId="0" borderId="81" xfId="6" applyNumberFormat="1" applyFont="1" applyFill="1" applyBorder="1" applyAlignment="1">
      <alignment horizontal="left" vertical="center"/>
    </xf>
    <xf numFmtId="166" fontId="406" fillId="15" borderId="32" xfId="1" applyNumberFormat="1" applyFont="1" applyFill="1" applyBorder="1" applyAlignment="1">
      <alignment vertical="center"/>
    </xf>
    <xf numFmtId="166" fontId="406" fillId="15" borderId="0" xfId="1" applyNumberFormat="1" applyFont="1" applyFill="1" applyBorder="1" applyAlignment="1">
      <alignment vertical="center"/>
    </xf>
    <xf numFmtId="166" fontId="406" fillId="15" borderId="35" xfId="1" applyNumberFormat="1" applyFont="1" applyFill="1" applyBorder="1" applyAlignment="1">
      <alignment vertical="center"/>
    </xf>
    <xf numFmtId="0" fontId="63" fillId="0" borderId="0" xfId="6" applyNumberFormat="1" applyFont="1" applyFill="1" applyBorder="1" applyAlignment="1">
      <alignment vertical="center" wrapText="1"/>
    </xf>
    <xf numFmtId="0" fontId="63" fillId="0" borderId="21" xfId="6" applyNumberFormat="1" applyFont="1" applyFill="1" applyBorder="1" applyAlignment="1">
      <alignment vertical="center" wrapText="1"/>
    </xf>
    <xf numFmtId="0" fontId="396" fillId="0" borderId="91" xfId="6" applyNumberFormat="1" applyFont="1" applyFill="1" applyBorder="1" applyAlignment="1">
      <alignment horizontal="center" vertical="center"/>
    </xf>
    <xf numFmtId="0" fontId="417" fillId="16" borderId="32" xfId="6" applyNumberFormat="1" applyFont="1" applyFill="1" applyBorder="1" applyAlignment="1">
      <alignment horizontal="center" vertical="center"/>
    </xf>
    <xf numFmtId="0" fontId="417" fillId="16" borderId="38" xfId="6" applyNumberFormat="1" applyFont="1" applyFill="1" applyBorder="1" applyAlignment="1">
      <alignment horizontal="center" vertical="center"/>
    </xf>
    <xf numFmtId="0" fontId="63" fillId="0" borderId="15" xfId="6" applyNumberFormat="1" applyFont="1" applyFill="1" applyBorder="1" applyAlignment="1">
      <alignment vertical="center"/>
    </xf>
    <xf numFmtId="0" fontId="63" fillId="0" borderId="92" xfId="6" applyNumberFormat="1" applyFont="1" applyFill="1" applyBorder="1" applyAlignment="1">
      <alignment vertical="center"/>
    </xf>
    <xf numFmtId="0" fontId="419" fillId="3" borderId="0" xfId="1" applyFont="1" applyFill="1" applyProtection="1">
      <protection hidden="1"/>
    </xf>
    <xf numFmtId="0" fontId="63" fillId="0" borderId="81" xfId="6" applyNumberFormat="1" applyFont="1" applyFill="1" applyBorder="1" applyAlignment="1">
      <alignment vertical="center" wrapText="1"/>
    </xf>
    <xf numFmtId="0" fontId="274" fillId="0" borderId="20" xfId="6" applyNumberFormat="1" applyFont="1" applyFill="1" applyBorder="1" applyAlignment="1">
      <alignment horizontal="center" vertical="center"/>
    </xf>
    <xf numFmtId="0" fontId="416" fillId="0" borderId="20" xfId="6" applyNumberFormat="1" applyFont="1" applyFill="1" applyBorder="1" applyAlignment="1">
      <alignment horizontal="center" vertical="center"/>
    </xf>
    <xf numFmtId="0" fontId="63" fillId="0" borderId="0" xfId="1" applyFont="1" applyProtection="1">
      <protection hidden="1"/>
    </xf>
    <xf numFmtId="0" fontId="63" fillId="0" borderId="0" xfId="1" applyFont="1" applyAlignment="1" applyProtection="1">
      <alignment horizontal="left"/>
      <protection hidden="1"/>
    </xf>
    <xf numFmtId="166" fontId="406" fillId="15" borderId="20" xfId="1" applyNumberFormat="1" applyFont="1" applyFill="1" applyBorder="1" applyAlignment="1">
      <alignment vertical="center"/>
    </xf>
    <xf numFmtId="0" fontId="418" fillId="16" borderId="20" xfId="6" applyNumberFormat="1" applyFont="1" applyFill="1" applyBorder="1" applyAlignment="1">
      <alignment horizontal="center" vertical="center"/>
    </xf>
    <xf numFmtId="0" fontId="418" fillId="16" borderId="0" xfId="1" applyFont="1" applyFill="1" applyBorder="1" applyAlignment="1">
      <alignment horizontal="center" vertical="center"/>
    </xf>
    <xf numFmtId="0" fontId="417" fillId="16" borderId="20" xfId="6" applyNumberFormat="1" applyFont="1" applyFill="1" applyBorder="1" applyAlignment="1">
      <alignment horizontal="center" vertical="center"/>
    </xf>
    <xf numFmtId="0" fontId="417" fillId="16" borderId="4" xfId="6" applyNumberFormat="1" applyFont="1" applyFill="1" applyBorder="1" applyAlignment="1">
      <alignment horizontal="center" vertical="center"/>
    </xf>
    <xf numFmtId="0" fontId="264" fillId="0" borderId="3" xfId="1" applyFont="1" applyFill="1" applyBorder="1" applyAlignment="1">
      <alignment horizontal="center" vertical="center"/>
    </xf>
    <xf numFmtId="0" fontId="420" fillId="0" borderId="2" xfId="1" applyFont="1" applyFill="1" applyBorder="1" applyAlignment="1">
      <alignment horizontal="left" vertical="center"/>
    </xf>
    <xf numFmtId="0" fontId="383" fillId="0" borderId="0" xfId="1" applyFont="1" applyFill="1" applyBorder="1" applyAlignment="1">
      <alignment horizontal="left" vertical="center"/>
    </xf>
    <xf numFmtId="0" fontId="42" fillId="0" borderId="0" xfId="1" applyFont="1" applyBorder="1" applyAlignment="1">
      <alignment horizontal="left"/>
    </xf>
    <xf numFmtId="0" fontId="259" fillId="0" borderId="0" xfId="1" applyFont="1" applyFill="1" applyAlignment="1">
      <alignment vertical="center"/>
    </xf>
    <xf numFmtId="0" fontId="186" fillId="0" borderId="57" xfId="1" applyFont="1" applyFill="1" applyBorder="1" applyAlignment="1">
      <alignment horizontal="left" vertical="center" wrapText="1"/>
    </xf>
    <xf numFmtId="0" fontId="63" fillId="3" borderId="15" xfId="6" applyFont="1" applyFill="1" applyBorder="1" applyAlignment="1">
      <alignment vertical="center"/>
    </xf>
    <xf numFmtId="0" fontId="42" fillId="0" borderId="15" xfId="1" applyFont="1" applyBorder="1"/>
    <xf numFmtId="0" fontId="372" fillId="0" borderId="20" xfId="3" applyFont="1" applyBorder="1" applyAlignment="1">
      <alignment horizontal="center" vertical="center"/>
    </xf>
    <xf numFmtId="0" fontId="64" fillId="4" borderId="18" xfId="1" applyFont="1" applyFill="1" applyBorder="1" applyAlignment="1" applyProtection="1">
      <alignment horizontal="center" vertical="center" wrapText="1"/>
      <protection hidden="1"/>
    </xf>
    <xf numFmtId="1" fontId="200" fillId="5" borderId="24" xfId="1" applyNumberFormat="1" applyFont="1" applyFill="1" applyBorder="1" applyAlignment="1" applyProtection="1">
      <alignment horizontal="center" vertical="center"/>
      <protection hidden="1"/>
    </xf>
    <xf numFmtId="0" fontId="64" fillId="0" borderId="61" xfId="1" applyFont="1" applyFill="1" applyBorder="1" applyAlignment="1" applyProtection="1">
      <alignment horizontal="center" vertical="center" wrapText="1"/>
      <protection hidden="1"/>
    </xf>
    <xf numFmtId="10" fontId="91" fillId="3" borderId="20" xfId="6" applyNumberFormat="1" applyFont="1" applyFill="1" applyBorder="1" applyAlignment="1">
      <alignment horizontal="center" vertical="center"/>
    </xf>
    <xf numFmtId="0" fontId="384" fillId="3" borderId="51" xfId="1" applyFont="1" applyFill="1" applyBorder="1" applyAlignment="1">
      <alignment horizontal="center" vertical="center" textRotation="90"/>
    </xf>
    <xf numFmtId="0" fontId="171" fillId="0" borderId="0" xfId="1" applyFont="1" applyFill="1" applyBorder="1" applyAlignment="1">
      <alignment horizontal="right" vertical="center"/>
    </xf>
    <xf numFmtId="0" fontId="77" fillId="3" borderId="51" xfId="6" applyNumberFormat="1" applyFont="1" applyFill="1" applyBorder="1" applyAlignment="1">
      <alignment horizontal="center" vertical="center" wrapText="1"/>
    </xf>
    <xf numFmtId="0" fontId="372" fillId="3" borderId="51" xfId="6" applyNumberFormat="1" applyFont="1" applyFill="1" applyBorder="1" applyAlignment="1">
      <alignment vertical="center"/>
    </xf>
    <xf numFmtId="0" fontId="372" fillId="3" borderId="20" xfId="3" applyFont="1" applyFill="1" applyBorder="1" applyAlignment="1">
      <alignment horizontal="center" vertical="center"/>
    </xf>
    <xf numFmtId="0" fontId="272" fillId="0" borderId="20" xfId="1" applyFont="1" applyBorder="1" applyAlignment="1">
      <alignment horizontal="center" vertical="center"/>
    </xf>
    <xf numFmtId="0" fontId="372" fillId="0" borderId="20" xfId="1" applyFont="1" applyBorder="1"/>
    <xf numFmtId="0" fontId="77" fillId="0" borderId="20" xfId="3" applyFont="1" applyBorder="1" applyAlignment="1">
      <alignment horizontal="center" vertical="center"/>
    </xf>
    <xf numFmtId="0" fontId="240" fillId="20" borderId="20" xfId="3" applyFont="1" applyFill="1" applyBorder="1" applyAlignment="1">
      <alignment horizontal="center" vertical="center"/>
    </xf>
    <xf numFmtId="0" fontId="240" fillId="26" borderId="20" xfId="3" applyFont="1" applyFill="1" applyBorder="1" applyAlignment="1">
      <alignment horizontal="center" vertical="center"/>
    </xf>
    <xf numFmtId="0" fontId="240" fillId="27" borderId="20" xfId="3" applyFont="1" applyFill="1" applyBorder="1" applyAlignment="1">
      <alignment horizontal="center" vertical="center"/>
    </xf>
    <xf numFmtId="0" fontId="240" fillId="28" borderId="20" xfId="3" applyFont="1" applyFill="1" applyBorder="1" applyAlignment="1">
      <alignment horizontal="center" vertical="center"/>
    </xf>
    <xf numFmtId="0" fontId="240" fillId="29" borderId="20" xfId="3" applyFont="1" applyFill="1" applyBorder="1" applyAlignment="1">
      <alignment horizontal="center" vertical="center"/>
    </xf>
    <xf numFmtId="0" fontId="240" fillId="30" borderId="20" xfId="3" applyFont="1" applyFill="1" applyBorder="1" applyAlignment="1">
      <alignment horizontal="center" vertical="center"/>
    </xf>
    <xf numFmtId="0" fontId="240" fillId="31" borderId="20" xfId="3" applyFont="1" applyFill="1" applyBorder="1" applyAlignment="1">
      <alignment horizontal="center" vertical="center"/>
    </xf>
    <xf numFmtId="0" fontId="240" fillId="32" borderId="20" xfId="3" applyFont="1" applyFill="1" applyBorder="1" applyAlignment="1">
      <alignment horizontal="center" vertical="center"/>
    </xf>
    <xf numFmtId="0" fontId="240" fillId="33" borderId="20" xfId="3" applyFont="1" applyFill="1" applyBorder="1" applyAlignment="1">
      <alignment horizontal="center" vertical="center"/>
    </xf>
    <xf numFmtId="165" fontId="408" fillId="3" borderId="27" xfId="6" applyNumberFormat="1" applyFont="1" applyFill="1" applyBorder="1" applyAlignment="1">
      <alignment horizontal="center" vertical="center"/>
    </xf>
    <xf numFmtId="1" fontId="38" fillId="3" borderId="20" xfId="1" applyNumberFormat="1" applyFont="1" applyFill="1" applyBorder="1" applyAlignment="1" applyProtection="1">
      <alignment vertical="center"/>
      <protection hidden="1"/>
    </xf>
    <xf numFmtId="0" fontId="42" fillId="0" borderId="64" xfId="1" applyFont="1" applyBorder="1"/>
    <xf numFmtId="0" fontId="42" fillId="0" borderId="26" xfId="1" applyFont="1" applyBorder="1"/>
    <xf numFmtId="0" fontId="35" fillId="3" borderId="26" xfId="1" applyFont="1" applyFill="1" applyBorder="1" applyAlignment="1">
      <alignment horizontal="right" vertical="center"/>
    </xf>
    <xf numFmtId="0" fontId="42" fillId="3" borderId="20" xfId="1" applyFont="1" applyFill="1" applyBorder="1" applyAlignment="1">
      <alignment horizontal="center" vertical="center"/>
    </xf>
    <xf numFmtId="0" fontId="42" fillId="3" borderId="20" xfId="3" applyFont="1" applyFill="1" applyBorder="1" applyAlignment="1">
      <alignment vertical="center"/>
    </xf>
    <xf numFmtId="0" fontId="77" fillId="3" borderId="0" xfId="3" applyFont="1" applyFill="1" applyBorder="1" applyAlignment="1">
      <alignment vertical="center"/>
    </xf>
    <xf numFmtId="0" fontId="42" fillId="3" borderId="0" xfId="3" applyFont="1" applyFill="1" applyBorder="1" applyAlignment="1">
      <alignment vertical="center"/>
    </xf>
    <xf numFmtId="0" fontId="42" fillId="3" borderId="51" xfId="3" applyFont="1" applyFill="1" applyBorder="1" applyAlignment="1">
      <alignment vertical="center"/>
    </xf>
    <xf numFmtId="0" fontId="33" fillId="6" borderId="15" xfId="1" applyFont="1" applyFill="1" applyBorder="1" applyAlignment="1">
      <alignment horizontal="right" vertical="center"/>
    </xf>
    <xf numFmtId="0" fontId="64" fillId="6" borderId="15" xfId="1" applyFont="1" applyFill="1" applyBorder="1" applyAlignment="1">
      <alignment horizontal="right" vertical="center"/>
    </xf>
    <xf numFmtId="166" fontId="64" fillId="6" borderId="58" xfId="1" applyNumberFormat="1" applyFont="1" applyFill="1" applyBorder="1" applyAlignment="1">
      <alignment horizontal="left" vertical="center"/>
    </xf>
    <xf numFmtId="165" fontId="33" fillId="3" borderId="20" xfId="1" applyNumberFormat="1" applyFont="1" applyFill="1" applyBorder="1" applyAlignment="1" applyProtection="1">
      <alignment horizontal="center" vertical="center"/>
      <protection hidden="1"/>
    </xf>
    <xf numFmtId="0" fontId="171" fillId="11" borderId="0" xfId="3" applyFont="1" applyFill="1" applyBorder="1" applyAlignment="1">
      <alignment horizontal="right" vertical="center"/>
    </xf>
    <xf numFmtId="0" fontId="42" fillId="3" borderId="0" xfId="3" applyFont="1" applyFill="1" applyBorder="1"/>
    <xf numFmtId="0" fontId="42" fillId="3" borderId="51" xfId="3" applyFont="1" applyFill="1" applyBorder="1"/>
    <xf numFmtId="0" fontId="40" fillId="3" borderId="20" xfId="1" applyNumberFormat="1" applyFont="1" applyFill="1" applyBorder="1" applyAlignment="1">
      <alignment horizontal="left" vertical="center" wrapText="1"/>
    </xf>
    <xf numFmtId="0" fontId="40" fillId="3" borderId="20" xfId="1" applyFont="1" applyFill="1" applyBorder="1" applyAlignment="1">
      <alignment vertical="center"/>
    </xf>
    <xf numFmtId="0" fontId="77" fillId="3" borderId="20" xfId="1" applyFont="1" applyFill="1" applyBorder="1" applyAlignment="1">
      <alignment horizontal="left" vertical="center" wrapText="1"/>
    </xf>
    <xf numFmtId="0" fontId="42" fillId="25" borderId="4" xfId="3" applyFont="1" applyFill="1" applyBorder="1" applyAlignment="1">
      <alignment vertical="center"/>
    </xf>
    <xf numFmtId="0" fontId="42" fillId="25" borderId="5" xfId="3" applyFont="1" applyFill="1" applyBorder="1" applyAlignment="1">
      <alignment vertical="center"/>
    </xf>
    <xf numFmtId="0" fontId="42" fillId="25" borderId="6" xfId="3" applyFont="1" applyFill="1" applyBorder="1" applyAlignment="1">
      <alignment vertical="center"/>
    </xf>
    <xf numFmtId="0" fontId="42" fillId="34" borderId="0" xfId="1" applyFont="1" applyFill="1" applyAlignment="1">
      <alignment vertical="center"/>
    </xf>
    <xf numFmtId="0" fontId="42" fillId="0" borderId="0" xfId="1" applyFont="1" applyFill="1" applyProtection="1">
      <protection hidden="1"/>
    </xf>
    <xf numFmtId="0" fontId="54" fillId="3" borderId="0" xfId="1" applyFont="1" applyFill="1" applyAlignment="1" applyProtection="1">
      <alignment horizontal="left" vertical="center"/>
      <protection hidden="1"/>
    </xf>
    <xf numFmtId="1" fontId="77" fillId="4" borderId="55" xfId="1" applyNumberFormat="1" applyFont="1" applyFill="1" applyBorder="1" applyAlignment="1" applyProtection="1">
      <alignment horizontal="left" vertical="center"/>
      <protection hidden="1"/>
    </xf>
    <xf numFmtId="1" fontId="77" fillId="4" borderId="56" xfId="1" applyNumberFormat="1" applyFont="1" applyFill="1" applyBorder="1" applyAlignment="1" applyProtection="1">
      <alignment horizontal="right" vertical="center"/>
      <protection hidden="1"/>
    </xf>
    <xf numFmtId="1" fontId="245" fillId="3" borderId="27" xfId="1" applyNumberFormat="1" applyFont="1" applyFill="1" applyBorder="1" applyAlignment="1" applyProtection="1">
      <alignment vertical="center"/>
      <protection hidden="1"/>
    </xf>
    <xf numFmtId="170" fontId="423" fillId="3" borderId="0" xfId="6" applyNumberFormat="1" applyFont="1" applyFill="1" applyBorder="1" applyAlignment="1">
      <alignment horizontal="center" vertical="center"/>
    </xf>
    <xf numFmtId="0" fontId="200" fillId="3" borderId="21" xfId="1" applyFont="1" applyFill="1" applyBorder="1" applyAlignment="1">
      <alignment horizontal="right" vertical="center"/>
    </xf>
    <xf numFmtId="2" fontId="200" fillId="13" borderId="0" xfId="6" applyNumberFormat="1" applyFont="1" applyFill="1" applyBorder="1" applyAlignment="1">
      <alignment horizontal="center" vertical="center"/>
    </xf>
    <xf numFmtId="0" fontId="77" fillId="3" borderId="76" xfId="1" applyFont="1" applyFill="1" applyBorder="1" applyAlignment="1">
      <alignment horizontal="right" vertical="center"/>
    </xf>
    <xf numFmtId="166" fontId="77" fillId="3" borderId="15" xfId="1" applyNumberFormat="1" applyFont="1" applyFill="1" applyBorder="1" applyAlignment="1">
      <alignment horizontal="right" vertical="center"/>
    </xf>
    <xf numFmtId="165" fontId="77" fillId="3" borderId="15" xfId="1" applyNumberFormat="1" applyFont="1" applyFill="1" applyBorder="1" applyAlignment="1" applyProtection="1">
      <alignment horizontal="center" vertical="center"/>
      <protection hidden="1"/>
    </xf>
    <xf numFmtId="0" fontId="77" fillId="3" borderId="20" xfId="3" applyFont="1" applyFill="1" applyBorder="1" applyAlignment="1">
      <alignment horizontal="center" vertical="center"/>
    </xf>
    <xf numFmtId="176" fontId="42" fillId="0" borderId="0" xfId="1" applyNumberFormat="1" applyFont="1" applyFill="1" applyAlignment="1">
      <alignment horizontal="center" vertical="center"/>
    </xf>
    <xf numFmtId="176" fontId="42" fillId="0" borderId="0" xfId="1" applyNumberFormat="1" applyFont="1" applyFill="1" applyAlignment="1">
      <alignment vertical="center"/>
    </xf>
    <xf numFmtId="0" fontId="33" fillId="82" borderId="54" xfId="1" applyFont="1" applyFill="1" applyBorder="1" applyAlignment="1" applyProtection="1">
      <alignment horizontal="center" vertical="center" wrapText="1"/>
      <protection hidden="1"/>
    </xf>
    <xf numFmtId="0" fontId="33" fillId="82" borderId="16" xfId="1" applyFont="1" applyFill="1" applyBorder="1" applyAlignment="1" applyProtection="1">
      <alignment horizontal="center" vertical="center" wrapText="1"/>
      <protection hidden="1"/>
    </xf>
    <xf numFmtId="0" fontId="41" fillId="82" borderId="16" xfId="1" applyFont="1" applyFill="1" applyBorder="1" applyAlignment="1">
      <alignment horizontal="center" vertical="center"/>
    </xf>
    <xf numFmtId="166" fontId="41" fillId="82" borderId="17" xfId="1" applyNumberFormat="1" applyFont="1" applyFill="1" applyBorder="1" applyAlignment="1">
      <alignment horizontal="center" vertical="center" wrapText="1"/>
    </xf>
    <xf numFmtId="169" fontId="52" fillId="82" borderId="20" xfId="6" applyNumberFormat="1" applyFont="1" applyFill="1" applyBorder="1" applyAlignment="1">
      <alignment horizontal="center" vertical="center"/>
    </xf>
    <xf numFmtId="0" fontId="171" fillId="82" borderId="0" xfId="1" applyFont="1" applyFill="1" applyBorder="1" applyAlignment="1">
      <alignment horizontal="right" vertical="center"/>
    </xf>
    <xf numFmtId="165" fontId="91" fillId="83" borderId="71" xfId="6" applyNumberFormat="1" applyFont="1" applyFill="1" applyBorder="1" applyAlignment="1">
      <alignment horizontal="center" vertical="center"/>
    </xf>
    <xf numFmtId="169" fontId="91" fillId="83" borderId="72" xfId="6" applyNumberFormat="1" applyFont="1" applyFill="1" applyBorder="1" applyAlignment="1">
      <alignment horizontal="center" vertical="center"/>
    </xf>
    <xf numFmtId="165" fontId="91" fillId="83" borderId="73" xfId="6" applyNumberFormat="1" applyFont="1" applyFill="1" applyBorder="1" applyAlignment="1">
      <alignment horizontal="center" vertical="center"/>
    </xf>
    <xf numFmtId="169" fontId="91" fillId="83" borderId="74" xfId="6" applyNumberFormat="1" applyFont="1" applyFill="1" applyBorder="1" applyAlignment="1">
      <alignment horizontal="center" vertical="center"/>
    </xf>
    <xf numFmtId="0" fontId="171" fillId="82" borderId="0" xfId="3" applyFont="1" applyFill="1" applyBorder="1" applyAlignment="1">
      <alignment horizontal="right" vertical="center"/>
    </xf>
    <xf numFmtId="0" fontId="424" fillId="56" borderId="0" xfId="3" applyFont="1" applyFill="1" applyAlignment="1">
      <alignment vertical="center"/>
    </xf>
    <xf numFmtId="0" fontId="425" fillId="7" borderId="284" xfId="15" applyFont="1" applyFill="1" applyBorder="1" applyAlignment="1" applyProtection="1">
      <alignment vertical="center"/>
    </xf>
    <xf numFmtId="177" fontId="51" fillId="3" borderId="277" xfId="9" applyNumberFormat="1" applyFont="1" applyFill="1" applyBorder="1" applyAlignment="1">
      <alignment horizontal="left" vertical="center"/>
    </xf>
    <xf numFmtId="177" fontId="51" fillId="3" borderId="0" xfId="9" applyNumberFormat="1" applyFont="1" applyFill="1" applyBorder="1" applyAlignment="1">
      <alignment vertical="center"/>
    </xf>
    <xf numFmtId="0" fontId="8" fillId="3" borderId="0" xfId="2" applyFont="1" applyFill="1" applyBorder="1"/>
    <xf numFmtId="0" fontId="8" fillId="3" borderId="49" xfId="2" applyFont="1" applyFill="1" applyBorder="1"/>
    <xf numFmtId="0" fontId="52" fillId="3" borderId="277" xfId="6" applyNumberFormat="1" applyFont="1" applyFill="1" applyBorder="1" applyAlignment="1">
      <alignment horizontal="left" vertical="center"/>
    </xf>
    <xf numFmtId="0" fontId="42" fillId="3" borderId="288" xfId="3" applyFont="1" applyFill="1" applyBorder="1"/>
    <xf numFmtId="0" fontId="8" fillId="3" borderId="288" xfId="2" applyFont="1" applyFill="1" applyBorder="1"/>
    <xf numFmtId="0" fontId="8" fillId="3" borderId="289" xfId="2" applyFont="1" applyFill="1" applyBorder="1"/>
    <xf numFmtId="0" fontId="422" fillId="0" borderId="0" xfId="5" applyFont="1" applyBorder="1" applyAlignment="1" applyProtection="1">
      <alignment horizontal="left" vertical="center"/>
    </xf>
    <xf numFmtId="0" fontId="42" fillId="0" borderId="162" xfId="1" applyFont="1" applyFill="1" applyBorder="1"/>
    <xf numFmtId="0" fontId="422" fillId="0" borderId="162" xfId="5" applyFont="1" applyBorder="1" applyAlignment="1" applyProtection="1">
      <alignment vertical="center"/>
    </xf>
    <xf numFmtId="0" fontId="42" fillId="0" borderId="162" xfId="1" applyFont="1" applyBorder="1"/>
    <xf numFmtId="0" fontId="42" fillId="0" borderId="0" xfId="1" applyFont="1" applyAlignment="1">
      <alignment horizontal="center"/>
    </xf>
    <xf numFmtId="0" fontId="42" fillId="0" borderId="0" xfId="1" applyFont="1" applyAlignment="1">
      <alignment vertical="center"/>
    </xf>
    <xf numFmtId="0" fontId="42" fillId="5" borderId="252" xfId="1" applyFont="1" applyFill="1" applyBorder="1"/>
    <xf numFmtId="0" fontId="428" fillId="0" borderId="253" xfId="1" applyFont="1" applyBorder="1" applyAlignment="1">
      <alignment horizontal="center" vertical="center" wrapText="1"/>
    </xf>
    <xf numFmtId="0" fontId="61" fillId="5" borderId="253" xfId="1" applyFont="1" applyFill="1" applyBorder="1" applyAlignment="1">
      <alignment horizontal="centerContinuous" vertical="center"/>
    </xf>
    <xf numFmtId="0" fontId="42" fillId="3" borderId="253" xfId="1" applyFont="1" applyFill="1" applyBorder="1"/>
    <xf numFmtId="0" fontId="42" fillId="3" borderId="256" xfId="1" applyFont="1" applyFill="1" applyBorder="1"/>
    <xf numFmtId="0" fontId="429" fillId="0" borderId="0" xfId="1" applyFont="1" applyAlignment="1">
      <alignment horizontal="center" vertical="center"/>
    </xf>
    <xf numFmtId="0" fontId="42" fillId="0" borderId="76" xfId="1" applyFont="1" applyBorder="1"/>
    <xf numFmtId="0" fontId="430" fillId="0" borderId="255" xfId="1" applyFont="1" applyBorder="1" applyAlignment="1">
      <alignment horizontal="center" vertical="top" wrapText="1"/>
    </xf>
    <xf numFmtId="0" fontId="430" fillId="0" borderId="254" xfId="1" applyFont="1" applyBorder="1" applyAlignment="1">
      <alignment horizontal="centerContinuous" vertical="top"/>
    </xf>
    <xf numFmtId="0" fontId="42" fillId="0" borderId="253" xfId="1" applyFont="1" applyBorder="1"/>
    <xf numFmtId="0" fontId="42" fillId="0" borderId="256" xfId="1" applyFont="1" applyBorder="1"/>
    <xf numFmtId="0" fontId="42" fillId="3" borderId="257" xfId="1" applyFont="1" applyFill="1" applyBorder="1"/>
    <xf numFmtId="0" fontId="41" fillId="1" borderId="258" xfId="1" applyFont="1" applyFill="1" applyBorder="1" applyAlignment="1">
      <alignment vertical="center" wrapText="1"/>
    </xf>
    <xf numFmtId="0" fontId="42" fillId="1" borderId="258" xfId="1" applyFont="1" applyFill="1" applyBorder="1" applyAlignment="1">
      <alignment horizontal="centerContinuous" wrapText="1"/>
    </xf>
    <xf numFmtId="0" fontId="42" fillId="1" borderId="259" xfId="1" applyFont="1" applyFill="1" applyBorder="1" applyAlignment="1">
      <alignment horizontal="centerContinuous" wrapText="1"/>
    </xf>
    <xf numFmtId="0" fontId="41" fillId="3" borderId="251" xfId="1" applyFont="1" applyFill="1" applyBorder="1" applyAlignment="1">
      <alignment vertical="center"/>
    </xf>
    <xf numFmtId="0" fontId="42" fillId="3" borderId="258" xfId="1" applyFont="1" applyFill="1" applyBorder="1"/>
    <xf numFmtId="0" fontId="42" fillId="3" borderId="0" xfId="1" applyFont="1" applyFill="1" applyBorder="1"/>
    <xf numFmtId="0" fontId="42" fillId="3" borderId="163" xfId="1" applyFont="1" applyFill="1" applyBorder="1"/>
    <xf numFmtId="0" fontId="42" fillId="0" borderId="251" xfId="1" applyFont="1" applyBorder="1"/>
    <xf numFmtId="0" fontId="50" fillId="1" borderId="257" xfId="1" applyFont="1" applyFill="1" applyBorder="1" applyAlignment="1">
      <alignment wrapText="1"/>
    </xf>
    <xf numFmtId="0" fontId="50" fillId="0" borderId="251" xfId="1" applyFont="1" applyBorder="1"/>
    <xf numFmtId="0" fontId="42" fillId="0" borderId="258" xfId="1" applyFont="1" applyBorder="1"/>
    <xf numFmtId="0" fontId="42" fillId="0" borderId="163" xfId="1" applyFont="1" applyBorder="1"/>
    <xf numFmtId="0" fontId="42" fillId="3" borderId="57" xfId="1" applyFont="1" applyFill="1" applyBorder="1"/>
    <xf numFmtId="0" fontId="42" fillId="3" borderId="76" xfId="1" applyFont="1" applyFill="1" applyBorder="1"/>
    <xf numFmtId="0" fontId="42" fillId="3" borderId="15" xfId="1" applyFont="1" applyFill="1" applyBorder="1"/>
    <xf numFmtId="0" fontId="42" fillId="3" borderId="201" xfId="1" applyFont="1" applyFill="1" applyBorder="1"/>
    <xf numFmtId="0" fontId="50" fillId="61" borderId="263" xfId="1" applyFont="1" applyFill="1" applyBorder="1" applyAlignment="1">
      <alignment wrapText="1"/>
    </xf>
    <xf numFmtId="0" fontId="33" fillId="1" borderId="261" xfId="1" applyFont="1" applyFill="1" applyBorder="1" applyAlignment="1">
      <alignment horizontal="centerContinuous" vertical="center" wrapText="1"/>
    </xf>
    <xf numFmtId="0" fontId="40" fillId="1" borderId="0" xfId="1" applyFont="1" applyFill="1" applyBorder="1" applyAlignment="1">
      <alignment horizontal="centerContinuous" vertical="center" wrapText="1"/>
    </xf>
    <xf numFmtId="0" fontId="33" fillId="0" borderId="208" xfId="1" applyFont="1" applyBorder="1" applyAlignment="1">
      <alignment horizontal="centerContinuous" vertical="center" wrapText="1"/>
    </xf>
    <xf numFmtId="0" fontId="33" fillId="0" borderId="262" xfId="1" applyFont="1" applyBorder="1" applyAlignment="1">
      <alignment horizontal="centerContinuous" vertical="center" wrapText="1"/>
    </xf>
    <xf numFmtId="0" fontId="33" fillId="0" borderId="263" xfId="1" applyFont="1" applyBorder="1" applyAlignment="1">
      <alignment horizontal="centerContinuous" vertical="center" wrapText="1"/>
    </xf>
    <xf numFmtId="0" fontId="40" fillId="1" borderId="262" xfId="1" applyFont="1" applyFill="1" applyBorder="1" applyAlignment="1">
      <alignment horizontal="centerContinuous" vertical="center" wrapText="1"/>
    </xf>
    <xf numFmtId="0" fontId="40" fillId="1" borderId="264" xfId="1" applyFont="1" applyFill="1" applyBorder="1" applyAlignment="1">
      <alignment horizontal="centerContinuous" vertical="center" wrapText="1"/>
    </xf>
    <xf numFmtId="0" fontId="42" fillId="0" borderId="208" xfId="1" applyFont="1" applyBorder="1"/>
    <xf numFmtId="0" fontId="50" fillId="0" borderId="260" xfId="1" applyFont="1" applyBorder="1" applyAlignment="1">
      <alignment wrapText="1"/>
    </xf>
    <xf numFmtId="0" fontId="50" fillId="1" borderId="261" xfId="1" applyFont="1" applyFill="1" applyBorder="1" applyAlignment="1">
      <alignment horizontal="centerContinuous" wrapText="1"/>
    </xf>
    <xf numFmtId="0" fontId="42" fillId="1" borderId="0" xfId="1" applyFont="1" applyFill="1" applyBorder="1" applyAlignment="1">
      <alignment horizontal="centerContinuous" wrapText="1"/>
    </xf>
    <xf numFmtId="0" fontId="50" fillId="0" borderId="208" xfId="1" applyFont="1" applyBorder="1" applyAlignment="1">
      <alignment horizontal="centerContinuous" wrapText="1"/>
    </xf>
    <xf numFmtId="0" fontId="50" fillId="0" borderId="262" xfId="1" applyFont="1" applyBorder="1" applyAlignment="1">
      <alignment horizontal="centerContinuous" wrapText="1"/>
    </xf>
    <xf numFmtId="0" fontId="50" fillId="0" borderId="263" xfId="1" applyFont="1" applyBorder="1" applyAlignment="1">
      <alignment horizontal="centerContinuous" wrapText="1"/>
    </xf>
    <xf numFmtId="0" fontId="42" fillId="1" borderId="262" xfId="1" applyFont="1" applyFill="1" applyBorder="1" applyAlignment="1">
      <alignment horizontal="centerContinuous" wrapText="1"/>
    </xf>
    <xf numFmtId="0" fontId="42" fillId="1" borderId="264" xfId="1" applyFont="1" applyFill="1" applyBorder="1" applyAlignment="1">
      <alignment horizontal="centerContinuous" wrapText="1"/>
    </xf>
    <xf numFmtId="0" fontId="42" fillId="61" borderId="259" xfId="1" applyFont="1" applyFill="1" applyBorder="1"/>
    <xf numFmtId="0" fontId="41" fillId="82" borderId="16" xfId="1" applyFont="1" applyFill="1" applyBorder="1" applyAlignment="1">
      <alignment horizontal="center" vertical="center" wrapText="1"/>
    </xf>
    <xf numFmtId="0" fontId="41" fillId="82" borderId="261" xfId="1" applyFont="1" applyFill="1" applyBorder="1" applyAlignment="1">
      <alignment horizontal="center" vertical="center" wrapText="1"/>
    </xf>
    <xf numFmtId="0" fontId="41" fillId="82" borderId="290" xfId="1" applyFont="1" applyFill="1" applyBorder="1" applyAlignment="1">
      <alignment horizontal="center" vertical="center" wrapText="1"/>
    </xf>
    <xf numFmtId="0" fontId="64" fillId="4" borderId="61" xfId="1" applyFont="1" applyFill="1" applyBorder="1" applyAlignment="1" applyProtection="1">
      <alignment horizontal="center" vertical="center" wrapText="1"/>
      <protection hidden="1"/>
    </xf>
    <xf numFmtId="0" fontId="77" fillId="4" borderId="62" xfId="1" applyFont="1" applyFill="1" applyBorder="1" applyAlignment="1" applyProtection="1">
      <alignment horizontal="center" vertical="center" wrapText="1"/>
      <protection hidden="1"/>
    </xf>
    <xf numFmtId="0" fontId="77" fillId="4" borderId="264" xfId="1" applyFont="1" applyFill="1" applyBorder="1" applyAlignment="1" applyProtection="1">
      <alignment horizontal="center" vertical="center" wrapText="1"/>
      <protection hidden="1"/>
    </xf>
    <xf numFmtId="0" fontId="42" fillId="0" borderId="265" xfId="1" applyFont="1" applyBorder="1"/>
    <xf numFmtId="0" fontId="50" fillId="0" borderId="261" xfId="1" applyFont="1" applyBorder="1" applyAlignment="1">
      <alignment horizontal="center" vertical="center"/>
    </xf>
    <xf numFmtId="0" fontId="48" fillId="0" borderId="261" xfId="1" applyFont="1" applyBorder="1" applyAlignment="1">
      <alignment horizontal="center" vertical="center" textRotation="255"/>
    </xf>
    <xf numFmtId="0" fontId="48" fillId="0" borderId="266" xfId="1" applyFont="1" applyBorder="1" applyAlignment="1">
      <alignment horizontal="center" vertical="center" wrapText="1"/>
    </xf>
    <xf numFmtId="0" fontId="48" fillId="0" borderId="261" xfId="1" applyFont="1" applyBorder="1" applyAlignment="1">
      <alignment horizontal="center" vertical="center" wrapText="1"/>
    </xf>
    <xf numFmtId="0" fontId="48" fillId="0" borderId="261" xfId="1" applyFont="1" applyBorder="1" applyAlignment="1">
      <alignment horizontal="center" vertical="center"/>
    </xf>
    <xf numFmtId="0" fontId="104" fillId="1" borderId="266" xfId="1" applyFont="1" applyFill="1" applyBorder="1" applyAlignment="1">
      <alignment horizontal="center" vertical="center" textRotation="255"/>
    </xf>
    <xf numFmtId="0" fontId="104" fillId="1" borderId="163" xfId="1" applyFont="1" applyFill="1" applyBorder="1" applyAlignment="1">
      <alignment horizontal="center" vertical="center" textRotation="255"/>
    </xf>
    <xf numFmtId="0" fontId="42" fillId="3" borderId="20" xfId="1" applyFont="1" applyFill="1" applyBorder="1"/>
    <xf numFmtId="0" fontId="42" fillId="61" borderId="21" xfId="1" applyFont="1" applyFill="1" applyBorder="1"/>
    <xf numFmtId="0" fontId="171" fillId="82" borderId="266" xfId="1" applyFont="1" applyFill="1" applyBorder="1" applyAlignment="1">
      <alignment horizontal="right" vertical="center"/>
    </xf>
    <xf numFmtId="0" fontId="42" fillId="82" borderId="251" xfId="1" applyFont="1" applyFill="1" applyBorder="1"/>
    <xf numFmtId="0" fontId="42" fillId="82" borderId="266" xfId="1" applyFont="1" applyFill="1" applyBorder="1"/>
    <xf numFmtId="0" fontId="42" fillId="82" borderId="291" xfId="1" applyFont="1" applyFill="1" applyBorder="1"/>
    <xf numFmtId="0" fontId="42" fillId="82" borderId="269" xfId="1" applyFont="1" applyFill="1" applyBorder="1"/>
    <xf numFmtId="0" fontId="42" fillId="0" borderId="27" xfId="1" applyFont="1" applyBorder="1"/>
    <xf numFmtId="0" fontId="42" fillId="0" borderId="267" xfId="1" applyFont="1" applyBorder="1"/>
    <xf numFmtId="0" fontId="104" fillId="47" borderId="261" xfId="1" applyFont="1" applyFill="1" applyBorder="1" applyAlignment="1">
      <alignment horizontal="center"/>
    </xf>
    <xf numFmtId="0" fontId="42" fillId="47" borderId="208" xfId="1" applyFont="1" applyFill="1" applyBorder="1"/>
    <xf numFmtId="0" fontId="42" fillId="47" borderId="266" xfId="1" applyFont="1" applyFill="1" applyBorder="1"/>
    <xf numFmtId="0" fontId="42" fillId="47" borderId="268" xfId="1" applyFont="1" applyFill="1" applyBorder="1"/>
    <xf numFmtId="0" fontId="396" fillId="0" borderId="169" xfId="1" applyFont="1" applyFill="1" applyBorder="1" applyAlignment="1">
      <alignment horizontal="right" vertical="center"/>
    </xf>
    <xf numFmtId="165" fontId="392" fillId="0" borderId="169" xfId="6" applyNumberFormat="1" applyFont="1" applyFill="1" applyBorder="1" applyAlignment="1">
      <alignment horizontal="center" vertical="center"/>
    </xf>
    <xf numFmtId="165" fontId="392" fillId="0" borderId="53" xfId="6" applyNumberFormat="1" applyFont="1" applyFill="1" applyBorder="1" applyAlignment="1">
      <alignment horizontal="center" vertical="center"/>
    </xf>
    <xf numFmtId="166" fontId="431" fillId="7" borderId="292" xfId="1" applyNumberFormat="1" applyFont="1" applyFill="1" applyBorder="1" applyAlignment="1">
      <alignment vertical="center"/>
    </xf>
    <xf numFmtId="166" fontId="63" fillId="61" borderId="163" xfId="1" applyNumberFormat="1" applyFont="1" applyFill="1" applyBorder="1" applyAlignment="1">
      <alignment vertical="center"/>
    </xf>
    <xf numFmtId="0" fontId="42" fillId="0" borderId="169" xfId="1" applyFont="1" applyBorder="1"/>
    <xf numFmtId="0" fontId="42" fillId="0" borderId="53" xfId="1" applyFont="1" applyBorder="1"/>
    <xf numFmtId="0" fontId="50" fillId="0" borderId="169" xfId="1" applyFont="1" applyBorder="1" applyAlignment="1">
      <alignment horizontal="center"/>
    </xf>
    <xf numFmtId="0" fontId="42" fillId="82" borderId="169" xfId="1" applyFont="1" applyFill="1" applyBorder="1"/>
    <xf numFmtId="0" fontId="42" fillId="82" borderId="292" xfId="1" applyFont="1" applyFill="1" applyBorder="1"/>
    <xf numFmtId="0" fontId="42" fillId="82" borderId="163" xfId="1" applyFont="1" applyFill="1" applyBorder="1"/>
    <xf numFmtId="0" fontId="50" fillId="47" borderId="261" xfId="1" applyFont="1" applyFill="1" applyBorder="1" applyAlignment="1">
      <alignment horizontal="center"/>
    </xf>
    <xf numFmtId="0" fontId="42" fillId="47" borderId="169" xfId="1" applyFont="1" applyFill="1" applyBorder="1"/>
    <xf numFmtId="0" fontId="42" fillId="47" borderId="53" xfId="1" applyFont="1" applyFill="1" applyBorder="1"/>
    <xf numFmtId="0" fontId="42" fillId="61" borderId="21" xfId="1" applyFont="1" applyFill="1" applyBorder="1" applyAlignment="1"/>
    <xf numFmtId="0" fontId="42" fillId="0" borderId="267" xfId="1" applyFont="1" applyBorder="1" applyAlignment="1"/>
    <xf numFmtId="0" fontId="42" fillId="0" borderId="169" xfId="1" applyFont="1" applyBorder="1" applyAlignment="1">
      <alignment horizontal="left"/>
    </xf>
    <xf numFmtId="0" fontId="42" fillId="0" borderId="169" xfId="1" applyFont="1" applyBorder="1" applyAlignment="1">
      <alignment horizontal="right"/>
    </xf>
    <xf numFmtId="0" fontId="50" fillId="47" borderId="169" xfId="1" applyFont="1" applyFill="1" applyBorder="1" applyAlignment="1">
      <alignment horizontal="center"/>
    </xf>
    <xf numFmtId="0" fontId="42" fillId="0" borderId="261" xfId="1" applyFont="1" applyFill="1" applyBorder="1" applyAlignment="1">
      <alignment horizontal="left"/>
    </xf>
    <xf numFmtId="0" fontId="42" fillId="0" borderId="208" xfId="1" applyFont="1" applyFill="1" applyBorder="1"/>
    <xf numFmtId="0" fontId="42" fillId="0" borderId="169" xfId="1" applyFont="1" applyFill="1" applyBorder="1"/>
    <xf numFmtId="0" fontId="42" fillId="0" borderId="53" xfId="1" applyFont="1" applyFill="1" applyBorder="1"/>
    <xf numFmtId="0" fontId="42" fillId="0" borderId="194" xfId="1" applyFont="1" applyBorder="1"/>
    <xf numFmtId="0" fontId="42" fillId="0" borderId="195" xfId="1" applyFont="1" applyBorder="1"/>
    <xf numFmtId="0" fontId="64" fillId="3" borderId="258" xfId="1" applyFont="1" applyFill="1" applyBorder="1" applyAlignment="1">
      <alignment horizontal="justify" wrapText="1"/>
    </xf>
    <xf numFmtId="0" fontId="63" fillId="3" borderId="258" xfId="1" applyFont="1" applyFill="1" applyBorder="1"/>
    <xf numFmtId="0" fontId="42" fillId="3" borderId="251" xfId="1" applyFont="1" applyFill="1" applyBorder="1"/>
    <xf numFmtId="0" fontId="42" fillId="3" borderId="188" xfId="1" applyFont="1" applyFill="1" applyBorder="1"/>
    <xf numFmtId="0" fontId="42" fillId="0" borderId="269" xfId="1" applyFont="1" applyBorder="1"/>
    <xf numFmtId="0" fontId="50" fillId="0" borderId="257" xfId="1" applyFont="1" applyBorder="1" applyAlignment="1">
      <alignment horizontal="justify" wrapText="1"/>
    </xf>
    <xf numFmtId="0" fontId="63" fillId="3" borderId="0" xfId="1" applyFont="1" applyFill="1" applyBorder="1"/>
    <xf numFmtId="0" fontId="63" fillId="3" borderId="0" xfId="1" applyFont="1" applyFill="1" applyBorder="1" applyAlignment="1">
      <alignment horizontal="justify" wrapText="1"/>
    </xf>
    <xf numFmtId="0" fontId="64" fillId="7" borderId="0" xfId="1" applyFont="1" applyFill="1" applyBorder="1" applyAlignment="1">
      <alignment horizontal="center" vertical="center" wrapText="1"/>
    </xf>
    <xf numFmtId="0" fontId="63" fillId="3" borderId="0" xfId="1" applyFont="1" applyFill="1" applyBorder="1" applyAlignment="1">
      <alignment horizontal="right" vertical="center" wrapText="1"/>
    </xf>
    <xf numFmtId="170" fontId="40" fillId="61" borderId="163" xfId="1" applyNumberFormat="1" applyFont="1" applyFill="1" applyBorder="1" applyAlignment="1">
      <alignment vertical="center"/>
    </xf>
    <xf numFmtId="0" fontId="42" fillId="0" borderId="0" xfId="1" applyFont="1" applyBorder="1" applyAlignment="1">
      <alignment horizontal="justify" wrapText="1"/>
    </xf>
    <xf numFmtId="0" fontId="50" fillId="0" borderId="27" xfId="1" applyFont="1" applyBorder="1" applyAlignment="1">
      <alignment horizontal="right" vertical="center" wrapText="1"/>
    </xf>
    <xf numFmtId="0" fontId="42" fillId="0" borderId="0" xfId="1" applyFont="1" applyBorder="1" applyAlignment="1">
      <alignment horizontal="right" vertical="center" wrapText="1"/>
    </xf>
    <xf numFmtId="0" fontId="42" fillId="0" borderId="163" xfId="1" applyFont="1" applyBorder="1" applyAlignment="1">
      <alignment horizontal="right" vertical="center" wrapText="1"/>
    </xf>
    <xf numFmtId="9" fontId="89" fillId="7" borderId="0" xfId="1" applyNumberFormat="1" applyFont="1" applyFill="1" applyBorder="1" applyAlignment="1">
      <alignment horizontal="center" vertical="center"/>
    </xf>
    <xf numFmtId="0" fontId="50" fillId="0" borderId="27" xfId="1" applyFont="1" applyBorder="1"/>
    <xf numFmtId="0" fontId="63" fillId="3" borderId="271" xfId="1" applyFont="1" applyFill="1" applyBorder="1"/>
    <xf numFmtId="209" fontId="133" fillId="3" borderId="336" xfId="22" applyFont="1" applyFill="1" applyBorder="1"/>
    <xf numFmtId="166" fontId="63" fillId="61" borderId="364" xfId="1" applyNumberFormat="1" applyFont="1" applyFill="1" applyBorder="1" applyAlignment="1">
      <alignment vertical="center"/>
    </xf>
    <xf numFmtId="0" fontId="42" fillId="0" borderId="270" xfId="1" applyFont="1" applyBorder="1"/>
    <xf numFmtId="0" fontId="42" fillId="0" borderId="271" xfId="1" applyFont="1" applyBorder="1"/>
    <xf numFmtId="0" fontId="50" fillId="0" borderId="272" xfId="1" applyFont="1" applyBorder="1"/>
    <xf numFmtId="209" fontId="8" fillId="0" borderId="271" xfId="22" applyFont="1" applyBorder="1"/>
    <xf numFmtId="0" fontId="42" fillId="0" borderId="273" xfId="1" applyFont="1" applyBorder="1"/>
    <xf numFmtId="0" fontId="272" fillId="3" borderId="1" xfId="1" applyFont="1" applyFill="1" applyBorder="1" applyAlignment="1">
      <alignment horizontal="left" vertical="center"/>
    </xf>
    <xf numFmtId="0" fontId="272" fillId="3" borderId="2" xfId="1" applyFont="1" applyFill="1" applyBorder="1" applyAlignment="1">
      <alignment horizontal="left" vertical="center"/>
    </xf>
    <xf numFmtId="0" fontId="42" fillId="3" borderId="2" xfId="1" applyFont="1" applyFill="1" applyBorder="1"/>
    <xf numFmtId="0" fontId="41" fillId="3" borderId="293" xfId="1" applyFont="1" applyFill="1" applyBorder="1" applyAlignment="1">
      <alignment horizontal="right" vertical="center"/>
    </xf>
    <xf numFmtId="0" fontId="429" fillId="0" borderId="0" xfId="1" applyFont="1" applyAlignment="1">
      <alignment horizontal="center"/>
    </xf>
    <xf numFmtId="0" fontId="63" fillId="3" borderId="20" xfId="6" applyFont="1" applyFill="1" applyBorder="1" applyAlignment="1">
      <alignment vertical="center"/>
    </xf>
    <xf numFmtId="0" fontId="50" fillId="3" borderId="0" xfId="1" applyFont="1" applyFill="1" applyBorder="1" applyAlignment="1">
      <alignment vertical="center"/>
    </xf>
    <xf numFmtId="0" fontId="42" fillId="3" borderId="0" xfId="6" applyNumberFormat="1" applyFont="1" applyFill="1" applyBorder="1" applyAlignment="1">
      <alignment vertical="center"/>
    </xf>
    <xf numFmtId="167" fontId="42" fillId="3" borderId="0" xfId="1" applyNumberFormat="1" applyFont="1" applyFill="1" applyBorder="1" applyAlignment="1">
      <alignment vertical="center"/>
    </xf>
    <xf numFmtId="0" fontId="42" fillId="3" borderId="0" xfId="1" applyFont="1" applyFill="1" applyBorder="1" applyAlignment="1"/>
    <xf numFmtId="168" fontId="91" fillId="3" borderId="21" xfId="1" applyNumberFormat="1" applyFont="1" applyFill="1" applyBorder="1" applyAlignment="1">
      <alignment vertical="center" wrapText="1"/>
    </xf>
    <xf numFmtId="0" fontId="156" fillId="3" borderId="20" xfId="6" applyNumberFormat="1" applyFont="1" applyFill="1" applyBorder="1" applyAlignment="1">
      <alignment horizontal="center" vertical="center"/>
    </xf>
    <xf numFmtId="0" fontId="40" fillId="3" borderId="0" xfId="6" applyNumberFormat="1" applyFont="1" applyFill="1" applyBorder="1" applyAlignment="1">
      <alignment horizontal="left" vertical="center"/>
    </xf>
    <xf numFmtId="0" fontId="40" fillId="3" borderId="21" xfId="6" applyNumberFormat="1" applyFont="1" applyFill="1" applyBorder="1" applyAlignment="1">
      <alignment horizontal="left" vertical="center"/>
    </xf>
    <xf numFmtId="0" fontId="432" fillId="86" borderId="208" xfId="6" applyNumberFormat="1" applyFont="1" applyFill="1" applyBorder="1" applyAlignment="1">
      <alignment horizontal="center" vertical="center"/>
    </xf>
    <xf numFmtId="0" fontId="91" fillId="3" borderId="258" xfId="6" applyNumberFormat="1" applyFont="1" applyFill="1" applyBorder="1" applyAlignment="1">
      <alignment horizontal="left" vertical="center"/>
    </xf>
    <xf numFmtId="0" fontId="91" fillId="3" borderId="0" xfId="6" applyNumberFormat="1" applyFont="1" applyFill="1" applyBorder="1" applyAlignment="1">
      <alignment horizontal="left" vertical="center"/>
    </xf>
    <xf numFmtId="0" fontId="156" fillId="73" borderId="27" xfId="6" applyNumberFormat="1" applyFont="1" applyFill="1" applyBorder="1" applyAlignment="1">
      <alignment horizontal="center" vertical="center"/>
    </xf>
    <xf numFmtId="166" fontId="406" fillId="15" borderId="21" xfId="1" applyNumberFormat="1" applyFont="1" applyFill="1" applyBorder="1" applyAlignment="1">
      <alignment vertical="center"/>
    </xf>
    <xf numFmtId="0" fontId="150" fillId="0" borderId="20" xfId="6" applyNumberFormat="1" applyFont="1" applyFill="1" applyBorder="1" applyAlignment="1">
      <alignment horizontal="center" vertical="center"/>
    </xf>
    <xf numFmtId="0" fontId="150" fillId="16" borderId="20" xfId="6" applyNumberFormat="1" applyFont="1" applyFill="1" applyBorder="1" applyAlignment="1">
      <alignment horizontal="center" vertical="center"/>
    </xf>
    <xf numFmtId="0" fontId="150" fillId="3" borderId="0" xfId="6" applyFont="1" applyFill="1" applyBorder="1" applyAlignment="1">
      <alignment vertical="center"/>
    </xf>
    <xf numFmtId="0" fontId="151" fillId="3" borderId="27" xfId="6" applyFont="1" applyFill="1" applyBorder="1" applyAlignment="1">
      <alignment vertical="center"/>
    </xf>
    <xf numFmtId="0" fontId="151" fillId="3" borderId="0" xfId="6" applyFont="1" applyFill="1" applyBorder="1" applyAlignment="1">
      <alignment vertical="center"/>
    </xf>
    <xf numFmtId="0" fontId="151" fillId="3" borderId="21" xfId="6" applyFont="1" applyFill="1" applyBorder="1" applyAlignment="1">
      <alignment vertical="center"/>
    </xf>
    <xf numFmtId="0" fontId="150" fillId="16" borderId="270" xfId="6" applyNumberFormat="1" applyFont="1" applyFill="1" applyBorder="1" applyAlignment="1">
      <alignment horizontal="center" vertical="center"/>
    </xf>
    <xf numFmtId="0" fontId="150" fillId="3" borderId="271" xfId="6" applyFont="1" applyFill="1" applyBorder="1" applyAlignment="1">
      <alignment vertical="center"/>
    </xf>
    <xf numFmtId="0" fontId="151" fillId="3" borderId="272" xfId="6" applyFont="1" applyFill="1" applyBorder="1" applyAlignment="1">
      <alignment vertical="center"/>
    </xf>
    <xf numFmtId="0" fontId="151" fillId="3" borderId="271" xfId="6" applyFont="1" applyFill="1" applyBorder="1" applyAlignment="1">
      <alignment vertical="center"/>
    </xf>
    <xf numFmtId="0" fontId="151" fillId="3" borderId="296" xfId="6" applyFont="1" applyFill="1" applyBorder="1" applyAlignment="1">
      <alignment vertical="center"/>
    </xf>
    <xf numFmtId="0" fontId="42" fillId="3" borderId="208" xfId="1" applyFont="1" applyFill="1" applyBorder="1"/>
    <xf numFmtId="0" fontId="50" fillId="3" borderId="263" xfId="1" applyFont="1" applyFill="1" applyBorder="1" applyAlignment="1">
      <alignment wrapText="1"/>
    </xf>
    <xf numFmtId="0" fontId="42" fillId="3" borderId="259" xfId="1" applyFont="1" applyFill="1" applyBorder="1"/>
    <xf numFmtId="0" fontId="42" fillId="3" borderId="27" xfId="1" applyFont="1" applyFill="1" applyBorder="1"/>
    <xf numFmtId="0" fontId="42" fillId="3" borderId="21" xfId="1" applyFont="1" applyFill="1" applyBorder="1"/>
    <xf numFmtId="0" fontId="42" fillId="3" borderId="21" xfId="1" applyFont="1" applyFill="1" applyBorder="1" applyAlignment="1"/>
    <xf numFmtId="0" fontId="42" fillId="3" borderId="58" xfId="1" applyFont="1" applyFill="1" applyBorder="1"/>
    <xf numFmtId="0" fontId="42" fillId="82" borderId="265" xfId="1" applyFont="1" applyFill="1" applyBorder="1"/>
    <xf numFmtId="0" fontId="433" fillId="0" borderId="0" xfId="1" applyFont="1" applyAlignment="1">
      <alignment horizontal="center" vertical="center"/>
    </xf>
    <xf numFmtId="0" fontId="50" fillId="3" borderId="263" xfId="1" applyFont="1" applyFill="1" applyBorder="1" applyAlignment="1">
      <alignment vertical="center" wrapText="1"/>
    </xf>
    <xf numFmtId="0" fontId="33" fillId="1" borderId="261" xfId="1" applyFont="1" applyFill="1" applyBorder="1" applyAlignment="1">
      <alignment horizontal="center" vertical="center" wrapText="1"/>
    </xf>
    <xf numFmtId="0" fontId="50" fillId="0" borderId="265" xfId="1" applyFont="1" applyBorder="1" applyAlignment="1">
      <alignment wrapText="1"/>
    </xf>
    <xf numFmtId="0" fontId="42" fillId="3" borderId="210" xfId="1" applyFont="1" applyFill="1" applyBorder="1"/>
    <xf numFmtId="0" fontId="50" fillId="0" borderId="263" xfId="1" applyFont="1" applyBorder="1" applyAlignment="1">
      <alignment horizontal="center" vertical="center"/>
    </xf>
    <xf numFmtId="0" fontId="42" fillId="3" borderId="345" xfId="1" applyFont="1" applyFill="1" applyBorder="1"/>
    <xf numFmtId="0" fontId="42" fillId="3" borderId="348" xfId="1" applyFont="1" applyFill="1" applyBorder="1"/>
    <xf numFmtId="0" fontId="104" fillId="47" borderId="263" xfId="1" applyFont="1" applyFill="1" applyBorder="1" applyAlignment="1">
      <alignment horizontal="center"/>
    </xf>
    <xf numFmtId="0" fontId="42" fillId="0" borderId="21" xfId="1" applyFont="1" applyBorder="1"/>
    <xf numFmtId="0" fontId="50" fillId="0" borderId="21" xfId="1" applyFont="1" applyBorder="1" applyAlignment="1">
      <alignment horizontal="center"/>
    </xf>
    <xf numFmtId="0" fontId="50" fillId="47" borderId="263" xfId="1" applyFont="1" applyFill="1" applyBorder="1" applyAlignment="1">
      <alignment horizontal="center"/>
    </xf>
    <xf numFmtId="0" fontId="42" fillId="3" borderId="348" xfId="1" applyFont="1" applyFill="1" applyBorder="1" applyAlignment="1"/>
    <xf numFmtId="0" fontId="42" fillId="0" borderId="21" xfId="1" applyFont="1" applyBorder="1" applyAlignment="1">
      <alignment horizontal="left"/>
    </xf>
    <xf numFmtId="0" fontId="42" fillId="3" borderId="328" xfId="1" applyFont="1" applyFill="1" applyBorder="1"/>
    <xf numFmtId="0" fontId="64" fillId="3" borderId="188" xfId="1" applyFont="1" applyFill="1" applyBorder="1" applyAlignment="1">
      <alignment horizontal="justify" wrapText="1"/>
    </xf>
    <xf numFmtId="0" fontId="50" fillId="0" borderId="267" xfId="1" applyFont="1" applyBorder="1" applyAlignment="1">
      <alignment horizontal="justify" wrapText="1"/>
    </xf>
    <xf numFmtId="0" fontId="434" fillId="0" borderId="27" xfId="1" applyFont="1" applyBorder="1" applyAlignment="1">
      <alignment horizontal="right" vertical="center" wrapText="1"/>
    </xf>
    <xf numFmtId="9" fontId="42" fillId="0" borderId="163" xfId="1" applyNumberFormat="1" applyFont="1" applyBorder="1"/>
    <xf numFmtId="0" fontId="63" fillId="3" borderId="336" xfId="1" applyFont="1" applyFill="1" applyBorder="1"/>
    <xf numFmtId="0" fontId="42" fillId="0" borderId="294" xfId="1" applyFont="1" applyBorder="1"/>
    <xf numFmtId="0" fontId="435" fillId="0" borderId="0" xfId="0" applyFont="1"/>
    <xf numFmtId="166" fontId="183" fillId="7" borderId="292" xfId="1" applyNumberFormat="1" applyFont="1" applyFill="1" applyBorder="1" applyAlignment="1">
      <alignment vertical="center"/>
    </xf>
    <xf numFmtId="0" fontId="436" fillId="0" borderId="0" xfId="1" applyFont="1" applyAlignment="1">
      <alignment horizontal="center"/>
    </xf>
    <xf numFmtId="0" fontId="437" fillId="0" borderId="253" xfId="1" applyFont="1" applyBorder="1"/>
    <xf numFmtId="0" fontId="438" fillId="0" borderId="76" xfId="1" applyFont="1" applyBorder="1"/>
    <xf numFmtId="0" fontId="42" fillId="0" borderId="27" xfId="1" applyFont="1" applyFill="1" applyBorder="1"/>
    <xf numFmtId="166" fontId="394" fillId="7" borderId="292" xfId="1" applyNumberFormat="1" applyFont="1" applyFill="1" applyBorder="1" applyAlignment="1">
      <alignment vertical="center"/>
    </xf>
    <xf numFmtId="0" fontId="42" fillId="0" borderId="169" xfId="1" applyNumberFormat="1" applyFont="1" applyBorder="1"/>
    <xf numFmtId="0" fontId="42" fillId="45" borderId="252" xfId="1" applyFont="1" applyFill="1" applyBorder="1"/>
    <xf numFmtId="0" fontId="42" fillId="0" borderId="298" xfId="1" applyFont="1" applyBorder="1"/>
    <xf numFmtId="0" fontId="430" fillId="0" borderId="300" xfId="1" applyFont="1" applyBorder="1" applyAlignment="1">
      <alignment horizontal="center" vertical="top" wrapText="1"/>
    </xf>
    <xf numFmtId="0" fontId="430" fillId="0" borderId="301" xfId="1" applyFont="1" applyBorder="1" applyAlignment="1">
      <alignment horizontal="center" vertical="top"/>
    </xf>
    <xf numFmtId="0" fontId="42" fillId="0" borderId="302" xfId="1" applyFont="1" applyBorder="1"/>
    <xf numFmtId="0" fontId="42" fillId="0" borderId="303" xfId="1" applyFont="1" applyBorder="1"/>
    <xf numFmtId="0" fontId="42" fillId="0" borderId="297" xfId="1" applyFont="1" applyBorder="1"/>
    <xf numFmtId="0" fontId="50" fillId="87" borderId="304" xfId="1" applyFont="1" applyFill="1" applyBorder="1" applyAlignment="1">
      <alignment wrapText="1"/>
    </xf>
    <xf numFmtId="0" fontId="42" fillId="87" borderId="305" xfId="1" applyFont="1" applyFill="1" applyBorder="1" applyAlignment="1">
      <alignment horizontal="center" wrapText="1"/>
    </xf>
    <xf numFmtId="0" fontId="42" fillId="87" borderId="306" xfId="1" applyFont="1" applyFill="1" applyBorder="1" applyAlignment="1">
      <alignment horizontal="center" wrapText="1"/>
    </xf>
    <xf numFmtId="0" fontId="50" fillId="3" borderId="297" xfId="1" applyFont="1" applyFill="1" applyBorder="1"/>
    <xf numFmtId="0" fontId="42" fillId="3" borderId="305" xfId="1" applyFont="1" applyFill="1" applyBorder="1"/>
    <xf numFmtId="0" fontId="42" fillId="3" borderId="159" xfId="1" applyFont="1" applyFill="1" applyBorder="1"/>
    <xf numFmtId="0" fontId="50" fillId="0" borderId="297" xfId="1" applyFont="1" applyBorder="1"/>
    <xf numFmtId="0" fontId="42" fillId="0" borderId="305" xfId="1" applyFont="1" applyBorder="1"/>
    <xf numFmtId="0" fontId="42" fillId="0" borderId="159" xfId="1" applyFont="1" applyBorder="1"/>
    <xf numFmtId="0" fontId="42" fillId="3" borderId="298" xfId="1" applyFont="1" applyFill="1" applyBorder="1"/>
    <xf numFmtId="0" fontId="42" fillId="3" borderId="308" xfId="1" applyFont="1" applyFill="1" applyBorder="1"/>
    <xf numFmtId="0" fontId="42" fillId="0" borderId="308" xfId="1" applyFont="1" applyBorder="1"/>
    <xf numFmtId="0" fontId="42" fillId="0" borderId="309" xfId="1" applyFont="1" applyBorder="1"/>
    <xf numFmtId="0" fontId="50" fillId="0" borderId="310" xfId="1" applyFont="1" applyBorder="1" applyAlignment="1">
      <alignment wrapText="1"/>
    </xf>
    <xf numFmtId="0" fontId="42" fillId="0" borderId="313" xfId="1" applyFont="1" applyBorder="1" applyAlignment="1">
      <alignment vertical="top"/>
    </xf>
    <xf numFmtId="0" fontId="63" fillId="45" borderId="315" xfId="1" applyFont="1" applyFill="1" applyBorder="1" applyAlignment="1">
      <alignment horizontal="center" vertical="center" wrapText="1"/>
    </xf>
    <xf numFmtId="0" fontId="50" fillId="0" borderId="314" xfId="1" applyFont="1" applyBorder="1" applyAlignment="1">
      <alignment horizontal="center" vertical="center"/>
    </xf>
    <xf numFmtId="0" fontId="48" fillId="0" borderId="311" xfId="1" applyFont="1" applyBorder="1" applyAlignment="1">
      <alignment horizontal="center" vertical="center" textRotation="255"/>
    </xf>
    <xf numFmtId="0" fontId="48" fillId="0" borderId="315" xfId="1" applyFont="1" applyBorder="1" applyAlignment="1">
      <alignment horizontal="center" vertical="center" wrapText="1"/>
    </xf>
    <xf numFmtId="0" fontId="48" fillId="0" borderId="311" xfId="1" applyFont="1" applyBorder="1" applyAlignment="1">
      <alignment horizontal="center" vertical="center" wrapText="1"/>
    </xf>
    <xf numFmtId="0" fontId="48" fillId="0" borderId="311" xfId="1" applyFont="1" applyBorder="1" applyAlignment="1">
      <alignment horizontal="center" vertical="center"/>
    </xf>
    <xf numFmtId="0" fontId="104" fillId="87" borderId="315" xfId="1" applyFont="1" applyFill="1" applyBorder="1" applyAlignment="1">
      <alignment horizontal="center" vertical="center" textRotation="255"/>
    </xf>
    <xf numFmtId="0" fontId="104" fillId="87" borderId="159" xfId="1" applyFont="1" applyFill="1" applyBorder="1" applyAlignment="1">
      <alignment horizontal="center" vertical="center" textRotation="255"/>
    </xf>
    <xf numFmtId="0" fontId="42" fillId="0" borderId="316" xfId="1" applyFont="1" applyBorder="1"/>
    <xf numFmtId="0" fontId="171" fillId="45" borderId="266" xfId="1" applyFont="1" applyFill="1" applyBorder="1" applyAlignment="1">
      <alignment horizontal="right" vertical="center"/>
    </xf>
    <xf numFmtId="0" fontId="42" fillId="45" borderId="265" xfId="1" applyFont="1" applyFill="1" applyBorder="1"/>
    <xf numFmtId="0" fontId="42" fillId="45" borderId="291" xfId="1" applyFont="1" applyFill="1" applyBorder="1"/>
    <xf numFmtId="0" fontId="42" fillId="45" borderId="269" xfId="1" applyFont="1" applyFill="1" applyBorder="1"/>
    <xf numFmtId="0" fontId="104" fillId="88" borderId="314" xfId="1" applyFont="1" applyFill="1" applyBorder="1" applyAlignment="1">
      <alignment horizontal="center"/>
    </xf>
    <xf numFmtId="0" fontId="42" fillId="88" borderId="309" xfId="1" applyFont="1" applyFill="1" applyBorder="1"/>
    <xf numFmtId="0" fontId="42" fillId="88" borderId="315" xfId="1" applyFont="1" applyFill="1" applyBorder="1"/>
    <xf numFmtId="0" fontId="42" fillId="88" borderId="317" xfId="1" applyFont="1" applyFill="1" applyBorder="1"/>
    <xf numFmtId="0" fontId="42" fillId="0" borderId="313" xfId="1" applyFont="1" applyBorder="1"/>
    <xf numFmtId="0" fontId="42" fillId="0" borderId="318" xfId="1" applyFont="1" applyBorder="1"/>
    <xf numFmtId="0" fontId="42" fillId="0" borderId="319" xfId="1" applyFont="1" applyBorder="1"/>
    <xf numFmtId="0" fontId="42" fillId="0" borderId="320" xfId="1" applyFont="1" applyBorder="1"/>
    <xf numFmtId="0" fontId="50" fillId="0" borderId="318" xfId="1" applyFont="1" applyBorder="1" applyAlignment="1">
      <alignment horizontal="center"/>
    </xf>
    <xf numFmtId="0" fontId="50" fillId="88" borderId="314" xfId="1" applyFont="1" applyFill="1" applyBorder="1" applyAlignment="1">
      <alignment horizontal="center"/>
    </xf>
    <xf numFmtId="0" fontId="42" fillId="88" borderId="319" xfId="1" applyFont="1" applyFill="1" applyBorder="1"/>
    <xf numFmtId="0" fontId="42" fillId="0" borderId="313" xfId="1" applyFont="1" applyBorder="1" applyAlignment="1"/>
    <xf numFmtId="0" fontId="42" fillId="0" borderId="318" xfId="1" applyFont="1" applyBorder="1" applyAlignment="1">
      <alignment horizontal="left"/>
    </xf>
    <xf numFmtId="0" fontId="42" fillId="0" borderId="319" xfId="1" applyFont="1" applyBorder="1" applyAlignment="1">
      <alignment horizontal="right"/>
    </xf>
    <xf numFmtId="0" fontId="42" fillId="0" borderId="321" xfId="1" applyFont="1" applyBorder="1"/>
    <xf numFmtId="0" fontId="42" fillId="0" borderId="322" xfId="1" applyFont="1" applyBorder="1"/>
    <xf numFmtId="0" fontId="50" fillId="0" borderId="313" xfId="1" applyFont="1" applyBorder="1" applyAlignment="1">
      <alignment horizontal="justify" wrapText="1"/>
    </xf>
    <xf numFmtId="0" fontId="42" fillId="0" borderId="323" xfId="1" applyFont="1" applyBorder="1"/>
    <xf numFmtId="0" fontId="434" fillId="0" borderId="316" xfId="1" applyFont="1" applyBorder="1" applyAlignment="1">
      <alignment horizontal="right" vertical="center" wrapText="1"/>
    </xf>
    <xf numFmtId="0" fontId="42" fillId="0" borderId="159" xfId="1" applyFont="1" applyBorder="1" applyAlignment="1">
      <alignment horizontal="right" vertical="center" wrapText="1"/>
    </xf>
    <xf numFmtId="0" fontId="50" fillId="0" borderId="316" xfId="1" applyFont="1" applyBorder="1"/>
    <xf numFmtId="9" fontId="42" fillId="0" borderId="159" xfId="1" applyNumberFormat="1" applyFont="1" applyBorder="1"/>
    <xf numFmtId="0" fontId="42" fillId="0" borderId="324" xfId="1" applyFont="1" applyBorder="1"/>
    <xf numFmtId="0" fontId="42" fillId="0" borderId="325" xfId="1" applyFont="1" applyBorder="1"/>
    <xf numFmtId="0" fontId="50" fillId="0" borderId="326" xfId="1" applyFont="1" applyBorder="1"/>
    <xf numFmtId="211" fontId="8" fillId="0" borderId="325" xfId="23" applyFont="1" applyFill="1" applyBorder="1" applyAlignment="1" applyProtection="1"/>
    <xf numFmtId="0" fontId="42" fillId="0" borderId="327" xfId="1" applyFont="1" applyBorder="1"/>
    <xf numFmtId="0" fontId="42" fillId="0" borderId="328" xfId="1" applyFont="1" applyBorder="1"/>
    <xf numFmtId="0" fontId="430" fillId="0" borderId="332" xfId="1" applyFont="1" applyBorder="1" applyAlignment="1">
      <alignment horizontal="center" vertical="top" wrapText="1"/>
    </xf>
    <xf numFmtId="0" fontId="430" fillId="0" borderId="331" xfId="1" applyFont="1" applyBorder="1" applyAlignment="1">
      <alignment horizontal="centerContinuous" vertical="top"/>
    </xf>
    <xf numFmtId="0" fontId="42" fillId="0" borderId="330" xfId="1" applyFont="1" applyBorder="1"/>
    <xf numFmtId="0" fontId="42" fillId="0" borderId="333" xfId="1" applyFont="1" applyBorder="1"/>
    <xf numFmtId="0" fontId="42" fillId="0" borderId="177" xfId="1" applyFont="1" applyBorder="1"/>
    <xf numFmtId="0" fontId="50" fillId="1" borderId="334" xfId="1" applyFont="1" applyFill="1" applyBorder="1" applyAlignment="1">
      <alignment wrapText="1"/>
    </xf>
    <xf numFmtId="0" fontId="42" fillId="1" borderId="188" xfId="1" applyFont="1" applyFill="1" applyBorder="1" applyAlignment="1">
      <alignment horizontal="centerContinuous" wrapText="1"/>
    </xf>
    <xf numFmtId="0" fontId="42" fillId="1" borderId="210" xfId="1" applyFont="1" applyFill="1" applyBorder="1" applyAlignment="1">
      <alignment horizontal="centerContinuous" wrapText="1"/>
    </xf>
    <xf numFmtId="0" fontId="50" fillId="0" borderId="177" xfId="1" applyFont="1" applyBorder="1"/>
    <xf numFmtId="0" fontId="42" fillId="0" borderId="188" xfId="1" applyFont="1" applyBorder="1"/>
    <xf numFmtId="0" fontId="42" fillId="0" borderId="336" xfId="1" applyFont="1" applyBorder="1"/>
    <xf numFmtId="0" fontId="42" fillId="3" borderId="366" xfId="1" applyFont="1" applyFill="1" applyBorder="1"/>
    <xf numFmtId="0" fontId="50" fillId="3" borderId="367" xfId="1" applyFont="1" applyFill="1" applyBorder="1" applyAlignment="1">
      <alignment wrapText="1"/>
    </xf>
    <xf numFmtId="0" fontId="42" fillId="0" borderId="338" xfId="1" applyFont="1" applyBorder="1"/>
    <xf numFmtId="0" fontId="50" fillId="0" borderId="339" xfId="1" applyFont="1" applyBorder="1" applyAlignment="1">
      <alignment wrapText="1"/>
    </xf>
    <xf numFmtId="0" fontId="50" fillId="1" borderId="340" xfId="1" applyFont="1" applyFill="1" applyBorder="1" applyAlignment="1">
      <alignment horizontal="centerContinuous" wrapText="1"/>
    </xf>
    <xf numFmtId="0" fontId="50" fillId="0" borderId="338" xfId="1" applyFont="1" applyBorder="1" applyAlignment="1">
      <alignment horizontal="centerContinuous" wrapText="1"/>
    </xf>
    <xf numFmtId="0" fontId="50" fillId="0" borderId="341" xfId="1" applyFont="1" applyBorder="1" applyAlignment="1">
      <alignment horizontal="centerContinuous" wrapText="1"/>
    </xf>
    <xf numFmtId="0" fontId="50" fillId="0" borderId="342" xfId="1" applyFont="1" applyBorder="1" applyAlignment="1">
      <alignment horizontal="centerContinuous" wrapText="1"/>
    </xf>
    <xf numFmtId="0" fontId="42" fillId="1" borderId="341" xfId="1" applyFont="1" applyFill="1" applyBorder="1" applyAlignment="1">
      <alignment horizontal="centerContinuous" wrapText="1"/>
    </xf>
    <xf numFmtId="0" fontId="42" fillId="1" borderId="343" xfId="1" applyFont="1" applyFill="1" applyBorder="1" applyAlignment="1">
      <alignment horizontal="centerContinuous" wrapText="1"/>
    </xf>
    <xf numFmtId="0" fontId="42" fillId="3" borderId="365" xfId="1" applyFont="1" applyFill="1" applyBorder="1"/>
    <xf numFmtId="0" fontId="42" fillId="3" borderId="318" xfId="1" applyFont="1" applyFill="1" applyBorder="1" applyAlignment="1">
      <alignment vertical="top"/>
    </xf>
    <xf numFmtId="0" fontId="42" fillId="0" borderId="339" xfId="1" applyFont="1" applyBorder="1"/>
    <xf numFmtId="0" fontId="50" fillId="0" borderId="342" xfId="1" applyFont="1" applyBorder="1" applyAlignment="1">
      <alignment horizontal="center" vertical="center"/>
    </xf>
    <xf numFmtId="0" fontId="48" fillId="0" borderId="340" xfId="1" applyFont="1" applyBorder="1" applyAlignment="1">
      <alignment horizontal="center" vertical="center" textRotation="255"/>
    </xf>
    <xf numFmtId="0" fontId="48" fillId="0" borderId="344" xfId="1" applyFont="1" applyBorder="1" applyAlignment="1">
      <alignment horizontal="center" vertical="center" wrapText="1"/>
    </xf>
    <xf numFmtId="0" fontId="48" fillId="0" borderId="340" xfId="1" applyFont="1" applyBorder="1" applyAlignment="1">
      <alignment horizontal="center" vertical="center" wrapText="1"/>
    </xf>
    <xf numFmtId="0" fontId="48" fillId="0" borderId="340" xfId="1" applyFont="1" applyBorder="1" applyAlignment="1">
      <alignment horizontal="center" vertical="center"/>
    </xf>
    <xf numFmtId="0" fontId="104" fillId="1" borderId="344" xfId="1" applyFont="1" applyFill="1" applyBorder="1" applyAlignment="1">
      <alignment horizontal="center" vertical="center" textRotation="255"/>
    </xf>
    <xf numFmtId="0" fontId="42" fillId="3" borderId="316" xfId="1" applyFont="1" applyFill="1" applyBorder="1"/>
    <xf numFmtId="0" fontId="42" fillId="0" borderId="345" xfId="1" applyFont="1" applyBorder="1"/>
    <xf numFmtId="0" fontId="42" fillId="0" borderId="346" xfId="1" applyFont="1" applyBorder="1"/>
    <xf numFmtId="0" fontId="104" fillId="47" borderId="342" xfId="1" applyFont="1" applyFill="1" applyBorder="1" applyAlignment="1">
      <alignment horizontal="center"/>
    </xf>
    <xf numFmtId="0" fontId="42" fillId="47" borderId="338" xfId="1" applyFont="1" applyFill="1" applyBorder="1"/>
    <xf numFmtId="0" fontId="42" fillId="47" borderId="344" xfId="1" applyFont="1" applyFill="1" applyBorder="1"/>
    <xf numFmtId="0" fontId="42" fillId="47" borderId="347" xfId="1" applyFont="1" applyFill="1" applyBorder="1"/>
    <xf numFmtId="0" fontId="42" fillId="3" borderId="318" xfId="1" applyFont="1" applyFill="1" applyBorder="1"/>
    <xf numFmtId="0" fontId="42" fillId="0" borderId="348" xfId="1" applyFont="1" applyBorder="1"/>
    <xf numFmtId="0" fontId="42" fillId="0" borderId="349" xfId="1" applyFont="1" applyBorder="1"/>
    <xf numFmtId="0" fontId="42" fillId="0" borderId="350" xfId="1" applyFont="1" applyBorder="1"/>
    <xf numFmtId="0" fontId="50" fillId="0" borderId="348" xfId="1" applyFont="1" applyBorder="1" applyAlignment="1">
      <alignment horizontal="center"/>
    </xf>
    <xf numFmtId="0" fontId="50" fillId="47" borderId="342" xfId="1" applyFont="1" applyFill="1" applyBorder="1" applyAlignment="1">
      <alignment horizontal="center"/>
    </xf>
    <xf numFmtId="0" fontId="42" fillId="47" borderId="349" xfId="1" applyFont="1" applyFill="1" applyBorder="1"/>
    <xf numFmtId="0" fontId="42" fillId="3" borderId="318" xfId="1" applyFont="1" applyFill="1" applyBorder="1" applyAlignment="1"/>
    <xf numFmtId="0" fontId="42" fillId="0" borderId="346" xfId="1" applyFont="1" applyBorder="1" applyAlignment="1"/>
    <xf numFmtId="0" fontId="42" fillId="0" borderId="348" xfId="1" applyFont="1" applyBorder="1" applyAlignment="1">
      <alignment horizontal="left"/>
    </xf>
    <xf numFmtId="0" fontId="42" fillId="0" borderId="349" xfId="1" applyFont="1" applyBorder="1" applyAlignment="1">
      <alignment horizontal="right"/>
    </xf>
    <xf numFmtId="0" fontId="42" fillId="47" borderId="350" xfId="1" applyFont="1" applyFill="1" applyBorder="1"/>
    <xf numFmtId="0" fontId="42" fillId="0" borderId="351" xfId="1" applyFont="1" applyBorder="1"/>
    <xf numFmtId="0" fontId="42" fillId="0" borderId="352" xfId="1" applyFont="1" applyBorder="1"/>
    <xf numFmtId="0" fontId="50" fillId="0" borderId="346" xfId="1" applyFont="1" applyBorder="1" applyAlignment="1">
      <alignment horizontal="justify" wrapText="1"/>
    </xf>
    <xf numFmtId="0" fontId="42" fillId="0" borderId="189" xfId="1" applyFont="1" applyBorder="1"/>
    <xf numFmtId="0" fontId="434" fillId="0" borderId="345" xfId="1" applyFont="1" applyBorder="1" applyAlignment="1">
      <alignment horizontal="right" vertical="center" wrapText="1"/>
    </xf>
    <xf numFmtId="0" fontId="50" fillId="0" borderId="345" xfId="1" applyFont="1" applyBorder="1"/>
    <xf numFmtId="0" fontId="42" fillId="0" borderId="353" xfId="1" applyFont="1" applyBorder="1"/>
    <xf numFmtId="0" fontId="42" fillId="0" borderId="354" xfId="1" applyFont="1" applyBorder="1"/>
    <xf numFmtId="0" fontId="50" fillId="0" borderId="355" xfId="1" applyFont="1" applyBorder="1"/>
    <xf numFmtId="209" fontId="8" fillId="0" borderId="354" xfId="22" applyFont="1" applyBorder="1"/>
    <xf numFmtId="0" fontId="42" fillId="0" borderId="356" xfId="1" applyFont="1" applyBorder="1"/>
    <xf numFmtId="0" fontId="48" fillId="0" borderId="266" xfId="1" applyFont="1" applyBorder="1" applyAlignment="1">
      <alignment horizontal="center" vertical="center" textRotation="90" wrapText="1"/>
    </xf>
    <xf numFmtId="0" fontId="48" fillId="0" borderId="261" xfId="1" applyFont="1" applyBorder="1" applyAlignment="1">
      <alignment horizontal="center" vertical="center" shrinkToFit="1"/>
    </xf>
    <xf numFmtId="0" fontId="50" fillId="0" borderId="349" xfId="1" applyFont="1" applyBorder="1" applyAlignment="1">
      <alignment horizontal="center"/>
    </xf>
    <xf numFmtId="0" fontId="42" fillId="0" borderId="349" xfId="1" applyFont="1" applyBorder="1" applyAlignment="1">
      <alignment horizontal="left"/>
    </xf>
    <xf numFmtId="0" fontId="42" fillId="0" borderId="357" xfId="1" applyFont="1" applyBorder="1"/>
    <xf numFmtId="0" fontId="104" fillId="0" borderId="345" xfId="1" applyFont="1" applyBorder="1" applyAlignment="1">
      <alignment horizontal="right" vertical="center" wrapText="1"/>
    </xf>
    <xf numFmtId="0" fontId="42" fillId="0" borderId="358" xfId="1" applyFont="1" applyBorder="1"/>
    <xf numFmtId="0" fontId="8" fillId="0" borderId="0" xfId="2" applyFont="1" applyFill="1"/>
    <xf numFmtId="0" fontId="8" fillId="52" borderId="0" xfId="2" applyFont="1" applyFill="1"/>
    <xf numFmtId="0" fontId="8" fillId="68" borderId="0" xfId="2" applyFont="1" applyFill="1"/>
    <xf numFmtId="0" fontId="439" fillId="93" borderId="162" xfId="6" applyFont="1" applyFill="1" applyBorder="1" applyAlignment="1">
      <alignment vertical="center"/>
    </xf>
    <xf numFmtId="0" fontId="42" fillId="0" borderId="0" xfId="3" applyFont="1"/>
    <xf numFmtId="0" fontId="439" fillId="77" borderId="162" xfId="6" applyFont="1" applyFill="1" applyBorder="1" applyAlignment="1">
      <alignment vertical="center"/>
    </xf>
    <xf numFmtId="0" fontId="171" fillId="3" borderId="162" xfId="3" applyFont="1" applyFill="1" applyBorder="1" applyAlignment="1" applyProtection="1">
      <alignment horizontal="center" vertical="center"/>
      <protection hidden="1"/>
    </xf>
    <xf numFmtId="0" fontId="171" fillId="85" borderId="379" xfId="3" applyFont="1" applyFill="1" applyBorder="1" applyAlignment="1" applyProtection="1">
      <alignment horizontal="center" vertical="center"/>
      <protection hidden="1"/>
    </xf>
    <xf numFmtId="2" fontId="434" fillId="105" borderId="0" xfId="3" applyNumberFormat="1" applyFont="1" applyFill="1" applyBorder="1" applyAlignment="1">
      <alignment vertical="center"/>
    </xf>
    <xf numFmtId="2" fontId="434" fillId="105" borderId="163" xfId="3" applyNumberFormat="1" applyFont="1" applyFill="1" applyBorder="1" applyAlignment="1">
      <alignment vertical="center"/>
    </xf>
    <xf numFmtId="0" fontId="8" fillId="3" borderId="357" xfId="2" applyFont="1" applyFill="1" applyBorder="1" applyAlignment="1">
      <alignment horizontal="center" vertical="center"/>
    </xf>
    <xf numFmtId="0" fontId="8" fillId="3" borderId="0" xfId="2" applyFont="1" applyFill="1" applyBorder="1" applyAlignment="1">
      <alignment vertical="center"/>
    </xf>
    <xf numFmtId="0" fontId="8" fillId="0" borderId="0" xfId="2" applyFont="1" applyBorder="1"/>
    <xf numFmtId="0" fontId="33" fillId="3" borderId="0" xfId="3" applyFont="1" applyFill="1" applyBorder="1" applyAlignment="1">
      <alignment vertical="center" wrapText="1"/>
    </xf>
    <xf numFmtId="0" fontId="33" fillId="3" borderId="163" xfId="3" applyFont="1" applyFill="1" applyBorder="1" applyAlignment="1">
      <alignment vertical="center" wrapText="1"/>
    </xf>
    <xf numFmtId="0" fontId="33" fillId="3" borderId="0" xfId="3" applyFont="1" applyFill="1" applyBorder="1" applyAlignment="1">
      <alignment vertical="center"/>
    </xf>
    <xf numFmtId="0" fontId="8" fillId="3" borderId="163" xfId="2" applyFont="1" applyFill="1" applyBorder="1" applyAlignment="1">
      <alignment vertical="center"/>
    </xf>
    <xf numFmtId="0" fontId="8" fillId="3" borderId="357" xfId="2" applyFont="1" applyFill="1" applyBorder="1"/>
    <xf numFmtId="177" fontId="50" fillId="97" borderId="0" xfId="3" applyNumberFormat="1" applyFont="1" applyFill="1" applyBorder="1" applyAlignment="1">
      <alignment horizontal="center" vertical="center"/>
    </xf>
    <xf numFmtId="0" fontId="33" fillId="3" borderId="357" xfId="2" applyFont="1" applyFill="1" applyBorder="1" applyAlignment="1" applyProtection="1">
      <alignment horizontal="center" vertical="center"/>
      <protection locked="0"/>
    </xf>
    <xf numFmtId="2" fontId="162" fillId="4" borderId="357" xfId="2" applyNumberFormat="1" applyFont="1" applyFill="1" applyBorder="1" applyAlignment="1">
      <alignment horizontal="right" vertical="center"/>
    </xf>
    <xf numFmtId="0" fontId="440" fillId="4" borderId="0" xfId="3" applyFont="1" applyFill="1" applyBorder="1" applyAlignment="1" applyProtection="1">
      <alignment horizontal="center" vertical="center"/>
      <protection hidden="1"/>
    </xf>
    <xf numFmtId="1" fontId="227" fillId="81" borderId="0" xfId="9" applyNumberFormat="1" applyFont="1" applyFill="1" applyBorder="1" applyAlignment="1">
      <alignment horizontal="center" vertical="center"/>
    </xf>
    <xf numFmtId="0" fontId="8" fillId="0" borderId="163" xfId="2" applyFont="1" applyBorder="1"/>
    <xf numFmtId="0" fontId="152" fillId="16" borderId="357" xfId="3" applyFont="1" applyFill="1" applyBorder="1" applyAlignment="1">
      <alignment horizontal="center" vertical="center" wrapText="1"/>
    </xf>
    <xf numFmtId="0" fontId="33" fillId="3" borderId="0" xfId="9" applyNumberFormat="1" applyFont="1" applyFill="1" applyBorder="1" applyAlignment="1">
      <alignment horizontal="right" vertical="center"/>
    </xf>
    <xf numFmtId="177" fontId="33" fillId="3" borderId="0" xfId="9" applyNumberFormat="1" applyFont="1" applyFill="1" applyBorder="1" applyAlignment="1">
      <alignment horizontal="center" vertical="center"/>
    </xf>
    <xf numFmtId="0" fontId="104" fillId="3" borderId="0" xfId="3" applyFont="1" applyFill="1" applyBorder="1" applyAlignment="1" applyProtection="1">
      <alignment vertical="center" wrapText="1"/>
      <protection hidden="1"/>
    </xf>
    <xf numFmtId="0" fontId="8" fillId="3" borderId="163" xfId="2" applyFont="1" applyFill="1" applyBorder="1"/>
    <xf numFmtId="0" fontId="36" fillId="114" borderId="0" xfId="3" applyFont="1" applyFill="1" applyBorder="1" applyAlignment="1">
      <alignment horizontal="right" vertical="center"/>
    </xf>
    <xf numFmtId="0" fontId="35" fillId="13" borderId="163" xfId="2" applyFont="1" applyFill="1" applyBorder="1" applyAlignment="1" applyProtection="1">
      <alignment horizontal="center" vertical="center"/>
      <protection locked="0"/>
    </xf>
    <xf numFmtId="169" fontId="53" fillId="5" borderId="0" xfId="2" applyNumberFormat="1" applyFont="1" applyFill="1" applyBorder="1" applyAlignment="1" applyProtection="1">
      <alignment horizontal="center" vertical="center"/>
      <protection locked="0"/>
    </xf>
    <xf numFmtId="169" fontId="52" fillId="106" borderId="0" xfId="9" applyNumberFormat="1" applyFont="1" applyFill="1" applyBorder="1" applyAlignment="1">
      <alignment horizontal="right" vertical="center"/>
    </xf>
    <xf numFmtId="0" fontId="50" fillId="107" borderId="0" xfId="3" applyNumberFormat="1" applyFont="1" applyFill="1" applyBorder="1" applyAlignment="1">
      <alignment horizontal="left" vertical="center"/>
    </xf>
    <xf numFmtId="0" fontId="104" fillId="71" borderId="0" xfId="3" applyFont="1" applyFill="1" applyBorder="1" applyAlignment="1" applyProtection="1">
      <alignment horizontal="center" vertical="center" wrapText="1"/>
      <protection hidden="1"/>
    </xf>
    <xf numFmtId="196" fontId="442" fillId="4" borderId="118" xfId="9" applyNumberFormat="1" applyFont="1" applyFill="1" applyBorder="1" applyAlignment="1">
      <alignment horizontal="center" vertical="center" wrapText="1"/>
    </xf>
    <xf numFmtId="0" fontId="57" fillId="55" borderId="55" xfId="3" applyFont="1" applyFill="1" applyBorder="1" applyAlignment="1" applyProtection="1">
      <alignment horizontal="center" vertical="center"/>
      <protection hidden="1"/>
    </xf>
    <xf numFmtId="0" fontId="57" fillId="55" borderId="56" xfId="3" applyFont="1" applyFill="1" applyBorder="1" applyAlignment="1" applyProtection="1">
      <alignment horizontal="center" vertical="center" wrapText="1"/>
      <protection hidden="1"/>
    </xf>
    <xf numFmtId="0" fontId="57" fillId="55" borderId="56" xfId="3" applyFont="1" applyFill="1" applyBorder="1" applyAlignment="1" applyProtection="1">
      <alignment horizontal="center" vertical="center"/>
      <protection hidden="1"/>
    </xf>
    <xf numFmtId="0" fontId="75" fillId="55" borderId="56" xfId="3" applyFont="1" applyFill="1" applyBorder="1" applyAlignment="1" applyProtection="1">
      <alignment horizontal="center" vertical="center"/>
      <protection hidden="1"/>
    </xf>
    <xf numFmtId="171" fontId="443" fillId="55" borderId="24" xfId="3" applyNumberFormat="1" applyFont="1" applyFill="1" applyBorder="1" applyAlignment="1" applyProtection="1">
      <alignment horizontal="center" vertical="center"/>
      <protection hidden="1"/>
    </xf>
    <xf numFmtId="0" fontId="444" fillId="3" borderId="0" xfId="3" applyFont="1" applyFill="1" applyBorder="1" applyAlignment="1">
      <alignment horizontal="center" vertical="center"/>
    </xf>
    <xf numFmtId="176" fontId="445" fillId="3" borderId="386" xfId="2" applyNumberFormat="1" applyFont="1" applyFill="1" applyBorder="1" applyAlignment="1">
      <alignment horizontal="right" vertical="center"/>
    </xf>
    <xf numFmtId="165" fontId="446" fillId="3" borderId="382" xfId="2" applyNumberFormat="1" applyFont="1" applyFill="1" applyBorder="1" applyAlignment="1">
      <alignment horizontal="left" vertical="center"/>
    </xf>
    <xf numFmtId="177" fontId="33" fillId="3" borderId="382" xfId="9" applyNumberFormat="1" applyFont="1" applyFill="1" applyBorder="1" applyAlignment="1">
      <alignment horizontal="center" vertical="center"/>
    </xf>
    <xf numFmtId="203" fontId="64" fillId="3" borderId="392" xfId="9" applyNumberFormat="1" applyFont="1" applyFill="1" applyBorder="1" applyAlignment="1">
      <alignment horizontal="center" vertical="center"/>
    </xf>
    <xf numFmtId="0" fontId="43" fillId="81" borderId="235" xfId="2" applyFont="1" applyFill="1" applyBorder="1" applyAlignment="1" applyProtection="1">
      <alignment horizontal="center" vertical="center"/>
      <protection locked="0"/>
    </xf>
    <xf numFmtId="165" fontId="447" fillId="81" borderId="62" xfId="2" applyNumberFormat="1" applyFont="1" applyFill="1" applyBorder="1" applyAlignment="1">
      <alignment horizontal="left" vertical="center" wrapText="1"/>
    </xf>
    <xf numFmtId="177" fontId="43" fillId="81" borderId="62" xfId="9" applyNumberFormat="1" applyFont="1" applyFill="1" applyBorder="1" applyAlignment="1">
      <alignment horizontal="center" vertical="center"/>
    </xf>
    <xf numFmtId="177" fontId="42" fillId="99" borderId="163" xfId="3" applyNumberFormat="1" applyFont="1" applyFill="1" applyBorder="1" applyAlignment="1">
      <alignment horizontal="center" vertical="center"/>
    </xf>
    <xf numFmtId="177" fontId="42" fillId="105" borderId="0" xfId="3" applyNumberFormat="1" applyFont="1" applyFill="1" applyBorder="1" applyAlignment="1">
      <alignment horizontal="center" vertical="center"/>
    </xf>
    <xf numFmtId="2" fontId="42" fillId="105" borderId="0" xfId="3" applyNumberFormat="1" applyFont="1" applyFill="1" applyBorder="1" applyAlignment="1">
      <alignment horizontal="center" vertical="center"/>
    </xf>
    <xf numFmtId="200" fontId="42" fillId="105" borderId="163" xfId="3" applyNumberFormat="1" applyFont="1" applyFill="1" applyBorder="1" applyAlignment="1">
      <alignment horizontal="left" vertical="center"/>
    </xf>
    <xf numFmtId="9" fontId="53" fillId="7" borderId="0" xfId="2" applyNumberFormat="1" applyFont="1" applyFill="1" applyBorder="1" applyAlignment="1" applyProtection="1">
      <alignment horizontal="center" vertical="center"/>
      <protection locked="0"/>
    </xf>
    <xf numFmtId="203" fontId="71" fillId="106" borderId="357" xfId="26" applyNumberFormat="1" applyFont="1" applyFill="1" applyBorder="1" applyAlignment="1">
      <alignment horizontal="center" vertical="center"/>
    </xf>
    <xf numFmtId="200" fontId="42" fillId="105" borderId="0" xfId="3" applyNumberFormat="1" applyFont="1" applyFill="1" applyBorder="1" applyAlignment="1">
      <alignment horizontal="left" vertical="center"/>
    </xf>
    <xf numFmtId="203" fontId="50" fillId="100" borderId="357" xfId="3" applyNumberFormat="1" applyFont="1" applyFill="1" applyBorder="1" applyAlignment="1">
      <alignment horizontal="center" vertical="center"/>
    </xf>
    <xf numFmtId="203" fontId="42" fillId="105" borderId="0" xfId="3" applyNumberFormat="1" applyFont="1" applyFill="1" applyBorder="1" applyAlignment="1">
      <alignment horizontal="center" vertical="center"/>
    </xf>
    <xf numFmtId="203" fontId="50" fillId="100" borderId="0" xfId="3" applyNumberFormat="1" applyFont="1" applyFill="1" applyBorder="1" applyAlignment="1">
      <alignment horizontal="center" vertical="center"/>
    </xf>
    <xf numFmtId="0" fontId="50" fillId="105" borderId="357" xfId="3" applyNumberFormat="1" applyFont="1" applyFill="1" applyBorder="1" applyAlignment="1">
      <alignment horizontal="center" vertical="center"/>
    </xf>
    <xf numFmtId="0" fontId="42" fillId="105" borderId="0" xfId="3" applyNumberFormat="1" applyFont="1" applyFill="1" applyBorder="1" applyAlignment="1">
      <alignment horizontal="center" vertical="center"/>
    </xf>
    <xf numFmtId="0" fontId="40" fillId="3" borderId="0" xfId="3" applyFont="1" applyFill="1" applyBorder="1" applyProtection="1">
      <protection hidden="1"/>
    </xf>
    <xf numFmtId="177" fontId="52" fillId="103" borderId="393" xfId="9" applyNumberFormat="1" applyFont="1" applyFill="1" applyBorder="1" applyAlignment="1">
      <alignment horizontal="center" vertical="center"/>
    </xf>
    <xf numFmtId="0" fontId="41" fillId="102" borderId="0" xfId="3" applyFont="1" applyFill="1" applyBorder="1" applyAlignment="1">
      <alignment vertical="center"/>
    </xf>
    <xf numFmtId="177" fontId="52" fillId="103" borderId="0" xfId="9" applyNumberFormat="1" applyFont="1" applyFill="1" applyBorder="1" applyAlignment="1">
      <alignment horizontal="center" vertical="center"/>
    </xf>
    <xf numFmtId="0" fontId="41" fillId="102" borderId="388" xfId="3" applyFont="1" applyFill="1" applyBorder="1" applyAlignment="1">
      <alignment horizontal="center" vertical="center"/>
    </xf>
    <xf numFmtId="177" fontId="52" fillId="104" borderId="163" xfId="9" applyNumberFormat="1" applyFont="1" applyFill="1" applyBorder="1" applyAlignment="1">
      <alignment horizontal="center" vertical="center"/>
    </xf>
    <xf numFmtId="2" fontId="42" fillId="71" borderId="345" xfId="9" applyNumberFormat="1" applyFont="1" applyFill="1" applyBorder="1" applyAlignment="1">
      <alignment horizontal="center" vertical="center"/>
    </xf>
    <xf numFmtId="203" fontId="52" fillId="71" borderId="0" xfId="9" applyNumberFormat="1" applyFont="1" applyFill="1" applyBorder="1" applyAlignment="1">
      <alignment horizontal="center" vertical="center"/>
    </xf>
    <xf numFmtId="9" fontId="448" fillId="71" borderId="0" xfId="9" applyNumberFormat="1" applyFont="1" applyFill="1" applyBorder="1" applyAlignment="1">
      <alignment horizontal="center" vertical="center"/>
    </xf>
    <xf numFmtId="9" fontId="52" fillId="71" borderId="0" xfId="9" applyNumberFormat="1" applyFont="1" applyFill="1" applyBorder="1" applyAlignment="1">
      <alignment horizontal="center" vertical="center"/>
    </xf>
    <xf numFmtId="1" fontId="52" fillId="71" borderId="0" xfId="9" applyNumberFormat="1" applyFont="1" applyFill="1" applyBorder="1" applyAlignment="1">
      <alignment horizontal="center" vertical="center"/>
    </xf>
    <xf numFmtId="196" fontId="52" fillId="71" borderId="163" xfId="9" applyNumberFormat="1" applyFont="1" applyFill="1" applyBorder="1" applyAlignment="1">
      <alignment horizontal="left" vertical="center"/>
    </xf>
    <xf numFmtId="196" fontId="52" fillId="71" borderId="0" xfId="9" applyNumberFormat="1" applyFont="1" applyFill="1" applyBorder="1" applyAlignment="1">
      <alignment horizontal="left" vertical="center"/>
    </xf>
    <xf numFmtId="203" fontId="41" fillId="71" borderId="357" xfId="9" applyNumberFormat="1" applyFont="1" applyFill="1" applyBorder="1" applyAlignment="1">
      <alignment horizontal="center" vertical="center"/>
    </xf>
    <xf numFmtId="203" fontId="52" fillId="71" borderId="163" xfId="9" applyNumberFormat="1" applyFont="1" applyFill="1" applyBorder="1" applyAlignment="1">
      <alignment horizontal="center" vertical="center"/>
    </xf>
    <xf numFmtId="0" fontId="52" fillId="71" borderId="0" xfId="9" applyNumberFormat="1" applyFont="1" applyFill="1" applyBorder="1" applyAlignment="1">
      <alignment horizontal="center" vertical="center"/>
    </xf>
    <xf numFmtId="0" fontId="54" fillId="71" borderId="0" xfId="9" applyNumberFormat="1" applyFont="1" applyFill="1" applyBorder="1" applyAlignment="1">
      <alignment horizontal="center" vertical="center"/>
    </xf>
    <xf numFmtId="0" fontId="52" fillId="110" borderId="0" xfId="9" applyNumberFormat="1" applyFont="1" applyFill="1" applyBorder="1" applyAlignment="1">
      <alignment horizontal="center" vertical="center"/>
    </xf>
    <xf numFmtId="203" fontId="36" fillId="7" borderId="389" xfId="9" applyNumberFormat="1" applyFont="1" applyFill="1" applyBorder="1" applyAlignment="1">
      <alignment horizontal="center" vertical="center"/>
    </xf>
    <xf numFmtId="0" fontId="253" fillId="3" borderId="285" xfId="3" applyFont="1" applyFill="1" applyBorder="1" applyAlignment="1">
      <alignment horizontal="right" vertical="center"/>
    </xf>
    <xf numFmtId="0" fontId="54" fillId="3" borderId="401" xfId="3" applyFont="1" applyFill="1" applyBorder="1" applyAlignment="1" applyProtection="1">
      <alignment horizontal="center" vertical="center"/>
      <protection hidden="1"/>
    </xf>
    <xf numFmtId="0" fontId="54" fillId="3" borderId="401" xfId="3" applyFont="1" applyFill="1" applyBorder="1" applyAlignment="1" applyProtection="1">
      <alignment horizontal="center" vertical="center" wrapText="1"/>
      <protection hidden="1"/>
    </xf>
    <xf numFmtId="0" fontId="162" fillId="3" borderId="401" xfId="3" applyFont="1" applyFill="1" applyBorder="1" applyAlignment="1" applyProtection="1">
      <alignment horizontal="center" vertical="center" wrapText="1"/>
      <protection hidden="1"/>
    </xf>
    <xf numFmtId="0" fontId="54" fillId="61" borderId="444" xfId="3" applyFont="1" applyFill="1" applyBorder="1" applyAlignment="1" applyProtection="1">
      <alignment horizontal="center" vertical="center"/>
      <protection hidden="1"/>
    </xf>
    <xf numFmtId="0" fontId="54" fillId="61" borderId="457" xfId="3" applyFont="1" applyFill="1" applyBorder="1" applyAlignment="1" applyProtection="1">
      <alignment horizontal="center" vertical="center" wrapText="1"/>
      <protection hidden="1"/>
    </xf>
    <xf numFmtId="0" fontId="54" fillId="61" borderId="457" xfId="3" applyFont="1" applyFill="1" applyBorder="1" applyAlignment="1" applyProtection="1">
      <alignment horizontal="center" vertical="center"/>
      <protection hidden="1"/>
    </xf>
    <xf numFmtId="176" fontId="33" fillId="117" borderId="461" xfId="3" applyNumberFormat="1" applyFont="1" applyFill="1" applyBorder="1" applyAlignment="1">
      <alignment horizontal="center" vertical="center"/>
    </xf>
    <xf numFmtId="177" fontId="33" fillId="117" borderId="459" xfId="3" applyNumberFormat="1" applyFont="1" applyFill="1" applyBorder="1" applyAlignment="1">
      <alignment horizontal="center" vertical="center"/>
    </xf>
    <xf numFmtId="0" fontId="42" fillId="3" borderId="282" xfId="3" applyFont="1" applyFill="1" applyBorder="1" applyAlignment="1">
      <alignment vertical="center"/>
    </xf>
    <xf numFmtId="0" fontId="221" fillId="3" borderId="0" xfId="5" applyFont="1" applyFill="1" applyBorder="1" applyAlignment="1" applyProtection="1">
      <alignment vertical="center"/>
    </xf>
    <xf numFmtId="0" fontId="221" fillId="3" borderId="49" xfId="5" applyFont="1" applyFill="1" applyBorder="1" applyAlignment="1" applyProtection="1">
      <alignment vertical="center"/>
    </xf>
    <xf numFmtId="0" fontId="52" fillId="4" borderId="0" xfId="3" applyFont="1" applyFill="1" applyBorder="1" applyAlignment="1">
      <alignment vertical="center"/>
    </xf>
    <xf numFmtId="0" fontId="52" fillId="4" borderId="49" xfId="3" applyFont="1" applyFill="1" applyBorder="1" applyAlignment="1">
      <alignment vertical="center"/>
    </xf>
    <xf numFmtId="0" fontId="221" fillId="3" borderId="188" xfId="5" applyFont="1" applyFill="1" applyBorder="1" applyAlignment="1" applyProtection="1">
      <alignment vertical="center"/>
    </xf>
    <xf numFmtId="0" fontId="221" fillId="3" borderId="463" xfId="5" applyFont="1" applyFill="1" applyBorder="1" applyAlignment="1" applyProtection="1">
      <alignment vertical="center"/>
    </xf>
    <xf numFmtId="0" fontId="52" fillId="3" borderId="49" xfId="6" applyNumberFormat="1" applyFont="1" applyFill="1" applyBorder="1" applyAlignment="1">
      <alignment horizontal="right" vertical="center"/>
    </xf>
    <xf numFmtId="0" fontId="221" fillId="3" borderId="288" xfId="5" applyFont="1" applyFill="1" applyBorder="1" applyAlignment="1" applyProtection="1">
      <alignment vertical="center"/>
    </xf>
    <xf numFmtId="176" fontId="33" fillId="118" borderId="461" xfId="3" applyNumberFormat="1" applyFont="1" applyFill="1" applyBorder="1" applyAlignment="1">
      <alignment horizontal="center" vertical="center"/>
    </xf>
    <xf numFmtId="177" fontId="33" fillId="118" borderId="459" xfId="3" applyNumberFormat="1" applyFont="1" applyFill="1" applyBorder="1" applyAlignment="1">
      <alignment horizontal="center" vertical="center"/>
    </xf>
    <xf numFmtId="0" fontId="52" fillId="61" borderId="0" xfId="3" applyFont="1" applyFill="1" applyBorder="1" applyAlignment="1">
      <alignment vertical="center"/>
    </xf>
    <xf numFmtId="0" fontId="52" fillId="61" borderId="49" xfId="3" applyFont="1" applyFill="1" applyBorder="1" applyAlignment="1">
      <alignment vertical="center"/>
    </xf>
    <xf numFmtId="0" fontId="91" fillId="3" borderId="0" xfId="3" applyFont="1" applyFill="1" applyBorder="1"/>
    <xf numFmtId="0" fontId="202" fillId="3" borderId="399" xfId="3" applyFont="1" applyFill="1" applyBorder="1" applyAlignment="1" applyProtection="1">
      <alignment horizontal="center" vertical="center"/>
      <protection hidden="1"/>
    </xf>
    <xf numFmtId="0" fontId="202" fillId="3" borderId="399" xfId="3" applyFont="1" applyFill="1" applyBorder="1" applyAlignment="1" applyProtection="1">
      <alignment horizontal="center" vertical="center" wrapText="1"/>
      <protection hidden="1"/>
    </xf>
    <xf numFmtId="177" fontId="42" fillId="111" borderId="402" xfId="3" applyNumberFormat="1" applyFont="1" applyFill="1" applyBorder="1" applyAlignment="1">
      <alignment horizontal="center" vertical="center"/>
    </xf>
    <xf numFmtId="177" fontId="42" fillId="113" borderId="402" xfId="3" applyNumberFormat="1" applyFont="1" applyFill="1" applyBorder="1" applyAlignment="1">
      <alignment horizontal="center" vertical="center"/>
    </xf>
    <xf numFmtId="177" fontId="42" fillId="112" borderId="402" xfId="3" applyNumberFormat="1" applyFont="1" applyFill="1" applyBorder="1" applyAlignment="1">
      <alignment horizontal="center" vertical="center"/>
    </xf>
    <xf numFmtId="177" fontId="42" fillId="112" borderId="412" xfId="3" applyNumberFormat="1" applyFont="1" applyFill="1" applyBorder="1" applyAlignment="1">
      <alignment horizontal="center" vertical="center"/>
    </xf>
    <xf numFmtId="0" fontId="42" fillId="0" borderId="415" xfId="3" applyFont="1" applyBorder="1"/>
    <xf numFmtId="0" fontId="42" fillId="3" borderId="282" xfId="3" applyFont="1" applyFill="1" applyBorder="1"/>
    <xf numFmtId="0" fontId="0" fillId="3" borderId="0" xfId="0" applyFont="1" applyFill="1"/>
    <xf numFmtId="0" fontId="0" fillId="0" borderId="0" xfId="0" applyFont="1"/>
    <xf numFmtId="0" fontId="204" fillId="3" borderId="0" xfId="2" applyFont="1" applyFill="1" applyBorder="1" applyAlignment="1">
      <alignment horizontal="left" vertical="center"/>
    </xf>
    <xf numFmtId="0" fontId="204" fillId="3" borderId="0" xfId="3" applyFont="1" applyFill="1" applyBorder="1" applyAlignment="1">
      <alignment horizontal="left" vertical="center"/>
    </xf>
    <xf numFmtId="0" fontId="0" fillId="3" borderId="0" xfId="0" applyFont="1" applyFill="1" applyAlignment="1"/>
    <xf numFmtId="0" fontId="0" fillId="92" borderId="428" xfId="2" applyNumberFormat="1" applyFont="1" applyFill="1" applyBorder="1" applyAlignment="1">
      <alignment vertical="center"/>
    </xf>
    <xf numFmtId="0" fontId="451" fillId="90" borderId="429" xfId="2" applyNumberFormat="1" applyFont="1" applyFill="1" applyBorder="1" applyAlignment="1">
      <alignment vertical="center"/>
    </xf>
    <xf numFmtId="0" fontId="451" fillId="90" borderId="430" xfId="2" applyNumberFormat="1" applyFont="1" applyFill="1" applyBorder="1" applyAlignment="1">
      <alignment vertical="center"/>
    </xf>
    <xf numFmtId="0" fontId="0" fillId="0" borderId="0" xfId="0" applyFont="1" applyAlignment="1"/>
    <xf numFmtId="0" fontId="0" fillId="92" borderId="440" xfId="2" applyNumberFormat="1" applyFont="1" applyFill="1" applyBorder="1" applyAlignment="1">
      <alignment vertical="center"/>
    </xf>
    <xf numFmtId="0" fontId="0" fillId="0" borderId="0" xfId="0" applyFont="1" applyBorder="1" applyAlignment="1">
      <alignment vertical="top" wrapText="1"/>
    </xf>
    <xf numFmtId="0" fontId="0" fillId="92" borderId="426" xfId="2" applyNumberFormat="1" applyFont="1" applyFill="1" applyBorder="1" applyAlignment="1">
      <alignment vertical="center"/>
    </xf>
    <xf numFmtId="0" fontId="451" fillId="90" borderId="427" xfId="2" applyNumberFormat="1" applyFont="1" applyFill="1" applyBorder="1" applyAlignment="1">
      <alignment vertical="center"/>
    </xf>
    <xf numFmtId="0" fontId="223" fillId="0" borderId="418" xfId="3" applyFont="1" applyBorder="1" applyAlignment="1">
      <alignment horizontal="center" vertical="center"/>
    </xf>
    <xf numFmtId="0" fontId="0" fillId="92" borderId="420" xfId="2" applyNumberFormat="1" applyFont="1" applyFill="1" applyBorder="1" applyAlignment="1">
      <alignment vertical="center"/>
    </xf>
    <xf numFmtId="0" fontId="452" fillId="92" borderId="396" xfId="2" applyNumberFormat="1" applyFont="1" applyFill="1" applyBorder="1" applyAlignment="1">
      <alignment horizontal="center" vertical="center"/>
    </xf>
    <xf numFmtId="212" fontId="453" fillId="92" borderId="372" xfId="3" applyNumberFormat="1" applyFont="1" applyFill="1" applyBorder="1" applyAlignment="1">
      <alignment horizontal="center" vertical="center"/>
    </xf>
    <xf numFmtId="213" fontId="454" fillId="92" borderId="397" xfId="3" applyNumberFormat="1" applyFont="1" applyFill="1" applyBorder="1" applyAlignment="1">
      <alignment horizontal="center" vertical="center"/>
    </xf>
    <xf numFmtId="0" fontId="451" fillId="90" borderId="421" xfId="2" applyNumberFormat="1" applyFont="1" applyFill="1" applyBorder="1" applyAlignment="1">
      <alignment vertical="center"/>
    </xf>
    <xf numFmtId="0" fontId="451" fillId="90" borderId="370" xfId="2" applyNumberFormat="1" applyFont="1" applyFill="1" applyBorder="1" applyAlignment="1">
      <alignment horizontal="center" vertical="center"/>
    </xf>
    <xf numFmtId="212" fontId="453" fillId="0" borderId="371" xfId="3" applyNumberFormat="1" applyFont="1" applyBorder="1" applyAlignment="1">
      <alignment horizontal="center" vertical="center"/>
    </xf>
    <xf numFmtId="213" fontId="454" fillId="0" borderId="373" xfId="3" applyNumberFormat="1" applyFont="1" applyBorder="1" applyAlignment="1">
      <alignment horizontal="center" vertical="center"/>
    </xf>
    <xf numFmtId="213" fontId="454" fillId="92" borderId="373" xfId="3" applyNumberFormat="1" applyFont="1" applyFill="1" applyBorder="1" applyAlignment="1">
      <alignment horizontal="center" vertical="center"/>
    </xf>
    <xf numFmtId="0" fontId="451" fillId="90" borderId="422" xfId="2" applyNumberFormat="1" applyFont="1" applyFill="1" applyBorder="1" applyAlignment="1">
      <alignment vertical="center"/>
    </xf>
    <xf numFmtId="0" fontId="451" fillId="90" borderId="423" xfId="2" applyNumberFormat="1" applyFont="1" applyFill="1" applyBorder="1" applyAlignment="1">
      <alignment horizontal="center" vertical="center"/>
    </xf>
    <xf numFmtId="212" fontId="453" fillId="0" borderId="424" xfId="3" applyNumberFormat="1" applyFont="1" applyBorder="1" applyAlignment="1">
      <alignment horizontal="center" vertical="center"/>
    </xf>
    <xf numFmtId="213" fontId="454" fillId="0" borderId="425" xfId="3" applyNumberFormat="1" applyFont="1" applyBorder="1" applyAlignment="1">
      <alignment horizontal="center" vertical="center"/>
    </xf>
    <xf numFmtId="0" fontId="0" fillId="92" borderId="416" xfId="2" applyNumberFormat="1" applyFont="1" applyFill="1" applyBorder="1" applyAlignment="1">
      <alignment vertical="center"/>
    </xf>
    <xf numFmtId="0" fontId="0" fillId="3" borderId="403" xfId="0" applyFont="1" applyFill="1" applyBorder="1"/>
    <xf numFmtId="0" fontId="170" fillId="3" borderId="56" xfId="2" applyFont="1" applyFill="1" applyBorder="1" applyAlignment="1">
      <alignment horizontal="center"/>
    </xf>
    <xf numFmtId="0" fontId="167" fillId="3" borderId="56" xfId="3" applyFont="1" applyFill="1" applyBorder="1" applyAlignment="1" applyProtection="1">
      <alignment horizontal="center" vertical="center"/>
      <protection hidden="1"/>
    </xf>
    <xf numFmtId="0" fontId="170" fillId="3" borderId="0" xfId="2" applyFont="1" applyFill="1" applyBorder="1" applyAlignment="1">
      <alignment horizontal="left"/>
    </xf>
    <xf numFmtId="191" fontId="456" fillId="3" borderId="0" xfId="3" applyNumberFormat="1" applyFont="1" applyFill="1" applyBorder="1" applyAlignment="1" applyProtection="1">
      <alignment horizontal="center" vertical="center"/>
      <protection hidden="1"/>
    </xf>
    <xf numFmtId="192" fontId="220" fillId="3" borderId="0" xfId="3" applyNumberFormat="1" applyFont="1" applyFill="1" applyBorder="1" applyAlignment="1" applyProtection="1">
      <alignment horizontal="center" vertical="center"/>
      <protection hidden="1"/>
    </xf>
    <xf numFmtId="177" fontId="167" fillId="61" borderId="163" xfId="9" applyNumberFormat="1" applyFont="1" applyFill="1" applyBorder="1" applyAlignment="1">
      <alignment horizontal="center" vertical="center"/>
    </xf>
    <xf numFmtId="0" fontId="170" fillId="3" borderId="5" xfId="2" applyFont="1" applyFill="1" applyBorder="1" applyAlignment="1">
      <alignment horizontal="left"/>
    </xf>
    <xf numFmtId="191" fontId="456" fillId="3" borderId="5" xfId="3" applyNumberFormat="1" applyFont="1" applyFill="1" applyBorder="1" applyAlignment="1" applyProtection="1">
      <alignment horizontal="center" vertical="center"/>
      <protection hidden="1"/>
    </xf>
    <xf numFmtId="192" fontId="220" fillId="3" borderId="5" xfId="3" applyNumberFormat="1" applyFont="1" applyFill="1" applyBorder="1" applyAlignment="1" applyProtection="1">
      <alignment horizontal="center" vertical="center"/>
      <protection hidden="1"/>
    </xf>
    <xf numFmtId="177" fontId="167" fillId="61" borderId="6" xfId="9" applyNumberFormat="1" applyFont="1" applyFill="1" applyBorder="1" applyAlignment="1">
      <alignment horizontal="center" vertical="center"/>
    </xf>
    <xf numFmtId="0" fontId="8" fillId="0" borderId="0" xfId="2" applyFont="1" applyAlignment="1">
      <alignment horizontal="center" vertical="center"/>
    </xf>
    <xf numFmtId="0" fontId="42" fillId="3" borderId="0" xfId="3" applyFont="1" applyFill="1" applyProtection="1">
      <protection hidden="1"/>
    </xf>
    <xf numFmtId="0" fontId="41" fillId="3" borderId="0" xfId="3" applyFont="1" applyFill="1" applyAlignment="1" applyProtection="1">
      <alignment horizontal="left"/>
      <protection hidden="1"/>
    </xf>
    <xf numFmtId="0" fontId="54" fillId="3" borderId="0" xfId="3" applyFont="1" applyFill="1" applyAlignment="1" applyProtection="1">
      <alignment horizontal="left"/>
      <protection hidden="1"/>
    </xf>
    <xf numFmtId="0" fontId="457" fillId="3" borderId="0" xfId="3" applyFont="1" applyFill="1" applyProtection="1">
      <protection hidden="1"/>
    </xf>
    <xf numFmtId="0" fontId="54" fillId="3" borderId="0" xfId="3" applyFont="1" applyFill="1" applyProtection="1">
      <protection hidden="1"/>
    </xf>
    <xf numFmtId="0" fontId="52" fillId="3" borderId="0" xfId="3" applyFont="1" applyFill="1" applyProtection="1">
      <protection hidden="1"/>
    </xf>
    <xf numFmtId="2" fontId="313" fillId="3" borderId="0" xfId="2" applyNumberFormat="1" applyFont="1" applyFill="1" applyBorder="1" applyAlignment="1">
      <alignment horizontal="right" vertical="center"/>
    </xf>
    <xf numFmtId="2" fontId="313" fillId="3" borderId="0" xfId="2" applyNumberFormat="1" applyFont="1" applyFill="1" applyBorder="1" applyAlignment="1">
      <alignment horizontal="center" vertical="center"/>
    </xf>
    <xf numFmtId="0" fontId="52" fillId="3" borderId="0" xfId="3" applyFont="1" applyFill="1" applyAlignment="1" applyProtection="1">
      <alignment vertical="center"/>
      <protection hidden="1"/>
    </xf>
    <xf numFmtId="0" fontId="458" fillId="3" borderId="0" xfId="3" applyFont="1" applyFill="1" applyAlignment="1" applyProtection="1">
      <alignment horizontal="center"/>
      <protection hidden="1"/>
    </xf>
    <xf numFmtId="0" fontId="459" fillId="16" borderId="27" xfId="3" applyFont="1" applyFill="1" applyBorder="1" applyAlignment="1">
      <alignment horizontal="left" vertical="center"/>
    </xf>
    <xf numFmtId="0" fontId="458" fillId="3" borderId="0" xfId="2" applyFont="1" applyFill="1" applyAlignment="1">
      <alignment horizontal="center"/>
    </xf>
    <xf numFmtId="0" fontId="8" fillId="6" borderId="0" xfId="2" applyFont="1" applyFill="1"/>
    <xf numFmtId="0" fontId="42" fillId="6" borderId="0" xfId="3" applyFont="1" applyFill="1" applyProtection="1">
      <protection hidden="1"/>
    </xf>
    <xf numFmtId="0" fontId="52" fillId="6" borderId="0" xfId="3" applyFont="1" applyFill="1" applyAlignment="1" applyProtection="1">
      <alignment vertical="center"/>
      <protection hidden="1"/>
    </xf>
    <xf numFmtId="0" fontId="63" fillId="0" borderId="0" xfId="3" applyFont="1" applyAlignment="1">
      <alignment vertical="center"/>
    </xf>
    <xf numFmtId="0" fontId="79" fillId="3" borderId="20" xfId="3" applyFont="1" applyFill="1" applyBorder="1" applyAlignment="1">
      <alignment horizontal="center" vertical="center"/>
    </xf>
    <xf numFmtId="0" fontId="79" fillId="3" borderId="0" xfId="3" applyFont="1" applyFill="1" applyBorder="1" applyAlignment="1">
      <alignment horizontal="center" vertical="center"/>
    </xf>
    <xf numFmtId="0" fontId="79" fillId="3" borderId="163" xfId="3" applyFont="1" applyFill="1" applyBorder="1" applyAlignment="1">
      <alignment horizontal="center" vertical="center"/>
    </xf>
    <xf numFmtId="0" fontId="460" fillId="3" borderId="20" xfId="3" applyFont="1" applyFill="1" applyBorder="1" applyAlignment="1">
      <alignment vertical="center"/>
    </xf>
    <xf numFmtId="182" fontId="431" fillId="5" borderId="0" xfId="3" applyNumberFormat="1" applyFont="1" applyFill="1" applyBorder="1" applyAlignment="1">
      <alignment vertical="center"/>
    </xf>
    <xf numFmtId="182" fontId="431" fillId="3" borderId="0" xfId="3" applyNumberFormat="1" applyFont="1" applyFill="1" applyBorder="1" applyAlignment="1">
      <alignment vertical="center"/>
    </xf>
    <xf numFmtId="0" fontId="63" fillId="3" borderId="0" xfId="3" applyFont="1" applyFill="1" applyBorder="1"/>
    <xf numFmtId="0" fontId="461" fillId="3" borderId="20" xfId="3" applyFont="1" applyFill="1" applyBorder="1" applyAlignment="1">
      <alignment vertical="center"/>
    </xf>
    <xf numFmtId="0" fontId="8" fillId="0" borderId="0" xfId="2" applyFont="1" applyAlignment="1">
      <alignment horizontal="left" vertical="center"/>
    </xf>
    <xf numFmtId="0" fontId="460" fillId="3" borderId="0" xfId="3" applyFont="1" applyFill="1" applyBorder="1" applyAlignment="1">
      <alignment horizontal="right" vertical="center"/>
    </xf>
    <xf numFmtId="0" fontId="462" fillId="3" borderId="20" xfId="3" applyFont="1" applyFill="1" applyBorder="1"/>
    <xf numFmtId="0" fontId="42" fillId="0" borderId="0" xfId="3" applyFont="1" applyBorder="1"/>
    <xf numFmtId="0" fontId="89" fillId="42" borderId="0" xfId="3" applyFont="1" applyFill="1" applyBorder="1" applyAlignment="1">
      <alignment horizontal="center" vertical="center"/>
    </xf>
    <xf numFmtId="0" fontId="61" fillId="55" borderId="163" xfId="3" applyFont="1" applyFill="1" applyBorder="1" applyAlignment="1">
      <alignment horizontal="center" vertical="center"/>
    </xf>
    <xf numFmtId="0" fontId="89" fillId="3" borderId="0" xfId="3" applyFont="1" applyFill="1" applyBorder="1" applyAlignment="1">
      <alignment horizontal="center" vertical="center"/>
    </xf>
    <xf numFmtId="0" fontId="61" fillId="3" borderId="163" xfId="3" applyFont="1" applyFill="1" applyBorder="1" applyAlignment="1">
      <alignment horizontal="center" vertical="center"/>
    </xf>
    <xf numFmtId="0" fontId="42" fillId="3" borderId="20" xfId="3" applyFont="1" applyFill="1" applyBorder="1"/>
    <xf numFmtId="0" fontId="40" fillId="3" borderId="0" xfId="3" applyFont="1" applyFill="1" applyBorder="1"/>
    <xf numFmtId="0" fontId="40" fillId="3" borderId="0" xfId="9" applyFont="1" applyFill="1" applyBorder="1" applyAlignment="1">
      <alignment horizontal="right" vertical="center"/>
    </xf>
    <xf numFmtId="183" fontId="75" fillId="31" borderId="0" xfId="9" applyNumberFormat="1" applyFont="1" applyFill="1" applyBorder="1" applyAlignment="1" applyProtection="1">
      <alignment horizontal="center" vertical="center"/>
    </xf>
    <xf numFmtId="0" fontId="61" fillId="55" borderId="0" xfId="3" applyFont="1" applyFill="1" applyBorder="1" applyAlignment="1">
      <alignment horizontal="center" vertical="center"/>
    </xf>
    <xf numFmtId="183" fontId="75" fillId="3" borderId="0" xfId="9" applyNumberFormat="1" applyFont="1" applyFill="1" applyBorder="1" applyAlignment="1" applyProtection="1">
      <alignment horizontal="center" vertical="center"/>
    </xf>
    <xf numFmtId="0" fontId="61" fillId="3" borderId="0" xfId="3" applyFont="1" applyFill="1" applyBorder="1" applyAlignment="1">
      <alignment horizontal="center" vertical="center"/>
    </xf>
    <xf numFmtId="0" fontId="463" fillId="3" borderId="0" xfId="3" applyFont="1" applyFill="1" applyBorder="1" applyAlignment="1">
      <alignment vertical="center"/>
    </xf>
    <xf numFmtId="0" fontId="40" fillId="3" borderId="163" xfId="3" applyFont="1" applyFill="1" applyBorder="1"/>
    <xf numFmtId="0" fontId="42" fillId="3" borderId="4" xfId="3" applyFont="1" applyFill="1" applyBorder="1"/>
    <xf numFmtId="0" fontId="42" fillId="3" borderId="5" xfId="3" applyFont="1" applyFill="1" applyBorder="1"/>
    <xf numFmtId="0" fontId="42" fillId="3" borderId="6" xfId="3" applyFont="1" applyFill="1" applyBorder="1"/>
    <xf numFmtId="0" fontId="464" fillId="55" borderId="1" xfId="3" applyFont="1" applyFill="1" applyBorder="1" applyAlignment="1">
      <alignment horizontal="center" vertical="center"/>
    </xf>
    <xf numFmtId="0" fontId="465" fillId="4" borderId="20" xfId="3" applyFont="1" applyFill="1" applyBorder="1" applyAlignment="1">
      <alignment horizontal="center" vertical="center"/>
    </xf>
    <xf numFmtId="0" fontId="61" fillId="4" borderId="20" xfId="3" applyFont="1" applyFill="1" applyBorder="1" applyAlignment="1">
      <alignment horizontal="center" vertical="center"/>
    </xf>
    <xf numFmtId="0" fontId="64" fillId="4" borderId="20" xfId="3" applyFont="1" applyFill="1" applyBorder="1" applyAlignment="1">
      <alignment horizontal="center" vertical="center"/>
    </xf>
    <xf numFmtId="0" fontId="63" fillId="3" borderId="0" xfId="3" applyFont="1" applyFill="1"/>
    <xf numFmtId="0" fontId="63" fillId="3" borderId="0" xfId="3" applyFont="1" applyFill="1" applyAlignment="1">
      <alignment vertical="center"/>
    </xf>
    <xf numFmtId="0" fontId="272" fillId="3" borderId="0" xfId="3" applyFont="1" applyFill="1" applyAlignment="1">
      <alignment vertical="center"/>
    </xf>
    <xf numFmtId="0" fontId="388" fillId="3" borderId="0" xfId="16" applyFont="1" applyFill="1" applyAlignment="1">
      <alignment horizontal="left" vertical="center"/>
    </xf>
    <xf numFmtId="0" fontId="42" fillId="3" borderId="0" xfId="3" applyFont="1" applyFill="1" applyAlignment="1">
      <alignment vertical="center"/>
    </xf>
    <xf numFmtId="0" fontId="42" fillId="3" borderId="0" xfId="3" applyFont="1" applyFill="1" applyBorder="1" applyAlignment="1">
      <alignment horizontal="center" vertical="center" wrapText="1"/>
    </xf>
    <xf numFmtId="0" fontId="42" fillId="3" borderId="0" xfId="3" applyFont="1" applyFill="1" applyBorder="1" applyAlignment="1">
      <alignment horizontal="center" vertical="center"/>
    </xf>
    <xf numFmtId="0" fontId="5" fillId="3" borderId="0" xfId="2" applyFont="1" applyFill="1"/>
    <xf numFmtId="0" fontId="42" fillId="3" borderId="0" xfId="3" applyFont="1" applyFill="1" applyBorder="1" applyAlignment="1">
      <alignment horizontal="centerContinuous" vertical="center"/>
    </xf>
    <xf numFmtId="0" fontId="77" fillId="5" borderId="0" xfId="2" applyFont="1" applyFill="1" applyAlignment="1">
      <alignment horizontal="centerContinuous" vertical="center"/>
    </xf>
    <xf numFmtId="0" fontId="8" fillId="5" borderId="0" xfId="2" applyFont="1" applyFill="1" applyAlignment="1">
      <alignment horizontal="centerContinuous" vertical="center"/>
    </xf>
    <xf numFmtId="0" fontId="445" fillId="5" borderId="0" xfId="2" applyFont="1" applyFill="1" applyAlignment="1">
      <alignment horizontal="centerContinuous" vertical="center"/>
    </xf>
    <xf numFmtId="0" fontId="41" fillId="5" borderId="0" xfId="2" applyFont="1" applyFill="1" applyAlignment="1">
      <alignment horizontal="left" vertical="center"/>
    </xf>
    <xf numFmtId="0" fontId="36" fillId="5" borderId="0" xfId="2" applyFont="1" applyFill="1" applyAlignment="1">
      <alignment horizontal="left" vertical="center"/>
    </xf>
    <xf numFmtId="49" fontId="40" fillId="5" borderId="0" xfId="2" applyNumberFormat="1" applyFont="1" applyFill="1" applyBorder="1" applyAlignment="1">
      <alignment horizontal="left" vertical="center"/>
    </xf>
    <xf numFmtId="0" fontId="8" fillId="5" borderId="0" xfId="2" applyFont="1" applyFill="1" applyBorder="1" applyAlignment="1">
      <alignment horizontal="centerContinuous" vertical="center"/>
    </xf>
    <xf numFmtId="0" fontId="33" fillId="5" borderId="0" xfId="2" applyFont="1" applyFill="1" applyAlignment="1">
      <alignment horizontal="left" vertical="center"/>
    </xf>
    <xf numFmtId="0" fontId="33" fillId="62" borderId="0" xfId="17" applyFont="1" applyFill="1" applyBorder="1" applyAlignment="1">
      <alignment vertical="top"/>
    </xf>
    <xf numFmtId="0" fontId="8" fillId="62" borderId="0" xfId="2" applyFont="1" applyFill="1"/>
    <xf numFmtId="0" fontId="445" fillId="62" borderId="0" xfId="2" applyFont="1" applyFill="1" applyAlignment="1">
      <alignment horizontal="left" vertical="center"/>
    </xf>
    <xf numFmtId="0" fontId="8" fillId="62" borderId="168" xfId="2" applyFont="1" applyFill="1" applyBorder="1"/>
    <xf numFmtId="0" fontId="33" fillId="62" borderId="0" xfId="17" applyFont="1" applyFill="1" applyBorder="1" applyAlignment="1">
      <alignment horizontal="right" vertical="top"/>
    </xf>
    <xf numFmtId="0" fontId="266" fillId="63" borderId="0" xfId="18" applyFont="1" applyFill="1" applyAlignment="1">
      <alignment horizontal="right" vertical="center"/>
    </xf>
    <xf numFmtId="0" fontId="468" fillId="63" borderId="0" xfId="18" applyFont="1" applyFill="1" applyAlignment="1">
      <alignment horizontal="left" vertical="center" wrapText="1"/>
    </xf>
    <xf numFmtId="49" fontId="40" fillId="3" borderId="169" xfId="2" applyNumberFormat="1" applyFont="1" applyFill="1" applyBorder="1" applyAlignment="1">
      <alignment horizontal="left" vertical="center"/>
    </xf>
    <xf numFmtId="0" fontId="8" fillId="62" borderId="170" xfId="2" applyFont="1" applyFill="1" applyBorder="1"/>
    <xf numFmtId="0" fontId="54" fillId="36" borderId="0" xfId="17" applyFont="1" applyFill="1" applyBorder="1" applyAlignment="1">
      <alignment vertical="center" wrapText="1"/>
    </xf>
    <xf numFmtId="0" fontId="40" fillId="64" borderId="0" xfId="2" applyFont="1" applyFill="1" applyAlignment="1">
      <alignment horizontal="left" vertical="center"/>
    </xf>
    <xf numFmtId="0" fontId="54" fillId="36" borderId="0" xfId="17" applyFont="1" applyFill="1" applyBorder="1" applyAlignment="1">
      <alignment vertical="center"/>
    </xf>
    <xf numFmtId="0" fontId="41" fillId="62" borderId="0" xfId="17" applyFont="1" applyFill="1" applyBorder="1" applyAlignment="1">
      <alignment horizontal="right" vertical="top"/>
    </xf>
    <xf numFmtId="0" fontId="41" fillId="62" borderId="0" xfId="17" applyFont="1" applyFill="1" applyBorder="1" applyAlignment="1">
      <alignment vertical="top"/>
    </xf>
    <xf numFmtId="0" fontId="58" fillId="3" borderId="0" xfId="13" applyFont="1" applyFill="1"/>
    <xf numFmtId="0" fontId="58" fillId="3" borderId="0" xfId="13" applyFont="1" applyFill="1" applyAlignment="1">
      <alignment horizontal="left" vertical="center"/>
    </xf>
    <xf numFmtId="14" fontId="8" fillId="3" borderId="0" xfId="2" applyNumberFormat="1" applyFont="1" applyFill="1" applyAlignment="1">
      <alignment horizontal="center" vertical="center"/>
    </xf>
    <xf numFmtId="0" fontId="8" fillId="3" borderId="0" xfId="2" applyFont="1" applyFill="1" applyAlignment="1">
      <alignment horizontal="right" vertical="center"/>
    </xf>
    <xf numFmtId="0" fontId="8" fillId="3" borderId="0" xfId="2" applyFont="1" applyFill="1" applyAlignment="1">
      <alignment horizontal="left" vertical="center"/>
    </xf>
    <xf numFmtId="0" fontId="8" fillId="3" borderId="0" xfId="2" applyFont="1" applyFill="1" applyAlignment="1"/>
    <xf numFmtId="0" fontId="90" fillId="0" borderId="0" xfId="9" applyFont="1" applyFill="1" applyBorder="1" applyAlignment="1" applyProtection="1">
      <alignment vertical="center"/>
      <protection locked="0"/>
    </xf>
    <xf numFmtId="0" fontId="90" fillId="0" borderId="0" xfId="9" applyFont="1" applyAlignment="1" applyProtection="1">
      <alignment vertical="center"/>
      <protection locked="0"/>
    </xf>
    <xf numFmtId="0" fontId="90" fillId="0" borderId="0" xfId="9" applyFont="1" applyAlignment="1">
      <alignment vertical="center"/>
    </xf>
    <xf numFmtId="0" fontId="424" fillId="6" borderId="0" xfId="3" applyFont="1" applyFill="1"/>
    <xf numFmtId="0" fontId="379" fillId="4" borderId="0" xfId="3" applyFont="1" applyFill="1" applyAlignment="1">
      <alignment vertical="center"/>
    </xf>
    <xf numFmtId="0" fontId="58" fillId="4" borderId="0" xfId="14" applyFont="1" applyFill="1" applyAlignment="1">
      <alignment vertical="center"/>
    </xf>
    <xf numFmtId="0" fontId="52" fillId="3" borderId="0" xfId="9" applyFont="1" applyFill="1" applyAlignment="1">
      <alignment vertical="center"/>
    </xf>
    <xf numFmtId="0" fontId="52" fillId="4" borderId="0" xfId="9" applyFont="1" applyFill="1" applyAlignment="1">
      <alignment vertical="center"/>
    </xf>
    <xf numFmtId="0" fontId="470" fillId="6" borderId="0" xfId="14" applyFont="1" applyFill="1" applyAlignment="1">
      <alignment vertical="center"/>
    </xf>
    <xf numFmtId="0" fontId="52" fillId="6" borderId="0" xfId="9" applyFont="1" applyFill="1" applyAlignment="1">
      <alignment vertical="center"/>
    </xf>
    <xf numFmtId="0" fontId="58" fillId="3" borderId="0" xfId="14" applyFont="1" applyFill="1" applyAlignment="1">
      <alignment vertical="center"/>
    </xf>
    <xf numFmtId="0" fontId="472" fillId="3" borderId="0" xfId="2" applyFont="1" applyFill="1" applyAlignment="1">
      <alignment vertical="center" wrapText="1"/>
    </xf>
    <xf numFmtId="0" fontId="443" fillId="54" borderId="18" xfId="3" applyFont="1" applyFill="1" applyBorder="1" applyAlignment="1">
      <alignment horizontal="center" vertical="center"/>
    </xf>
    <xf numFmtId="0" fontId="473" fillId="3" borderId="20" xfId="2" applyFont="1" applyFill="1" applyBorder="1"/>
    <xf numFmtId="0" fontId="473" fillId="3" borderId="0" xfId="2" applyFont="1" applyFill="1" applyBorder="1"/>
    <xf numFmtId="0" fontId="42" fillId="3" borderId="163" xfId="3" applyFont="1" applyFill="1" applyBorder="1"/>
    <xf numFmtId="0" fontId="42" fillId="3" borderId="171" xfId="3" applyFont="1" applyFill="1" applyBorder="1"/>
    <xf numFmtId="0" fontId="42" fillId="0" borderId="172" xfId="3" applyFont="1" applyBorder="1"/>
    <xf numFmtId="0" fontId="42" fillId="3" borderId="172" xfId="3" applyFont="1" applyFill="1" applyBorder="1"/>
    <xf numFmtId="0" fontId="42" fillId="3" borderId="173" xfId="3" applyFont="1" applyFill="1" applyBorder="1"/>
    <xf numFmtId="0" fontId="42" fillId="0" borderId="16" xfId="3" applyFont="1" applyBorder="1"/>
    <xf numFmtId="0" fontId="42" fillId="0" borderId="15" xfId="3" applyFont="1" applyBorder="1"/>
    <xf numFmtId="0" fontId="42" fillId="0" borderId="54" xfId="3" applyFont="1" applyBorder="1" applyAlignment="1"/>
    <xf numFmtId="0" fontId="8" fillId="4" borderId="0" xfId="2" applyFont="1" applyFill="1" applyBorder="1"/>
    <xf numFmtId="0" fontId="8" fillId="4" borderId="163" xfId="2" applyFont="1" applyFill="1" applyBorder="1"/>
    <xf numFmtId="0" fontId="91" fillId="3" borderId="20" xfId="3" applyFont="1" applyFill="1" applyBorder="1"/>
    <xf numFmtId="0" fontId="443" fillId="54" borderId="177" xfId="3" applyFont="1" applyFill="1" applyBorder="1" applyAlignment="1">
      <alignment horizontal="center" vertical="center"/>
    </xf>
    <xf numFmtId="0" fontId="58" fillId="3" borderId="20" xfId="14" applyFont="1" applyFill="1" applyBorder="1" applyAlignment="1">
      <alignment vertical="center" wrapText="1"/>
    </xf>
    <xf numFmtId="0" fontId="58" fillId="3" borderId="0" xfId="14" applyFont="1" applyFill="1" applyBorder="1" applyAlignment="1">
      <alignment vertical="center" wrapText="1"/>
    </xf>
    <xf numFmtId="0" fontId="58" fillId="3" borderId="0" xfId="14" applyFont="1" applyFill="1" applyBorder="1" applyAlignment="1">
      <alignment vertical="center"/>
    </xf>
    <xf numFmtId="0" fontId="8" fillId="3" borderId="6" xfId="2" applyFont="1" applyFill="1" applyBorder="1"/>
    <xf numFmtId="0" fontId="8" fillId="0" borderId="20" xfId="2" applyFont="1" applyBorder="1"/>
    <xf numFmtId="0" fontId="91" fillId="3" borderId="179" xfId="3" applyFont="1" applyFill="1" applyBorder="1" applyAlignment="1">
      <alignment vertical="center"/>
    </xf>
    <xf numFmtId="0" fontId="91" fillId="3" borderId="180" xfId="3" applyFont="1" applyFill="1" applyBorder="1" applyAlignment="1">
      <alignment vertical="center"/>
    </xf>
    <xf numFmtId="0" fontId="91" fillId="3" borderId="163" xfId="3" applyFont="1" applyFill="1" applyBorder="1" applyAlignment="1">
      <alignment vertical="center"/>
    </xf>
    <xf numFmtId="0" fontId="91" fillId="3" borderId="183" xfId="3" applyFont="1" applyFill="1" applyBorder="1" applyAlignment="1">
      <alignment vertical="center"/>
    </xf>
    <xf numFmtId="0" fontId="8" fillId="3" borderId="20" xfId="2" applyFont="1" applyFill="1" applyBorder="1" applyAlignment="1">
      <alignment horizontal="center" vertical="center" textRotation="90"/>
    </xf>
    <xf numFmtId="0" fontId="115" fillId="3" borderId="0" xfId="3" applyFont="1" applyFill="1" applyBorder="1" applyAlignment="1" applyProtection="1">
      <alignment horizontal="center"/>
      <protection hidden="1"/>
    </xf>
    <xf numFmtId="0" fontId="35" fillId="55" borderId="0" xfId="3" applyFont="1" applyFill="1" applyBorder="1" applyAlignment="1">
      <alignment horizontal="center" vertical="center"/>
    </xf>
    <xf numFmtId="0" fontId="5" fillId="4" borderId="0" xfId="2" applyFont="1" applyFill="1" applyBorder="1"/>
    <xf numFmtId="0" fontId="8" fillId="3" borderId="172" xfId="2" applyFont="1" applyFill="1" applyBorder="1"/>
    <xf numFmtId="0" fontId="91" fillId="0" borderId="0" xfId="3" applyFont="1" applyBorder="1"/>
    <xf numFmtId="0" fontId="8" fillId="3" borderId="4" xfId="2" applyFont="1" applyFill="1" applyBorder="1" applyAlignment="1">
      <alignment horizontal="center" vertical="center" textRotation="90"/>
    </xf>
    <xf numFmtId="0" fontId="476" fillId="3" borderId="20" xfId="2" applyFont="1" applyFill="1" applyBorder="1"/>
    <xf numFmtId="0" fontId="52" fillId="3" borderId="0" xfId="3" applyFont="1" applyFill="1" applyBorder="1"/>
    <xf numFmtId="0" fontId="52" fillId="3" borderId="163" xfId="3" applyFont="1" applyFill="1" applyBorder="1"/>
    <xf numFmtId="0" fontId="53" fillId="5" borderId="0" xfId="2" applyFont="1" applyFill="1" applyBorder="1" applyAlignment="1">
      <alignment horizontal="center"/>
    </xf>
    <xf numFmtId="0" fontId="477" fillId="3" borderId="20" xfId="2" applyFont="1" applyFill="1" applyBorder="1"/>
    <xf numFmtId="0" fontId="477" fillId="3" borderId="0" xfId="2" applyFont="1" applyFill="1" applyBorder="1"/>
    <xf numFmtId="0" fontId="91" fillId="3" borderId="163" xfId="3" applyFont="1" applyFill="1" applyBorder="1"/>
    <xf numFmtId="0" fontId="5" fillId="3" borderId="20" xfId="2" applyFont="1" applyFill="1" applyBorder="1"/>
    <xf numFmtId="0" fontId="5" fillId="3" borderId="0" xfId="2" applyFont="1" applyFill="1" applyBorder="1"/>
    <xf numFmtId="0" fontId="478" fillId="3" borderId="20" xfId="14" applyFont="1" applyFill="1" applyBorder="1"/>
    <xf numFmtId="0" fontId="52" fillId="3" borderId="56" xfId="3" applyFont="1" applyFill="1" applyBorder="1" applyAlignment="1" applyProtection="1">
      <alignment horizontal="center" vertical="center"/>
      <protection hidden="1"/>
    </xf>
    <xf numFmtId="191" fontId="90" fillId="3" borderId="0" xfId="3" applyNumberFormat="1" applyFont="1" applyFill="1" applyBorder="1" applyAlignment="1" applyProtection="1">
      <alignment horizontal="center" vertical="center"/>
      <protection hidden="1"/>
    </xf>
    <xf numFmtId="192" fontId="54" fillId="3" borderId="0" xfId="3" applyNumberFormat="1" applyFont="1" applyFill="1" applyBorder="1" applyAlignment="1" applyProtection="1">
      <alignment horizontal="center" vertical="center"/>
      <protection hidden="1"/>
    </xf>
    <xf numFmtId="177" fontId="52" fillId="61" borderId="163" xfId="9" applyNumberFormat="1" applyFont="1" applyFill="1" applyBorder="1" applyAlignment="1">
      <alignment horizontal="center" vertical="center"/>
    </xf>
    <xf numFmtId="191" fontId="90" fillId="3" borderId="5" xfId="3" applyNumberFormat="1" applyFont="1" applyFill="1" applyBorder="1" applyAlignment="1" applyProtection="1">
      <alignment horizontal="center" vertical="center"/>
      <protection hidden="1"/>
    </xf>
    <xf numFmtId="192" fontId="54" fillId="3" borderId="5" xfId="3" applyNumberFormat="1" applyFont="1" applyFill="1" applyBorder="1" applyAlignment="1" applyProtection="1">
      <alignment horizontal="center" vertical="center"/>
      <protection hidden="1"/>
    </xf>
    <xf numFmtId="177" fontId="52" fillId="61" borderId="6" xfId="9" applyNumberFormat="1" applyFont="1" applyFill="1" applyBorder="1" applyAlignment="1">
      <alignment horizontal="center" vertical="center"/>
    </xf>
    <xf numFmtId="0" fontId="36" fillId="3" borderId="194" xfId="3" applyFont="1" applyFill="1" applyBorder="1" applyAlignment="1">
      <alignment horizontal="center" vertical="center"/>
    </xf>
    <xf numFmtId="0" fontId="36" fillId="3" borderId="195" xfId="3" applyFont="1" applyFill="1" applyBorder="1" applyAlignment="1">
      <alignment horizontal="center" vertical="center"/>
    </xf>
    <xf numFmtId="0" fontId="479" fillId="48" borderId="177" xfId="19" applyFont="1" applyFill="1" applyBorder="1" applyAlignment="1">
      <alignment horizontal="center" vertical="center"/>
    </xf>
    <xf numFmtId="0" fontId="480" fillId="48" borderId="188" xfId="19" applyFont="1" applyFill="1" applyBorder="1" applyAlignment="1" applyProtection="1">
      <alignment horizontal="center" vertical="center"/>
      <protection locked="0"/>
    </xf>
    <xf numFmtId="0" fontId="480" fillId="48" borderId="210" xfId="19" applyFont="1" applyFill="1" applyBorder="1" applyAlignment="1" applyProtection="1">
      <alignment horizontal="center" vertical="center"/>
      <protection locked="0"/>
    </xf>
    <xf numFmtId="194" fontId="481" fillId="25" borderId="27" xfId="19" applyNumberFormat="1" applyFont="1" applyFill="1" applyBorder="1" applyAlignment="1" applyProtection="1">
      <alignment horizontal="center" vertical="center"/>
      <protection locked="0"/>
    </xf>
    <xf numFmtId="0" fontId="481" fillId="25" borderId="0" xfId="19" applyFont="1" applyFill="1" applyBorder="1" applyAlignment="1" applyProtection="1">
      <alignment horizontal="center" vertical="center"/>
      <protection locked="0"/>
    </xf>
    <xf numFmtId="0" fontId="481" fillId="25" borderId="21" xfId="19" applyFont="1" applyFill="1" applyBorder="1" applyAlignment="1" applyProtection="1">
      <alignment horizontal="center" vertical="center"/>
      <protection locked="0"/>
    </xf>
    <xf numFmtId="194" fontId="39" fillId="48" borderId="27" xfId="19" applyNumberFormat="1" applyFont="1" applyFill="1" applyBorder="1" applyAlignment="1" applyProtection="1">
      <alignment horizontal="center" vertical="center"/>
      <protection locked="0"/>
    </xf>
    <xf numFmtId="0" fontId="41" fillId="0" borderId="0" xfId="19" applyFont="1" applyFill="1" applyBorder="1" applyAlignment="1">
      <alignment horizontal="center" vertical="center"/>
    </xf>
    <xf numFmtId="1" fontId="41" fillId="0" borderId="21" xfId="19" applyNumberFormat="1" applyFont="1" applyFill="1" applyBorder="1" applyAlignment="1">
      <alignment horizontal="center" vertical="center"/>
    </xf>
    <xf numFmtId="194" fontId="41" fillId="0" borderId="27" xfId="19" applyNumberFormat="1" applyFont="1" applyFill="1" applyBorder="1" applyAlignment="1" applyProtection="1">
      <alignment horizontal="center" vertical="center"/>
      <protection locked="0"/>
    </xf>
    <xf numFmtId="0" fontId="151" fillId="48" borderId="0" xfId="19" applyFont="1" applyFill="1" applyBorder="1" applyAlignment="1">
      <alignment horizontal="center" vertical="center"/>
    </xf>
    <xf numFmtId="0" fontId="41" fillId="0" borderId="21" xfId="19" applyFont="1" applyFill="1" applyBorder="1" applyAlignment="1">
      <alignment horizontal="center" vertical="center"/>
    </xf>
    <xf numFmtId="194" fontId="41" fillId="0" borderId="76" xfId="19" applyNumberFormat="1" applyFont="1" applyFill="1" applyBorder="1" applyAlignment="1" applyProtection="1">
      <alignment horizontal="center" vertical="center"/>
      <protection locked="0"/>
    </xf>
    <xf numFmtId="0" fontId="41" fillId="0" borderId="15" xfId="19" applyFont="1" applyFill="1" applyBorder="1" applyAlignment="1">
      <alignment horizontal="center" vertical="center"/>
    </xf>
    <xf numFmtId="0" fontId="151" fillId="48" borderId="58" xfId="19" applyFont="1" applyFill="1" applyBorder="1" applyAlignment="1">
      <alignment horizontal="center" vertical="center"/>
    </xf>
    <xf numFmtId="0" fontId="50" fillId="3" borderId="0" xfId="3" applyFont="1" applyFill="1" applyBorder="1" applyAlignment="1">
      <alignment horizontal="centerContinuous" vertical="center"/>
    </xf>
    <xf numFmtId="0" fontId="42" fillId="1" borderId="0" xfId="3" applyFont="1" applyFill="1" applyBorder="1" applyAlignment="1">
      <alignment vertical="center"/>
    </xf>
    <xf numFmtId="0" fontId="42" fillId="1" borderId="163" xfId="3" applyFont="1" applyFill="1" applyBorder="1" applyAlignment="1">
      <alignment vertical="center"/>
    </xf>
    <xf numFmtId="0" fontId="42" fillId="3" borderId="163" xfId="3" applyFont="1" applyFill="1" applyBorder="1" applyAlignment="1">
      <alignment horizontal="center" vertical="center"/>
    </xf>
    <xf numFmtId="0" fontId="42" fillId="3" borderId="27" xfId="3" applyFont="1" applyFill="1" applyBorder="1" applyAlignment="1">
      <alignment horizontal="center" vertical="center" wrapText="1"/>
    </xf>
    <xf numFmtId="0" fontId="42" fillId="3" borderId="5" xfId="3" applyFont="1" applyFill="1" applyBorder="1" applyAlignment="1">
      <alignment horizontal="centerContinuous" vertical="center"/>
    </xf>
    <xf numFmtId="0" fontId="42" fillId="3" borderId="5" xfId="3" applyFont="1" applyFill="1" applyBorder="1" applyAlignment="1">
      <alignment horizontal="center" vertical="center"/>
    </xf>
    <xf numFmtId="0" fontId="42" fillId="3" borderId="6" xfId="3" applyFont="1" applyFill="1" applyBorder="1" applyAlignment="1">
      <alignment horizontal="center" vertical="center"/>
    </xf>
    <xf numFmtId="1" fontId="41" fillId="14" borderId="1" xfId="2" applyNumberFormat="1" applyFont="1" applyFill="1" applyBorder="1" applyAlignment="1">
      <alignment horizontal="centerContinuous" vertical="center" wrapText="1"/>
    </xf>
    <xf numFmtId="0" fontId="42" fillId="14" borderId="162" xfId="2" applyFont="1" applyFill="1" applyBorder="1" applyAlignment="1">
      <alignment horizontal="centerContinuous" vertical="center" wrapText="1"/>
    </xf>
    <xf numFmtId="0" fontId="42" fillId="14" borderId="3" xfId="2" applyFont="1" applyFill="1" applyBorder="1" applyAlignment="1">
      <alignment horizontal="centerContinuous" vertical="center" wrapText="1"/>
    </xf>
    <xf numFmtId="0" fontId="41" fillId="14" borderId="1" xfId="2" applyFont="1" applyFill="1" applyBorder="1" applyAlignment="1">
      <alignment horizontal="centerContinuous" vertical="center"/>
    </xf>
    <xf numFmtId="0" fontId="41" fillId="14" borderId="162" xfId="2" applyFont="1" applyFill="1" applyBorder="1" applyAlignment="1">
      <alignment horizontal="centerContinuous" vertical="center"/>
    </xf>
    <xf numFmtId="0" fontId="8" fillId="14" borderId="162" xfId="2" applyFont="1" applyFill="1" applyBorder="1" applyAlignment="1">
      <alignment horizontal="centerContinuous" vertical="center"/>
    </xf>
    <xf numFmtId="0" fontId="8" fillId="14" borderId="3" xfId="2" applyFont="1" applyFill="1" applyBorder="1" applyAlignment="1">
      <alignment horizontal="centerContinuous" vertical="center"/>
    </xf>
    <xf numFmtId="171" fontId="42" fillId="0" borderId="20" xfId="2" applyNumberFormat="1" applyFont="1" applyFill="1" applyBorder="1" applyAlignment="1" applyProtection="1">
      <alignment horizontal="center" vertical="center" wrapText="1"/>
      <protection locked="0"/>
    </xf>
    <xf numFmtId="171" fontId="42" fillId="0" borderId="0" xfId="2" applyNumberFormat="1" applyFont="1" applyFill="1" applyBorder="1" applyAlignment="1" applyProtection="1">
      <alignment horizontal="center" vertical="center" wrapText="1"/>
      <protection locked="0"/>
    </xf>
    <xf numFmtId="171" fontId="42" fillId="0" borderId="163" xfId="2" applyNumberFormat="1" applyFont="1" applyFill="1" applyBorder="1" applyAlignment="1" applyProtection="1">
      <alignment horizontal="center" vertical="center" wrapText="1"/>
      <protection locked="0"/>
    </xf>
    <xf numFmtId="195" fontId="42" fillId="0" borderId="20" xfId="6" applyNumberFormat="1" applyFont="1" applyFill="1" applyBorder="1" applyAlignment="1">
      <alignment horizontal="center" vertical="center"/>
    </xf>
    <xf numFmtId="195" fontId="42" fillId="0" borderId="0" xfId="6" applyNumberFormat="1" applyFont="1" applyFill="1" applyBorder="1" applyAlignment="1">
      <alignment horizontal="center" vertical="center"/>
    </xf>
    <xf numFmtId="195" fontId="42" fillId="0" borderId="163" xfId="6" applyNumberFormat="1" applyFont="1" applyFill="1" applyBorder="1" applyAlignment="1">
      <alignment horizontal="center" vertical="center"/>
    </xf>
    <xf numFmtId="0" fontId="5" fillId="3" borderId="0" xfId="2" applyFont="1" applyFill="1" applyBorder="1" applyAlignment="1" applyProtection="1">
      <alignment horizontal="left" vertical="center"/>
      <protection locked="0"/>
    </xf>
    <xf numFmtId="0" fontId="54" fillId="3" borderId="27" xfId="2" applyFont="1" applyFill="1" applyBorder="1" applyAlignment="1">
      <alignment horizontal="centerContinuous" vertical="center"/>
    </xf>
    <xf numFmtId="0" fontId="54" fillId="3" borderId="0" xfId="2" applyFont="1" applyFill="1" applyBorder="1" applyAlignment="1">
      <alignment horizontal="centerContinuous" vertical="center"/>
    </xf>
    <xf numFmtId="0" fontId="58" fillId="3" borderId="0" xfId="13" applyFont="1" applyFill="1" applyBorder="1" applyAlignment="1" applyProtection="1"/>
    <xf numFmtId="0" fontId="8" fillId="3" borderId="0" xfId="2" applyFont="1" applyFill="1" applyBorder="1" applyAlignment="1">
      <alignment horizontal="center" vertical="center"/>
    </xf>
    <xf numFmtId="0" fontId="58" fillId="3" borderId="0" xfId="13" applyFont="1" applyFill="1" applyBorder="1" applyAlignment="1" applyProtection="1">
      <alignment horizontal="left" vertical="center"/>
    </xf>
    <xf numFmtId="0" fontId="8" fillId="3" borderId="0" xfId="2" applyFont="1" applyFill="1" applyBorder="1" applyAlignment="1">
      <alignment horizontal="left" vertical="center"/>
    </xf>
    <xf numFmtId="0" fontId="54" fillId="3" borderId="15" xfId="2" applyFont="1" applyFill="1" applyBorder="1" applyAlignment="1">
      <alignment horizontal="center" vertical="center"/>
    </xf>
    <xf numFmtId="0" fontId="54" fillId="3" borderId="90" xfId="2" applyFont="1" applyFill="1" applyBorder="1" applyAlignment="1">
      <alignment horizontal="center" vertical="center"/>
    </xf>
    <xf numFmtId="9" fontId="8" fillId="3" borderId="188" xfId="2" applyNumberFormat="1" applyFont="1" applyFill="1" applyBorder="1" applyAlignment="1">
      <alignment horizontal="center" vertical="center"/>
    </xf>
    <xf numFmtId="0" fontId="8" fillId="3" borderId="188" xfId="2" applyFont="1" applyFill="1" applyBorder="1"/>
    <xf numFmtId="169" fontId="8" fillId="0" borderId="188" xfId="2" applyNumberFormat="1" applyFont="1" applyBorder="1" applyAlignment="1">
      <alignment horizontal="center"/>
    </xf>
    <xf numFmtId="169" fontId="8" fillId="0" borderId="189" xfId="2" applyNumberFormat="1" applyFont="1" applyBorder="1" applyAlignment="1">
      <alignment horizontal="center"/>
    </xf>
    <xf numFmtId="0" fontId="8" fillId="3" borderId="15" xfId="2" applyFont="1" applyFill="1" applyBorder="1"/>
    <xf numFmtId="0" fontId="8" fillId="0" borderId="0" xfId="2" applyFont="1" applyAlignment="1">
      <alignment horizontal="right"/>
    </xf>
    <xf numFmtId="0" fontId="58" fillId="0" borderId="0" xfId="13" applyFont="1" applyAlignment="1" applyProtection="1"/>
    <xf numFmtId="0" fontId="41" fillId="3" borderId="0" xfId="2" applyFont="1" applyFill="1" applyBorder="1"/>
    <xf numFmtId="0" fontId="42" fillId="3" borderId="0" xfId="6" applyFont="1" applyFill="1" applyAlignment="1">
      <alignment vertical="center"/>
    </xf>
    <xf numFmtId="0" fontId="41" fillId="14" borderId="232" xfId="6" applyFont="1" applyFill="1" applyBorder="1" applyAlignment="1" applyProtection="1">
      <alignment horizontal="centerContinuous" vertical="center"/>
      <protection locked="0"/>
    </xf>
    <xf numFmtId="0" fontId="41" fillId="14" borderId="233" xfId="6" applyFont="1" applyFill="1" applyBorder="1" applyAlignment="1" applyProtection="1">
      <alignment horizontal="centerContinuous" vertical="center"/>
      <protection locked="0"/>
    </xf>
    <xf numFmtId="0" fontId="41" fillId="14" borderId="234" xfId="6" applyFont="1" applyFill="1" applyBorder="1" applyAlignment="1" applyProtection="1">
      <alignment horizontal="right" vertical="center"/>
      <protection locked="0"/>
    </xf>
    <xf numFmtId="0" fontId="488" fillId="3" borderId="20" xfId="2" applyFont="1" applyFill="1" applyBorder="1" applyAlignment="1" applyProtection="1">
      <alignment horizontal="left" vertical="center"/>
      <protection locked="0"/>
    </xf>
    <xf numFmtId="0" fontId="488" fillId="3" borderId="184" xfId="2" applyFont="1" applyFill="1" applyBorder="1" applyAlignment="1" applyProtection="1">
      <alignment horizontal="right" vertical="center"/>
      <protection locked="0"/>
    </xf>
    <xf numFmtId="166" fontId="485" fillId="37" borderId="21" xfId="2" applyNumberFormat="1" applyFont="1" applyFill="1" applyBorder="1" applyAlignment="1" applyProtection="1">
      <alignment horizontal="center" vertical="center"/>
      <protection locked="0"/>
    </xf>
    <xf numFmtId="0" fontId="488" fillId="3" borderId="0" xfId="2" applyFont="1" applyFill="1" applyBorder="1" applyAlignment="1" applyProtection="1">
      <alignment horizontal="right" vertical="center"/>
      <protection locked="0"/>
    </xf>
    <xf numFmtId="0" fontId="154" fillId="3" borderId="0" xfId="2" applyFont="1" applyFill="1" applyBorder="1" applyAlignment="1" applyProtection="1">
      <alignment horizontal="right" vertical="center"/>
      <protection locked="0"/>
    </xf>
    <xf numFmtId="166" fontId="156" fillId="37" borderId="163" xfId="2" applyNumberFormat="1" applyFont="1" applyFill="1" applyBorder="1" applyAlignment="1" applyProtection="1">
      <alignment horizontal="center" vertical="center"/>
      <protection locked="0"/>
    </xf>
    <xf numFmtId="0" fontId="393" fillId="3" borderId="20" xfId="2" applyFont="1" applyFill="1" applyBorder="1" applyAlignment="1" applyProtection="1">
      <alignment horizontal="left" vertical="center"/>
      <protection locked="0"/>
    </xf>
    <xf numFmtId="0" fontId="393" fillId="3" borderId="0" xfId="2" applyFont="1" applyFill="1" applyBorder="1" applyAlignment="1" applyProtection="1">
      <alignment horizontal="right" vertical="center"/>
      <protection locked="0"/>
    </xf>
    <xf numFmtId="199" fontId="156" fillId="37" borderId="21" xfId="2" applyNumberFormat="1" applyFont="1" applyFill="1" applyBorder="1" applyAlignment="1" applyProtection="1">
      <alignment horizontal="center" vertical="center"/>
      <protection locked="0"/>
    </xf>
    <xf numFmtId="166" fontId="156" fillId="37" borderId="21" xfId="2" applyNumberFormat="1" applyFont="1" applyFill="1" applyBorder="1" applyAlignment="1" applyProtection="1">
      <alignment horizontal="center" vertical="center"/>
      <protection locked="0"/>
    </xf>
    <xf numFmtId="166" fontId="485" fillId="37" borderId="163" xfId="2" applyNumberFormat="1" applyFont="1" applyFill="1" applyBorder="1" applyAlignment="1" applyProtection="1">
      <alignment horizontal="center" vertical="center"/>
      <protection locked="0"/>
    </xf>
    <xf numFmtId="0" fontId="91" fillId="3" borderId="20" xfId="2" applyFont="1" applyFill="1" applyBorder="1" applyAlignment="1" applyProtection="1">
      <alignment horizontal="left" vertical="center"/>
      <protection locked="0"/>
    </xf>
    <xf numFmtId="0" fontId="91" fillId="3" borderId="0" xfId="2" applyFont="1" applyFill="1" applyBorder="1" applyAlignment="1" applyProtection="1">
      <alignment horizontal="right" vertical="center"/>
      <protection locked="0"/>
    </xf>
    <xf numFmtId="166" fontId="52" fillId="3" borderId="21" xfId="2" applyNumberFormat="1" applyFont="1" applyFill="1" applyBorder="1" applyAlignment="1" applyProtection="1">
      <alignment horizontal="center" vertical="center"/>
      <protection locked="0"/>
    </xf>
    <xf numFmtId="0" fontId="42" fillId="3" borderId="0" xfId="2" applyFont="1" applyFill="1" applyBorder="1" applyAlignment="1" applyProtection="1">
      <alignment horizontal="right" vertical="center"/>
      <protection locked="0"/>
    </xf>
    <xf numFmtId="166" fontId="52" fillId="3" borderId="163" xfId="2" applyNumberFormat="1" applyFont="1" applyFill="1" applyBorder="1" applyAlignment="1" applyProtection="1">
      <alignment horizontal="center" vertical="center"/>
      <protection locked="0"/>
    </xf>
    <xf numFmtId="0" fontId="42" fillId="3" borderId="55" xfId="2" applyFont="1" applyFill="1" applyBorder="1" applyAlignment="1" applyProtection="1">
      <alignment horizontal="left" vertical="center"/>
      <protection locked="0"/>
    </xf>
    <xf numFmtId="0" fontId="42" fillId="3" borderId="0" xfId="3" applyFont="1" applyFill="1" applyBorder="1" applyProtection="1">
      <protection hidden="1"/>
    </xf>
    <xf numFmtId="0" fontId="52" fillId="3" borderId="0" xfId="2" applyFont="1" applyFill="1" applyBorder="1" applyAlignment="1" applyProtection="1">
      <alignment horizontal="right" vertical="center"/>
      <protection locked="0"/>
    </xf>
    <xf numFmtId="199" fontId="52" fillId="3" borderId="21" xfId="2" applyNumberFormat="1" applyFont="1" applyFill="1" applyBorder="1" applyAlignment="1" applyProtection="1">
      <alignment horizontal="center" vertical="center"/>
      <protection locked="0"/>
    </xf>
    <xf numFmtId="199" fontId="52" fillId="3" borderId="163" xfId="2" applyNumberFormat="1" applyFont="1" applyFill="1" applyBorder="1" applyAlignment="1" applyProtection="1">
      <alignment horizontal="center" vertical="center"/>
      <protection locked="0"/>
    </xf>
    <xf numFmtId="0" fontId="42" fillId="4" borderId="235" xfId="2" applyFont="1" applyFill="1" applyBorder="1" applyAlignment="1" applyProtection="1">
      <alignment horizontal="left" vertical="center"/>
      <protection locked="0"/>
    </xf>
    <xf numFmtId="0" fontId="42" fillId="4" borderId="62" xfId="2" applyFont="1" applyFill="1" applyBorder="1" applyAlignment="1" applyProtection="1">
      <alignment horizontal="right" vertical="center"/>
      <protection locked="0"/>
    </xf>
    <xf numFmtId="166" fontId="52" fillId="4" borderId="62" xfId="2" applyNumberFormat="1" applyFont="1" applyFill="1" applyBorder="1" applyAlignment="1" applyProtection="1">
      <alignment horizontal="center" vertical="center"/>
      <protection locked="0"/>
    </xf>
    <xf numFmtId="0" fontId="42" fillId="4" borderId="62" xfId="3" applyFont="1" applyFill="1" applyBorder="1" applyProtection="1">
      <protection hidden="1"/>
    </xf>
    <xf numFmtId="0" fontId="52" fillId="4" borderId="62" xfId="2" applyFont="1" applyFill="1" applyBorder="1" applyAlignment="1" applyProtection="1">
      <alignment horizontal="right" vertical="center"/>
      <protection locked="0"/>
    </xf>
    <xf numFmtId="199" fontId="52" fillId="4" borderId="62" xfId="2" applyNumberFormat="1" applyFont="1" applyFill="1" applyBorder="1" applyAlignment="1" applyProtection="1">
      <alignment horizontal="center" vertical="center"/>
      <protection locked="0"/>
    </xf>
    <xf numFmtId="199" fontId="52" fillId="4" borderId="130" xfId="2" applyNumberFormat="1" applyFont="1" applyFill="1" applyBorder="1" applyAlignment="1" applyProtection="1">
      <alignment horizontal="center" vertical="center"/>
      <protection locked="0"/>
    </xf>
    <xf numFmtId="0" fontId="154" fillId="3" borderId="20" xfId="2" applyFont="1" applyFill="1" applyBorder="1" applyAlignment="1" applyProtection="1">
      <alignment horizontal="left" vertical="center"/>
      <protection locked="0"/>
    </xf>
    <xf numFmtId="0" fontId="393" fillId="3" borderId="0" xfId="2" applyFont="1" applyFill="1" applyBorder="1" applyAlignment="1" applyProtection="1">
      <alignment horizontal="right" vertical="center" wrapText="1"/>
      <protection locked="0"/>
    </xf>
    <xf numFmtId="179" fontId="484" fillId="37" borderId="21" xfId="2" applyNumberFormat="1" applyFont="1" applyFill="1" applyBorder="1" applyAlignment="1" applyProtection="1">
      <alignment horizontal="center" vertical="center"/>
      <protection locked="0"/>
    </xf>
    <xf numFmtId="0" fontId="52" fillId="3" borderId="57" xfId="2" applyFont="1" applyFill="1" applyBorder="1" applyAlignment="1" applyProtection="1">
      <alignment horizontal="left" vertical="center"/>
      <protection locked="0"/>
    </xf>
    <xf numFmtId="0" fontId="52" fillId="3" borderId="15" xfId="2" applyFont="1" applyFill="1" applyBorder="1" applyAlignment="1" applyProtection="1">
      <alignment horizontal="right" vertical="center"/>
      <protection locked="0"/>
    </xf>
    <xf numFmtId="199" fontId="52" fillId="3" borderId="58" xfId="2" applyNumberFormat="1" applyFont="1" applyFill="1" applyBorder="1" applyAlignment="1" applyProtection="1">
      <alignment horizontal="center" vertical="center"/>
      <protection locked="0"/>
    </xf>
    <xf numFmtId="0" fontId="42" fillId="3" borderId="15" xfId="2" applyFont="1" applyFill="1" applyBorder="1" applyAlignment="1" applyProtection="1">
      <alignment horizontal="right" vertical="center"/>
      <protection locked="0"/>
    </xf>
    <xf numFmtId="166" fontId="52" fillId="3" borderId="58" xfId="2" applyNumberFormat="1" applyFont="1" applyFill="1" applyBorder="1" applyAlignment="1" applyProtection="1">
      <alignment horizontal="center" vertical="center"/>
      <protection locked="0"/>
    </xf>
    <xf numFmtId="199" fontId="52" fillId="3" borderId="90" xfId="2" applyNumberFormat="1" applyFont="1" applyFill="1" applyBorder="1" applyAlignment="1" applyProtection="1">
      <alignment horizontal="center" vertical="center"/>
      <protection locked="0"/>
    </xf>
    <xf numFmtId="0" fontId="33" fillId="55" borderId="208" xfId="20" applyFont="1" applyFill="1" applyBorder="1" applyAlignment="1" applyProtection="1">
      <alignment horizontal="left" vertical="center"/>
      <protection locked="0"/>
    </xf>
    <xf numFmtId="0" fontId="41" fillId="55" borderId="196" xfId="20" applyFont="1" applyFill="1" applyBorder="1" applyAlignment="1" applyProtection="1">
      <alignment horizontal="centerContinuous" vertical="center"/>
      <protection locked="0"/>
    </xf>
    <xf numFmtId="0" fontId="41" fillId="55" borderId="209" xfId="20" applyFont="1" applyFill="1" applyBorder="1" applyAlignment="1" applyProtection="1">
      <alignment horizontal="right" vertical="center"/>
      <protection locked="0"/>
    </xf>
    <xf numFmtId="196" fontId="150" fillId="7" borderId="21" xfId="2" applyNumberFormat="1" applyFont="1" applyFill="1" applyBorder="1" applyAlignment="1" applyProtection="1">
      <alignment horizontal="center" vertical="center"/>
      <protection locked="0"/>
    </xf>
    <xf numFmtId="178" fontId="150" fillId="37" borderId="21" xfId="2" applyNumberFormat="1" applyFont="1" applyFill="1" applyBorder="1" applyAlignment="1" applyProtection="1">
      <alignment horizontal="center" vertical="center"/>
      <protection locked="0"/>
    </xf>
    <xf numFmtId="196" fontId="151" fillId="37" borderId="21" xfId="2" applyNumberFormat="1" applyFont="1" applyFill="1" applyBorder="1" applyAlignment="1" applyProtection="1">
      <alignment horizontal="center" vertical="center"/>
      <protection locked="0"/>
    </xf>
    <xf numFmtId="179" fontId="151" fillId="37" borderId="21" xfId="2" applyNumberFormat="1" applyFont="1" applyFill="1" applyBorder="1" applyAlignment="1" applyProtection="1">
      <alignment horizontal="center" vertical="center"/>
      <protection locked="0"/>
    </xf>
    <xf numFmtId="178" fontId="151" fillId="37" borderId="21" xfId="2" applyNumberFormat="1" applyFont="1" applyFill="1" applyBorder="1" applyAlignment="1" applyProtection="1">
      <alignment horizontal="center" vertical="center"/>
      <protection locked="0"/>
    </xf>
    <xf numFmtId="196" fontId="151" fillId="37" borderId="210" xfId="2" applyNumberFormat="1" applyFont="1" applyFill="1" applyBorder="1" applyAlignment="1" applyProtection="1">
      <alignment horizontal="center" vertical="center"/>
      <protection locked="0"/>
    </xf>
    <xf numFmtId="178" fontId="152" fillId="37" borderId="21" xfId="2" applyNumberFormat="1" applyFont="1" applyFill="1" applyBorder="1" applyAlignment="1" applyProtection="1">
      <alignment horizontal="center" vertical="center"/>
      <protection locked="0"/>
    </xf>
    <xf numFmtId="178" fontId="152" fillId="37" borderId="210" xfId="2" applyNumberFormat="1" applyFont="1" applyFill="1" applyBorder="1" applyAlignment="1" applyProtection="1">
      <alignment horizontal="center" vertical="center"/>
      <protection locked="0"/>
    </xf>
    <xf numFmtId="179" fontId="36" fillId="37" borderId="21" xfId="2" applyNumberFormat="1" applyFont="1" applyFill="1" applyBorder="1" applyAlignment="1" applyProtection="1">
      <alignment horizontal="center" vertical="center"/>
      <protection locked="0"/>
    </xf>
    <xf numFmtId="178" fontId="36" fillId="37" borderId="21" xfId="2" applyNumberFormat="1" applyFont="1" applyFill="1" applyBorder="1" applyAlignment="1" applyProtection="1">
      <alignment horizontal="center" vertical="center"/>
      <protection locked="0"/>
    </xf>
    <xf numFmtId="0" fontId="57" fillId="73" borderId="0" xfId="3" applyFont="1" applyFill="1" applyBorder="1" applyAlignment="1">
      <alignment horizontal="left" vertical="center"/>
    </xf>
    <xf numFmtId="0" fontId="424" fillId="73" borderId="0" xfId="3" applyFont="1" applyFill="1" applyBorder="1" applyAlignment="1">
      <alignment horizontal="centerContinuous" vertical="center"/>
    </xf>
    <xf numFmtId="0" fontId="424" fillId="73" borderId="0" xfId="3" applyFont="1" applyFill="1" applyBorder="1" applyAlignment="1">
      <alignment horizontal="center" vertical="center"/>
    </xf>
    <xf numFmtId="0" fontId="64" fillId="3" borderId="0" xfId="3" applyFont="1" applyFill="1" applyBorder="1" applyAlignment="1">
      <alignment horizontal="centerContinuous" vertical="center"/>
    </xf>
    <xf numFmtId="0" fontId="478" fillId="3" borderId="0" xfId="13" applyFont="1" applyFill="1"/>
    <xf numFmtId="0" fontId="41" fillId="3" borderId="0" xfId="3" applyFont="1" applyFill="1" applyBorder="1" applyAlignment="1">
      <alignment horizontal="left" vertical="center"/>
    </xf>
    <xf numFmtId="0" fontId="58" fillId="3" borderId="0" xfId="13" applyFont="1" applyFill="1" applyBorder="1" applyAlignment="1">
      <alignment horizontal="left" vertical="center"/>
    </xf>
    <xf numFmtId="0" fontId="62" fillId="3" borderId="0" xfId="2" applyFont="1" applyFill="1"/>
    <xf numFmtId="0" fontId="36" fillId="3" borderId="0" xfId="2" applyFont="1" applyFill="1"/>
    <xf numFmtId="201" fontId="151" fillId="37" borderId="163" xfId="2" applyNumberFormat="1" applyFont="1" applyFill="1" applyBorder="1" applyAlignment="1" applyProtection="1">
      <alignment horizontal="center" vertical="center"/>
      <protection locked="0"/>
    </xf>
    <xf numFmtId="201" fontId="154" fillId="37" borderId="163" xfId="2" applyNumberFormat="1" applyFont="1" applyFill="1" applyBorder="1" applyAlignment="1" applyProtection="1">
      <alignment horizontal="center" vertical="center"/>
      <protection locked="0"/>
    </xf>
    <xf numFmtId="179" fontId="36" fillId="37" borderId="163" xfId="2" applyNumberFormat="1" applyFont="1" applyFill="1" applyBorder="1" applyAlignment="1" applyProtection="1">
      <alignment horizontal="center" vertical="center"/>
      <protection locked="0"/>
    </xf>
    <xf numFmtId="179" fontId="102" fillId="37" borderId="163" xfId="2" applyNumberFormat="1" applyFont="1" applyFill="1" applyBorder="1" applyAlignment="1" applyProtection="1">
      <alignment horizontal="center" vertical="center"/>
      <protection locked="0"/>
    </xf>
    <xf numFmtId="0" fontId="8" fillId="3" borderId="0" xfId="2" applyFont="1" applyFill="1" applyAlignment="1">
      <alignment horizontal="right"/>
    </xf>
    <xf numFmtId="201" fontId="489" fillId="37" borderId="163" xfId="2" applyNumberFormat="1" applyFont="1" applyFill="1" applyBorder="1" applyAlignment="1" applyProtection="1">
      <alignment horizontal="center" vertical="center"/>
      <protection locked="0"/>
    </xf>
    <xf numFmtId="0" fontId="8" fillId="3" borderId="20" xfId="2" applyFont="1" applyFill="1" applyBorder="1"/>
    <xf numFmtId="179" fontId="155" fillId="37" borderId="163" xfId="2" applyNumberFormat="1" applyFont="1" applyFill="1" applyBorder="1" applyAlignment="1" applyProtection="1">
      <alignment horizontal="center" vertical="center"/>
      <protection locked="0"/>
    </xf>
    <xf numFmtId="201" fontId="156" fillId="37" borderId="163" xfId="2" applyNumberFormat="1" applyFont="1" applyFill="1" applyBorder="1" applyAlignment="1" applyProtection="1">
      <alignment horizontal="center" vertical="center"/>
      <protection locked="0"/>
    </xf>
    <xf numFmtId="0" fontId="64" fillId="55" borderId="1" xfId="6" applyFont="1" applyFill="1" applyBorder="1" applyAlignment="1" applyProtection="1">
      <alignment horizontal="left" vertical="center"/>
      <protection locked="0"/>
    </xf>
    <xf numFmtId="0" fontId="41" fillId="55" borderId="233" xfId="6" applyFont="1" applyFill="1" applyBorder="1" applyAlignment="1" applyProtection="1">
      <alignment horizontal="centerContinuous" vertical="center"/>
      <protection locked="0"/>
    </xf>
    <xf numFmtId="0" fontId="64" fillId="55" borderId="234" xfId="6" applyFont="1" applyFill="1" applyBorder="1" applyAlignment="1" applyProtection="1">
      <alignment horizontal="right" vertical="center"/>
      <protection locked="0"/>
    </xf>
    <xf numFmtId="2" fontId="52" fillId="74" borderId="149" xfId="2" applyNumberFormat="1" applyFont="1" applyFill="1" applyBorder="1" applyAlignment="1" applyProtection="1">
      <alignment horizontal="center" vertical="center" wrapText="1"/>
      <protection locked="0"/>
    </xf>
    <xf numFmtId="0" fontId="490" fillId="13" borderId="184" xfId="6" applyFont="1" applyFill="1" applyBorder="1" applyAlignment="1">
      <alignment horizontal="right" vertical="center"/>
    </xf>
    <xf numFmtId="0" fontId="183" fillId="13" borderId="184" xfId="6" applyFont="1" applyFill="1" applyBorder="1" applyAlignment="1">
      <alignment horizontal="right" vertical="center"/>
    </xf>
    <xf numFmtId="9" fontId="43" fillId="13" borderId="144" xfId="2" applyNumberFormat="1" applyFont="1" applyFill="1" applyBorder="1" applyAlignment="1">
      <alignment horizontal="left" vertical="center"/>
    </xf>
    <xf numFmtId="165" fontId="50" fillId="4" borderId="238" xfId="2" applyNumberFormat="1" applyFont="1" applyFill="1" applyBorder="1" applyAlignment="1" applyProtection="1">
      <alignment horizontal="center" vertical="center"/>
    </xf>
    <xf numFmtId="0" fontId="42" fillId="4" borderId="121" xfId="2" applyFont="1" applyFill="1" applyBorder="1" applyAlignment="1" applyProtection="1">
      <alignment horizontal="center" vertical="center"/>
    </xf>
    <xf numFmtId="2" fontId="50" fillId="4" borderId="154" xfId="2" applyNumberFormat="1" applyFont="1" applyFill="1" applyBorder="1" applyAlignment="1" applyProtection="1">
      <alignment horizontal="center" vertical="center"/>
    </xf>
    <xf numFmtId="9" fontId="50" fillId="12" borderId="63" xfId="2" applyNumberFormat="1" applyFont="1" applyFill="1" applyBorder="1" applyAlignment="1">
      <alignment horizontal="center" vertical="center"/>
    </xf>
    <xf numFmtId="0" fontId="41" fillId="12" borderId="0" xfId="6" applyFont="1" applyFill="1" applyBorder="1" applyAlignment="1">
      <alignment horizontal="centerContinuous" vertical="center"/>
    </xf>
    <xf numFmtId="0" fontId="8" fillId="12" borderId="0" xfId="2" applyFont="1" applyFill="1" applyBorder="1" applyAlignment="1">
      <alignment horizontal="centerContinuous" vertical="center" wrapText="1"/>
    </xf>
    <xf numFmtId="0" fontId="50" fillId="12" borderId="0" xfId="6" applyFont="1" applyFill="1" applyBorder="1" applyAlignment="1">
      <alignment horizontal="right" vertical="center"/>
    </xf>
    <xf numFmtId="177" fontId="406" fillId="16" borderId="239" xfId="6" applyNumberFormat="1" applyFont="1" applyFill="1" applyBorder="1" applyAlignment="1">
      <alignment horizontal="center" vertical="center"/>
    </xf>
    <xf numFmtId="9" fontId="48" fillId="12" borderId="36" xfId="2" applyNumberFormat="1" applyFont="1" applyFill="1" applyBorder="1" applyAlignment="1">
      <alignment horizontal="center" vertical="center"/>
    </xf>
    <xf numFmtId="204" fontId="42" fillId="75" borderId="163" xfId="2" applyNumberFormat="1" applyFont="1" applyFill="1" applyBorder="1" applyAlignment="1">
      <alignment horizontal="centerContinuous" vertical="center" wrapText="1"/>
    </xf>
    <xf numFmtId="169" fontId="154" fillId="37" borderId="63" xfId="2" applyNumberFormat="1" applyFont="1" applyFill="1" applyBorder="1" applyAlignment="1">
      <alignment horizontal="center" vertical="center"/>
    </xf>
    <xf numFmtId="0" fontId="151" fillId="37" borderId="0" xfId="6" applyFont="1" applyFill="1" applyBorder="1" applyAlignment="1">
      <alignment horizontal="left" vertical="center"/>
    </xf>
    <xf numFmtId="179" fontId="489" fillId="37" borderId="0" xfId="2" applyNumberFormat="1" applyFont="1" applyFill="1" applyBorder="1" applyAlignment="1" applyProtection="1">
      <alignment horizontal="center" vertical="center"/>
      <protection locked="0"/>
    </xf>
    <xf numFmtId="169" fontId="154" fillId="37" borderId="241" xfId="2" applyNumberFormat="1" applyFont="1" applyFill="1" applyBorder="1" applyAlignment="1">
      <alignment horizontal="center" vertical="center"/>
    </xf>
    <xf numFmtId="0" fontId="151" fillId="37" borderId="5" xfId="6" applyFont="1" applyFill="1" applyBorder="1" applyAlignment="1">
      <alignment horizontal="left" vertical="center"/>
    </xf>
    <xf numFmtId="179" fontId="489" fillId="37" borderId="5" xfId="2" applyNumberFormat="1" applyFont="1" applyFill="1" applyBorder="1" applyAlignment="1" applyProtection="1">
      <alignment horizontal="center" vertical="center"/>
      <protection locked="0"/>
    </xf>
    <xf numFmtId="0" fontId="271" fillId="8" borderId="0" xfId="3" applyFont="1" applyFill="1" applyBorder="1" applyAlignment="1" applyProtection="1">
      <alignment horizontal="center" vertical="center" wrapText="1"/>
      <protection hidden="1"/>
    </xf>
    <xf numFmtId="171" fontId="488" fillId="48" borderId="0" xfId="2" applyNumberFormat="1" applyFont="1" applyFill="1" applyBorder="1" applyAlignment="1" applyProtection="1">
      <alignment horizontal="center" vertical="center"/>
      <protection locked="0"/>
    </xf>
    <xf numFmtId="171" fontId="491" fillId="3" borderId="0" xfId="2" applyNumberFormat="1" applyFont="1" applyFill="1" applyBorder="1" applyAlignment="1">
      <alignment vertical="center"/>
    </xf>
    <xf numFmtId="171" fontId="104" fillId="0" borderId="0" xfId="2" applyNumberFormat="1" applyFont="1" applyFill="1" applyBorder="1" applyAlignment="1" applyProtection="1">
      <alignment horizontal="center" vertical="center" wrapText="1"/>
      <protection locked="0"/>
    </xf>
    <xf numFmtId="179" fontId="492" fillId="37" borderId="0" xfId="2" applyNumberFormat="1" applyFont="1" applyFill="1" applyBorder="1" applyAlignment="1" applyProtection="1">
      <alignment horizontal="center" vertical="center"/>
      <protection locked="0"/>
    </xf>
    <xf numFmtId="179" fontId="154" fillId="37" borderId="0" xfId="2" applyNumberFormat="1" applyFont="1" applyFill="1" applyBorder="1" applyAlignment="1" applyProtection="1">
      <alignment horizontal="center" vertical="center"/>
      <protection locked="0"/>
    </xf>
    <xf numFmtId="179" fontId="493" fillId="3" borderId="0" xfId="2" applyNumberFormat="1" applyFont="1" applyFill="1" applyBorder="1" applyAlignment="1" applyProtection="1">
      <alignment horizontal="center" vertical="center"/>
      <protection locked="0"/>
    </xf>
    <xf numFmtId="0" fontId="48" fillId="3" borderId="0" xfId="2" applyFont="1" applyFill="1" applyBorder="1" applyAlignment="1">
      <alignment vertical="center"/>
    </xf>
    <xf numFmtId="0" fontId="42" fillId="3" borderId="21" xfId="3" applyFont="1" applyFill="1" applyBorder="1" applyProtection="1">
      <protection hidden="1"/>
    </xf>
    <xf numFmtId="0" fontId="8" fillId="3" borderId="76" xfId="2" applyFont="1" applyFill="1" applyBorder="1" applyAlignment="1">
      <alignment vertical="center"/>
    </xf>
    <xf numFmtId="9" fontId="8" fillId="3" borderId="15" xfId="2" applyNumberFormat="1" applyFont="1" applyFill="1" applyBorder="1" applyAlignment="1">
      <alignment vertical="center"/>
    </xf>
    <xf numFmtId="0" fontId="8" fillId="3" borderId="15" xfId="2" applyFont="1" applyFill="1" applyBorder="1" applyAlignment="1">
      <alignment vertical="center"/>
    </xf>
    <xf numFmtId="0" fontId="42" fillId="3" borderId="15" xfId="3" applyFont="1" applyFill="1" applyBorder="1" applyProtection="1">
      <protection hidden="1"/>
    </xf>
    <xf numFmtId="0" fontId="42" fillId="3" borderId="58" xfId="3" applyFont="1" applyFill="1" applyBorder="1" applyProtection="1">
      <protection hidden="1"/>
    </xf>
    <xf numFmtId="0" fontId="50" fillId="3" borderId="0" xfId="21" applyFont="1" applyFill="1" applyBorder="1" applyAlignment="1">
      <alignment horizontal="right" vertical="center"/>
    </xf>
    <xf numFmtId="167" fontId="50" fillId="3" borderId="0" xfId="21" applyNumberFormat="1" applyFont="1" applyFill="1" applyBorder="1" applyAlignment="1">
      <alignment horizontal="centerContinuous" vertical="center"/>
    </xf>
    <xf numFmtId="167" fontId="434" fillId="3" borderId="0" xfId="21" applyNumberFormat="1" applyFont="1" applyFill="1" applyBorder="1" applyAlignment="1">
      <alignment horizontal="centerContinuous" vertical="center"/>
    </xf>
    <xf numFmtId="0" fontId="42" fillId="3" borderId="0" xfId="8" applyFont="1" applyFill="1" applyBorder="1" applyAlignment="1">
      <alignment horizontal="centerContinuous" vertical="center"/>
    </xf>
    <xf numFmtId="205" fontId="50" fillId="3" borderId="0" xfId="21" applyNumberFormat="1" applyFont="1" applyFill="1" applyBorder="1" applyAlignment="1">
      <alignment horizontal="center" vertical="center"/>
    </xf>
    <xf numFmtId="0" fontId="494" fillId="3" borderId="163" xfId="8" applyFont="1" applyFill="1" applyBorder="1" applyAlignment="1">
      <alignment horizontal="center" vertical="center"/>
    </xf>
    <xf numFmtId="195" fontId="160" fillId="3" borderId="0" xfId="6" applyNumberFormat="1" applyFont="1" applyFill="1" applyBorder="1" applyAlignment="1">
      <alignment vertical="center"/>
    </xf>
    <xf numFmtId="195" fontId="41" fillId="3" borderId="0" xfId="6" applyNumberFormat="1" applyFont="1" applyFill="1" applyBorder="1" applyAlignment="1">
      <alignment vertical="center"/>
    </xf>
    <xf numFmtId="195" fontId="41" fillId="3" borderId="163" xfId="6" applyNumberFormat="1" applyFont="1" applyFill="1" applyBorder="1" applyAlignment="1">
      <alignment vertical="center"/>
    </xf>
    <xf numFmtId="195" fontId="50" fillId="3" borderId="0" xfId="6" applyNumberFormat="1" applyFont="1" applyFill="1" applyBorder="1" applyAlignment="1">
      <alignment vertical="center" wrapText="1"/>
    </xf>
    <xf numFmtId="2" fontId="50" fillId="3" borderId="0" xfId="6" applyNumberFormat="1" applyFont="1" applyFill="1" applyBorder="1" applyAlignment="1">
      <alignment horizontal="center" vertical="center"/>
    </xf>
    <xf numFmtId="171" fontId="50" fillId="3" borderId="0" xfId="6" applyNumberFormat="1" applyFont="1" applyFill="1" applyBorder="1" applyAlignment="1">
      <alignment horizontal="center" vertical="center"/>
    </xf>
    <xf numFmtId="172" fontId="50" fillId="3" borderId="163" xfId="8" applyNumberFormat="1" applyFont="1" applyFill="1" applyBorder="1" applyAlignment="1" applyProtection="1">
      <alignment horizontal="center" vertical="center"/>
      <protection locked="0"/>
    </xf>
    <xf numFmtId="0" fontId="41" fillId="3" borderId="0" xfId="8" applyFont="1" applyFill="1" applyBorder="1" applyAlignment="1">
      <alignment horizontal="center" vertical="center"/>
    </xf>
    <xf numFmtId="0" fontId="488" fillId="37" borderId="242" xfId="6" applyNumberFormat="1" applyFont="1" applyFill="1" applyBorder="1" applyAlignment="1">
      <alignment horizontal="center" vertical="center"/>
    </xf>
    <xf numFmtId="0" fontId="488" fillId="37" borderId="243" xfId="6" applyNumberFormat="1" applyFont="1" applyFill="1" applyBorder="1" applyAlignment="1">
      <alignment horizontal="center" vertical="center"/>
    </xf>
    <xf numFmtId="0" fontId="57" fillId="3" borderId="20" xfId="2" applyFont="1" applyFill="1" applyBorder="1" applyAlignment="1">
      <alignment horizontal="center" vertical="center"/>
    </xf>
    <xf numFmtId="195" fontId="50" fillId="3" borderId="0" xfId="6" applyNumberFormat="1" applyFont="1" applyFill="1" applyBorder="1" applyAlignment="1">
      <alignment horizontal="right" vertical="center" wrapText="1"/>
    </xf>
    <xf numFmtId="0" fontId="488" fillId="3" borderId="0" xfId="6" applyNumberFormat="1" applyFont="1" applyFill="1" applyBorder="1" applyAlignment="1">
      <alignment horizontal="center" vertical="center"/>
    </xf>
    <xf numFmtId="0" fontId="488" fillId="3" borderId="163" xfId="6" applyNumberFormat="1" applyFont="1" applyFill="1" applyBorder="1" applyAlignment="1">
      <alignment horizontal="center" vertical="center"/>
    </xf>
    <xf numFmtId="0" fontId="54" fillId="3" borderId="0" xfId="2" applyFont="1" applyFill="1" applyBorder="1" applyAlignment="1">
      <alignment horizontal="center" vertical="center"/>
    </xf>
    <xf numFmtId="1" fontId="489" fillId="37" borderId="0" xfId="6" applyNumberFormat="1" applyFont="1" applyFill="1" applyBorder="1" applyAlignment="1">
      <alignment horizontal="center" vertical="center"/>
    </xf>
    <xf numFmtId="1" fontId="489" fillId="37" borderId="163" xfId="6" applyNumberFormat="1" applyFont="1" applyFill="1" applyBorder="1" applyAlignment="1">
      <alignment horizontal="center" vertical="center"/>
    </xf>
    <xf numFmtId="176" fontId="489" fillId="37" borderId="0" xfId="6" applyNumberFormat="1" applyFont="1" applyFill="1" applyBorder="1" applyAlignment="1">
      <alignment horizontal="center" vertical="center"/>
    </xf>
    <xf numFmtId="0" fontId="50" fillId="3" borderId="0" xfId="2" applyFont="1" applyFill="1" applyBorder="1" applyAlignment="1">
      <alignment horizontal="right" vertical="center"/>
    </xf>
    <xf numFmtId="0" fontId="41" fillId="3" borderId="0" xfId="2" applyFont="1" applyFill="1" applyBorder="1" applyAlignment="1">
      <alignment horizontal="right" vertical="center"/>
    </xf>
    <xf numFmtId="176" fontId="54" fillId="3" borderId="0" xfId="6" applyNumberFormat="1" applyFont="1" applyFill="1" applyBorder="1" applyAlignment="1">
      <alignment horizontal="center" vertical="center"/>
    </xf>
    <xf numFmtId="176" fontId="54" fillId="3" borderId="163" xfId="6" applyNumberFormat="1" applyFont="1" applyFill="1" applyBorder="1" applyAlignment="1">
      <alignment horizontal="center" vertical="center"/>
    </xf>
    <xf numFmtId="171" fontId="491" fillId="3" borderId="20" xfId="2" applyNumberFormat="1" applyFont="1" applyFill="1" applyBorder="1" applyAlignment="1">
      <alignment vertical="center"/>
    </xf>
    <xf numFmtId="0" fontId="50" fillId="3" borderId="0" xfId="2" applyFont="1" applyFill="1" applyBorder="1" applyAlignment="1">
      <alignment horizontal="center" vertical="center"/>
    </xf>
    <xf numFmtId="176" fontId="489" fillId="3" borderId="0" xfId="6" applyNumberFormat="1" applyFont="1" applyFill="1" applyBorder="1" applyAlignment="1">
      <alignment horizontal="center" vertical="center"/>
    </xf>
    <xf numFmtId="176" fontId="489" fillId="3" borderId="163" xfId="6" applyNumberFormat="1" applyFont="1" applyFill="1" applyBorder="1" applyAlignment="1">
      <alignment horizontal="center" vertical="center"/>
    </xf>
    <xf numFmtId="0" fontId="57" fillId="33" borderId="20" xfId="2" applyFont="1" applyFill="1" applyBorder="1" applyAlignment="1">
      <alignment horizontal="center" vertical="center"/>
    </xf>
    <xf numFmtId="206" fontId="54" fillId="3" borderId="0" xfId="6" applyNumberFormat="1" applyFont="1" applyFill="1" applyBorder="1" applyAlignment="1">
      <alignment horizontal="center" vertical="center"/>
    </xf>
    <xf numFmtId="171" fontId="489" fillId="37" borderId="0" xfId="6" applyNumberFormat="1" applyFont="1" applyFill="1" applyBorder="1" applyAlignment="1">
      <alignment horizontal="center" vertical="center"/>
    </xf>
    <xf numFmtId="171" fontId="489" fillId="37" borderId="163" xfId="6" applyNumberFormat="1" applyFont="1" applyFill="1" applyBorder="1" applyAlignment="1">
      <alignment horizontal="center" vertical="center"/>
    </xf>
    <xf numFmtId="0" fontId="495" fillId="3" borderId="0" xfId="2" applyFont="1" applyFill="1" applyBorder="1" applyAlignment="1">
      <alignment horizontal="right" vertical="center"/>
    </xf>
    <xf numFmtId="0" fontId="496" fillId="3" borderId="0" xfId="3" applyFont="1" applyFill="1" applyBorder="1" applyProtection="1">
      <protection hidden="1"/>
    </xf>
    <xf numFmtId="171" fontId="491" fillId="3" borderId="4" xfId="2" applyNumberFormat="1" applyFont="1" applyFill="1" applyBorder="1" applyAlignment="1">
      <alignment vertical="center"/>
    </xf>
    <xf numFmtId="171" fontId="491" fillId="3" borderId="5" xfId="2" applyNumberFormat="1" applyFont="1" applyFill="1" applyBorder="1" applyAlignment="1">
      <alignment vertical="center"/>
    </xf>
    <xf numFmtId="0" fontId="8" fillId="3" borderId="5" xfId="2" applyFont="1" applyFill="1" applyBorder="1"/>
    <xf numFmtId="0" fontId="42" fillId="3" borderId="5" xfId="3" applyFont="1" applyFill="1" applyBorder="1" applyProtection="1">
      <protection hidden="1"/>
    </xf>
    <xf numFmtId="0" fontId="50" fillId="3" borderId="5" xfId="2" applyFont="1" applyFill="1" applyBorder="1" applyAlignment="1">
      <alignment horizontal="center" vertical="center"/>
    </xf>
    <xf numFmtId="171" fontId="48" fillId="3" borderId="5" xfId="2" applyNumberFormat="1" applyFont="1" applyFill="1" applyBorder="1" applyAlignment="1" applyProtection="1">
      <alignment horizontal="center" vertical="center" wrapText="1"/>
      <protection locked="0"/>
    </xf>
    <xf numFmtId="0" fontId="91" fillId="13" borderId="20" xfId="2" applyFont="1" applyFill="1" applyBorder="1" applyAlignment="1">
      <alignment horizontal="centerContinuous" vertical="center"/>
    </xf>
    <xf numFmtId="0" fontId="8" fillId="13" borderId="0" xfId="2" applyFont="1" applyFill="1" applyBorder="1" applyAlignment="1">
      <alignment horizontal="centerContinuous" vertical="center"/>
    </xf>
    <xf numFmtId="0" fontId="8" fillId="13" borderId="0" xfId="2" applyFont="1" applyFill="1" applyBorder="1" applyAlignment="1">
      <alignment vertical="center"/>
    </xf>
    <xf numFmtId="0" fontId="8" fillId="13" borderId="163" xfId="2" applyFont="1" applyFill="1" applyBorder="1" applyAlignment="1">
      <alignment vertical="center"/>
    </xf>
    <xf numFmtId="195" fontId="39" fillId="3" borderId="20" xfId="6" applyNumberFormat="1" applyFont="1" applyFill="1" applyBorder="1" applyAlignment="1">
      <alignment horizontal="center" vertical="center" wrapText="1"/>
    </xf>
    <xf numFmtId="195" fontId="39" fillId="3" borderId="0" xfId="6" applyNumberFormat="1" applyFont="1" applyFill="1" applyBorder="1" applyAlignment="1">
      <alignment horizontal="center" vertical="center" wrapText="1"/>
    </xf>
    <xf numFmtId="195" fontId="484" fillId="3" borderId="0" xfId="6" applyNumberFormat="1" applyFont="1" applyFill="1" applyBorder="1" applyAlignment="1">
      <alignment horizontal="right" vertical="center" wrapText="1"/>
    </xf>
    <xf numFmtId="171" fontId="151" fillId="3" borderId="0" xfId="6" applyNumberFormat="1" applyFont="1" applyFill="1" applyBorder="1" applyAlignment="1">
      <alignment horizontal="center" vertical="center"/>
    </xf>
    <xf numFmtId="195" fontId="483" fillId="3" borderId="0" xfId="6" applyNumberFormat="1" applyFont="1" applyFill="1" applyBorder="1" applyAlignment="1">
      <alignment horizontal="right" vertical="center" wrapText="1"/>
    </xf>
    <xf numFmtId="171" fontId="150" fillId="3" borderId="163" xfId="6" applyNumberFormat="1" applyFont="1" applyFill="1" applyBorder="1" applyAlignment="1">
      <alignment horizontal="center" vertical="center"/>
    </xf>
    <xf numFmtId="0" fontId="91" fillId="12" borderId="0" xfId="2" applyFont="1" applyFill="1" applyBorder="1" applyAlignment="1">
      <alignment vertical="center"/>
    </xf>
    <xf numFmtId="0" fontId="42" fillId="12" borderId="163" xfId="2" applyFont="1" applyFill="1" applyBorder="1" applyAlignment="1">
      <alignment vertical="center"/>
    </xf>
    <xf numFmtId="0" fontId="42" fillId="3" borderId="20" xfId="2" applyFont="1" applyFill="1" applyBorder="1" applyAlignment="1">
      <alignment horizontal="center" vertical="center" wrapText="1"/>
    </xf>
    <xf numFmtId="0" fontId="42" fillId="3" borderId="0" xfId="2" applyFont="1" applyFill="1" applyBorder="1" applyAlignment="1">
      <alignment horizontal="center" vertical="center" wrapText="1"/>
    </xf>
    <xf numFmtId="2" fontId="41" fillId="3" borderId="0" xfId="2" applyNumberFormat="1" applyFont="1" applyFill="1" applyBorder="1" applyAlignment="1">
      <alignment horizontal="center" vertical="center"/>
    </xf>
    <xf numFmtId="0" fontId="41" fillId="3" borderId="0" xfId="2" applyFont="1" applyFill="1" applyBorder="1" applyAlignment="1">
      <alignment horizontal="center" vertical="center"/>
    </xf>
    <xf numFmtId="0" fontId="41" fillId="3" borderId="0" xfId="2" applyFont="1" applyFill="1" applyBorder="1" applyAlignment="1">
      <alignment horizontal="left" vertical="center"/>
    </xf>
    <xf numFmtId="0" fontId="91" fillId="3" borderId="0" xfId="2" applyFont="1" applyFill="1" applyBorder="1" applyAlignment="1">
      <alignment vertical="center"/>
    </xf>
    <xf numFmtId="0" fontId="42" fillId="3" borderId="163" xfId="2" applyFont="1" applyFill="1" applyBorder="1" applyAlignment="1">
      <alignment vertical="center"/>
    </xf>
    <xf numFmtId="0" fontId="48" fillId="4" borderId="0" xfId="2" applyFont="1" applyFill="1" applyBorder="1" applyAlignment="1">
      <alignment horizontal="centerContinuous" vertical="center"/>
    </xf>
    <xf numFmtId="195" fontId="497" fillId="16" borderId="20" xfId="6" applyNumberFormat="1" applyFont="1" applyFill="1" applyBorder="1" applyAlignment="1">
      <alignment horizontal="center" vertical="center" wrapText="1"/>
    </xf>
    <xf numFmtId="195" fontId="497" fillId="16" borderId="0" xfId="6" applyNumberFormat="1" applyFont="1" applyFill="1" applyBorder="1" applyAlignment="1">
      <alignment horizontal="center" vertical="center" wrapText="1"/>
    </xf>
    <xf numFmtId="1" fontId="497" fillId="16" borderId="0" xfId="6" applyNumberFormat="1" applyFont="1" applyFill="1" applyBorder="1" applyAlignment="1">
      <alignment horizontal="centerContinuous" vertical="center"/>
    </xf>
    <xf numFmtId="0" fontId="497" fillId="16" borderId="0" xfId="2" applyFont="1" applyFill="1" applyBorder="1" applyAlignment="1">
      <alignment horizontal="center" vertical="center" wrapText="1"/>
    </xf>
    <xf numFmtId="0" fontId="497" fillId="16" borderId="0" xfId="2" applyFont="1" applyFill="1" applyBorder="1" applyAlignment="1">
      <alignment horizontal="centerContinuous" vertical="center"/>
    </xf>
    <xf numFmtId="0" fontId="497" fillId="16" borderId="0" xfId="2" applyFont="1" applyFill="1" applyBorder="1" applyAlignment="1">
      <alignment horizontal="center" vertical="center"/>
    </xf>
    <xf numFmtId="171" fontId="497" fillId="46" borderId="163" xfId="6" applyNumberFormat="1" applyFont="1" applyFill="1" applyBorder="1" applyAlignment="1">
      <alignment horizontal="center" vertical="center"/>
    </xf>
    <xf numFmtId="171" fontId="497" fillId="16" borderId="20" xfId="6" applyNumberFormat="1" applyFont="1" applyFill="1" applyBorder="1" applyAlignment="1">
      <alignment horizontal="center" vertical="center"/>
    </xf>
    <xf numFmtId="171" fontId="497" fillId="16" borderId="0" xfId="6" applyNumberFormat="1" applyFont="1" applyFill="1" applyBorder="1" applyAlignment="1">
      <alignment horizontal="center" vertical="center"/>
    </xf>
    <xf numFmtId="1" fontId="497" fillId="16" borderId="0" xfId="6" applyNumberFormat="1" applyFont="1" applyFill="1" applyBorder="1" applyAlignment="1">
      <alignment horizontal="center" vertical="center"/>
    </xf>
    <xf numFmtId="2" fontId="497" fillId="16" borderId="0" xfId="6" applyNumberFormat="1" applyFont="1" applyFill="1" applyBorder="1" applyAlignment="1">
      <alignment horizontal="center" vertical="center"/>
    </xf>
    <xf numFmtId="0" fontId="497" fillId="16" borderId="163" xfId="2" applyFont="1" applyFill="1" applyBorder="1" applyAlignment="1">
      <alignment horizontal="center" vertical="center"/>
    </xf>
    <xf numFmtId="171" fontId="497" fillId="16" borderId="4" xfId="6" applyNumberFormat="1" applyFont="1" applyFill="1" applyBorder="1" applyAlignment="1">
      <alignment horizontal="center" vertical="center"/>
    </xf>
    <xf numFmtId="171" fontId="497" fillId="16" borderId="5" xfId="6" applyNumberFormat="1" applyFont="1" applyFill="1" applyBorder="1" applyAlignment="1">
      <alignment horizontal="center" vertical="center"/>
    </xf>
    <xf numFmtId="1" fontId="497" fillId="16" borderId="5" xfId="6" applyNumberFormat="1" applyFont="1" applyFill="1" applyBorder="1" applyAlignment="1">
      <alignment horizontal="center" vertical="center"/>
    </xf>
    <xf numFmtId="0" fontId="497" fillId="16" borderId="5" xfId="2" applyFont="1" applyFill="1" applyBorder="1" applyAlignment="1">
      <alignment horizontal="center" vertical="center"/>
    </xf>
    <xf numFmtId="2" fontId="497" fillId="16" borderId="5" xfId="6" applyNumberFormat="1" applyFont="1" applyFill="1" applyBorder="1" applyAlignment="1">
      <alignment horizontal="center" vertical="center"/>
    </xf>
    <xf numFmtId="0" fontId="497" fillId="16" borderId="6" xfId="2" applyFont="1" applyFill="1" applyBorder="1" applyAlignment="1">
      <alignment horizontal="center" vertical="center"/>
    </xf>
    <xf numFmtId="0" fontId="57" fillId="33" borderId="27" xfId="8" applyFont="1" applyFill="1" applyBorder="1" applyAlignment="1">
      <alignment horizontal="center" vertical="center"/>
    </xf>
    <xf numFmtId="0" fontId="42" fillId="33" borderId="0" xfId="3" applyFont="1" applyFill="1" applyBorder="1" applyProtection="1">
      <protection hidden="1"/>
    </xf>
    <xf numFmtId="0" fontId="50" fillId="3" borderId="0" xfId="7" applyFont="1" applyFill="1" applyBorder="1" applyAlignment="1" applyProtection="1">
      <alignment horizontal="center" wrapText="1"/>
    </xf>
    <xf numFmtId="0" fontId="8" fillId="3" borderId="21" xfId="2" applyFont="1" applyFill="1" applyBorder="1"/>
    <xf numFmtId="0" fontId="54" fillId="3" borderId="0" xfId="7" applyFont="1" applyFill="1" applyBorder="1" applyAlignment="1" applyProtection="1">
      <alignment horizontal="right" vertical="center"/>
    </xf>
    <xf numFmtId="176" fontId="54" fillId="3" borderId="0" xfId="7" applyNumberFormat="1" applyFont="1" applyFill="1" applyBorder="1" applyAlignment="1" applyProtection="1">
      <alignment horizontal="left" vertical="center"/>
    </xf>
    <xf numFmtId="0" fontId="52" fillId="3" borderId="27" xfId="8" applyFont="1" applyFill="1" applyBorder="1"/>
    <xf numFmtId="0" fontId="42" fillId="0" borderId="0" xfId="3" applyFont="1" applyBorder="1" applyProtection="1">
      <protection hidden="1"/>
    </xf>
    <xf numFmtId="0" fontId="52" fillId="3" borderId="0" xfId="8" applyFont="1" applyFill="1" applyBorder="1"/>
    <xf numFmtId="0" fontId="57" fillId="29" borderId="27" xfId="8" applyFont="1" applyFill="1" applyBorder="1" applyAlignment="1">
      <alignment horizontal="center" vertical="center"/>
    </xf>
    <xf numFmtId="0" fontId="42" fillId="29" borderId="0" xfId="3" applyFont="1" applyFill="1" applyBorder="1" applyProtection="1">
      <protection hidden="1"/>
    </xf>
    <xf numFmtId="0" fontId="54" fillId="3" borderId="0" xfId="7" applyFont="1" applyFill="1" applyBorder="1" applyAlignment="1" applyProtection="1">
      <alignment vertical="center"/>
    </xf>
    <xf numFmtId="177" fontId="54" fillId="3" borderId="0" xfId="7" applyNumberFormat="1" applyFont="1" applyFill="1" applyBorder="1" applyAlignment="1" applyProtection="1">
      <alignment horizontal="center" vertical="center"/>
    </xf>
    <xf numFmtId="0" fontId="54" fillId="3" borderId="0" xfId="2" applyFont="1" applyFill="1" applyBorder="1" applyAlignment="1">
      <alignment horizontal="left" vertical="center"/>
    </xf>
    <xf numFmtId="165" fontId="54" fillId="3" borderId="21" xfId="7" applyNumberFormat="1" applyFont="1" applyFill="1" applyBorder="1" applyAlignment="1" applyProtection="1">
      <alignment horizontal="center" vertical="center"/>
    </xf>
    <xf numFmtId="0" fontId="8" fillId="3" borderId="76" xfId="2" applyFont="1" applyFill="1" applyBorder="1"/>
    <xf numFmtId="0" fontId="42" fillId="0" borderId="15" xfId="3" applyFont="1" applyBorder="1" applyProtection="1">
      <protection hidden="1"/>
    </xf>
    <xf numFmtId="0" fontId="8" fillId="3" borderId="58" xfId="2" applyFont="1" applyFill="1" applyBorder="1"/>
    <xf numFmtId="0" fontId="443" fillId="3" borderId="0" xfId="8" applyFont="1" applyFill="1" applyBorder="1" applyAlignment="1">
      <alignment horizontal="center" vertical="center"/>
    </xf>
    <xf numFmtId="0" fontId="443" fillId="3" borderId="163" xfId="8" applyFont="1" applyFill="1" applyBorder="1" applyAlignment="1">
      <alignment horizontal="center" vertical="center"/>
    </xf>
    <xf numFmtId="2" fontId="41" fillId="3" borderId="0" xfId="7" applyNumberFormat="1" applyFont="1" applyFill="1" applyBorder="1" applyAlignment="1" applyProtection="1">
      <alignment horizontal="center" vertical="center"/>
    </xf>
    <xf numFmtId="0" fontId="498" fillId="3" borderId="0" xfId="7" applyFont="1" applyFill="1" applyBorder="1" applyAlignment="1" applyProtection="1">
      <alignment horizontal="left" vertical="center"/>
    </xf>
    <xf numFmtId="0" fontId="499" fillId="3" borderId="0" xfId="2" applyFont="1" applyFill="1" applyBorder="1"/>
    <xf numFmtId="0" fontId="42" fillId="3" borderId="0" xfId="2" applyFont="1" applyFill="1" applyBorder="1"/>
    <xf numFmtId="0" fontId="42" fillId="3" borderId="163" xfId="2" applyFont="1" applyFill="1" applyBorder="1"/>
    <xf numFmtId="207" fontId="212" fillId="3" borderId="20" xfId="7" applyNumberFormat="1" applyFont="1" applyFill="1" applyBorder="1" applyAlignment="1" applyProtection="1">
      <alignment horizontal="center" vertical="center"/>
    </xf>
    <xf numFmtId="207" fontId="212" fillId="3" borderId="0" xfId="7" applyNumberFormat="1" applyFont="1" applyFill="1" applyBorder="1" applyAlignment="1" applyProtection="1">
      <alignment horizontal="center" vertical="center"/>
    </xf>
    <xf numFmtId="208" fontId="212" fillId="3" borderId="0" xfId="7" applyNumberFormat="1" applyFont="1" applyFill="1" applyBorder="1" applyAlignment="1" applyProtection="1">
      <alignment horizontal="center" vertical="center"/>
    </xf>
    <xf numFmtId="207" fontId="212" fillId="3" borderId="20" xfId="7" applyNumberFormat="1" applyFont="1" applyFill="1" applyBorder="1" applyAlignment="1" applyProtection="1">
      <alignment horizontal="left" vertical="center"/>
    </xf>
    <xf numFmtId="0" fontId="42" fillId="3" borderId="177" xfId="3" applyFont="1" applyFill="1" applyBorder="1" applyProtection="1">
      <protection hidden="1"/>
    </xf>
    <xf numFmtId="0" fontId="42" fillId="3" borderId="188" xfId="3" applyFont="1" applyFill="1" applyBorder="1" applyProtection="1">
      <protection hidden="1"/>
    </xf>
    <xf numFmtId="0" fontId="42" fillId="3" borderId="210" xfId="3" applyFont="1" applyFill="1" applyBorder="1" applyProtection="1">
      <protection hidden="1"/>
    </xf>
    <xf numFmtId="0" fontId="40" fillId="3" borderId="27" xfId="6" applyNumberFormat="1" applyFont="1" applyFill="1" applyBorder="1" applyAlignment="1" applyProtection="1">
      <alignment horizontal="center" vertical="center"/>
      <protection locked="0"/>
    </xf>
    <xf numFmtId="0" fontId="40" fillId="3" borderId="0" xfId="6" applyNumberFormat="1" applyFont="1" applyFill="1" applyBorder="1" applyAlignment="1" applyProtection="1">
      <alignment horizontal="center" vertical="center"/>
      <protection locked="0"/>
    </xf>
    <xf numFmtId="0" fontId="40" fillId="3" borderId="21" xfId="6" applyNumberFormat="1" applyFont="1" applyFill="1" applyBorder="1" applyAlignment="1" applyProtection="1">
      <alignment horizontal="center" vertical="center"/>
      <protection locked="0"/>
    </xf>
    <xf numFmtId="0" fontId="150" fillId="3" borderId="0" xfId="2" applyNumberFormat="1" applyFont="1" applyFill="1" applyBorder="1" applyAlignment="1">
      <alignment horizontal="right" vertical="center"/>
    </xf>
    <xf numFmtId="0" fontId="150" fillId="37" borderId="244" xfId="6" applyNumberFormat="1" applyFont="1" applyFill="1" applyBorder="1" applyAlignment="1">
      <alignment horizontal="center" vertical="center"/>
    </xf>
    <xf numFmtId="2" fontId="91" fillId="3" borderId="0" xfId="2" applyNumberFormat="1" applyFont="1" applyFill="1" applyBorder="1" applyAlignment="1">
      <alignment horizontal="left" vertical="center"/>
    </xf>
    <xf numFmtId="0" fontId="8" fillId="0" borderId="245" xfId="2" applyFont="1" applyBorder="1"/>
    <xf numFmtId="0" fontId="151" fillId="3" borderId="0" xfId="2" applyNumberFormat="1" applyFont="1" applyFill="1" applyBorder="1" applyAlignment="1">
      <alignment horizontal="right" vertical="center"/>
    </xf>
    <xf numFmtId="165" fontId="151" fillId="37" borderId="244" xfId="6" applyNumberFormat="1" applyFont="1" applyFill="1" applyBorder="1" applyAlignment="1">
      <alignment horizontal="center" vertical="center"/>
    </xf>
    <xf numFmtId="165" fontId="152" fillId="37" borderId="244" xfId="6" applyNumberFormat="1" applyFont="1" applyFill="1" applyBorder="1" applyAlignment="1">
      <alignment horizontal="center" vertical="center"/>
    </xf>
    <xf numFmtId="0" fontId="489" fillId="3" borderId="0" xfId="2" applyFont="1" applyFill="1" applyBorder="1" applyAlignment="1">
      <alignment horizontal="center" vertical="center"/>
    </xf>
    <xf numFmtId="172" fontId="151" fillId="37" borderId="246" xfId="2" applyNumberFormat="1" applyFont="1" applyFill="1" applyBorder="1" applyAlignment="1" applyProtection="1">
      <alignment horizontal="center" vertical="center"/>
      <protection locked="0"/>
    </xf>
    <xf numFmtId="0" fontId="162" fillId="3" borderId="0" xfId="3" applyNumberFormat="1" applyFont="1" applyFill="1" applyBorder="1" applyAlignment="1">
      <alignment horizontal="left" vertical="center"/>
    </xf>
    <xf numFmtId="0" fontId="41" fillId="3" borderId="0" xfId="6" applyNumberFormat="1" applyFont="1" applyFill="1" applyBorder="1" applyAlignment="1">
      <alignment horizontal="right" vertical="center"/>
    </xf>
    <xf numFmtId="0" fontId="41" fillId="3" borderId="0" xfId="6" applyNumberFormat="1" applyFont="1" applyFill="1" applyBorder="1" applyAlignment="1">
      <alignment horizontal="center" vertical="center"/>
    </xf>
    <xf numFmtId="0" fontId="41" fillId="3" borderId="215" xfId="6" applyNumberFormat="1" applyFont="1" applyFill="1" applyBorder="1" applyAlignment="1">
      <alignment horizontal="center" vertical="center"/>
    </xf>
    <xf numFmtId="0" fontId="41" fillId="3" borderId="215" xfId="2" applyNumberFormat="1" applyFont="1" applyFill="1" applyBorder="1" applyAlignment="1" applyProtection="1">
      <alignment horizontal="center" vertical="center"/>
      <protection locked="0"/>
    </xf>
    <xf numFmtId="0" fontId="91" fillId="3" borderId="0" xfId="2" applyNumberFormat="1" applyFont="1" applyFill="1" applyBorder="1" applyAlignment="1">
      <alignment horizontal="right" vertical="center"/>
    </xf>
    <xf numFmtId="165" fontId="91" fillId="3" borderId="247" xfId="6" applyNumberFormat="1" applyFont="1" applyFill="1" applyBorder="1" applyAlignment="1">
      <alignment horizontal="center" vertical="center"/>
    </xf>
    <xf numFmtId="165" fontId="91" fillId="3" borderId="248" xfId="6" applyNumberFormat="1" applyFont="1" applyFill="1" applyBorder="1" applyAlignment="1">
      <alignment horizontal="center" vertical="center"/>
    </xf>
    <xf numFmtId="178" fontId="91" fillId="3" borderId="0" xfId="6" applyNumberFormat="1" applyFont="1" applyFill="1" applyBorder="1" applyAlignment="1">
      <alignment horizontal="centerContinuous" vertical="center"/>
    </xf>
    <xf numFmtId="0" fontId="91" fillId="3" borderId="0" xfId="2" applyNumberFormat="1" applyFont="1" applyFill="1" applyBorder="1" applyAlignment="1">
      <alignment horizontal="left" vertical="center"/>
    </xf>
    <xf numFmtId="0" fontId="41" fillId="3" borderId="0" xfId="2" applyNumberFormat="1" applyFont="1" applyFill="1" applyBorder="1" applyAlignment="1">
      <alignment horizontal="right" vertical="center"/>
    </xf>
    <xf numFmtId="165" fontId="41" fillId="3" borderId="247" xfId="6" applyNumberFormat="1" applyFont="1" applyFill="1" applyBorder="1" applyAlignment="1">
      <alignment horizontal="center" vertical="center"/>
    </xf>
    <xf numFmtId="165" fontId="41" fillId="3" borderId="248" xfId="6" applyNumberFormat="1" applyFont="1" applyFill="1" applyBorder="1" applyAlignment="1">
      <alignment horizontal="center" vertical="center"/>
    </xf>
    <xf numFmtId="178" fontId="33" fillId="3" borderId="0" xfId="6" applyNumberFormat="1" applyFont="1" applyFill="1" applyBorder="1" applyAlignment="1">
      <alignment horizontal="centerContinuous" vertical="center"/>
    </xf>
    <xf numFmtId="178" fontId="41" fillId="3" borderId="0" xfId="6" applyNumberFormat="1" applyFont="1" applyFill="1" applyBorder="1" applyAlignment="1">
      <alignment horizontal="centerContinuous" vertical="center"/>
    </xf>
    <xf numFmtId="0" fontId="41" fillId="3" borderId="0" xfId="2" applyNumberFormat="1" applyFont="1" applyFill="1" applyBorder="1" applyAlignment="1">
      <alignment horizontal="left" vertical="center"/>
    </xf>
    <xf numFmtId="178" fontId="51" fillId="3" borderId="0" xfId="6" applyNumberFormat="1" applyFont="1" applyFill="1" applyBorder="1" applyAlignment="1">
      <alignment horizontal="centerContinuous" vertical="center"/>
    </xf>
    <xf numFmtId="0" fontId="51" fillId="3" borderId="0" xfId="2" applyNumberFormat="1" applyFont="1" applyFill="1" applyBorder="1" applyAlignment="1">
      <alignment horizontal="left" vertical="center"/>
    </xf>
    <xf numFmtId="200" fontId="51" fillId="3" borderId="0" xfId="6" applyNumberFormat="1" applyFont="1" applyFill="1" applyBorder="1" applyAlignment="1">
      <alignment horizontal="centerContinuous" vertical="center"/>
    </xf>
    <xf numFmtId="0" fontId="162" fillId="3" borderId="0" xfId="3" applyNumberFormat="1" applyFont="1" applyFill="1" applyBorder="1" applyAlignment="1">
      <alignment horizontal="center" vertical="center"/>
    </xf>
    <xf numFmtId="0" fontId="42" fillId="3" borderId="76" xfId="3" applyFont="1" applyFill="1" applyBorder="1" applyProtection="1">
      <protection hidden="1"/>
    </xf>
    <xf numFmtId="0" fontId="8" fillId="16" borderId="20" xfId="2" applyFont="1" applyFill="1" applyBorder="1" applyAlignment="1">
      <alignment vertical="center"/>
    </xf>
    <xf numFmtId="0" fontId="8" fillId="16" borderId="0" xfId="2" applyFont="1" applyFill="1" applyBorder="1" applyAlignment="1">
      <alignment vertical="center"/>
    </xf>
    <xf numFmtId="0" fontId="8" fillId="16" borderId="163" xfId="2" applyFont="1" applyFill="1" applyBorder="1" applyAlignment="1">
      <alignment vertical="center"/>
    </xf>
    <xf numFmtId="0" fontId="501" fillId="0" borderId="0" xfId="2" applyFont="1" applyAlignment="1">
      <alignment horizontal="right" vertical="center"/>
    </xf>
    <xf numFmtId="0" fontId="8" fillId="16" borderId="0" xfId="2" applyFont="1" applyFill="1" applyBorder="1" applyAlignment="1">
      <alignment horizontal="left" vertical="center"/>
    </xf>
    <xf numFmtId="0" fontId="502" fillId="16" borderId="0" xfId="2" applyFont="1" applyFill="1" applyBorder="1" applyAlignment="1">
      <alignment horizontal="right" vertical="center"/>
    </xf>
    <xf numFmtId="0" fontId="91" fillId="16" borderId="0" xfId="6" applyNumberFormat="1" applyFont="1" applyFill="1" applyBorder="1" applyAlignment="1">
      <alignment horizontal="center" vertical="center"/>
    </xf>
    <xf numFmtId="0" fontId="91" fillId="16" borderId="215" xfId="6" applyNumberFormat="1" applyFont="1" applyFill="1" applyBorder="1" applyAlignment="1">
      <alignment horizontal="center" vertical="center"/>
    </xf>
    <xf numFmtId="0" fontId="91" fillId="16" borderId="215" xfId="2" applyNumberFormat="1" applyFont="1" applyFill="1" applyBorder="1" applyAlignment="1" applyProtection="1">
      <alignment horizontal="center" vertical="center"/>
      <protection locked="0"/>
    </xf>
    <xf numFmtId="0" fontId="503" fillId="16" borderId="0" xfId="2" applyNumberFormat="1" applyFont="1" applyFill="1" applyBorder="1" applyAlignment="1">
      <alignment horizontal="right" vertical="center"/>
    </xf>
    <xf numFmtId="0" fontId="39" fillId="37" borderId="121" xfId="6" applyNumberFormat="1" applyFont="1" applyFill="1" applyBorder="1" applyAlignment="1">
      <alignment horizontal="center" vertical="center"/>
    </xf>
    <xf numFmtId="0" fontId="40" fillId="16" borderId="0" xfId="2" applyNumberFormat="1" applyFont="1" applyFill="1" applyBorder="1" applyAlignment="1">
      <alignment horizontal="left" vertical="center"/>
    </xf>
    <xf numFmtId="0" fontId="432" fillId="16" borderId="0" xfId="2" applyNumberFormat="1" applyFont="1" applyFill="1" applyBorder="1" applyAlignment="1">
      <alignment horizontal="right" vertical="center"/>
    </xf>
    <xf numFmtId="165" fontId="31" fillId="37" borderId="121" xfId="9" applyNumberFormat="1" applyFont="1" applyFill="1" applyBorder="1" applyAlignment="1">
      <alignment horizontal="center" vertical="center"/>
    </xf>
    <xf numFmtId="165" fontId="8" fillId="16" borderId="0" xfId="2" applyNumberFormat="1" applyFont="1" applyFill="1" applyBorder="1" applyAlignment="1">
      <alignment horizontal="center" vertical="center"/>
    </xf>
    <xf numFmtId="0" fontId="40" fillId="16" borderId="0" xfId="2" applyNumberFormat="1" applyFont="1" applyFill="1" applyBorder="1" applyAlignment="1">
      <alignment horizontal="right" vertical="center"/>
    </xf>
    <xf numFmtId="2" fontId="504" fillId="16" borderId="249" xfId="9" applyNumberFormat="1" applyFont="1" applyFill="1" applyBorder="1" applyAlignment="1">
      <alignment horizontal="center" vertical="center"/>
    </xf>
    <xf numFmtId="2" fontId="91" fillId="16" borderId="247" xfId="6" applyNumberFormat="1" applyFont="1" applyFill="1" applyBorder="1" applyAlignment="1">
      <alignment horizontal="center" vertical="center"/>
    </xf>
    <xf numFmtId="0" fontId="8" fillId="16" borderId="249" xfId="2" applyFont="1" applyFill="1" applyBorder="1" applyAlignment="1">
      <alignment horizontal="center" vertical="center"/>
    </xf>
    <xf numFmtId="0" fontId="8" fillId="0" borderId="20" xfId="2" applyFont="1" applyBorder="1" applyAlignment="1">
      <alignment vertical="center"/>
    </xf>
    <xf numFmtId="0" fontId="40" fillId="0" borderId="0" xfId="2" applyNumberFormat="1" applyFont="1" applyBorder="1" applyAlignment="1">
      <alignment horizontal="right" vertical="center"/>
    </xf>
    <xf numFmtId="172" fontId="151" fillId="37" borderId="0" xfId="2" applyNumberFormat="1" applyFont="1" applyFill="1" applyBorder="1" applyAlignment="1" applyProtection="1">
      <alignment horizontal="center" vertical="center"/>
      <protection locked="0"/>
    </xf>
    <xf numFmtId="0" fontId="505" fillId="16" borderId="0" xfId="3" applyFont="1" applyFill="1" applyBorder="1" applyAlignment="1">
      <alignment horizontal="left" vertical="center"/>
    </xf>
    <xf numFmtId="0" fontId="8" fillId="0" borderId="0" xfId="2" applyFont="1" applyAlignment="1">
      <alignment vertical="center"/>
    </xf>
    <xf numFmtId="176" fontId="41" fillId="16" borderId="247" xfId="6" applyNumberFormat="1" applyFont="1" applyFill="1" applyBorder="1" applyAlignment="1">
      <alignment horizontal="center" vertical="center"/>
    </xf>
    <xf numFmtId="176" fontId="41" fillId="16" borderId="0" xfId="2" applyNumberFormat="1" applyFont="1" applyFill="1" applyBorder="1" applyAlignment="1">
      <alignment horizontal="center" vertical="center"/>
    </xf>
    <xf numFmtId="0" fontId="501" fillId="16" borderId="249" xfId="2" applyFont="1" applyFill="1" applyBorder="1" applyAlignment="1">
      <alignment horizontal="center" vertical="center"/>
    </xf>
    <xf numFmtId="0" fontId="8" fillId="16" borderId="57" xfId="2" applyFont="1" applyFill="1" applyBorder="1" applyAlignment="1">
      <alignment vertical="center"/>
    </xf>
    <xf numFmtId="0" fontId="8" fillId="16" borderId="15" xfId="2" applyFont="1" applyFill="1" applyBorder="1" applyAlignment="1">
      <alignment vertical="center"/>
    </xf>
    <xf numFmtId="0" fontId="8" fillId="16" borderId="90" xfId="2" applyFont="1" applyFill="1" applyBorder="1" applyAlignment="1">
      <alignment vertical="center"/>
    </xf>
    <xf numFmtId="0" fontId="485" fillId="16" borderId="20" xfId="3" applyFont="1" applyFill="1" applyBorder="1" applyAlignment="1">
      <alignment horizontal="center" vertical="center"/>
    </xf>
    <xf numFmtId="0" fontId="35" fillId="16" borderId="196" xfId="3" applyFont="1" applyFill="1" applyBorder="1" applyAlignment="1">
      <alignment vertical="center"/>
    </xf>
    <xf numFmtId="0" fontId="506" fillId="16" borderId="0" xfId="3" applyFont="1" applyFill="1" applyBorder="1" applyAlignment="1">
      <alignment vertical="center"/>
    </xf>
    <xf numFmtId="0" fontId="506" fillId="16" borderId="163" xfId="3" applyFont="1" applyFill="1" applyBorder="1" applyAlignment="1">
      <alignment vertical="center"/>
    </xf>
    <xf numFmtId="0" fontId="40" fillId="3" borderId="20" xfId="6" applyNumberFormat="1" applyFont="1" applyFill="1" applyBorder="1" applyAlignment="1">
      <alignment horizontal="right" vertical="center"/>
    </xf>
    <xf numFmtId="189" fontId="91" fillId="16" borderId="0" xfId="9" applyNumberFormat="1" applyFont="1" applyFill="1" applyBorder="1" applyAlignment="1">
      <alignment horizontal="center" vertical="center"/>
    </xf>
    <xf numFmtId="189" fontId="33" fillId="16" borderId="163" xfId="9" applyNumberFormat="1" applyFont="1" applyFill="1" applyBorder="1" applyAlignment="1">
      <alignment vertical="center"/>
    </xf>
    <xf numFmtId="0" fontId="505" fillId="16" borderId="20" xfId="3" applyFont="1" applyFill="1" applyBorder="1" applyAlignment="1">
      <alignment horizontal="center" vertical="center"/>
    </xf>
    <xf numFmtId="189" fontId="91" fillId="16" borderId="0" xfId="9" applyNumberFormat="1" applyFont="1" applyFill="1" applyBorder="1" applyAlignment="1">
      <alignment horizontal="left" vertical="center"/>
    </xf>
    <xf numFmtId="177" fontId="51" fillId="55" borderId="178" xfId="9" applyNumberFormat="1" applyFont="1" applyFill="1" applyBorder="1" applyAlignment="1">
      <alignment vertical="center"/>
    </xf>
    <xf numFmtId="177" fontId="51" fillId="55" borderId="20" xfId="9" applyNumberFormat="1" applyFont="1" applyFill="1" applyBorder="1" applyAlignment="1">
      <alignment horizontal="left" vertical="center"/>
    </xf>
    <xf numFmtId="0" fontId="8" fillId="16" borderId="20" xfId="2" applyFont="1" applyFill="1" applyBorder="1"/>
    <xf numFmtId="0" fontId="8" fillId="16" borderId="0" xfId="2" applyFont="1" applyFill="1" applyBorder="1"/>
    <xf numFmtId="0" fontId="8" fillId="16" borderId="163" xfId="2" applyFont="1" applyFill="1" applyBorder="1"/>
    <xf numFmtId="0" fontId="501" fillId="16" borderId="20" xfId="2" applyFont="1" applyFill="1" applyBorder="1" applyAlignment="1">
      <alignment vertical="center" wrapText="1"/>
    </xf>
    <xf numFmtId="0" fontId="501" fillId="16" borderId="0" xfId="2" applyFont="1" applyFill="1" applyBorder="1" applyAlignment="1">
      <alignment vertical="center" wrapText="1"/>
    </xf>
    <xf numFmtId="0" fontId="501" fillId="0" borderId="0" xfId="2" applyFont="1" applyBorder="1" applyAlignment="1">
      <alignment horizontal="right"/>
    </xf>
    <xf numFmtId="0" fontId="502" fillId="16" borderId="0" xfId="2" applyFont="1" applyFill="1" applyBorder="1" applyAlignment="1">
      <alignment horizontal="right"/>
    </xf>
    <xf numFmtId="0" fontId="91" fillId="16" borderId="136" xfId="6" applyNumberFormat="1" applyFont="1" applyFill="1" applyBorder="1" applyAlignment="1">
      <alignment horizontal="center" vertical="center"/>
    </xf>
    <xf numFmtId="0" fontId="91" fillId="16" borderId="136" xfId="2" applyNumberFormat="1" applyFont="1" applyFill="1" applyBorder="1" applyAlignment="1" applyProtection="1">
      <alignment horizontal="center" vertical="center"/>
      <protection locked="0"/>
    </xf>
    <xf numFmtId="177" fontId="508" fillId="37" borderId="117" xfId="9" applyNumberFormat="1" applyFont="1" applyFill="1" applyBorder="1" applyAlignment="1">
      <alignment horizontal="center" vertical="center"/>
    </xf>
    <xf numFmtId="1" fontId="509" fillId="16" borderId="249" xfId="9" applyNumberFormat="1" applyFont="1" applyFill="1" applyBorder="1" applyAlignment="1">
      <alignment horizontal="center" vertical="center"/>
    </xf>
    <xf numFmtId="0" fontId="510" fillId="16" borderId="20" xfId="3" applyFont="1" applyFill="1" applyBorder="1" applyAlignment="1">
      <alignment horizontal="center" vertical="center"/>
    </xf>
    <xf numFmtId="0" fontId="511" fillId="16" borderId="0" xfId="3" applyFont="1" applyFill="1" applyBorder="1" applyAlignment="1" applyProtection="1">
      <alignment horizontal="left" vertical="center"/>
      <protection hidden="1"/>
    </xf>
    <xf numFmtId="1" fontId="509" fillId="16" borderId="0" xfId="9" applyNumberFormat="1" applyFont="1" applyFill="1" applyBorder="1" applyAlignment="1">
      <alignment horizontal="center" vertical="center"/>
    </xf>
    <xf numFmtId="0" fontId="501" fillId="16" borderId="20" xfId="2" applyFont="1" applyFill="1" applyBorder="1" applyAlignment="1">
      <alignment vertical="center"/>
    </xf>
    <xf numFmtId="0" fontId="501" fillId="16" borderId="0" xfId="2" applyFont="1" applyFill="1" applyBorder="1" applyAlignment="1">
      <alignment vertical="center"/>
    </xf>
    <xf numFmtId="0" fontId="501" fillId="16" borderId="0" xfId="2" applyFont="1" applyFill="1" applyBorder="1" applyAlignment="1">
      <alignment horizontal="right" vertical="center"/>
    </xf>
    <xf numFmtId="2" fontId="33" fillId="16" borderId="136" xfId="9" applyNumberFormat="1" applyFont="1" applyFill="1" applyBorder="1" applyAlignment="1">
      <alignment horizontal="center" vertical="center"/>
    </xf>
    <xf numFmtId="0" fontId="8" fillId="16" borderId="0" xfId="2" applyFont="1" applyFill="1" applyBorder="1" applyAlignment="1">
      <alignment horizontal="left"/>
    </xf>
    <xf numFmtId="0" fontId="505" fillId="16" borderId="57" xfId="3" applyFont="1" applyFill="1" applyBorder="1" applyAlignment="1">
      <alignment horizontal="center" vertical="center"/>
    </xf>
    <xf numFmtId="0" fontId="8" fillId="16" borderId="15" xfId="2" applyFont="1" applyFill="1" applyBorder="1"/>
    <xf numFmtId="0" fontId="8" fillId="16" borderId="90" xfId="2" applyFont="1" applyFill="1" applyBorder="1"/>
    <xf numFmtId="0" fontId="512" fillId="16" borderId="20" xfId="3" applyFont="1" applyFill="1" applyBorder="1" applyAlignment="1">
      <alignment horizontal="center" vertical="center"/>
    </xf>
    <xf numFmtId="0" fontId="513" fillId="16" borderId="196" xfId="3" applyFont="1" applyFill="1" applyBorder="1" applyAlignment="1">
      <alignment vertical="center"/>
    </xf>
    <xf numFmtId="0" fontId="8" fillId="16" borderId="0" xfId="2" applyFont="1" applyFill="1"/>
    <xf numFmtId="0" fontId="42" fillId="16" borderId="0" xfId="3" applyFont="1" applyFill="1" applyProtection="1">
      <protection hidden="1"/>
    </xf>
    <xf numFmtId="0" fontId="33" fillId="3" borderId="0" xfId="3" applyFont="1" applyFill="1" applyAlignment="1" applyProtection="1">
      <alignment horizontal="left" vertical="center"/>
      <protection hidden="1"/>
    </xf>
    <xf numFmtId="0" fontId="42" fillId="0" borderId="0" xfId="3" applyFont="1" applyProtection="1">
      <protection hidden="1"/>
    </xf>
    <xf numFmtId="0" fontId="426" fillId="3" borderId="0" xfId="3" applyFont="1" applyFill="1" applyAlignment="1" applyProtection="1">
      <alignment vertical="center"/>
      <protection hidden="1"/>
    </xf>
    <xf numFmtId="0" fontId="63" fillId="3" borderId="0" xfId="3" applyFont="1" applyFill="1" applyAlignment="1" applyProtection="1">
      <alignment horizontal="left"/>
      <protection hidden="1"/>
    </xf>
    <xf numFmtId="0" fontId="42" fillId="0" borderId="0" xfId="6" applyFont="1" applyAlignment="1">
      <alignment vertical="center"/>
    </xf>
    <xf numFmtId="0" fontId="426" fillId="36" borderId="93" xfId="7" applyFont="1" applyFill="1" applyBorder="1" applyAlignment="1">
      <alignment horizontal="left" vertical="center"/>
    </xf>
    <xf numFmtId="0" fontId="171" fillId="36" borderId="94" xfId="7" applyFont="1" applyFill="1" applyBorder="1" applyAlignment="1">
      <alignment horizontal="left" vertical="center"/>
    </xf>
    <xf numFmtId="0" fontId="515" fillId="36" borderId="94" xfId="7" applyFont="1" applyFill="1" applyBorder="1" applyAlignment="1">
      <alignment horizontal="left" vertical="center"/>
    </xf>
    <xf numFmtId="0" fontId="516" fillId="36" borderId="94" xfId="7" applyFont="1" applyFill="1" applyBorder="1" applyAlignment="1">
      <alignment horizontal="centerContinuous" vertical="center"/>
    </xf>
    <xf numFmtId="0" fontId="515" fillId="36" borderId="94" xfId="7" applyFont="1" applyFill="1" applyBorder="1" applyAlignment="1">
      <alignment horizontal="centerContinuous" vertical="center"/>
    </xf>
    <xf numFmtId="0" fontId="517" fillId="36" borderId="95" xfId="7" applyFont="1" applyFill="1" applyBorder="1" applyAlignment="1">
      <alignment horizontal="right" vertical="center"/>
    </xf>
    <xf numFmtId="0" fontId="91" fillId="3" borderId="0" xfId="7" applyFont="1" applyFill="1" applyAlignment="1" applyProtection="1"/>
    <xf numFmtId="0" fontId="91" fillId="0" borderId="0" xfId="7" applyFont="1" applyAlignment="1" applyProtection="1"/>
    <xf numFmtId="0" fontId="42" fillId="0" borderId="0" xfId="7" applyFont="1"/>
    <xf numFmtId="0" fontId="91" fillId="0" borderId="0" xfId="7" applyFont="1" applyProtection="1"/>
    <xf numFmtId="0" fontId="42" fillId="3" borderId="0" xfId="7" applyFont="1" applyFill="1"/>
    <xf numFmtId="0" fontId="48" fillId="0" borderId="0" xfId="7" applyFont="1"/>
    <xf numFmtId="0" fontId="48" fillId="3" borderId="0" xfId="7" applyFont="1" applyFill="1"/>
    <xf numFmtId="2" fontId="490" fillId="3" borderId="106" xfId="6" applyNumberFormat="1" applyFont="1" applyFill="1" applyBorder="1" applyAlignment="1">
      <alignment horizontal="center" vertical="center"/>
    </xf>
    <xf numFmtId="171" fontId="490" fillId="3" borderId="106" xfId="6" applyNumberFormat="1" applyFont="1" applyFill="1" applyBorder="1" applyAlignment="1">
      <alignment horizontal="center" vertical="center"/>
    </xf>
    <xf numFmtId="172" fontId="490" fillId="3" borderId="106" xfId="8" applyNumberFormat="1" applyFont="1" applyFill="1" applyBorder="1" applyAlignment="1" applyProtection="1">
      <alignment horizontal="center" vertical="center"/>
      <protection locked="0"/>
    </xf>
    <xf numFmtId="0" fontId="36" fillId="37" borderId="106" xfId="6" applyNumberFormat="1" applyFont="1" applyFill="1" applyBorder="1" applyAlignment="1">
      <alignment horizontal="center" vertical="center"/>
    </xf>
    <xf numFmtId="0" fontId="426" fillId="36" borderId="1" xfId="7" applyFont="1" applyFill="1" applyBorder="1" applyAlignment="1">
      <alignment vertical="center"/>
    </xf>
    <xf numFmtId="0" fontId="426" fillId="36" borderId="2" xfId="7" applyFont="1" applyFill="1" applyBorder="1" applyAlignment="1">
      <alignment vertical="center"/>
    </xf>
    <xf numFmtId="0" fontId="272" fillId="36" borderId="3" xfId="7" applyFont="1" applyFill="1" applyBorder="1" applyAlignment="1">
      <alignment horizontal="right" vertical="center"/>
    </xf>
    <xf numFmtId="0" fontId="151" fillId="38" borderId="56" xfId="7" applyNumberFormat="1" applyFont="1" applyFill="1" applyBorder="1" applyAlignment="1" applyProtection="1">
      <alignment horizontal="center" vertical="center"/>
      <protection locked="0"/>
    </xf>
    <xf numFmtId="0" fontId="151" fillId="38" borderId="56" xfId="7" applyFont="1" applyFill="1" applyBorder="1" applyAlignment="1" applyProtection="1">
      <alignment horizontal="left" vertical="center"/>
      <protection locked="0"/>
    </xf>
    <xf numFmtId="0" fontId="43" fillId="39" borderId="117" xfId="7" applyNumberFormat="1" applyFont="1" applyFill="1" applyBorder="1" applyAlignment="1" applyProtection="1">
      <alignment horizontal="center" vertical="center"/>
      <protection locked="0"/>
    </xf>
    <xf numFmtId="173" fontId="41" fillId="3" borderId="56" xfId="7" applyNumberFormat="1" applyFont="1" applyFill="1" applyBorder="1" applyAlignment="1" applyProtection="1">
      <alignment horizontal="right" vertical="center"/>
      <protection locked="0"/>
    </xf>
    <xf numFmtId="174" fontId="41" fillId="3" borderId="56" xfId="2" applyNumberFormat="1" applyFont="1" applyFill="1" applyBorder="1" applyAlignment="1" applyProtection="1">
      <alignment horizontal="center" vertical="center"/>
    </xf>
    <xf numFmtId="1" fontId="42" fillId="3" borderId="119" xfId="7" applyNumberFormat="1" applyFont="1" applyFill="1" applyBorder="1" applyAlignment="1" applyProtection="1">
      <alignment horizontal="left" vertical="center"/>
      <protection locked="0"/>
    </xf>
    <xf numFmtId="173" fontId="41" fillId="3" borderId="118" xfId="7" applyNumberFormat="1" applyFont="1" applyFill="1" applyBorder="1" applyAlignment="1" applyProtection="1">
      <alignment horizontal="right" vertical="center"/>
      <protection locked="0"/>
    </xf>
    <xf numFmtId="1" fontId="42" fillId="3" borderId="120" xfId="7" applyNumberFormat="1" applyFont="1" applyFill="1" applyBorder="1" applyAlignment="1" applyProtection="1">
      <alignment horizontal="left" vertical="center"/>
      <protection locked="0"/>
    </xf>
    <xf numFmtId="0" fontId="151" fillId="38" borderId="62" xfId="7" applyNumberFormat="1" applyFont="1" applyFill="1" applyBorder="1" applyAlignment="1" applyProtection="1">
      <alignment horizontal="center" vertical="center"/>
      <protection locked="0"/>
    </xf>
    <xf numFmtId="0" fontId="151" fillId="38" borderId="62" xfId="7" applyFont="1" applyFill="1" applyBorder="1" applyAlignment="1" applyProtection="1">
      <alignment horizontal="left" vertical="center"/>
      <protection locked="0"/>
    </xf>
    <xf numFmtId="0" fontId="43" fillId="39" borderId="121" xfId="7" applyNumberFormat="1" applyFont="1" applyFill="1" applyBorder="1" applyAlignment="1" applyProtection="1">
      <alignment horizontal="center" vertical="center"/>
      <protection locked="0"/>
    </xf>
    <xf numFmtId="173" fontId="41" fillId="3" borderId="62" xfId="7" applyNumberFormat="1" applyFont="1" applyFill="1" applyBorder="1" applyAlignment="1" applyProtection="1">
      <alignment horizontal="right" vertical="center"/>
      <protection locked="0"/>
    </xf>
    <xf numFmtId="174" fontId="41" fillId="3" borderId="62" xfId="2" applyNumberFormat="1" applyFont="1" applyFill="1" applyBorder="1" applyAlignment="1" applyProtection="1">
      <alignment horizontal="center" vertical="center"/>
    </xf>
    <xf numFmtId="1" fontId="42" fillId="3" borderId="123" xfId="7" applyNumberFormat="1" applyFont="1" applyFill="1" applyBorder="1" applyAlignment="1" applyProtection="1">
      <alignment horizontal="left" vertical="center"/>
      <protection locked="0"/>
    </xf>
    <xf numFmtId="173" fontId="41" fillId="3" borderId="122" xfId="7" applyNumberFormat="1" applyFont="1" applyFill="1" applyBorder="1" applyAlignment="1" applyProtection="1">
      <alignment horizontal="right" vertical="center"/>
      <protection locked="0"/>
    </xf>
    <xf numFmtId="1" fontId="42" fillId="3" borderId="124" xfId="7" applyNumberFormat="1" applyFont="1" applyFill="1" applyBorder="1" applyAlignment="1" applyProtection="1">
      <alignment horizontal="left" vertical="center"/>
      <protection locked="0"/>
    </xf>
    <xf numFmtId="173" fontId="41" fillId="3" borderId="126" xfId="7" applyNumberFormat="1" applyFont="1" applyFill="1" applyBorder="1" applyAlignment="1" applyProtection="1">
      <alignment horizontal="right" vertical="center"/>
      <protection locked="0"/>
    </xf>
    <xf numFmtId="174" fontId="41" fillId="3" borderId="126" xfId="2" applyNumberFormat="1" applyFont="1" applyFill="1" applyBorder="1" applyAlignment="1" applyProtection="1">
      <alignment horizontal="center" vertical="center"/>
    </xf>
    <xf numFmtId="1" fontId="42" fillId="3" borderId="127" xfId="7" applyNumberFormat="1" applyFont="1" applyFill="1" applyBorder="1" applyAlignment="1" applyProtection="1">
      <alignment horizontal="left" vertical="center"/>
      <protection locked="0"/>
    </xf>
    <xf numFmtId="173" fontId="41" fillId="3" borderId="125" xfId="7" applyNumberFormat="1" applyFont="1" applyFill="1" applyBorder="1" applyAlignment="1" applyProtection="1">
      <alignment horizontal="right" vertical="center"/>
      <protection locked="0"/>
    </xf>
    <xf numFmtId="1" fontId="42" fillId="3" borderId="128" xfId="7" applyNumberFormat="1" applyFont="1" applyFill="1" applyBorder="1" applyAlignment="1" applyProtection="1">
      <alignment horizontal="left" vertical="center"/>
      <protection locked="0"/>
    </xf>
    <xf numFmtId="165" fontId="43" fillId="39" borderId="121" xfId="7" applyNumberFormat="1" applyFont="1" applyFill="1" applyBorder="1" applyAlignment="1" applyProtection="1">
      <alignment horizontal="center" vertical="center"/>
      <protection locked="0"/>
    </xf>
    <xf numFmtId="175" fontId="41" fillId="3" borderId="62" xfId="2" applyNumberFormat="1" applyFont="1" applyFill="1" applyBorder="1" applyAlignment="1" applyProtection="1">
      <alignment horizontal="center" vertical="center"/>
    </xf>
    <xf numFmtId="1" fontId="42" fillId="3" borderId="130" xfId="7" applyNumberFormat="1" applyFont="1" applyFill="1" applyBorder="1" applyAlignment="1" applyProtection="1">
      <alignment horizontal="left" vertical="center"/>
      <protection locked="0"/>
    </xf>
    <xf numFmtId="0" fontId="151" fillId="38" borderId="123" xfId="7" applyFont="1" applyFill="1" applyBorder="1" applyAlignment="1" applyProtection="1">
      <alignment horizontal="left" vertical="center"/>
      <protection locked="0"/>
    </xf>
    <xf numFmtId="0" fontId="151" fillId="38" borderId="126" xfId="7" applyNumberFormat="1" applyFont="1" applyFill="1" applyBorder="1" applyAlignment="1" applyProtection="1">
      <alignment horizontal="center" vertical="center"/>
      <protection locked="0"/>
    </xf>
    <xf numFmtId="0" fontId="151" fillId="38" borderId="126" xfId="7" applyFont="1" applyFill="1" applyBorder="1" applyAlignment="1" applyProtection="1">
      <alignment horizontal="left" vertical="center"/>
      <protection locked="0"/>
    </xf>
    <xf numFmtId="165" fontId="43" fillId="39" borderId="133" xfId="7" applyNumberFormat="1" applyFont="1" applyFill="1" applyBorder="1" applyAlignment="1" applyProtection="1">
      <alignment horizontal="center" vertical="center"/>
      <protection locked="0"/>
    </xf>
    <xf numFmtId="175" fontId="41" fillId="3" borderId="126" xfId="2" applyNumberFormat="1" applyFont="1" applyFill="1" applyBorder="1" applyAlignment="1" applyProtection="1">
      <alignment horizontal="center" vertical="center"/>
    </xf>
    <xf numFmtId="1" fontId="42" fillId="3" borderId="134" xfId="7" applyNumberFormat="1" applyFont="1" applyFill="1" applyBorder="1" applyAlignment="1" applyProtection="1">
      <alignment horizontal="left" vertical="center"/>
      <protection locked="0"/>
    </xf>
    <xf numFmtId="173" fontId="41" fillId="4" borderId="0" xfId="7" applyNumberFormat="1" applyFont="1" applyFill="1" applyBorder="1" applyAlignment="1" applyProtection="1">
      <alignment horizontal="right" vertical="center"/>
      <protection locked="0"/>
    </xf>
    <xf numFmtId="174" fontId="41" fillId="4" borderId="0" xfId="2" applyNumberFormat="1" applyFont="1" applyFill="1" applyBorder="1" applyAlignment="1" applyProtection="1">
      <alignment horizontal="center" vertical="center"/>
    </xf>
    <xf numFmtId="1" fontId="42" fillId="4" borderId="0" xfId="7" applyNumberFormat="1" applyFont="1" applyFill="1" applyBorder="1" applyAlignment="1" applyProtection="1">
      <alignment horizontal="left" vertical="center"/>
      <protection locked="0"/>
    </xf>
    <xf numFmtId="0" fontId="375" fillId="36" borderId="3" xfId="7" applyFont="1" applyFill="1" applyBorder="1" applyAlignment="1">
      <alignment horizontal="right" vertical="center"/>
    </xf>
    <xf numFmtId="0" fontId="426" fillId="3" borderId="20" xfId="7" applyFont="1" applyFill="1" applyBorder="1" applyAlignment="1">
      <alignment horizontal="left" vertical="center"/>
    </xf>
    <xf numFmtId="0" fontId="171" fillId="3" borderId="0" xfId="7" applyFont="1" applyFill="1" applyBorder="1" applyAlignment="1">
      <alignment horizontal="left" vertical="center"/>
    </xf>
    <xf numFmtId="0" fontId="515" fillId="3" borderId="0" xfId="7" applyFont="1" applyFill="1" applyBorder="1" applyAlignment="1">
      <alignment horizontal="left" vertical="center"/>
    </xf>
    <xf numFmtId="176" fontId="227" fillId="3" borderId="0" xfId="7" applyNumberFormat="1" applyFont="1" applyFill="1" applyBorder="1" applyAlignment="1" applyProtection="1">
      <alignment horizontal="right" vertical="center"/>
      <protection locked="0"/>
    </xf>
    <xf numFmtId="165" fontId="151" fillId="39" borderId="0" xfId="7" applyNumberFormat="1" applyFont="1" applyFill="1" applyBorder="1" applyAlignment="1" applyProtection="1">
      <alignment horizontal="right" vertical="center"/>
      <protection locked="0"/>
    </xf>
    <xf numFmtId="0" fontId="151" fillId="39" borderId="0" xfId="7" applyFont="1" applyFill="1" applyBorder="1" applyAlignment="1" applyProtection="1">
      <alignment horizontal="center" vertical="center"/>
      <protection locked="0"/>
    </xf>
    <xf numFmtId="0" fontId="516" fillId="3" borderId="0" xfId="7" applyFont="1" applyFill="1" applyBorder="1" applyAlignment="1">
      <alignment horizontal="centerContinuous" vertical="center"/>
    </xf>
    <xf numFmtId="0" fontId="151" fillId="39" borderId="0" xfId="7" applyNumberFormat="1" applyFont="1" applyFill="1" applyBorder="1" applyAlignment="1" applyProtection="1">
      <alignment horizontal="center" vertical="center"/>
      <protection locked="0"/>
    </xf>
    <xf numFmtId="0" fontId="515" fillId="3" borderId="0" xfId="7" applyFont="1" applyFill="1" applyBorder="1" applyAlignment="1">
      <alignment horizontal="centerContinuous" vertical="center"/>
    </xf>
    <xf numFmtId="0" fontId="515" fillId="3" borderId="51" xfId="7" applyFont="1" applyFill="1" applyBorder="1" applyAlignment="1">
      <alignment horizontal="centerContinuous" vertical="center"/>
    </xf>
    <xf numFmtId="2" fontId="50" fillId="3" borderId="106" xfId="6" applyNumberFormat="1" applyFont="1" applyFill="1" applyBorder="1" applyAlignment="1">
      <alignment horizontal="center" vertical="center"/>
    </xf>
    <xf numFmtId="171" fontId="50" fillId="3" borderId="106" xfId="6" applyNumberFormat="1" applyFont="1" applyFill="1" applyBorder="1" applyAlignment="1">
      <alignment horizontal="center" vertical="center"/>
    </xf>
    <xf numFmtId="172" fontId="50" fillId="3" borderId="106" xfId="8" applyNumberFormat="1" applyFont="1" applyFill="1" applyBorder="1" applyAlignment="1" applyProtection="1">
      <alignment horizontal="center" vertical="center"/>
      <protection locked="0"/>
    </xf>
    <xf numFmtId="0" fontId="48" fillId="3" borderId="0" xfId="7" applyFont="1" applyFill="1" applyBorder="1"/>
    <xf numFmtId="176" fontId="33" fillId="38" borderId="0" xfId="7" applyNumberFormat="1" applyFont="1" applyFill="1" applyBorder="1" applyAlignment="1" applyProtection="1">
      <alignment horizontal="center" vertical="center"/>
      <protection locked="0"/>
    </xf>
    <xf numFmtId="0" fontId="33" fillId="3" borderId="0" xfId="7" applyNumberFormat="1" applyFont="1" applyFill="1" applyBorder="1" applyAlignment="1" applyProtection="1">
      <alignment horizontal="left" vertical="center"/>
      <protection locked="0"/>
    </xf>
    <xf numFmtId="178" fontId="91" fillId="38" borderId="0" xfId="7" applyNumberFormat="1" applyFont="1" applyFill="1" applyBorder="1" applyAlignment="1" applyProtection="1">
      <alignment horizontal="center" vertical="center"/>
      <protection locked="0"/>
    </xf>
    <xf numFmtId="173" fontId="41" fillId="3" borderId="0" xfId="7" applyNumberFormat="1" applyFont="1" applyFill="1" applyBorder="1" applyAlignment="1" applyProtection="1">
      <alignment horizontal="right" vertical="center"/>
      <protection locked="0"/>
    </xf>
    <xf numFmtId="174" fontId="41" fillId="3" borderId="0" xfId="2" applyNumberFormat="1" applyFont="1" applyFill="1" applyBorder="1" applyAlignment="1" applyProtection="1">
      <alignment horizontal="center" vertical="center"/>
    </xf>
    <xf numFmtId="1" fontId="42" fillId="3" borderId="0" xfId="7" applyNumberFormat="1" applyFont="1" applyFill="1" applyBorder="1" applyAlignment="1" applyProtection="1">
      <alignment horizontal="left" vertical="center"/>
      <protection locked="0"/>
    </xf>
    <xf numFmtId="1" fontId="42" fillId="3" borderId="51" xfId="7" applyNumberFormat="1" applyFont="1" applyFill="1" applyBorder="1" applyAlignment="1" applyProtection="1">
      <alignment horizontal="left" vertical="center"/>
      <protection locked="0"/>
    </xf>
    <xf numFmtId="0" fontId="48" fillId="0" borderId="5" xfId="7" applyFont="1" applyBorder="1"/>
    <xf numFmtId="1" fontId="33" fillId="38" borderId="5" xfId="7" applyNumberFormat="1" applyFont="1" applyFill="1" applyBorder="1" applyAlignment="1" applyProtection="1">
      <alignment horizontal="center" vertical="center"/>
      <protection locked="0"/>
    </xf>
    <xf numFmtId="0" fontId="33" fillId="3" borderId="5" xfId="7" applyNumberFormat="1" applyFont="1" applyFill="1" applyBorder="1" applyAlignment="1" applyProtection="1">
      <alignment horizontal="left" vertical="center"/>
      <protection locked="0"/>
    </xf>
    <xf numFmtId="165" fontId="91" fillId="3" borderId="5" xfId="7" applyNumberFormat="1" applyFont="1" applyFill="1" applyBorder="1" applyAlignment="1" applyProtection="1">
      <alignment horizontal="center" vertical="center"/>
      <protection locked="0"/>
    </xf>
    <xf numFmtId="173" fontId="41" fillId="3" borderId="5" xfId="7" applyNumberFormat="1" applyFont="1" applyFill="1" applyBorder="1" applyAlignment="1" applyProtection="1">
      <alignment horizontal="right" vertical="center"/>
      <protection locked="0"/>
    </xf>
    <xf numFmtId="174" fontId="41" fillId="3" borderId="5" xfId="2" applyNumberFormat="1" applyFont="1" applyFill="1" applyBorder="1" applyAlignment="1" applyProtection="1">
      <alignment horizontal="center" vertical="center"/>
    </xf>
    <xf numFmtId="1" fontId="42" fillId="3" borderId="5" xfId="7" applyNumberFormat="1" applyFont="1" applyFill="1" applyBorder="1" applyAlignment="1" applyProtection="1">
      <alignment horizontal="left" vertical="center"/>
      <protection locked="0"/>
    </xf>
    <xf numFmtId="1" fontId="42" fillId="3" borderId="6" xfId="7" applyNumberFormat="1" applyFont="1" applyFill="1" applyBorder="1" applyAlignment="1" applyProtection="1">
      <alignment horizontal="left" vertical="center"/>
      <protection locked="0"/>
    </xf>
    <xf numFmtId="0" fontId="426" fillId="41" borderId="18" xfId="7" applyFont="1" applyFill="1" applyBorder="1" applyAlignment="1">
      <alignment horizontal="left" vertical="center"/>
    </xf>
    <xf numFmtId="0" fontId="171" fillId="41" borderId="16" xfId="7" applyFont="1" applyFill="1" applyBorder="1" applyAlignment="1">
      <alignment horizontal="left" vertical="center"/>
    </xf>
    <xf numFmtId="0" fontId="515" fillId="41" borderId="16" xfId="7" applyFont="1" applyFill="1" applyBorder="1" applyAlignment="1">
      <alignment horizontal="left" vertical="center"/>
    </xf>
    <xf numFmtId="0" fontId="516" fillId="41" borderId="16" xfId="7" applyFont="1" applyFill="1" applyBorder="1" applyAlignment="1">
      <alignment horizontal="centerContinuous" vertical="center"/>
    </xf>
    <xf numFmtId="0" fontId="515" fillId="41" borderId="16" xfId="7" applyFont="1" applyFill="1" applyBorder="1" applyAlignment="1">
      <alignment horizontal="centerContinuous" vertical="center"/>
    </xf>
    <xf numFmtId="0" fontId="426" fillId="41" borderId="17" xfId="7" applyFont="1" applyFill="1" applyBorder="1" applyAlignment="1">
      <alignment horizontal="right" vertical="center"/>
    </xf>
    <xf numFmtId="0" fontId="372" fillId="41" borderId="22" xfId="7" applyFont="1" applyFill="1" applyBorder="1" applyAlignment="1">
      <alignment horizontal="left" vertical="center"/>
    </xf>
    <xf numFmtId="0" fontId="171" fillId="41" borderId="56" xfId="7" applyFont="1" applyFill="1" applyBorder="1" applyAlignment="1">
      <alignment horizontal="left" vertical="center"/>
    </xf>
    <xf numFmtId="0" fontId="515" fillId="41" borderId="56" xfId="7" applyFont="1" applyFill="1" applyBorder="1" applyAlignment="1">
      <alignment horizontal="left" vertical="center"/>
    </xf>
    <xf numFmtId="0" fontId="516" fillId="41" borderId="56" xfId="7" applyFont="1" applyFill="1" applyBorder="1" applyAlignment="1">
      <alignment horizontal="centerContinuous" vertical="center"/>
    </xf>
    <xf numFmtId="0" fontId="515" fillId="41" borderId="56" xfId="7" applyFont="1" applyFill="1" applyBorder="1" applyAlignment="1">
      <alignment horizontal="centerContinuous" vertical="center"/>
    </xf>
    <xf numFmtId="0" fontId="381" fillId="41" borderId="23" xfId="7" applyFont="1" applyFill="1" applyBorder="1" applyAlignment="1">
      <alignment horizontal="right" vertical="center"/>
    </xf>
    <xf numFmtId="0" fontId="42" fillId="0" borderId="136" xfId="7" applyFont="1" applyFill="1" applyBorder="1" applyAlignment="1" applyProtection="1">
      <alignment horizontal="center" vertical="center" wrapText="1"/>
      <protection locked="0"/>
    </xf>
    <xf numFmtId="0" fontId="520" fillId="0" borderId="136" xfId="7" applyFont="1" applyFill="1" applyBorder="1" applyAlignment="1" applyProtection="1">
      <alignment horizontal="center" vertical="center" wrapText="1"/>
      <protection locked="0"/>
    </xf>
    <xf numFmtId="0" fontId="50" fillId="0" borderId="137" xfId="7" applyFont="1" applyFill="1" applyBorder="1" applyAlignment="1" applyProtection="1">
      <alignment horizontal="center" vertical="center" wrapText="1"/>
      <protection locked="0"/>
    </xf>
    <xf numFmtId="0" fontId="50" fillId="3" borderId="135" xfId="7" applyFont="1" applyFill="1" applyBorder="1" applyAlignment="1" applyProtection="1">
      <alignment horizontal="center" vertical="center" wrapText="1"/>
      <protection locked="0"/>
    </xf>
    <xf numFmtId="0" fontId="519" fillId="3" borderId="138" xfId="7" applyFont="1" applyFill="1" applyBorder="1" applyAlignment="1" applyProtection="1">
      <alignment horizontal="centerContinuous" vertical="center"/>
      <protection locked="0"/>
    </xf>
    <xf numFmtId="0" fontId="519" fillId="3" borderId="26" xfId="7" applyFont="1" applyFill="1" applyBorder="1" applyAlignment="1" applyProtection="1">
      <alignment horizontal="centerContinuous" vertical="center"/>
      <protection locked="0"/>
    </xf>
    <xf numFmtId="0" fontId="48" fillId="3" borderId="26" xfId="7" applyFont="1" applyFill="1" applyBorder="1" applyAlignment="1">
      <alignment horizontal="centerContinuous" vertical="center"/>
    </xf>
    <xf numFmtId="0" fontId="48" fillId="3" borderId="25" xfId="7" applyFont="1" applyFill="1" applyBorder="1" applyAlignment="1">
      <alignment horizontal="centerContinuous" vertical="center"/>
    </xf>
    <xf numFmtId="0" fontId="426" fillId="42" borderId="18" xfId="7" applyFont="1" applyFill="1" applyBorder="1" applyAlignment="1">
      <alignment horizontal="left" vertical="center"/>
    </xf>
    <xf numFmtId="0" fontId="171" fillId="42" borderId="16" xfId="7" applyFont="1" applyFill="1" applyBorder="1" applyAlignment="1">
      <alignment horizontal="left" vertical="center"/>
    </xf>
    <xf numFmtId="0" fontId="515" fillId="42" borderId="16" xfId="7" applyFont="1" applyFill="1" applyBorder="1" applyAlignment="1">
      <alignment horizontal="left" vertical="center"/>
    </xf>
    <xf numFmtId="0" fontId="516" fillId="42" borderId="16" xfId="7" applyFont="1" applyFill="1" applyBorder="1" applyAlignment="1">
      <alignment horizontal="centerContinuous" vertical="center"/>
    </xf>
    <xf numFmtId="0" fontId="515" fillId="42" borderId="16" xfId="7" applyFont="1" applyFill="1" applyBorder="1" applyAlignment="1">
      <alignment horizontal="centerContinuous" vertical="center"/>
    </xf>
    <xf numFmtId="0" fontId="426" fillId="42" borderId="17" xfId="7" applyFont="1" applyFill="1" applyBorder="1" applyAlignment="1">
      <alignment horizontal="right" vertical="center"/>
    </xf>
    <xf numFmtId="0" fontId="372" fillId="42" borderId="22" xfId="7" applyFont="1" applyFill="1" applyBorder="1" applyAlignment="1">
      <alignment horizontal="left" vertical="center"/>
    </xf>
    <xf numFmtId="0" fontId="171" fillId="42" borderId="56" xfId="7" applyFont="1" applyFill="1" applyBorder="1" applyAlignment="1">
      <alignment horizontal="left" vertical="center"/>
    </xf>
    <xf numFmtId="0" fontId="515" fillId="42" borderId="56" xfId="7" applyFont="1" applyFill="1" applyBorder="1" applyAlignment="1">
      <alignment horizontal="left" vertical="center"/>
    </xf>
    <xf numFmtId="0" fontId="516" fillId="42" borderId="56" xfId="7" applyFont="1" applyFill="1" applyBorder="1" applyAlignment="1">
      <alignment horizontal="centerContinuous" vertical="center"/>
    </xf>
    <xf numFmtId="0" fontId="515" fillId="42" borderId="56" xfId="7" applyFont="1" applyFill="1" applyBorder="1" applyAlignment="1">
      <alignment horizontal="centerContinuous" vertical="center"/>
    </xf>
    <xf numFmtId="0" fontId="381" fillId="42" borderId="23" xfId="7" applyFont="1" applyFill="1" applyBorder="1" applyAlignment="1">
      <alignment horizontal="right" vertical="center"/>
    </xf>
    <xf numFmtId="0" fontId="50" fillId="0" borderId="136" xfId="7" applyFont="1" applyFill="1" applyBorder="1" applyAlignment="1" applyProtection="1">
      <alignment horizontal="center" vertical="center" wrapText="1"/>
      <protection locked="0"/>
    </xf>
    <xf numFmtId="0" fontId="8" fillId="0" borderId="0" xfId="2" applyFont="1" applyFill="1" applyAlignment="1">
      <alignment vertical="center"/>
    </xf>
    <xf numFmtId="0" fontId="406" fillId="0" borderId="0" xfId="2" applyFont="1" applyFill="1" applyAlignment="1">
      <alignment vertical="center"/>
    </xf>
    <xf numFmtId="0" fontId="50" fillId="3" borderId="0" xfId="2" applyFont="1" applyFill="1" applyAlignment="1">
      <alignment vertical="center"/>
    </xf>
    <xf numFmtId="0" fontId="48" fillId="46" borderId="138" xfId="2" applyFont="1" applyFill="1" applyBorder="1" applyAlignment="1">
      <alignment horizontal="left" vertical="center"/>
    </xf>
    <xf numFmtId="0" fontId="50" fillId="46" borderId="26" xfId="2" applyFont="1" applyFill="1" applyBorder="1" applyAlignment="1">
      <alignment horizontal="left" vertical="center"/>
    </xf>
    <xf numFmtId="0" fontId="50" fillId="46" borderId="146" xfId="2" applyFont="1" applyFill="1" applyBorder="1" applyAlignment="1">
      <alignment horizontal="left" vertical="center"/>
    </xf>
    <xf numFmtId="0" fontId="48" fillId="46" borderId="0" xfId="2" applyFont="1" applyFill="1" applyBorder="1" applyAlignment="1">
      <alignment horizontal="left" vertical="center"/>
    </xf>
    <xf numFmtId="0" fontId="50" fillId="46" borderId="0" xfId="2" applyFont="1" applyFill="1" applyBorder="1" applyAlignment="1">
      <alignment horizontal="left" vertical="center"/>
    </xf>
    <xf numFmtId="0" fontId="50" fillId="46" borderId="51" xfId="2" applyFont="1" applyFill="1" applyBorder="1" applyAlignment="1">
      <alignment horizontal="left" vertical="center"/>
    </xf>
    <xf numFmtId="0" fontId="50" fillId="0" borderId="147" xfId="2" applyFont="1" applyBorder="1" applyAlignment="1">
      <alignment horizontal="center" vertical="center"/>
    </xf>
    <xf numFmtId="0" fontId="522" fillId="37" borderId="122" xfId="2" applyFont="1" applyFill="1" applyBorder="1" applyAlignment="1">
      <alignment horizontal="center" vertical="center"/>
    </xf>
    <xf numFmtId="165" fontId="156" fillId="37" borderId="122" xfId="2" applyNumberFormat="1" applyFont="1" applyFill="1" applyBorder="1" applyAlignment="1">
      <alignment horizontal="center" vertical="center"/>
    </xf>
    <xf numFmtId="0" fontId="484" fillId="37" borderId="121" xfId="7" applyFont="1" applyFill="1" applyBorder="1" applyAlignment="1" applyProtection="1">
      <alignment horizontal="center" vertical="center"/>
      <protection locked="0"/>
    </xf>
    <xf numFmtId="179" fontId="488" fillId="37" borderId="121" xfId="2" applyNumberFormat="1" applyFont="1" applyFill="1" applyBorder="1" applyAlignment="1" applyProtection="1">
      <alignment horizontal="center" vertical="center"/>
      <protection locked="0"/>
    </xf>
    <xf numFmtId="165" fontId="42" fillId="16" borderId="122" xfId="2" applyNumberFormat="1" applyFont="1" applyFill="1" applyBorder="1" applyAlignment="1">
      <alignment vertical="center"/>
    </xf>
    <xf numFmtId="165" fontId="90" fillId="3" borderId="123" xfId="2" applyNumberFormat="1" applyFont="1" applyFill="1" applyBorder="1" applyAlignment="1">
      <alignment vertical="center"/>
    </xf>
    <xf numFmtId="165" fontId="50" fillId="16" borderId="122" xfId="2" applyNumberFormat="1" applyFont="1" applyFill="1" applyBorder="1" applyAlignment="1">
      <alignment vertical="center"/>
    </xf>
    <xf numFmtId="165" fontId="90" fillId="3" borderId="122" xfId="2" applyNumberFormat="1" applyFont="1" applyFill="1" applyBorder="1" applyAlignment="1">
      <alignment vertical="center"/>
    </xf>
    <xf numFmtId="0" fontId="42" fillId="3" borderId="0" xfId="2" applyFont="1" applyFill="1" applyAlignment="1">
      <alignment vertical="center"/>
    </xf>
    <xf numFmtId="0" fontId="50" fillId="14" borderId="147" xfId="2" applyFont="1" applyFill="1" applyBorder="1" applyAlignment="1">
      <alignment horizontal="center" vertical="center"/>
    </xf>
    <xf numFmtId="0" fontId="523" fillId="37" borderId="122" xfId="2" applyFont="1" applyFill="1" applyBorder="1" applyAlignment="1">
      <alignment horizontal="center" vertical="center"/>
    </xf>
    <xf numFmtId="165" fontId="523" fillId="37" borderId="121" xfId="2" applyNumberFormat="1" applyFont="1" applyFill="1" applyBorder="1" applyAlignment="1">
      <alignment horizontal="center" vertical="center"/>
    </xf>
    <xf numFmtId="0" fontId="523" fillId="37" borderId="121" xfId="2" applyFont="1" applyFill="1" applyBorder="1" applyAlignment="1">
      <alignment horizontal="center" vertical="center"/>
    </xf>
    <xf numFmtId="165" fontId="52" fillId="47" borderId="121" xfId="2" applyNumberFormat="1" applyFont="1" applyFill="1" applyBorder="1" applyAlignment="1">
      <alignment horizontal="center" vertical="center"/>
    </xf>
    <xf numFmtId="179" fontId="524" fillId="48" borderId="62" xfId="2" applyNumberFormat="1" applyFont="1" applyFill="1" applyBorder="1" applyAlignment="1" applyProtection="1">
      <alignment horizontal="center" vertical="center"/>
      <protection locked="0"/>
    </xf>
    <xf numFmtId="0" fontId="104" fillId="3" borderId="0" xfId="2" applyFont="1" applyFill="1" applyBorder="1" applyAlignment="1">
      <alignment vertical="center"/>
    </xf>
    <xf numFmtId="0" fontId="525" fillId="3" borderId="51" xfId="2" applyFont="1" applyFill="1" applyBorder="1" applyAlignment="1">
      <alignment vertical="top"/>
    </xf>
    <xf numFmtId="165" fontId="156" fillId="37" borderId="121" xfId="2" applyNumberFormat="1" applyFont="1" applyFill="1" applyBorder="1" applyAlignment="1">
      <alignment horizontal="center" vertical="center"/>
    </xf>
    <xf numFmtId="0" fontId="50" fillId="4" borderId="0" xfId="2" applyFont="1" applyFill="1" applyBorder="1" applyAlignment="1">
      <alignment horizontal="right" vertical="center"/>
    </xf>
    <xf numFmtId="2" fontId="104" fillId="4" borderId="0" xfId="2" applyNumberFormat="1" applyFont="1" applyFill="1" applyBorder="1" applyAlignment="1">
      <alignment horizontal="center" vertical="center"/>
    </xf>
    <xf numFmtId="0" fontId="50" fillId="4" borderId="0" xfId="2" applyFont="1" applyFill="1" applyBorder="1" applyAlignment="1">
      <alignment vertical="center"/>
    </xf>
    <xf numFmtId="0" fontId="154" fillId="4" borderId="0" xfId="2" applyFont="1" applyFill="1" applyBorder="1" applyAlignment="1">
      <alignment vertical="top"/>
    </xf>
    <xf numFmtId="0" fontId="154" fillId="4" borderId="51" xfId="2" applyFont="1" applyFill="1" applyBorder="1" applyAlignment="1">
      <alignment vertical="top"/>
    </xf>
    <xf numFmtId="0" fontId="50" fillId="4" borderId="15" xfId="2" applyFont="1" applyFill="1" applyBorder="1" applyAlignment="1">
      <alignment horizontal="right" vertical="center"/>
    </xf>
    <xf numFmtId="2" fontId="104" fillId="4" borderId="15" xfId="2" applyNumberFormat="1" applyFont="1" applyFill="1" applyBorder="1" applyAlignment="1">
      <alignment horizontal="center" vertical="center"/>
    </xf>
    <xf numFmtId="0" fontId="50" fillId="4" borderId="15" xfId="2" applyFont="1" applyFill="1" applyBorder="1" applyAlignment="1">
      <alignment vertical="center"/>
    </xf>
    <xf numFmtId="0" fontId="154" fillId="4" borderId="15" xfId="2" applyFont="1" applyFill="1" applyBorder="1" applyAlignment="1">
      <alignment vertical="top"/>
    </xf>
    <xf numFmtId="0" fontId="154" fillId="4" borderId="90" xfId="2" applyFont="1" applyFill="1" applyBorder="1" applyAlignment="1">
      <alignment vertical="top"/>
    </xf>
    <xf numFmtId="1" fontId="50" fillId="16" borderId="121" xfId="2" applyNumberFormat="1" applyFont="1" applyFill="1" applyBorder="1" applyAlignment="1">
      <alignment horizontal="center" vertical="center"/>
    </xf>
    <xf numFmtId="0" fontId="527" fillId="37" borderId="62" xfId="2" applyFont="1" applyFill="1" applyBorder="1" applyAlignment="1">
      <alignment horizontal="center" vertical="center" wrapText="1"/>
    </xf>
    <xf numFmtId="0" fontId="154" fillId="39" borderId="62" xfId="7" applyNumberFormat="1" applyFont="1" applyFill="1" applyBorder="1" applyAlignment="1" applyProtection="1">
      <alignment horizontal="center" vertical="center"/>
      <protection locked="0"/>
    </xf>
    <xf numFmtId="0" fontId="52" fillId="0" borderId="62" xfId="7" applyNumberFormat="1" applyFont="1" applyFill="1" applyBorder="1" applyAlignment="1" applyProtection="1">
      <alignment horizontal="center" vertical="center"/>
      <protection locked="0"/>
    </xf>
    <xf numFmtId="176" fontId="54" fillId="16" borderId="123" xfId="2" applyNumberFormat="1" applyFont="1" applyFill="1" applyBorder="1" applyAlignment="1" applyProtection="1">
      <alignment horizontal="center" vertical="center"/>
      <protection locked="0"/>
    </xf>
    <xf numFmtId="181" fontId="54" fillId="0" borderId="62" xfId="7" applyNumberFormat="1" applyFont="1" applyFill="1" applyBorder="1" applyAlignment="1" applyProtection="1">
      <alignment horizontal="right" vertical="center"/>
      <protection locked="0"/>
    </xf>
    <xf numFmtId="174" fontId="54" fillId="0" borderId="62" xfId="2" applyNumberFormat="1" applyFont="1" applyFill="1" applyBorder="1" applyAlignment="1" applyProtection="1">
      <alignment horizontal="center" vertical="center"/>
    </xf>
    <xf numFmtId="1" fontId="42" fillId="0" borderId="62" xfId="7" applyNumberFormat="1" applyFont="1" applyFill="1" applyBorder="1" applyAlignment="1" applyProtection="1">
      <alignment horizontal="left" vertical="center"/>
      <protection locked="0"/>
    </xf>
    <xf numFmtId="0" fontId="154" fillId="39" borderId="148" xfId="7" applyNumberFormat="1" applyFont="1" applyFill="1" applyBorder="1" applyAlignment="1" applyProtection="1">
      <alignment horizontal="center" vertical="center"/>
      <protection locked="0"/>
    </xf>
    <xf numFmtId="0" fontId="54" fillId="0" borderId="123" xfId="2" applyFont="1" applyBorder="1" applyAlignment="1">
      <alignment horizontal="center" vertical="center"/>
    </xf>
    <xf numFmtId="1" fontId="42" fillId="0" borderId="130" xfId="7" applyNumberFormat="1" applyFont="1" applyFill="1" applyBorder="1" applyAlignment="1" applyProtection="1">
      <alignment horizontal="left" vertical="center"/>
      <protection locked="0"/>
    </xf>
    <xf numFmtId="0" fontId="50" fillId="16" borderId="121" xfId="2" applyFont="1" applyFill="1" applyBorder="1" applyAlignment="1">
      <alignment horizontal="center" vertical="center"/>
    </xf>
    <xf numFmtId="0" fontId="50" fillId="0" borderId="149" xfId="2" applyFont="1" applyBorder="1" applyAlignment="1">
      <alignment horizontal="center" vertical="center"/>
    </xf>
    <xf numFmtId="0" fontId="50" fillId="16" borderId="136" xfId="2" applyFont="1" applyFill="1" applyBorder="1" applyAlignment="1">
      <alignment horizontal="center" vertical="center"/>
    </xf>
    <xf numFmtId="0" fontId="527" fillId="37" borderId="26" xfId="2" applyFont="1" applyFill="1" applyBorder="1" applyAlignment="1">
      <alignment horizontal="center" vertical="center" wrapText="1"/>
    </xf>
    <xf numFmtId="0" fontId="154" fillId="39" borderId="26" xfId="7" applyNumberFormat="1" applyFont="1" applyFill="1" applyBorder="1" applyAlignment="1" applyProtection="1">
      <alignment horizontal="center" vertical="center"/>
      <protection locked="0"/>
    </xf>
    <xf numFmtId="0" fontId="52" fillId="0" borderId="26" xfId="7" applyNumberFormat="1" applyFont="1" applyFill="1" applyBorder="1" applyAlignment="1" applyProtection="1">
      <alignment horizontal="center" vertical="center"/>
      <protection locked="0"/>
    </xf>
    <xf numFmtId="176" fontId="54" fillId="16" borderId="144" xfId="2" applyNumberFormat="1" applyFont="1" applyFill="1" applyBorder="1" applyAlignment="1" applyProtection="1">
      <alignment horizontal="center" vertical="center"/>
      <protection locked="0"/>
    </xf>
    <xf numFmtId="181" fontId="54" fillId="0" borderId="26" xfId="7" applyNumberFormat="1" applyFont="1" applyFill="1" applyBorder="1" applyAlignment="1" applyProtection="1">
      <alignment horizontal="right" vertical="center"/>
      <protection locked="0"/>
    </xf>
    <xf numFmtId="174" fontId="54" fillId="0" borderId="26" xfId="2" applyNumberFormat="1" applyFont="1" applyFill="1" applyBorder="1" applyAlignment="1" applyProtection="1">
      <alignment horizontal="center" vertical="center"/>
    </xf>
    <xf numFmtId="1" fontId="42" fillId="0" borderId="26" xfId="7" applyNumberFormat="1" applyFont="1" applyFill="1" applyBorder="1" applyAlignment="1" applyProtection="1">
      <alignment horizontal="left" vertical="center"/>
      <protection locked="0"/>
    </xf>
    <xf numFmtId="0" fontId="154" fillId="39" borderId="143" xfId="7" applyNumberFormat="1" applyFont="1" applyFill="1" applyBorder="1" applyAlignment="1" applyProtection="1">
      <alignment horizontal="center" vertical="center"/>
      <protection locked="0"/>
    </xf>
    <xf numFmtId="0" fontId="54" fillId="0" borderId="144" xfId="2" applyFont="1" applyBorder="1" applyAlignment="1">
      <alignment horizontal="center" vertical="center"/>
    </xf>
    <xf numFmtId="1" fontId="42" fillId="0" borderId="146" xfId="7" applyNumberFormat="1" applyFont="1" applyFill="1" applyBorder="1" applyAlignment="1" applyProtection="1">
      <alignment horizontal="left" vertical="center"/>
      <protection locked="0"/>
    </xf>
    <xf numFmtId="0" fontId="529" fillId="49" borderId="20" xfId="2" applyFont="1" applyFill="1" applyBorder="1" applyAlignment="1">
      <alignment horizontal="centerContinuous" vertical="center"/>
    </xf>
    <xf numFmtId="0" fontId="529" fillId="49" borderId="0" xfId="2" applyFont="1" applyFill="1" applyBorder="1" applyAlignment="1">
      <alignment horizontal="centerContinuous" vertical="center"/>
    </xf>
    <xf numFmtId="0" fontId="529" fillId="49" borderId="51" xfId="2" applyFont="1" applyFill="1" applyBorder="1" applyAlignment="1">
      <alignment horizontal="centerContinuous" vertical="center"/>
    </xf>
    <xf numFmtId="0" fontId="8" fillId="0" borderId="26" xfId="2" applyFont="1" applyBorder="1" applyAlignment="1">
      <alignment vertical="center"/>
    </xf>
    <xf numFmtId="0" fontId="8" fillId="3" borderId="26" xfId="2" applyFont="1" applyFill="1" applyBorder="1" applyAlignment="1">
      <alignment vertical="center"/>
    </xf>
    <xf numFmtId="0" fontId="8" fillId="3" borderId="146" xfId="2" applyFont="1" applyFill="1" applyBorder="1" applyAlignment="1">
      <alignment vertical="center"/>
    </xf>
    <xf numFmtId="0" fontId="8" fillId="0" borderId="56" xfId="2" applyFont="1" applyBorder="1" applyAlignment="1">
      <alignment vertical="center"/>
    </xf>
    <xf numFmtId="0" fontId="8" fillId="3" borderId="56" xfId="2" applyFont="1" applyFill="1" applyBorder="1" applyAlignment="1">
      <alignment vertical="center"/>
    </xf>
    <xf numFmtId="0" fontId="8" fillId="3" borderId="24" xfId="2" applyFont="1" applyFill="1" applyBorder="1" applyAlignment="1">
      <alignment vertical="center"/>
    </xf>
    <xf numFmtId="0" fontId="48" fillId="46" borderId="26" xfId="2" applyFont="1" applyFill="1" applyBorder="1" applyAlignment="1">
      <alignment horizontal="left" vertical="center"/>
    </xf>
    <xf numFmtId="1" fontId="54" fillId="0" borderId="121" xfId="2" applyNumberFormat="1" applyFont="1" applyFill="1" applyBorder="1" applyAlignment="1">
      <alignment horizontal="center" vertical="center"/>
    </xf>
    <xf numFmtId="165" fontId="484" fillId="37" borderId="121" xfId="2" applyNumberFormat="1" applyFont="1" applyFill="1" applyBorder="1" applyAlignment="1">
      <alignment horizontal="center" vertical="center"/>
    </xf>
    <xf numFmtId="176" fontId="52" fillId="0" borderId="121" xfId="7" applyNumberFormat="1" applyFont="1" applyFill="1" applyBorder="1" applyAlignment="1" applyProtection="1">
      <alignment horizontal="center" vertical="center"/>
      <protection locked="0"/>
    </xf>
    <xf numFmtId="165" fontId="50" fillId="0" borderId="122" xfId="2" applyNumberFormat="1" applyFont="1" applyFill="1" applyBorder="1" applyAlignment="1">
      <alignment vertical="center"/>
    </xf>
    <xf numFmtId="165" fontId="90" fillId="0" borderId="122" xfId="2" applyNumberFormat="1" applyFont="1" applyFill="1" applyBorder="1" applyAlignment="1">
      <alignment horizontal="center" vertical="center"/>
    </xf>
    <xf numFmtId="1" fontId="54" fillId="0" borderId="136" xfId="2" applyNumberFormat="1" applyFont="1" applyFill="1" applyBorder="1" applyAlignment="1">
      <alignment horizontal="center" vertical="center"/>
    </xf>
    <xf numFmtId="165" fontId="484" fillId="37" borderId="136" xfId="2" applyNumberFormat="1" applyFont="1" applyFill="1" applyBorder="1" applyAlignment="1">
      <alignment horizontal="center" vertical="center"/>
    </xf>
    <xf numFmtId="179" fontId="488" fillId="37" borderId="136" xfId="2" applyNumberFormat="1" applyFont="1" applyFill="1" applyBorder="1" applyAlignment="1" applyProtection="1">
      <alignment horizontal="center" vertical="center"/>
      <protection locked="0"/>
    </xf>
    <xf numFmtId="165" fontId="42" fillId="16" borderId="138" xfId="2" applyNumberFormat="1" applyFont="1" applyFill="1" applyBorder="1" applyAlignment="1">
      <alignment vertical="center"/>
    </xf>
    <xf numFmtId="165" fontId="90" fillId="3" borderId="144" xfId="2" applyNumberFormat="1" applyFont="1" applyFill="1" applyBorder="1" applyAlignment="1">
      <alignment vertical="center"/>
    </xf>
    <xf numFmtId="176" fontId="52" fillId="0" borderId="136" xfId="7" applyNumberFormat="1" applyFont="1" applyFill="1" applyBorder="1" applyAlignment="1" applyProtection="1">
      <alignment horizontal="center" vertical="center"/>
      <protection locked="0"/>
    </xf>
    <xf numFmtId="165" fontId="50" fillId="0" borderId="138" xfId="2" applyNumberFormat="1" applyFont="1" applyFill="1" applyBorder="1" applyAlignment="1">
      <alignment vertical="center"/>
    </xf>
    <xf numFmtId="165" fontId="90" fillId="0" borderId="138" xfId="2" applyNumberFormat="1" applyFont="1" applyFill="1" applyBorder="1" applyAlignment="1">
      <alignment horizontal="center" vertical="center"/>
    </xf>
    <xf numFmtId="0" fontId="122" fillId="4" borderId="57" xfId="2" applyFont="1" applyFill="1" applyBorder="1" applyAlignment="1">
      <alignment horizontal="right" vertical="center"/>
    </xf>
    <xf numFmtId="1" fontId="90" fillId="4" borderId="15" xfId="2" applyNumberFormat="1" applyFont="1" applyFill="1" applyBorder="1" applyAlignment="1">
      <alignment horizontal="center" vertical="center"/>
    </xf>
    <xf numFmtId="0" fontId="64" fillId="4" borderId="15" xfId="2" applyFont="1" applyFill="1" applyBorder="1" applyAlignment="1">
      <alignment horizontal="center" vertical="center"/>
    </xf>
    <xf numFmtId="0" fontId="8" fillId="4" borderId="15" xfId="2" applyFont="1" applyFill="1" applyBorder="1" applyAlignment="1">
      <alignment vertical="center"/>
    </xf>
    <xf numFmtId="2" fontId="434" fillId="4" borderId="15" xfId="2" applyNumberFormat="1" applyFont="1" applyFill="1" applyBorder="1" applyAlignment="1">
      <alignment vertical="center"/>
    </xf>
    <xf numFmtId="165" fontId="434" fillId="4" borderId="15" xfId="2" applyNumberFormat="1" applyFont="1" applyFill="1" applyBorder="1" applyAlignment="1">
      <alignment vertical="center"/>
    </xf>
    <xf numFmtId="0" fontId="525" fillId="4" borderId="15" xfId="2" applyFont="1" applyFill="1" applyBorder="1" applyAlignment="1">
      <alignment vertical="top" wrapText="1"/>
    </xf>
    <xf numFmtId="0" fontId="525" fillId="4" borderId="90" xfId="2" applyFont="1" applyFill="1" applyBorder="1" applyAlignment="1">
      <alignment vertical="top" wrapText="1"/>
    </xf>
    <xf numFmtId="2" fontId="54" fillId="16" borderId="123" xfId="2" applyNumberFormat="1" applyFont="1" applyFill="1" applyBorder="1" applyAlignment="1" applyProtection="1">
      <alignment horizontal="center" vertical="center"/>
      <protection locked="0"/>
    </xf>
    <xf numFmtId="176" fontId="54" fillId="0" borderId="123" xfId="2" applyNumberFormat="1" applyFont="1" applyBorder="1" applyAlignment="1">
      <alignment horizontal="center" vertical="center"/>
    </xf>
    <xf numFmtId="0" fontId="50" fillId="4" borderId="26" xfId="2" applyFont="1" applyFill="1" applyBorder="1" applyAlignment="1">
      <alignment vertical="center"/>
    </xf>
    <xf numFmtId="165" fontId="90" fillId="0" borderId="122" xfId="2" applyNumberFormat="1" applyFont="1" applyFill="1" applyBorder="1" applyAlignment="1">
      <alignment horizontal="centerContinuous" vertical="center"/>
    </xf>
    <xf numFmtId="165" fontId="90" fillId="0" borderId="123" xfId="2" applyNumberFormat="1" applyFont="1" applyFill="1" applyBorder="1" applyAlignment="1">
      <alignment horizontal="centerContinuous" vertical="center"/>
    </xf>
    <xf numFmtId="0" fontId="526" fillId="4" borderId="64" xfId="2" applyFont="1" applyFill="1" applyBorder="1" applyAlignment="1">
      <alignment horizontal="center" vertical="center"/>
    </xf>
    <xf numFmtId="1" fontId="434" fillId="4" borderId="26" xfId="2" applyNumberFormat="1" applyFont="1" applyFill="1" applyBorder="1" applyAlignment="1">
      <alignment horizontal="center" vertical="center"/>
    </xf>
    <xf numFmtId="0" fontId="64" fillId="4" borderId="26" xfId="2" applyFont="1" applyFill="1" applyBorder="1" applyAlignment="1">
      <alignment horizontal="center" vertical="center"/>
    </xf>
    <xf numFmtId="2" fontId="50" fillId="16" borderId="123" xfId="2" applyNumberFormat="1" applyFont="1" applyFill="1" applyBorder="1" applyAlignment="1" applyProtection="1">
      <alignment horizontal="center" vertical="center"/>
      <protection locked="0"/>
    </xf>
    <xf numFmtId="181" fontId="54" fillId="0" borderId="122" xfId="7" applyNumberFormat="1" applyFont="1" applyFill="1" applyBorder="1" applyAlignment="1" applyProtection="1">
      <alignment horizontal="right" vertical="center"/>
      <protection locked="0"/>
    </xf>
    <xf numFmtId="1" fontId="48" fillId="0" borderId="130" xfId="7" applyNumberFormat="1" applyFont="1" applyFill="1" applyBorder="1" applyAlignment="1" applyProtection="1">
      <alignment horizontal="left" vertical="center"/>
      <protection locked="0"/>
    </xf>
    <xf numFmtId="2" fontId="50" fillId="16" borderId="144" xfId="2" applyNumberFormat="1" applyFont="1" applyFill="1" applyBorder="1" applyAlignment="1" applyProtection="1">
      <alignment horizontal="center" vertical="center"/>
      <protection locked="0"/>
    </xf>
    <xf numFmtId="181" fontId="54" fillId="0" borderId="138" xfId="7" applyNumberFormat="1" applyFont="1" applyFill="1" applyBorder="1" applyAlignment="1" applyProtection="1">
      <alignment horizontal="right" vertical="center"/>
      <protection locked="0"/>
    </xf>
    <xf numFmtId="1" fontId="48" fillId="0" borderId="146" xfId="7" applyNumberFormat="1" applyFont="1" applyFill="1" applyBorder="1" applyAlignment="1" applyProtection="1">
      <alignment horizontal="left" vertical="center"/>
      <protection locked="0"/>
    </xf>
    <xf numFmtId="0" fontId="526" fillId="3" borderId="20" xfId="2" applyFont="1" applyFill="1" applyBorder="1" applyAlignment="1">
      <alignment horizontal="center" vertical="center"/>
    </xf>
    <xf numFmtId="1" fontId="434" fillId="3" borderId="0" xfId="2" applyNumberFormat="1" applyFont="1" applyFill="1" applyBorder="1" applyAlignment="1">
      <alignment horizontal="center" vertical="center"/>
    </xf>
    <xf numFmtId="0" fontId="50" fillId="3" borderId="0" xfId="2" applyFont="1" applyFill="1" applyBorder="1" applyAlignment="1">
      <alignment vertical="center"/>
    </xf>
    <xf numFmtId="176" fontId="434" fillId="3" borderId="0" xfId="2" applyNumberFormat="1" applyFont="1" applyFill="1" applyBorder="1" applyAlignment="1">
      <alignment horizontal="center" vertical="center"/>
    </xf>
    <xf numFmtId="181" fontId="434" fillId="3" borderId="0" xfId="7" applyNumberFormat="1" applyFont="1" applyFill="1" applyBorder="1" applyAlignment="1" applyProtection="1">
      <alignment horizontal="center" vertical="center"/>
      <protection locked="0"/>
    </xf>
    <xf numFmtId="174" fontId="434" fillId="3" borderId="0" xfId="2" applyNumberFormat="1" applyFont="1" applyFill="1" applyBorder="1" applyAlignment="1" applyProtection="1">
      <alignment horizontal="center" vertical="center"/>
    </xf>
    <xf numFmtId="1" fontId="434" fillId="3" borderId="0" xfId="7" applyNumberFormat="1" applyFont="1" applyFill="1" applyBorder="1" applyAlignment="1" applyProtection="1">
      <alignment horizontal="center" vertical="center"/>
      <protection locked="0"/>
    </xf>
    <xf numFmtId="1" fontId="104" fillId="3" borderId="51" xfId="7" applyNumberFormat="1" applyFont="1" applyFill="1" applyBorder="1" applyAlignment="1" applyProtection="1">
      <alignment horizontal="center" vertical="center"/>
      <protection locked="0"/>
    </xf>
    <xf numFmtId="0" fontId="529" fillId="49" borderId="4" xfId="2" applyFont="1" applyFill="1" applyBorder="1" applyAlignment="1">
      <alignment horizontal="center" vertical="center"/>
    </xf>
    <xf numFmtId="0" fontId="529" fillId="49" borderId="5" xfId="2" applyFont="1" applyFill="1" applyBorder="1" applyAlignment="1">
      <alignment horizontal="center" vertical="center"/>
    </xf>
    <xf numFmtId="0" fontId="529" fillId="50" borderId="150" xfId="2" applyFont="1" applyFill="1" applyBorder="1" applyAlignment="1">
      <alignment horizontal="center" vertical="center"/>
    </xf>
    <xf numFmtId="0" fontId="529" fillId="49" borderId="6" xfId="2" applyFont="1" applyFill="1" applyBorder="1" applyAlignment="1">
      <alignment horizontal="center" vertical="center"/>
    </xf>
    <xf numFmtId="0" fontId="42" fillId="3" borderId="0" xfId="2" applyFont="1" applyFill="1"/>
    <xf numFmtId="0" fontId="41" fillId="45" borderId="19" xfId="3" applyFont="1" applyFill="1" applyBorder="1" applyAlignment="1">
      <alignment vertical="center"/>
    </xf>
    <xf numFmtId="0" fontId="50" fillId="44" borderId="121" xfId="2" applyFont="1" applyFill="1" applyBorder="1" applyAlignment="1">
      <alignment horizontal="right" vertical="center"/>
    </xf>
    <xf numFmtId="14" fontId="8" fillId="0" borderId="62" xfId="2" applyNumberFormat="1" applyFont="1" applyBorder="1" applyAlignment="1">
      <alignment horizontal="center" vertical="center"/>
    </xf>
    <xf numFmtId="0" fontId="50" fillId="44" borderId="123" xfId="2" applyFont="1" applyFill="1" applyBorder="1" applyAlignment="1">
      <alignment horizontal="center" vertical="center"/>
    </xf>
    <xf numFmtId="0" fontId="171" fillId="16" borderId="122" xfId="2" applyFont="1" applyFill="1" applyBorder="1" applyAlignment="1">
      <alignment horizontal="center" vertical="center"/>
    </xf>
    <xf numFmtId="0" fontId="171" fillId="16" borderId="123" xfId="2" applyFont="1" applyFill="1" applyBorder="1" applyAlignment="1">
      <alignment horizontal="center" vertical="center"/>
    </xf>
    <xf numFmtId="0" fontId="8" fillId="16" borderId="0" xfId="2" applyFont="1" applyFill="1" applyAlignment="1">
      <alignment vertical="center"/>
    </xf>
    <xf numFmtId="0" fontId="529" fillId="49" borderId="1" xfId="2" applyFont="1" applyFill="1" applyBorder="1" applyAlignment="1">
      <alignment horizontal="center" vertical="center"/>
    </xf>
    <xf numFmtId="0" fontId="529" fillId="49" borderId="2" xfId="2" applyFont="1" applyFill="1" applyBorder="1" applyAlignment="1">
      <alignment horizontal="center" vertical="center"/>
    </xf>
    <xf numFmtId="0" fontId="529" fillId="49" borderId="3" xfId="2" applyFont="1" applyFill="1" applyBorder="1" applyAlignment="1">
      <alignment horizontal="center" vertical="center"/>
    </xf>
    <xf numFmtId="0" fontId="8" fillId="43" borderId="1" xfId="2" applyFont="1" applyFill="1" applyBorder="1" applyAlignment="1">
      <alignment vertical="center"/>
    </xf>
    <xf numFmtId="0" fontId="42" fillId="43" borderId="2" xfId="2" applyFont="1" applyFill="1" applyBorder="1"/>
    <xf numFmtId="0" fontId="8" fillId="43" borderId="2" xfId="2" applyFont="1" applyFill="1" applyBorder="1"/>
    <xf numFmtId="0" fontId="48" fillId="0" borderId="55" xfId="2" applyFont="1" applyFill="1" applyBorder="1" applyAlignment="1">
      <alignment horizontal="left" vertical="center"/>
    </xf>
    <xf numFmtId="0" fontId="8" fillId="0" borderId="56" xfId="2" applyFont="1" applyFill="1" applyBorder="1"/>
    <xf numFmtId="0" fontId="523" fillId="0" borderId="56" xfId="2" applyFont="1" applyFill="1" applyBorder="1" applyAlignment="1">
      <alignment horizontal="center" vertical="center" wrapText="1"/>
    </xf>
    <xf numFmtId="0" fontId="8" fillId="0" borderId="24" xfId="2" applyFont="1" applyFill="1" applyBorder="1"/>
    <xf numFmtId="0" fontId="91" fillId="3" borderId="0" xfId="2" applyFont="1" applyFill="1" applyAlignment="1">
      <alignment vertical="center"/>
    </xf>
    <xf numFmtId="0" fontId="8" fillId="4" borderId="0" xfId="2" applyFont="1" applyFill="1" applyAlignment="1">
      <alignment vertical="center"/>
    </xf>
    <xf numFmtId="0" fontId="8" fillId="4" borderId="0" xfId="2" applyFont="1" applyFill="1"/>
    <xf numFmtId="0" fontId="536" fillId="16" borderId="153" xfId="2" applyFont="1" applyFill="1" applyBorder="1" applyAlignment="1">
      <alignment horizontal="center" vertical="center"/>
    </xf>
    <xf numFmtId="0" fontId="537" fillId="16" borderId="153" xfId="2" applyFont="1" applyFill="1" applyBorder="1" applyAlignment="1">
      <alignment horizontal="center" vertical="center"/>
    </xf>
    <xf numFmtId="0" fontId="434" fillId="0" borderId="19" xfId="2" applyFont="1" applyBorder="1" applyAlignment="1">
      <alignment horizontal="center" vertical="center"/>
    </xf>
    <xf numFmtId="0" fontId="90" fillId="16" borderId="54" xfId="2" applyFont="1" applyFill="1" applyBorder="1" applyAlignment="1">
      <alignment vertical="center"/>
    </xf>
    <xf numFmtId="0" fontId="8" fillId="16" borderId="16" xfId="2" applyFont="1" applyFill="1" applyBorder="1" applyAlignment="1">
      <alignment vertical="center"/>
    </xf>
    <xf numFmtId="0" fontId="530" fillId="0" borderId="19" xfId="2" applyFont="1" applyBorder="1" applyAlignment="1">
      <alignment horizontal="center" vertical="center"/>
    </xf>
    <xf numFmtId="0" fontId="8" fillId="3" borderId="51" xfId="2" applyFont="1" applyFill="1" applyBorder="1" applyAlignment="1">
      <alignment horizontal="center"/>
    </xf>
    <xf numFmtId="0" fontId="48" fillId="16" borderId="20" xfId="2" applyFont="1" applyFill="1" applyBorder="1" applyAlignment="1">
      <alignment horizontal="left" vertical="center"/>
    </xf>
    <xf numFmtId="0" fontId="534" fillId="16" borderId="0" xfId="2" applyFont="1" applyFill="1" applyBorder="1" applyAlignment="1">
      <alignment horizontal="center" vertical="center"/>
    </xf>
    <xf numFmtId="0" fontId="104" fillId="16" borderId="36" xfId="2" applyFont="1" applyFill="1" applyBorder="1" applyAlignment="1">
      <alignment horizontal="right" vertical="center"/>
    </xf>
    <xf numFmtId="179" fontId="524" fillId="48" borderId="154" xfId="2" applyNumberFormat="1" applyFont="1" applyFill="1" applyBorder="1" applyAlignment="1" applyProtection="1">
      <alignment horizontal="center" vertical="center"/>
      <protection locked="0"/>
    </xf>
    <xf numFmtId="0" fontId="90" fillId="3" borderId="36" xfId="2" applyFont="1" applyFill="1" applyBorder="1" applyAlignment="1">
      <alignment horizontal="right" vertical="center"/>
    </xf>
    <xf numFmtId="165" fontId="52" fillId="3" borderId="122" xfId="2" applyNumberFormat="1" applyFont="1" applyFill="1" applyBorder="1" applyAlignment="1">
      <alignment horizontal="center" vertical="center"/>
    </xf>
    <xf numFmtId="165" fontId="54" fillId="3" borderId="121" xfId="2" applyNumberFormat="1" applyFont="1" applyFill="1" applyBorder="1" applyAlignment="1">
      <alignment horizontal="center" vertical="center"/>
    </xf>
    <xf numFmtId="165" fontId="52" fillId="3" borderId="121" xfId="2" applyNumberFormat="1" applyFont="1" applyFill="1" applyBorder="1" applyAlignment="1">
      <alignment horizontal="center" vertical="center"/>
    </xf>
    <xf numFmtId="0" fontId="8" fillId="3" borderId="90" xfId="2" applyFont="1" applyFill="1" applyBorder="1" applyAlignment="1">
      <alignment horizontal="center"/>
    </xf>
    <xf numFmtId="0" fontId="50" fillId="16" borderId="20" xfId="2" applyFont="1" applyFill="1" applyBorder="1" applyAlignment="1">
      <alignment horizontal="left" vertical="center"/>
    </xf>
    <xf numFmtId="0" fontId="484" fillId="3" borderId="62" xfId="2" applyFont="1" applyFill="1" applyBorder="1" applyAlignment="1">
      <alignment horizontal="left" vertical="center"/>
    </xf>
    <xf numFmtId="0" fontId="271" fillId="3" borderId="62" xfId="2" applyFont="1" applyFill="1" applyBorder="1" applyAlignment="1">
      <alignment horizontal="left" vertical="center"/>
    </xf>
    <xf numFmtId="0" fontId="8" fillId="3" borderId="123" xfId="2" applyFont="1" applyFill="1" applyBorder="1" applyAlignment="1">
      <alignment vertical="center"/>
    </xf>
    <xf numFmtId="0" fontId="90" fillId="3" borderId="0" xfId="2" applyFont="1" applyFill="1" applyBorder="1" applyAlignment="1">
      <alignment vertical="center"/>
    </xf>
    <xf numFmtId="0" fontId="434" fillId="3" borderId="36" xfId="2" applyFont="1" applyFill="1" applyBorder="1" applyAlignment="1">
      <alignment horizontal="right" vertical="center"/>
    </xf>
    <xf numFmtId="176" fontId="52" fillId="3" borderId="122" xfId="2" applyNumberFormat="1" applyFont="1" applyFill="1" applyBorder="1" applyAlignment="1">
      <alignment horizontal="center" vertical="center"/>
    </xf>
    <xf numFmtId="176" fontId="54" fillId="3" borderId="121" xfId="2" applyNumberFormat="1" applyFont="1" applyFill="1" applyBorder="1" applyAlignment="1">
      <alignment horizontal="center" vertical="center"/>
    </xf>
    <xf numFmtId="176" fontId="52" fillId="3" borderId="121" xfId="2" applyNumberFormat="1" applyFont="1" applyFill="1" applyBorder="1" applyAlignment="1">
      <alignment horizontal="center" vertical="center"/>
    </xf>
    <xf numFmtId="0" fontId="8" fillId="3" borderId="154" xfId="2" applyFont="1" applyFill="1" applyBorder="1" applyAlignment="1">
      <alignment horizontal="center" vertical="center"/>
    </xf>
    <xf numFmtId="0" fontId="48" fillId="16" borderId="20" xfId="2" applyFont="1" applyFill="1" applyBorder="1" applyAlignment="1">
      <alignment horizontal="right" vertical="center"/>
    </xf>
    <xf numFmtId="0" fontId="484" fillId="3" borderId="155" xfId="2" applyFont="1" applyFill="1" applyBorder="1" applyAlignment="1">
      <alignment horizontal="left" vertical="center"/>
    </xf>
    <xf numFmtId="0" fontId="271" fillId="3" borderId="155" xfId="2" applyFont="1" applyFill="1" applyBorder="1" applyAlignment="1">
      <alignment horizontal="left" vertical="center"/>
    </xf>
    <xf numFmtId="0" fontId="8" fillId="3" borderId="156" xfId="2" applyFont="1" applyFill="1" applyBorder="1" applyAlignment="1">
      <alignment vertical="center"/>
    </xf>
    <xf numFmtId="0" fontId="162" fillId="3" borderId="62" xfId="2" applyFont="1" applyFill="1" applyBorder="1" applyAlignment="1">
      <alignment horizontal="left" vertical="center"/>
    </xf>
    <xf numFmtId="0" fontId="151" fillId="3" borderId="62" xfId="2" applyFont="1" applyFill="1" applyBorder="1" applyAlignment="1">
      <alignment horizontal="left" vertical="center"/>
    </xf>
    <xf numFmtId="0" fontId="162" fillId="3" borderId="155" xfId="2" applyFont="1" applyFill="1" applyBorder="1" applyAlignment="1">
      <alignment horizontal="left" vertical="center"/>
    </xf>
    <xf numFmtId="0" fontId="151" fillId="3" borderId="155" xfId="2" applyFont="1" applyFill="1" applyBorder="1" applyAlignment="1">
      <alignment horizontal="left" vertical="center"/>
    </xf>
    <xf numFmtId="0" fontId="151" fillId="3" borderId="0" xfId="2" applyFont="1" applyFill="1" applyBorder="1" applyAlignment="1">
      <alignment horizontal="left" vertical="center"/>
    </xf>
    <xf numFmtId="0" fontId="151" fillId="3" borderId="0" xfId="2" applyFont="1" applyFill="1" applyBorder="1" applyAlignment="1">
      <alignment horizontal="right" vertical="center"/>
    </xf>
    <xf numFmtId="165" fontId="156" fillId="37" borderId="138" xfId="2" applyNumberFormat="1" applyFont="1" applyFill="1" applyBorder="1" applyAlignment="1">
      <alignment horizontal="center" vertical="center"/>
    </xf>
    <xf numFmtId="165" fontId="523" fillId="37" borderId="136" xfId="2" applyNumberFormat="1" applyFont="1" applyFill="1" applyBorder="1" applyAlignment="1">
      <alignment horizontal="center" vertical="center"/>
    </xf>
    <xf numFmtId="165" fontId="156" fillId="37" borderId="136" xfId="2" applyNumberFormat="1" applyFont="1" applyFill="1" applyBorder="1" applyAlignment="1">
      <alignment horizontal="center" vertical="center"/>
    </xf>
    <xf numFmtId="179" fontId="524" fillId="48" borderId="65" xfId="2" applyNumberFormat="1" applyFont="1" applyFill="1" applyBorder="1" applyAlignment="1" applyProtection="1">
      <alignment horizontal="center" vertical="center"/>
      <protection locked="0"/>
    </xf>
    <xf numFmtId="164" fontId="8" fillId="0" borderId="0" xfId="10" applyFont="1" applyAlignment="1">
      <alignment vertical="center"/>
    </xf>
    <xf numFmtId="164" fontId="8" fillId="16" borderId="20" xfId="10" applyFont="1" applyFill="1" applyBorder="1" applyAlignment="1">
      <alignment horizontal="left" vertical="center"/>
    </xf>
    <xf numFmtId="164" fontId="8" fillId="3" borderId="62" xfId="10" applyFont="1" applyFill="1" applyBorder="1" applyAlignment="1">
      <alignment horizontal="left" vertical="center"/>
    </xf>
    <xf numFmtId="164" fontId="8" fillId="3" borderId="123" xfId="10" applyFont="1" applyFill="1" applyBorder="1" applyAlignment="1">
      <alignment vertical="center"/>
    </xf>
    <xf numFmtId="165" fontId="8" fillId="37" borderId="118" xfId="10" applyNumberFormat="1" applyFont="1" applyFill="1" applyBorder="1" applyAlignment="1">
      <alignment horizontal="center" vertical="center"/>
    </xf>
    <xf numFmtId="165" fontId="8" fillId="37" borderId="117" xfId="10" applyNumberFormat="1" applyFont="1" applyFill="1" applyBorder="1" applyAlignment="1">
      <alignment horizontal="center" vertical="center"/>
    </xf>
    <xf numFmtId="165" fontId="8" fillId="47" borderId="117" xfId="10" applyNumberFormat="1" applyFont="1" applyFill="1" applyBorder="1" applyAlignment="1">
      <alignment horizontal="center" vertical="center"/>
    </xf>
    <xf numFmtId="179" fontId="8" fillId="48" borderId="157" xfId="10" applyNumberFormat="1" applyFont="1" applyFill="1" applyBorder="1" applyAlignment="1" applyProtection="1">
      <alignment horizontal="center" vertical="center"/>
      <protection locked="0"/>
    </xf>
    <xf numFmtId="164" fontId="8" fillId="3" borderId="0" xfId="10" applyFont="1" applyFill="1" applyAlignment="1">
      <alignment vertical="center"/>
    </xf>
    <xf numFmtId="0" fontId="534" fillId="0" borderId="0" xfId="2" applyFont="1" applyFill="1" applyBorder="1" applyAlignment="1">
      <alignment horizontal="center" vertical="center"/>
    </xf>
    <xf numFmtId="0" fontId="50" fillId="0" borderId="0" xfId="2" applyFont="1" applyFill="1" applyBorder="1" applyAlignment="1">
      <alignment horizontal="right" vertical="center"/>
    </xf>
    <xf numFmtId="165" fontId="48" fillId="0" borderId="26" xfId="2" applyNumberFormat="1" applyFont="1" applyFill="1" applyBorder="1" applyAlignment="1">
      <alignment horizontal="center" vertical="center"/>
    </xf>
    <xf numFmtId="165" fontId="48" fillId="0" borderId="146" xfId="2" applyNumberFormat="1" applyFont="1" applyFill="1" applyBorder="1" applyAlignment="1">
      <alignment horizontal="center" vertical="center"/>
    </xf>
    <xf numFmtId="0" fontId="151" fillId="3" borderId="123" xfId="2" applyFont="1" applyFill="1" applyBorder="1" applyAlignment="1">
      <alignment horizontal="left" vertical="center"/>
    </xf>
    <xf numFmtId="0" fontId="151" fillId="3" borderId="156" xfId="2" applyFont="1" applyFill="1" applyBorder="1" applyAlignment="1">
      <alignment horizontal="left" vertical="center"/>
    </xf>
    <xf numFmtId="0" fontId="42" fillId="0" borderId="0" xfId="2" applyFont="1" applyAlignment="1">
      <alignment vertical="center"/>
    </xf>
    <xf numFmtId="0" fontId="48" fillId="16" borderId="4" xfId="2" applyFont="1" applyFill="1" applyBorder="1" applyAlignment="1">
      <alignment horizontal="left" vertical="center"/>
    </xf>
    <xf numFmtId="0" fontId="151" fillId="3" borderId="126" xfId="2" applyFont="1" applyFill="1" applyBorder="1" applyAlignment="1">
      <alignment horizontal="left" vertical="center"/>
    </xf>
    <xf numFmtId="0" fontId="151" fillId="3" borderId="127" xfId="2" applyFont="1" applyFill="1" applyBorder="1" applyAlignment="1">
      <alignment horizontal="left" vertical="center"/>
    </xf>
    <xf numFmtId="165" fontId="156" fillId="37" borderId="125" xfId="2" applyNumberFormat="1" applyFont="1" applyFill="1" applyBorder="1" applyAlignment="1">
      <alignment horizontal="center" vertical="center"/>
    </xf>
    <xf numFmtId="165" fontId="523" fillId="37" borderId="133" xfId="2" applyNumberFormat="1" applyFont="1" applyFill="1" applyBorder="1" applyAlignment="1">
      <alignment horizontal="center" vertical="center"/>
    </xf>
    <xf numFmtId="165" fontId="52" fillId="47" borderId="133" xfId="2" applyNumberFormat="1" applyFont="1" applyFill="1" applyBorder="1" applyAlignment="1">
      <alignment horizontal="center" vertical="center"/>
    </xf>
    <xf numFmtId="165" fontId="156" fillId="37" borderId="133" xfId="2" applyNumberFormat="1" applyFont="1" applyFill="1" applyBorder="1" applyAlignment="1">
      <alignment horizontal="center" vertical="center"/>
    </xf>
    <xf numFmtId="179" fontId="524" fillId="48" borderId="158" xfId="2" applyNumberFormat="1" applyFont="1" applyFill="1" applyBorder="1" applyAlignment="1" applyProtection="1">
      <alignment horizontal="center" vertical="center"/>
      <protection locked="0"/>
    </xf>
    <xf numFmtId="0" fontId="8" fillId="3" borderId="4" xfId="2" applyFont="1" applyFill="1" applyBorder="1" applyAlignment="1">
      <alignment vertical="center"/>
    </xf>
    <xf numFmtId="0" fontId="8" fillId="3" borderId="5" xfId="2" applyFont="1" applyFill="1" applyBorder="1" applyAlignment="1">
      <alignment vertical="center"/>
    </xf>
    <xf numFmtId="0" fontId="90" fillId="3" borderId="87" xfId="2" applyFont="1" applyFill="1" applyBorder="1" applyAlignment="1">
      <alignment horizontal="right" vertical="center"/>
    </xf>
    <xf numFmtId="165" fontId="52" fillId="3" borderId="133" xfId="2" applyNumberFormat="1" applyFont="1" applyFill="1" applyBorder="1" applyAlignment="1">
      <alignment horizontal="center" vertical="center"/>
    </xf>
    <xf numFmtId="165" fontId="52" fillId="3" borderId="125" xfId="2" applyNumberFormat="1" applyFont="1" applyFill="1" applyBorder="1" applyAlignment="1">
      <alignment horizontal="center" vertical="center"/>
    </xf>
    <xf numFmtId="165" fontId="54" fillId="3" borderId="133" xfId="2" applyNumberFormat="1" applyFont="1" applyFill="1" applyBorder="1" applyAlignment="1">
      <alignment horizontal="center" vertical="center"/>
    </xf>
    <xf numFmtId="0" fontId="77" fillId="0" borderId="0" xfId="3" applyFont="1"/>
    <xf numFmtId="0" fontId="221" fillId="0" borderId="162" xfId="5" applyFont="1" applyBorder="1" applyAlignment="1" applyProtection="1">
      <alignment vertical="center"/>
    </xf>
    <xf numFmtId="0" fontId="40" fillId="3" borderId="253" xfId="1" applyFont="1" applyFill="1" applyBorder="1" applyAlignment="1">
      <alignment vertical="center"/>
    </xf>
    <xf numFmtId="0" fontId="61" fillId="5" borderId="256" xfId="1" applyFont="1" applyFill="1" applyBorder="1" applyAlignment="1">
      <alignment horizontal="centerContinuous" vertical="center"/>
    </xf>
    <xf numFmtId="0" fontId="38" fillId="3" borderId="253" xfId="1" applyFont="1" applyFill="1" applyBorder="1" applyAlignment="1">
      <alignment horizontal="right" vertical="center"/>
    </xf>
    <xf numFmtId="0" fontId="550" fillId="4" borderId="253" xfId="1" applyFont="1" applyFill="1" applyBorder="1" applyAlignment="1">
      <alignment horizontal="center" vertical="center" wrapText="1"/>
    </xf>
    <xf numFmtId="0" fontId="64" fillId="4" borderId="253" xfId="1" applyFont="1" applyFill="1" applyBorder="1" applyAlignment="1">
      <alignment horizontal="centerContinuous" vertical="center"/>
    </xf>
    <xf numFmtId="0" fontId="42" fillId="47" borderId="266" xfId="1" applyNumberFormat="1" applyFont="1" applyFill="1" applyBorder="1"/>
    <xf numFmtId="0" fontId="42" fillId="47" borderId="169" xfId="1" applyNumberFormat="1" applyFont="1" applyFill="1" applyBorder="1"/>
    <xf numFmtId="0" fontId="42" fillId="0" borderId="169" xfId="1" applyNumberFormat="1" applyFont="1" applyBorder="1" applyAlignment="1">
      <alignment horizontal="right"/>
    </xf>
    <xf numFmtId="0" fontId="42" fillId="0" borderId="194" xfId="1" applyNumberFormat="1" applyFont="1" applyBorder="1"/>
    <xf numFmtId="165" fontId="63" fillId="181" borderId="169" xfId="6" applyNumberFormat="1" applyFont="1" applyFill="1" applyBorder="1" applyAlignment="1">
      <alignment horizontal="center" vertical="center"/>
    </xf>
    <xf numFmtId="165" fontId="63" fillId="0" borderId="169" xfId="6" applyNumberFormat="1" applyFont="1" applyFill="1" applyBorder="1" applyAlignment="1">
      <alignment horizontal="center" vertical="center"/>
    </xf>
    <xf numFmtId="165" fontId="63" fillId="3" borderId="169" xfId="6" applyNumberFormat="1" applyFont="1" applyFill="1" applyBorder="1" applyAlignment="1">
      <alignment horizontal="center" vertical="center"/>
    </xf>
    <xf numFmtId="0" fontId="372" fillId="0" borderId="169" xfId="1" applyFont="1" applyFill="1" applyBorder="1" applyAlignment="1">
      <alignment horizontal="right" vertical="center"/>
    </xf>
    <xf numFmtId="0" fontId="171" fillId="82" borderId="503" xfId="1" applyFont="1" applyFill="1" applyBorder="1" applyAlignment="1">
      <alignment horizontal="right" vertical="center"/>
    </xf>
    <xf numFmtId="165" fontId="63" fillId="181" borderId="503" xfId="6" applyNumberFormat="1" applyFont="1" applyFill="1" applyBorder="1" applyAlignment="1">
      <alignment horizontal="center" vertical="center"/>
    </xf>
    <xf numFmtId="0" fontId="42" fillId="82" borderId="504" xfId="1" applyFont="1" applyFill="1" applyBorder="1"/>
    <xf numFmtId="165" fontId="63" fillId="0" borderId="20" xfId="6" applyNumberFormat="1" applyFont="1" applyFill="1" applyBorder="1" applyAlignment="1">
      <alignment horizontal="center" vertical="center"/>
    </xf>
    <xf numFmtId="0" fontId="42" fillId="0" borderId="2" xfId="1" applyFont="1" applyBorder="1"/>
    <xf numFmtId="0" fontId="42" fillId="0" borderId="2" xfId="1" applyFont="1" applyBorder="1"/>
    <xf numFmtId="165" fontId="63" fillId="45" borderId="169" xfId="6" applyNumberFormat="1" applyFont="1" applyFill="1" applyBorder="1" applyAlignment="1">
      <alignment horizontal="center" vertical="center"/>
    </xf>
    <xf numFmtId="0" fontId="41" fillId="3" borderId="16" xfId="1" applyFont="1" applyFill="1" applyBorder="1" applyAlignment="1">
      <alignment horizontal="center" vertical="center" wrapText="1"/>
    </xf>
    <xf numFmtId="0" fontId="41" fillId="3" borderId="261" xfId="1" applyFont="1" applyFill="1" applyBorder="1" applyAlignment="1">
      <alignment horizontal="center" vertical="center" wrapText="1"/>
    </xf>
    <xf numFmtId="0" fontId="171" fillId="45" borderId="503" xfId="1" applyFont="1" applyFill="1" applyBorder="1" applyAlignment="1">
      <alignment horizontal="right" vertical="center"/>
    </xf>
    <xf numFmtId="165" fontId="63" fillId="45" borderId="503" xfId="6" applyNumberFormat="1" applyFont="1" applyFill="1" applyBorder="1" applyAlignment="1">
      <alignment horizontal="center" vertical="center"/>
    </xf>
    <xf numFmtId="0" fontId="42" fillId="0" borderId="2" xfId="1" applyFont="1" applyBorder="1"/>
    <xf numFmtId="0" fontId="42" fillId="82" borderId="506" xfId="1" applyFont="1" applyFill="1" applyBorder="1"/>
    <xf numFmtId="165" fontId="63" fillId="181" borderId="505" xfId="6" applyNumberFormat="1" applyFont="1" applyFill="1" applyBorder="1" applyAlignment="1">
      <alignment horizontal="center" vertical="center"/>
    </xf>
    <xf numFmtId="0" fontId="551" fillId="3" borderId="201" xfId="1" applyFont="1" applyFill="1" applyBorder="1" applyAlignment="1">
      <alignment vertical="center"/>
    </xf>
    <xf numFmtId="0" fontId="33" fillId="3" borderId="263" xfId="1" applyFont="1" applyFill="1" applyBorder="1" applyAlignment="1">
      <alignment horizontal="center" vertical="center" wrapText="1"/>
    </xf>
    <xf numFmtId="0" fontId="75" fillId="182" borderId="164" xfId="1" applyFont="1" applyFill="1" applyBorder="1" applyAlignment="1">
      <alignment vertical="center"/>
    </xf>
    <xf numFmtId="0" fontId="75" fillId="182" borderId="165" xfId="1" applyFont="1" applyFill="1" applyBorder="1" applyAlignment="1">
      <alignment vertical="center"/>
    </xf>
    <xf numFmtId="0" fontId="152" fillId="7" borderId="261" xfId="1" applyFont="1" applyFill="1" applyBorder="1" applyAlignment="1">
      <alignment horizontal="center" vertical="center" wrapText="1"/>
    </xf>
    <xf numFmtId="0" fontId="152" fillId="7" borderId="290" xfId="1" applyFont="1" applyFill="1" applyBorder="1" applyAlignment="1">
      <alignment horizontal="center" vertical="center" wrapText="1"/>
    </xf>
    <xf numFmtId="0" fontId="33" fillId="1" borderId="340" xfId="1" applyFont="1" applyFill="1" applyBorder="1" applyAlignment="1">
      <alignment horizontal="centerContinuous" vertical="center" wrapText="1"/>
    </xf>
    <xf numFmtId="0" fontId="42" fillId="1" borderId="196" xfId="1" applyFont="1" applyFill="1" applyBorder="1" applyAlignment="1">
      <alignment horizontal="centerContinuous" wrapText="1"/>
    </xf>
    <xf numFmtId="0" fontId="63" fillId="3" borderId="0" xfId="1" applyFont="1" applyFill="1" applyAlignment="1">
      <alignment vertical="center"/>
    </xf>
    <xf numFmtId="0" fontId="552" fillId="7" borderId="330" xfId="1" applyFont="1" applyFill="1" applyBorder="1" applyAlignment="1">
      <alignment horizontal="center" vertical="center" wrapText="1"/>
    </xf>
    <xf numFmtId="0" fontId="89" fillId="5" borderId="333" xfId="1" applyFont="1" applyFill="1" applyBorder="1" applyAlignment="1">
      <alignment horizontal="centerContinuous" vertical="center"/>
    </xf>
    <xf numFmtId="0" fontId="42" fillId="3" borderId="509" xfId="1" applyFont="1" applyFill="1" applyBorder="1" applyAlignment="1">
      <alignment vertical="center" wrapText="1"/>
    </xf>
    <xf numFmtId="0" fontId="42" fillId="3" borderId="348" xfId="1" applyFont="1" applyFill="1" applyBorder="1" applyAlignment="1">
      <alignment vertical="center" wrapText="1"/>
    </xf>
    <xf numFmtId="0" fontId="42" fillId="3" borderId="508" xfId="1" applyFont="1" applyFill="1" applyBorder="1" applyAlignment="1">
      <alignment vertical="center" wrapText="1"/>
    </xf>
    <xf numFmtId="0" fontId="42" fillId="3" borderId="252" xfId="1" applyFont="1" applyFill="1" applyBorder="1"/>
    <xf numFmtId="0" fontId="550" fillId="3" borderId="253" xfId="1" applyFont="1" applyFill="1" applyBorder="1" applyAlignment="1">
      <alignment horizontal="center" vertical="center" wrapText="1"/>
    </xf>
    <xf numFmtId="0" fontId="64" fillId="3" borderId="253" xfId="1" applyFont="1" applyFill="1" applyBorder="1" applyAlignment="1">
      <alignment horizontal="centerContinuous" vertical="center"/>
    </xf>
    <xf numFmtId="0" fontId="489" fillId="0" borderId="0" xfId="1" applyFont="1" applyAlignment="1">
      <alignment vertical="center"/>
    </xf>
    <xf numFmtId="0" fontId="554" fillId="0" borderId="169" xfId="1" applyFont="1" applyFill="1" applyBorder="1" applyAlignment="1">
      <alignment horizontal="right" vertical="center"/>
    </xf>
    <xf numFmtId="165" fontId="195" fillId="0" borderId="169" xfId="6" applyNumberFormat="1" applyFont="1" applyFill="1" applyBorder="1" applyAlignment="1">
      <alignment horizontal="center" vertical="center"/>
    </xf>
    <xf numFmtId="165" fontId="195" fillId="3" borderId="169" xfId="6" applyNumberFormat="1" applyFont="1" applyFill="1" applyBorder="1" applyAlignment="1">
      <alignment horizontal="center" vertical="center"/>
    </xf>
    <xf numFmtId="0" fontId="42" fillId="82" borderId="503" xfId="1" applyFont="1" applyFill="1" applyBorder="1"/>
    <xf numFmtId="0" fontId="42" fillId="82" borderId="511" xfId="1" applyFont="1" applyFill="1" applyBorder="1"/>
    <xf numFmtId="0" fontId="42" fillId="82" borderId="512" xfId="1" applyFont="1" applyFill="1" applyBorder="1"/>
    <xf numFmtId="0" fontId="554" fillId="0" borderId="351" xfId="1" applyFont="1" applyFill="1" applyBorder="1" applyAlignment="1">
      <alignment horizontal="right" vertical="center"/>
    </xf>
    <xf numFmtId="165" fontId="195" fillId="0" borderId="351" xfId="6" applyNumberFormat="1" applyFont="1" applyFill="1" applyBorder="1" applyAlignment="1">
      <alignment horizontal="center" vertical="center"/>
    </xf>
    <xf numFmtId="165" fontId="195" fillId="3" borderId="351" xfId="6" applyNumberFormat="1" applyFont="1" applyFill="1" applyBorder="1" applyAlignment="1">
      <alignment horizontal="center" vertical="center"/>
    </xf>
    <xf numFmtId="0" fontId="38" fillId="0" borderId="0" xfId="1" applyFont="1" applyAlignment="1">
      <alignment vertical="center"/>
    </xf>
    <xf numFmtId="0" fontId="42" fillId="3" borderId="4" xfId="1" applyFont="1" applyFill="1" applyBorder="1"/>
    <xf numFmtId="0" fontId="63" fillId="3" borderId="354" xfId="1" applyFont="1" applyFill="1" applyBorder="1"/>
    <xf numFmtId="209" fontId="133" fillId="3" borderId="354" xfId="22" applyFont="1" applyFill="1" applyBorder="1"/>
    <xf numFmtId="166" fontId="63" fillId="61" borderId="356" xfId="1" applyNumberFormat="1" applyFont="1" applyFill="1" applyBorder="1" applyAlignment="1">
      <alignment vertical="center"/>
    </xf>
    <xf numFmtId="0" fontId="64" fillId="3" borderId="0" xfId="1" applyFont="1" applyFill="1" applyBorder="1" applyAlignment="1">
      <alignment horizontal="center" vertical="center" wrapText="1"/>
    </xf>
    <xf numFmtId="0" fontId="9" fillId="2" borderId="0" xfId="35" applyFont="1" applyFill="1" applyAlignment="1">
      <alignment vertical="center"/>
    </xf>
    <xf numFmtId="0" fontId="170" fillId="4" borderId="510" xfId="0" applyFont="1" applyFill="1" applyBorder="1"/>
    <xf numFmtId="0" fontId="170" fillId="4" borderId="506" xfId="0" applyFont="1" applyFill="1" applyBorder="1"/>
    <xf numFmtId="0" fontId="170" fillId="4" borderId="509" xfId="0" applyFont="1" applyFill="1" applyBorder="1"/>
    <xf numFmtId="0" fontId="170" fillId="4" borderId="345" xfId="0" applyFont="1" applyFill="1" applyBorder="1"/>
    <xf numFmtId="0" fontId="170" fillId="4" borderId="348" xfId="0" applyFont="1" applyFill="1" applyBorder="1"/>
    <xf numFmtId="0" fontId="170" fillId="4" borderId="0" xfId="0" applyFont="1" applyFill="1" applyBorder="1"/>
    <xf numFmtId="0" fontId="170" fillId="4" borderId="447" xfId="0" applyFont="1" applyFill="1" applyBorder="1"/>
    <xf numFmtId="0" fontId="170" fillId="4" borderId="507" xfId="0" applyFont="1" applyFill="1" applyBorder="1"/>
    <xf numFmtId="0" fontId="170" fillId="4" borderId="508" xfId="0" applyFont="1" applyFill="1" applyBorder="1"/>
    <xf numFmtId="0" fontId="557" fillId="4" borderId="0" xfId="0" applyFont="1" applyFill="1" applyBorder="1"/>
    <xf numFmtId="0" fontId="9" fillId="2" borderId="0" xfId="12" applyFont="1" applyFill="1" applyAlignment="1">
      <alignment vertical="center"/>
    </xf>
    <xf numFmtId="0" fontId="13" fillId="2" borderId="0" xfId="12" applyFont="1" applyFill="1" applyAlignment="1" applyProtection="1">
      <alignment vertical="center"/>
      <protection hidden="1"/>
    </xf>
    <xf numFmtId="0" fontId="558" fillId="2" borderId="0" xfId="12" applyFont="1" applyFill="1" applyAlignment="1" applyProtection="1">
      <alignment vertical="center"/>
      <protection hidden="1"/>
    </xf>
    <xf numFmtId="0" fontId="559" fillId="2" borderId="0" xfId="12" applyFont="1" applyFill="1" applyAlignment="1" applyProtection="1">
      <alignment vertical="center"/>
      <protection hidden="1"/>
    </xf>
    <xf numFmtId="0" fontId="54" fillId="0" borderId="0" xfId="30" applyFont="1" applyAlignment="1">
      <alignment horizontal="center" vertical="center" wrapText="1"/>
    </xf>
    <xf numFmtId="0" fontId="50" fillId="3" borderId="519" xfId="3" applyFont="1" applyFill="1" applyBorder="1" applyAlignment="1" applyProtection="1">
      <alignment horizontal="center" vertical="center"/>
      <protection hidden="1"/>
    </xf>
    <xf numFmtId="0" fontId="490" fillId="3" borderId="520" xfId="3" applyFont="1" applyFill="1" applyBorder="1" applyAlignment="1" applyProtection="1">
      <alignment horizontal="center" vertical="center" wrapText="1"/>
      <protection hidden="1"/>
    </xf>
    <xf numFmtId="0" fontId="561" fillId="3" borderId="507" xfId="3" applyFont="1" applyFill="1" applyBorder="1" applyAlignment="1" applyProtection="1">
      <alignment horizontal="center" vertical="center" wrapText="1"/>
      <protection hidden="1"/>
    </xf>
    <xf numFmtId="0" fontId="50" fillId="3" borderId="519" xfId="3" applyFont="1" applyFill="1" applyBorder="1" applyAlignment="1" applyProtection="1">
      <alignment horizontal="right" vertical="center"/>
      <protection hidden="1"/>
    </xf>
    <xf numFmtId="0" fontId="562" fillId="3" borderId="0" xfId="6" applyFont="1" applyFill="1" applyAlignment="1">
      <alignment horizontal="center" vertical="center"/>
    </xf>
    <xf numFmtId="0" fontId="183" fillId="3" borderId="0" xfId="3" applyFont="1" applyFill="1" applyAlignment="1" applyProtection="1">
      <alignment horizontal="center" vertical="center" wrapText="1"/>
      <protection hidden="1"/>
    </xf>
    <xf numFmtId="0" fontId="563" fillId="3" borderId="0" xfId="3" applyFont="1" applyFill="1" applyAlignment="1" applyProtection="1">
      <alignment horizontal="center" vertical="center" wrapText="1"/>
      <protection hidden="1"/>
    </xf>
    <xf numFmtId="0" fontId="54" fillId="3" borderId="0" xfId="3" applyFont="1" applyFill="1" applyAlignment="1" applyProtection="1">
      <alignment horizontal="right" vertical="center"/>
      <protection hidden="1"/>
    </xf>
    <xf numFmtId="0" fontId="7" fillId="0" borderId="0" xfId="30" applyAlignment="1">
      <alignment horizontal="center"/>
    </xf>
    <xf numFmtId="3" fontId="183" fillId="3" borderId="0" xfId="9" applyNumberFormat="1" applyFont="1" applyFill="1" applyAlignment="1" applyProtection="1">
      <alignment horizontal="center" vertical="center"/>
      <protection locked="0"/>
    </xf>
    <xf numFmtId="223" fontId="563" fillId="3" borderId="0" xfId="9" applyNumberFormat="1" applyFont="1" applyFill="1" applyAlignment="1" applyProtection="1">
      <alignment horizontal="center" vertical="center"/>
      <protection locked="0"/>
    </xf>
    <xf numFmtId="177" fontId="54" fillId="3" borderId="0" xfId="3" applyNumberFormat="1" applyFont="1" applyFill="1" applyAlignment="1">
      <alignment horizontal="center" vertical="center"/>
    </xf>
    <xf numFmtId="0" fontId="564" fillId="0" borderId="0" xfId="3" applyFont="1" applyAlignment="1">
      <alignment horizontal="center" vertical="center"/>
    </xf>
    <xf numFmtId="0" fontId="91" fillId="3" borderId="0" xfId="1" applyFont="1" applyFill="1" applyAlignment="1" applyProtection="1">
      <alignment horizontal="left" vertical="center"/>
      <protection hidden="1"/>
    </xf>
    <xf numFmtId="0" fontId="565" fillId="3" borderId="0" xfId="6" applyFont="1" applyFill="1" applyAlignment="1">
      <alignment horizontal="center" vertical="center"/>
    </xf>
    <xf numFmtId="0" fontId="566" fillId="3" borderId="0" xfId="1" applyFont="1" applyFill="1" applyAlignment="1">
      <alignment horizontal="center" vertical="center"/>
    </xf>
    <xf numFmtId="0" fontId="25" fillId="0" borderId="0" xfId="30" applyFont="1"/>
    <xf numFmtId="0" fontId="42" fillId="0" borderId="0" xfId="30" applyFont="1"/>
    <xf numFmtId="0" fontId="42" fillId="0" borderId="162" xfId="30" applyFont="1" applyBorder="1"/>
    <xf numFmtId="0" fontId="42" fillId="0" borderId="379" xfId="30" applyFont="1" applyBorder="1"/>
    <xf numFmtId="0" fontId="42" fillId="3" borderId="357" xfId="30" applyFont="1" applyFill="1" applyBorder="1"/>
    <xf numFmtId="0" fontId="42" fillId="3" borderId="0" xfId="42" applyFont="1" applyFill="1" applyAlignment="1" applyProtection="1">
      <alignment vertical="center"/>
      <protection locked="0"/>
    </xf>
    <xf numFmtId="0" fontId="42" fillId="3" borderId="0" xfId="30" applyFont="1" applyFill="1"/>
    <xf numFmtId="0" fontId="42" fillId="3" borderId="163" xfId="30" applyFont="1" applyFill="1" applyBorder="1"/>
    <xf numFmtId="0" fontId="42" fillId="0" borderId="0" xfId="12" applyFont="1" applyProtection="1">
      <protection locked="0"/>
    </xf>
    <xf numFmtId="0" fontId="50" fillId="3" borderId="357" xfId="12" applyFont="1" applyFill="1" applyBorder="1" applyProtection="1">
      <protection locked="0"/>
    </xf>
    <xf numFmtId="0" fontId="50" fillId="3" borderId="0" xfId="12" applyFont="1" applyFill="1" applyProtection="1">
      <protection locked="0"/>
    </xf>
    <xf numFmtId="0" fontId="42" fillId="3" borderId="0" xfId="12" applyFont="1" applyFill="1" applyProtection="1">
      <protection locked="0"/>
    </xf>
    <xf numFmtId="0" fontId="42" fillId="3" borderId="163" xfId="12" applyFont="1" applyFill="1" applyBorder="1" applyProtection="1">
      <protection locked="0"/>
    </xf>
    <xf numFmtId="0" fontId="75" fillId="54" borderId="345" xfId="12" applyFont="1" applyFill="1" applyBorder="1" applyAlignment="1" applyProtection="1">
      <alignment horizontal="center" vertical="center"/>
      <protection locked="0"/>
    </xf>
    <xf numFmtId="166" fontId="54" fillId="6" borderId="0" xfId="12" applyNumberFormat="1" applyFont="1" applyFill="1" applyAlignment="1" applyProtection="1">
      <alignment horizontal="left" vertical="center"/>
      <protection locked="0"/>
    </xf>
    <xf numFmtId="165" fontId="568" fillId="6" borderId="0" xfId="12" applyNumberFormat="1" applyFont="1" applyFill="1" applyAlignment="1" applyProtection="1">
      <alignment horizontal="center" vertical="center"/>
      <protection locked="0"/>
    </xf>
    <xf numFmtId="0" fontId="90" fillId="6" borderId="0" xfId="9" applyFont="1" applyFill="1" applyAlignment="1" applyProtection="1">
      <alignment vertical="center"/>
      <protection locked="0"/>
    </xf>
    <xf numFmtId="0" fontId="90" fillId="6" borderId="163" xfId="9" applyFont="1" applyFill="1" applyBorder="1" applyAlignment="1" applyProtection="1">
      <alignment vertical="center"/>
      <protection locked="0"/>
    </xf>
    <xf numFmtId="0" fontId="105" fillId="3" borderId="0" xfId="12" applyFont="1" applyFill="1" applyAlignment="1">
      <alignment horizontal="left"/>
    </xf>
    <xf numFmtId="0" fontId="569" fillId="3" borderId="0" xfId="12" applyFont="1" applyFill="1" applyAlignment="1">
      <alignment horizontal="center"/>
    </xf>
    <xf numFmtId="0" fontId="91" fillId="3" borderId="0" xfId="12" applyFont="1" applyFill="1" applyAlignment="1">
      <alignment vertical="center"/>
    </xf>
    <xf numFmtId="0" fontId="42" fillId="3" borderId="357" xfId="12" applyFont="1" applyFill="1" applyBorder="1" applyProtection="1">
      <protection locked="0"/>
    </xf>
    <xf numFmtId="0" fontId="42" fillId="0" borderId="0" xfId="42" applyFont="1" applyProtection="1">
      <protection locked="0"/>
    </xf>
    <xf numFmtId="0" fontId="42" fillId="3" borderId="0" xfId="42" applyFont="1" applyFill="1" applyProtection="1">
      <protection locked="0"/>
    </xf>
    <xf numFmtId="0" fontId="90" fillId="3" borderId="0" xfId="9" applyFont="1" applyFill="1" applyAlignment="1" applyProtection="1">
      <alignment vertical="center"/>
      <protection locked="0"/>
    </xf>
    <xf numFmtId="0" fontId="90" fillId="3" borderId="163" xfId="9" applyFont="1" applyFill="1" applyBorder="1" applyAlignment="1" applyProtection="1">
      <alignment vertical="center"/>
      <protection locked="0"/>
    </xf>
    <xf numFmtId="1" fontId="202" fillId="3" borderId="276" xfId="12" applyNumberFormat="1" applyFont="1" applyFill="1" applyBorder="1" applyAlignment="1" applyProtection="1">
      <alignment horizontal="center" vertical="center"/>
      <protection hidden="1"/>
    </xf>
    <xf numFmtId="0" fontId="91" fillId="3" borderId="0" xfId="12" applyFont="1" applyFill="1" applyAlignment="1">
      <alignment horizontal="left" vertical="center"/>
    </xf>
    <xf numFmtId="0" fontId="570" fillId="3" borderId="0" xfId="12" applyFont="1" applyFill="1" applyAlignment="1">
      <alignment vertical="center"/>
    </xf>
    <xf numFmtId="165" fontId="571" fillId="3" borderId="0" xfId="12" applyNumberFormat="1" applyFont="1" applyFill="1" applyAlignment="1">
      <alignment horizontal="left" vertical="center"/>
    </xf>
    <xf numFmtId="0" fontId="202" fillId="3" borderId="0" xfId="12" applyFont="1" applyFill="1" applyAlignment="1" applyProtection="1">
      <alignment horizontal="center" vertical="center"/>
      <protection locked="0"/>
    </xf>
    <xf numFmtId="0" fontId="91" fillId="3" borderId="0" xfId="12" applyFont="1" applyFill="1" applyAlignment="1" applyProtection="1">
      <alignment horizontal="left" vertical="center"/>
      <protection locked="0"/>
    </xf>
    <xf numFmtId="0" fontId="91" fillId="3" borderId="0" xfId="43" applyFont="1" applyFill="1" applyAlignment="1" applyProtection="1">
      <alignment horizontal="left" vertical="center"/>
      <protection locked="0"/>
    </xf>
    <xf numFmtId="1" fontId="202" fillId="3" borderId="289" xfId="12" applyNumberFormat="1" applyFont="1" applyFill="1" applyBorder="1" applyAlignment="1" applyProtection="1">
      <alignment horizontal="center" vertical="center"/>
      <protection hidden="1"/>
    </xf>
    <xf numFmtId="0" fontId="569" fillId="3" borderId="0" xfId="12" applyFont="1" applyFill="1" applyAlignment="1" applyProtection="1">
      <alignment horizontal="center" vertical="center"/>
      <protection locked="0"/>
    </xf>
    <xf numFmtId="0" fontId="48" fillId="3" borderId="507" xfId="12" applyFont="1" applyFill="1" applyBorder="1" applyAlignment="1">
      <alignment vertical="center"/>
    </xf>
    <xf numFmtId="0" fontId="91" fillId="3" borderId="507" xfId="12" applyFont="1" applyFill="1" applyBorder="1" applyAlignment="1">
      <alignment horizontal="left" vertical="center"/>
    </xf>
    <xf numFmtId="0" fontId="91" fillId="3" borderId="507" xfId="12" applyFont="1" applyFill="1" applyBorder="1" applyAlignment="1">
      <alignment horizontal="center" vertical="center"/>
    </xf>
    <xf numFmtId="0" fontId="569" fillId="3" borderId="0" xfId="12" applyFont="1" applyFill="1" applyAlignment="1" applyProtection="1">
      <alignment horizontal="center"/>
      <protection locked="0"/>
    </xf>
    <xf numFmtId="0" fontId="202" fillId="3" borderId="0" xfId="12" applyFont="1" applyFill="1" applyAlignment="1" applyProtection="1">
      <alignment horizontal="center"/>
      <protection locked="0"/>
    </xf>
    <xf numFmtId="0" fontId="42" fillId="3" borderId="0" xfId="12" applyFont="1" applyFill="1"/>
    <xf numFmtId="0" fontId="42" fillId="3" borderId="0" xfId="12" applyFont="1" applyFill="1" applyAlignment="1" applyProtection="1">
      <alignment vertical="center"/>
      <protection locked="0"/>
    </xf>
    <xf numFmtId="0" fontId="42" fillId="3" borderId="163" xfId="12" applyFont="1" applyFill="1" applyBorder="1" applyAlignment="1" applyProtection="1">
      <alignment vertical="center"/>
      <protection locked="0"/>
    </xf>
    <xf numFmtId="0" fontId="42" fillId="3" borderId="0" xfId="30" applyFont="1" applyFill="1" applyAlignment="1">
      <alignment horizontal="right" vertical="center"/>
    </xf>
    <xf numFmtId="1" fontId="42" fillId="3" borderId="0" xfId="12" applyNumberFormat="1" applyFont="1" applyFill="1" applyAlignment="1" applyProtection="1">
      <alignment horizontal="center"/>
      <protection locked="0"/>
    </xf>
    <xf numFmtId="0" fontId="41" fillId="3" borderId="0" xfId="12" applyFont="1" applyFill="1" applyAlignment="1" applyProtection="1">
      <alignment horizontal="left" vertical="center"/>
      <protection locked="0"/>
    </xf>
    <xf numFmtId="165" fontId="499" fillId="4" borderId="0" xfId="12" applyNumberFormat="1" applyFont="1" applyFill="1" applyAlignment="1" applyProtection="1">
      <alignment horizontal="right" vertical="center"/>
      <protection hidden="1"/>
    </xf>
    <xf numFmtId="1" fontId="42" fillId="3" borderId="0" xfId="12" applyNumberFormat="1" applyFont="1" applyFill="1" applyAlignment="1" applyProtection="1">
      <alignment horizontal="center" vertical="center"/>
      <protection locked="0"/>
    </xf>
    <xf numFmtId="0" fontId="42" fillId="3" borderId="0" xfId="42" applyFont="1" applyFill="1" applyAlignment="1" applyProtection="1">
      <alignment horizontal="center" vertical="center"/>
      <protection hidden="1"/>
    </xf>
    <xf numFmtId="0" fontId="90" fillId="3" borderId="0" xfId="9" applyFont="1" applyFill="1" applyAlignment="1" applyProtection="1">
      <alignment horizontal="center" vertical="center"/>
      <protection locked="0"/>
    </xf>
    <xf numFmtId="0" fontId="91" fillId="3" borderId="163" xfId="43" applyFont="1" applyFill="1" applyBorder="1" applyAlignment="1" applyProtection="1">
      <alignment horizontal="left" vertical="center"/>
      <protection locked="0"/>
    </xf>
    <xf numFmtId="0" fontId="42" fillId="3" borderId="0" xfId="42" applyFont="1" applyFill="1" applyAlignment="1" applyProtection="1">
      <alignment horizontal="left" vertical="center"/>
      <protection locked="0"/>
    </xf>
    <xf numFmtId="0" fontId="53" fillId="3" borderId="0" xfId="12" applyFont="1" applyFill="1" applyAlignment="1" applyProtection="1">
      <alignment horizontal="center"/>
      <protection locked="0"/>
    </xf>
    <xf numFmtId="0" fontId="42" fillId="3" borderId="357" xfId="30" applyFont="1" applyFill="1" applyBorder="1" applyAlignment="1">
      <alignment horizontal="right" vertical="center"/>
    </xf>
    <xf numFmtId="0" fontId="573" fillId="3" borderId="0" xfId="12" applyFont="1" applyFill="1" applyAlignment="1" applyProtection="1">
      <alignment horizontal="center"/>
      <protection locked="0"/>
    </xf>
    <xf numFmtId="1" fontId="275" fillId="3" borderId="0" xfId="42" applyNumberFormat="1" applyFont="1" applyFill="1" applyAlignment="1" applyProtection="1">
      <alignment horizontal="center" vertical="center"/>
      <protection hidden="1"/>
    </xf>
    <xf numFmtId="0" fontId="42" fillId="0" borderId="0" xfId="43" applyFont="1"/>
    <xf numFmtId="0" fontId="42" fillId="3" borderId="163" xfId="42" applyFont="1" applyFill="1" applyBorder="1" applyProtection="1">
      <protection locked="0"/>
    </xf>
    <xf numFmtId="0" fontId="184" fillId="3" borderId="0" xfId="42" applyFont="1" applyFill="1" applyAlignment="1" applyProtection="1">
      <alignment vertical="top"/>
      <protection hidden="1"/>
    </xf>
    <xf numFmtId="1" fontId="574" fillId="3" borderId="521" xfId="42" applyNumberFormat="1" applyFont="1" applyFill="1" applyBorder="1" applyAlignment="1" applyProtection="1">
      <alignment horizontal="center" vertical="center"/>
      <protection hidden="1"/>
    </xf>
    <xf numFmtId="0" fontId="202" fillId="3" borderId="0" xfId="43" applyFont="1" applyFill="1" applyAlignment="1" applyProtection="1">
      <alignment horizontal="left" vertical="center"/>
      <protection locked="0"/>
    </xf>
    <xf numFmtId="0" fontId="86" fillId="3" borderId="0" xfId="42" applyFont="1" applyFill="1" applyProtection="1">
      <protection locked="0"/>
    </xf>
    <xf numFmtId="0" fontId="42" fillId="3" borderId="440" xfId="12" applyFont="1" applyFill="1" applyBorder="1" applyProtection="1">
      <protection locked="0"/>
    </xf>
    <xf numFmtId="0" fontId="42" fillId="3" borderId="354" xfId="12" applyFont="1" applyFill="1" applyBorder="1" applyProtection="1">
      <protection locked="0"/>
    </xf>
    <xf numFmtId="0" fontId="42" fillId="3" borderId="356" xfId="12" applyFont="1" applyFill="1" applyBorder="1" applyProtection="1">
      <protection locked="0"/>
    </xf>
    <xf numFmtId="0" fontId="184" fillId="3" borderId="354" xfId="42" applyFont="1" applyFill="1" applyBorder="1" applyAlignment="1" applyProtection="1">
      <alignment vertical="top"/>
      <protection hidden="1"/>
    </xf>
    <xf numFmtId="0" fontId="42" fillId="3" borderId="354" xfId="42" applyFont="1" applyFill="1" applyBorder="1" applyProtection="1">
      <protection locked="0"/>
    </xf>
    <xf numFmtId="0" fontId="42" fillId="3" borderId="356" xfId="42" applyFont="1" applyFill="1" applyBorder="1" applyProtection="1">
      <protection locked="0"/>
    </xf>
    <xf numFmtId="0" fontId="42" fillId="3" borderId="162" xfId="30" applyFont="1" applyFill="1" applyBorder="1"/>
    <xf numFmtId="0" fontId="42" fillId="3" borderId="379" xfId="30" applyFont="1" applyFill="1" applyBorder="1"/>
    <xf numFmtId="0" fontId="42" fillId="3" borderId="357" xfId="30" applyFont="1" applyFill="1" applyBorder="1" applyAlignment="1">
      <alignment vertical="center"/>
    </xf>
    <xf numFmtId="0" fontId="447" fillId="3" borderId="0" xfId="42" applyFont="1" applyFill="1" applyAlignment="1" applyProtection="1">
      <alignment vertical="center"/>
      <protection locked="0"/>
    </xf>
    <xf numFmtId="0" fontId="42" fillId="3" borderId="0" xfId="30" applyFont="1" applyFill="1" applyAlignment="1">
      <alignment vertical="center"/>
    </xf>
    <xf numFmtId="0" fontId="42" fillId="3" borderId="163" xfId="30" applyFont="1" applyFill="1" applyBorder="1" applyAlignment="1">
      <alignment vertical="center"/>
    </xf>
    <xf numFmtId="0" fontId="50" fillId="3" borderId="357" xfId="12" applyFont="1" applyFill="1" applyBorder="1" applyAlignment="1" applyProtection="1">
      <alignment vertical="center"/>
      <protection locked="0"/>
    </xf>
    <xf numFmtId="0" fontId="50" fillId="3" borderId="0" xfId="12" applyFont="1" applyFill="1" applyAlignment="1" applyProtection="1">
      <alignment vertical="center"/>
      <protection locked="0"/>
    </xf>
    <xf numFmtId="0" fontId="575" fillId="3" borderId="0" xfId="12" applyFont="1" applyFill="1" applyAlignment="1">
      <alignment horizontal="left"/>
    </xf>
    <xf numFmtId="165" fontId="576" fillId="3" borderId="522" xfId="12" applyNumberFormat="1" applyFont="1" applyFill="1" applyBorder="1" applyAlignment="1" applyProtection="1">
      <alignment horizontal="center" vertical="center"/>
      <protection hidden="1"/>
    </xf>
    <xf numFmtId="0" fontId="42" fillId="3" borderId="0" xfId="12" applyFont="1" applyFill="1" applyAlignment="1" applyProtection="1">
      <alignment horizontal="right" vertical="center"/>
      <protection locked="0"/>
    </xf>
    <xf numFmtId="165" fontId="50" fillId="3" borderId="0" xfId="12" applyNumberFormat="1" applyFont="1" applyFill="1" applyAlignment="1" applyProtection="1">
      <alignment horizontal="left" vertical="center"/>
      <protection locked="0"/>
    </xf>
    <xf numFmtId="1" fontId="576" fillId="3" borderId="523" xfId="12" applyNumberFormat="1" applyFont="1" applyFill="1" applyBorder="1" applyAlignment="1" applyProtection="1">
      <alignment horizontal="center" vertical="center"/>
      <protection hidden="1"/>
    </xf>
    <xf numFmtId="0" fontId="115" fillId="13" borderId="507" xfId="12" applyFont="1" applyFill="1" applyBorder="1" applyAlignment="1">
      <alignment horizontal="center" vertical="center"/>
    </xf>
    <xf numFmtId="165" fontId="42" fillId="3" borderId="0" xfId="12" applyNumberFormat="1" applyFont="1" applyFill="1" applyAlignment="1" applyProtection="1">
      <alignment horizontal="left" vertical="center"/>
      <protection locked="0"/>
    </xf>
    <xf numFmtId="0" fontId="42" fillId="3" borderId="440" xfId="30" applyFont="1" applyFill="1" applyBorder="1" applyAlignment="1">
      <alignment vertical="center"/>
    </xf>
    <xf numFmtId="0" fontId="42" fillId="3" borderId="354" xfId="12" applyFont="1" applyFill="1" applyBorder="1" applyAlignment="1" applyProtection="1">
      <alignment vertical="center"/>
      <protection locked="0"/>
    </xf>
    <xf numFmtId="0" fontId="42" fillId="3" borderId="356" xfId="12" applyFont="1" applyFill="1" applyBorder="1" applyAlignment="1" applyProtection="1">
      <alignment vertical="center"/>
      <protection locked="0"/>
    </xf>
    <xf numFmtId="0" fontId="15" fillId="2" borderId="0" xfId="3" applyFont="1" applyFill="1" applyAlignment="1">
      <alignment vertical="center"/>
    </xf>
    <xf numFmtId="0" fontId="579" fillId="2" borderId="0" xfId="17" applyFont="1" applyFill="1" applyAlignment="1">
      <alignment vertical="center"/>
    </xf>
    <xf numFmtId="0" fontId="580" fillId="2" borderId="0" xfId="35" applyFont="1" applyFill="1" applyAlignment="1">
      <alignment horizontal="center"/>
    </xf>
    <xf numFmtId="0" fontId="577" fillId="2" borderId="0" xfId="35" applyFont="1" applyFill="1" applyAlignment="1">
      <alignment horizontal="center"/>
    </xf>
    <xf numFmtId="0" fontId="581" fillId="2" borderId="0" xfId="35" applyFont="1" applyFill="1" applyAlignment="1">
      <alignment vertical="center"/>
    </xf>
    <xf numFmtId="0" fontId="42" fillId="2" borderId="0" xfId="35" applyFont="1" applyFill="1" applyProtection="1">
      <protection hidden="1"/>
    </xf>
    <xf numFmtId="0" fontId="582" fillId="2" borderId="0" xfId="35" applyFont="1" applyFill="1" applyAlignment="1">
      <alignment vertical="center"/>
    </xf>
    <xf numFmtId="0" fontId="333" fillId="2" borderId="0" xfId="35" applyFont="1" applyFill="1" applyAlignment="1">
      <alignment vertical="center"/>
    </xf>
    <xf numFmtId="0" fontId="42" fillId="2" borderId="0" xfId="35" applyFont="1" applyFill="1" applyAlignment="1">
      <alignment vertical="center"/>
    </xf>
    <xf numFmtId="0" fontId="42" fillId="0" borderId="0" xfId="35" applyFont="1" applyAlignment="1">
      <alignment vertical="center"/>
    </xf>
    <xf numFmtId="0" fontId="583" fillId="2" borderId="0" xfId="37" applyFont="1" applyFill="1" applyAlignment="1">
      <alignment horizontal="left" vertical="center"/>
    </xf>
    <xf numFmtId="0" fontId="376" fillId="5" borderId="0" xfId="35" applyFont="1" applyFill="1" applyAlignment="1">
      <alignment horizontal="left" vertical="center"/>
    </xf>
    <xf numFmtId="0" fontId="7" fillId="61" borderId="0" xfId="35" applyFill="1" applyProtection="1">
      <protection hidden="1"/>
    </xf>
    <xf numFmtId="0" fontId="577" fillId="2" borderId="0" xfId="35" applyFont="1" applyFill="1" applyAlignment="1">
      <alignment horizontal="center" vertical="top"/>
    </xf>
    <xf numFmtId="0" fontId="7" fillId="3" borderId="0" xfId="35" applyFill="1"/>
    <xf numFmtId="0" fontId="584" fillId="3" borderId="0" xfId="35" applyFont="1" applyFill="1"/>
    <xf numFmtId="0" fontId="331" fillId="3" borderId="0" xfId="35" applyFont="1" applyFill="1"/>
    <xf numFmtId="0" fontId="83" fillId="3" borderId="0" xfId="37" applyFont="1" applyFill="1" applyAlignment="1">
      <alignment horizontal="right" vertical="center"/>
    </xf>
    <xf numFmtId="0" fontId="331" fillId="3" borderId="0" xfId="37" applyFont="1" applyFill="1" applyAlignment="1">
      <alignment horizontal="right" vertical="center"/>
    </xf>
    <xf numFmtId="0" fontId="331" fillId="3" borderId="0" xfId="35" applyFont="1" applyFill="1" applyAlignment="1">
      <alignment vertical="center"/>
    </xf>
    <xf numFmtId="0" fontId="8" fillId="2" borderId="0" xfId="41" applyFill="1"/>
    <xf numFmtId="0" fontId="7" fillId="2" borderId="0" xfId="35" applyFill="1"/>
    <xf numFmtId="0" fontId="584" fillId="2" borderId="0" xfId="35" applyFont="1" applyFill="1"/>
    <xf numFmtId="0" fontId="584" fillId="2" borderId="0" xfId="37" applyFont="1" applyFill="1" applyAlignment="1">
      <alignment horizontal="right" vertical="center"/>
    </xf>
    <xf numFmtId="0" fontId="372" fillId="2" borderId="0" xfId="37" applyFont="1" applyFill="1" applyAlignment="1">
      <alignment horizontal="right" vertical="center"/>
    </xf>
    <xf numFmtId="0" fontId="586" fillId="2" borderId="0" xfId="35" applyFont="1" applyFill="1" applyAlignment="1">
      <alignment vertical="center"/>
    </xf>
    <xf numFmtId="0" fontId="584" fillId="3" borderId="0" xfId="37" applyFont="1" applyFill="1" applyAlignment="1">
      <alignment horizontal="right" vertical="center"/>
    </xf>
    <xf numFmtId="0" fontId="240" fillId="52" borderId="357" xfId="35" applyFont="1" applyFill="1" applyBorder="1" applyAlignment="1" applyProtection="1">
      <alignment horizontal="right" vertical="center"/>
      <protection hidden="1"/>
    </xf>
    <xf numFmtId="0" fontId="78" fillId="5" borderId="0" xfId="45" applyFont="1" applyFill="1" applyBorder="1" applyAlignment="1">
      <alignment horizontal="left" vertical="center"/>
    </xf>
    <xf numFmtId="0" fontId="331" fillId="61" borderId="0" xfId="37" applyFont="1" applyFill="1" applyAlignment="1">
      <alignment horizontal="left" vertical="center"/>
    </xf>
    <xf numFmtId="0" fontId="588" fillId="2" borderId="0" xfId="35" applyFont="1" applyFill="1" applyAlignment="1">
      <alignment horizontal="center" vertical="center"/>
    </xf>
    <xf numFmtId="0" fontId="331" fillId="2" borderId="0" xfId="35" applyFont="1" applyFill="1"/>
    <xf numFmtId="0" fontId="63" fillId="2" borderId="524" xfId="35" applyFont="1" applyFill="1" applyBorder="1"/>
    <xf numFmtId="0" fontId="500" fillId="2" borderId="525" xfId="35" applyFont="1" applyFill="1" applyBorder="1"/>
    <xf numFmtId="0" fontId="500" fillId="2" borderId="525" xfId="37" applyFont="1" applyFill="1" applyBorder="1" applyAlignment="1">
      <alignment horizontal="right" vertical="center"/>
    </xf>
    <xf numFmtId="0" fontId="500" fillId="2" borderId="525" xfId="35" applyFont="1" applyFill="1" applyBorder="1" applyAlignment="1">
      <alignment vertical="center"/>
    </xf>
    <xf numFmtId="0" fontId="500" fillId="2" borderId="526" xfId="35" applyFont="1" applyFill="1" applyBorder="1"/>
    <xf numFmtId="0" fontId="500" fillId="2" borderId="527" xfId="37" applyFont="1" applyFill="1" applyBorder="1" applyAlignment="1">
      <alignment horizontal="center" vertical="center"/>
    </xf>
    <xf numFmtId="0" fontId="590" fillId="2" borderId="0" xfId="37" applyFont="1" applyFill="1" applyAlignment="1">
      <alignment horizontal="left" vertical="center"/>
    </xf>
    <xf numFmtId="0" fontId="500" fillId="2" borderId="0" xfId="37" applyFont="1" applyFill="1" applyAlignment="1">
      <alignment horizontal="right" vertical="center"/>
    </xf>
    <xf numFmtId="0" fontId="500" fillId="2" borderId="0" xfId="35" applyFont="1" applyFill="1" applyAlignment="1">
      <alignment vertical="center"/>
    </xf>
    <xf numFmtId="0" fontId="500" fillId="2" borderId="0" xfId="35" applyFont="1" applyFill="1"/>
    <xf numFmtId="0" fontId="500" fillId="2" borderId="528" xfId="35" applyFont="1" applyFill="1" applyBorder="1"/>
    <xf numFmtId="0" fontId="79" fillId="2" borderId="0" xfId="35" applyFont="1" applyFill="1" applyAlignment="1">
      <alignment horizontal="right" vertical="center"/>
    </xf>
    <xf numFmtId="0" fontId="591" fillId="2" borderId="0" xfId="35" applyFont="1" applyFill="1"/>
    <xf numFmtId="0" fontId="591" fillId="2" borderId="528" xfId="35" applyFont="1" applyFill="1" applyBorder="1"/>
    <xf numFmtId="0" fontId="63" fillId="2" borderId="529" xfId="35" applyFont="1" applyFill="1" applyBorder="1"/>
    <xf numFmtId="0" fontId="592" fillId="2" borderId="530" xfId="35" applyFont="1" applyFill="1" applyBorder="1"/>
    <xf numFmtId="0" fontId="500" fillId="2" borderId="530" xfId="37" applyFont="1" applyFill="1" applyBorder="1" applyAlignment="1">
      <alignment horizontal="right" vertical="center"/>
    </xf>
    <xf numFmtId="0" fontId="500" fillId="2" borderId="530" xfId="35" applyFont="1" applyFill="1" applyBorder="1" applyAlignment="1">
      <alignment vertical="center"/>
    </xf>
    <xf numFmtId="0" fontId="500" fillId="2" borderId="530" xfId="35" applyFont="1" applyFill="1" applyBorder="1"/>
    <xf numFmtId="0" fontId="500" fillId="2" borderId="531" xfId="35" applyFont="1" applyFill="1" applyBorder="1"/>
    <xf numFmtId="0" fontId="83" fillId="2" borderId="0" xfId="37" applyFont="1" applyFill="1" applyAlignment="1">
      <alignment horizontal="right" vertical="center"/>
    </xf>
    <xf numFmtId="0" fontId="331" fillId="2" borderId="0" xfId="37" applyFont="1" applyFill="1" applyAlignment="1">
      <alignment horizontal="right" vertical="center"/>
    </xf>
    <xf numFmtId="0" fontId="331" fillId="2" borderId="0" xfId="35" applyFont="1" applyFill="1" applyAlignment="1">
      <alignment vertical="center"/>
    </xf>
    <xf numFmtId="0" fontId="584" fillId="2" borderId="524" xfId="35" applyFont="1" applyFill="1" applyBorder="1"/>
    <xf numFmtId="0" fontId="331" fillId="2" borderId="525" xfId="35" applyFont="1" applyFill="1" applyBorder="1"/>
    <xf numFmtId="0" fontId="83" fillId="2" borderId="525" xfId="37" applyFont="1" applyFill="1" applyBorder="1" applyAlignment="1">
      <alignment horizontal="right" vertical="center"/>
    </xf>
    <xf numFmtId="0" fontId="331" fillId="2" borderId="525" xfId="37" applyFont="1" applyFill="1" applyBorder="1" applyAlignment="1">
      <alignment horizontal="right" vertical="center"/>
    </xf>
    <xf numFmtId="0" fontId="331" fillId="2" borderId="525" xfId="35" applyFont="1" applyFill="1" applyBorder="1" applyAlignment="1">
      <alignment vertical="center"/>
    </xf>
    <xf numFmtId="0" fontId="331" fillId="2" borderId="526" xfId="35" applyFont="1" applyFill="1" applyBorder="1"/>
    <xf numFmtId="0" fontId="587" fillId="2" borderId="0" xfId="37" applyFont="1" applyFill="1" applyAlignment="1">
      <alignment horizontal="left" vertical="center"/>
    </xf>
    <xf numFmtId="0" fontId="584" fillId="2" borderId="529" xfId="35" applyFont="1" applyFill="1" applyBorder="1"/>
    <xf numFmtId="0" fontId="63" fillId="2" borderId="530" xfId="35" applyFont="1" applyFill="1" applyBorder="1"/>
    <xf numFmtId="0" fontId="63" fillId="2" borderId="531" xfId="35" applyFont="1" applyFill="1" applyBorder="1"/>
    <xf numFmtId="0" fontId="500" fillId="2" borderId="526" xfId="35" applyFont="1" applyFill="1" applyBorder="1" applyAlignment="1">
      <alignment vertical="center"/>
    </xf>
    <xf numFmtId="0" fontId="593" fillId="2" borderId="0" xfId="37" applyFont="1" applyFill="1" applyAlignment="1">
      <alignment horizontal="left" vertical="center"/>
    </xf>
    <xf numFmtId="0" fontId="500" fillId="2" borderId="0" xfId="37" applyFont="1" applyFill="1" applyAlignment="1">
      <alignment horizontal="left" vertical="center"/>
    </xf>
    <xf numFmtId="0" fontId="79" fillId="3" borderId="0" xfId="35" applyFont="1" applyFill="1" applyAlignment="1">
      <alignment horizontal="right" vertical="center"/>
    </xf>
    <xf numFmtId="0" fontId="500" fillId="3" borderId="528" xfId="35" applyFont="1" applyFill="1" applyBorder="1"/>
    <xf numFmtId="0" fontId="331" fillId="2" borderId="526" xfId="37" applyFont="1" applyFill="1" applyBorder="1" applyAlignment="1">
      <alignment horizontal="right" vertical="center"/>
    </xf>
    <xf numFmtId="0" fontId="331" fillId="2" borderId="528" xfId="37" applyFont="1" applyFill="1" applyBorder="1" applyAlignment="1">
      <alignment horizontal="right" vertical="center"/>
    </xf>
    <xf numFmtId="0" fontId="331" fillId="3" borderId="0" xfId="37" applyFont="1" applyFill="1" applyAlignment="1">
      <alignment horizontal="left" vertical="center"/>
    </xf>
    <xf numFmtId="0" fontId="331" fillId="2" borderId="530" xfId="35" applyFont="1" applyFill="1" applyBorder="1"/>
    <xf numFmtId="0" fontId="83" fillId="2" borderId="530" xfId="37" applyFont="1" applyFill="1" applyBorder="1" applyAlignment="1">
      <alignment horizontal="right" vertical="center"/>
    </xf>
    <xf numFmtId="0" fontId="331" fillId="2" borderId="530" xfId="37" applyFont="1" applyFill="1" applyBorder="1" applyAlignment="1">
      <alignment horizontal="right" vertical="center"/>
    </xf>
    <xf numFmtId="0" fontId="331" fillId="2" borderId="531" xfId="37" applyFont="1" applyFill="1" applyBorder="1" applyAlignment="1">
      <alignment horizontal="right" vertical="center"/>
    </xf>
    <xf numFmtId="0" fontId="79" fillId="61" borderId="0" xfId="35" applyFont="1" applyFill="1" applyAlignment="1">
      <alignment horizontal="right" vertical="center"/>
    </xf>
    <xf numFmtId="0" fontId="591" fillId="61" borderId="0" xfId="35" applyFont="1" applyFill="1"/>
    <xf numFmtId="0" fontId="500" fillId="61" borderId="528" xfId="35" applyFont="1" applyFill="1" applyBorder="1"/>
    <xf numFmtId="0" fontId="63" fillId="2" borderId="527" xfId="35" applyFont="1" applyFill="1" applyBorder="1"/>
    <xf numFmtId="0" fontId="75" fillId="2" borderId="530" xfId="35" applyFont="1" applyFill="1" applyBorder="1"/>
    <xf numFmtId="0" fontId="63" fillId="61" borderId="0" xfId="37" applyFont="1" applyFill="1" applyAlignment="1">
      <alignment horizontal="right" vertical="center"/>
    </xf>
    <xf numFmtId="0" fontId="84" fillId="2" borderId="0" xfId="35" applyFont="1" applyFill="1"/>
    <xf numFmtId="0" fontId="591" fillId="2" borderId="532" xfId="35" applyFont="1" applyFill="1" applyBorder="1"/>
    <xf numFmtId="0" fontId="331" fillId="2" borderId="0" xfId="37" applyFont="1" applyFill="1" applyAlignment="1">
      <alignment horizontal="left" vertical="center"/>
    </xf>
    <xf numFmtId="0" fontId="331" fillId="2" borderId="530" xfId="35" applyFont="1" applyFill="1" applyBorder="1" applyAlignment="1">
      <alignment vertical="center"/>
    </xf>
    <xf numFmtId="0" fontId="331" fillId="2" borderId="531" xfId="35" applyFont="1" applyFill="1" applyBorder="1"/>
    <xf numFmtId="0" fontId="594" fillId="2" borderId="533" xfId="35" applyFont="1" applyFill="1" applyBorder="1"/>
    <xf numFmtId="0" fontId="591" fillId="2" borderId="534" xfId="35" applyFont="1" applyFill="1" applyBorder="1"/>
    <xf numFmtId="0" fontId="500" fillId="2" borderId="534" xfId="37" applyFont="1" applyFill="1" applyBorder="1" applyAlignment="1">
      <alignment horizontal="right" vertical="center"/>
    </xf>
    <xf numFmtId="0" fontId="591" fillId="2" borderId="534" xfId="37" applyFont="1" applyFill="1" applyBorder="1" applyAlignment="1">
      <alignment horizontal="right" vertical="center"/>
    </xf>
    <xf numFmtId="0" fontId="591" fillId="2" borderId="534" xfId="35" applyFont="1" applyFill="1" applyBorder="1" applyAlignment="1">
      <alignment vertical="center"/>
    </xf>
    <xf numFmtId="0" fontId="591" fillId="2" borderId="535" xfId="35" applyFont="1" applyFill="1" applyBorder="1"/>
    <xf numFmtId="0" fontId="591" fillId="2" borderId="0" xfId="37" applyFont="1" applyFill="1" applyAlignment="1">
      <alignment horizontal="right" vertical="center"/>
    </xf>
    <xf numFmtId="0" fontId="591" fillId="2" borderId="0" xfId="35" applyFont="1" applyFill="1" applyAlignment="1">
      <alignment vertical="center"/>
    </xf>
    <xf numFmtId="0" fontId="594" fillId="2" borderId="536" xfId="35" applyFont="1" applyFill="1" applyBorder="1"/>
    <xf numFmtId="0" fontId="38" fillId="61" borderId="530" xfId="35" applyFont="1" applyFill="1" applyBorder="1"/>
    <xf numFmtId="0" fontId="89" fillId="61" borderId="537" xfId="37" applyFont="1" applyFill="1" applyBorder="1" applyAlignment="1">
      <alignment horizontal="right" vertical="center"/>
    </xf>
    <xf numFmtId="0" fontId="595" fillId="61" borderId="537" xfId="37" applyFont="1" applyFill="1" applyBorder="1" applyAlignment="1">
      <alignment horizontal="right" vertical="center"/>
    </xf>
    <xf numFmtId="0" fontId="591" fillId="2" borderId="537" xfId="35" applyFont="1" applyFill="1" applyBorder="1"/>
    <xf numFmtId="0" fontId="591" fillId="2" borderId="538" xfId="35" applyFont="1" applyFill="1" applyBorder="1"/>
    <xf numFmtId="0" fontId="596" fillId="2" borderId="0" xfId="35" applyFont="1" applyFill="1" applyAlignment="1">
      <alignment horizontal="center" vertical="center"/>
    </xf>
    <xf numFmtId="0" fontId="79" fillId="2" borderId="0" xfId="35" applyFont="1" applyFill="1" applyAlignment="1">
      <alignment horizontal="left" vertical="center"/>
    </xf>
    <xf numFmtId="0" fontId="331" fillId="2" borderId="528" xfId="35" applyFont="1" applyFill="1" applyBorder="1"/>
    <xf numFmtId="0" fontId="63" fillId="61" borderId="0" xfId="35" applyFont="1" applyFill="1" applyAlignment="1">
      <alignment horizontal="center" vertical="center"/>
    </xf>
    <xf numFmtId="0" fontId="596" fillId="2" borderId="0" xfId="35" applyFont="1" applyFill="1" applyAlignment="1">
      <alignment horizontal="left" vertical="center"/>
    </xf>
    <xf numFmtId="0" fontId="500" fillId="2" borderId="529" xfId="35" applyFont="1" applyFill="1" applyBorder="1"/>
    <xf numFmtId="0" fontId="79" fillId="2" borderId="530" xfId="35" applyFont="1" applyFill="1" applyBorder="1" applyAlignment="1">
      <alignment horizontal="left" vertical="center"/>
    </xf>
    <xf numFmtId="0" fontId="63" fillId="2" borderId="0" xfId="35" applyFont="1" applyFill="1"/>
    <xf numFmtId="0" fontId="63" fillId="2" borderId="533" xfId="35" applyFont="1" applyFill="1" applyBorder="1"/>
    <xf numFmtId="0" fontId="500" fillId="2" borderId="534" xfId="35" applyFont="1" applyFill="1" applyBorder="1"/>
    <xf numFmtId="0" fontId="500" fillId="2" borderId="542" xfId="37" applyFont="1" applyFill="1" applyBorder="1" applyAlignment="1">
      <alignment horizontal="right" vertical="center"/>
    </xf>
    <xf numFmtId="0" fontId="63" fillId="2" borderId="543" xfId="35" applyFont="1" applyFill="1" applyBorder="1"/>
    <xf numFmtId="0" fontId="500" fillId="2" borderId="544" xfId="37" applyFont="1" applyFill="1" applyBorder="1" applyAlignment="1">
      <alignment horizontal="right" vertical="center"/>
    </xf>
    <xf numFmtId="0" fontId="593" fillId="2" borderId="0" xfId="35" applyFont="1" applyFill="1"/>
    <xf numFmtId="0" fontId="500" fillId="2" borderId="544" xfId="35" applyFont="1" applyFill="1" applyBorder="1"/>
    <xf numFmtId="0" fontId="500" fillId="2" borderId="543" xfId="37" applyFont="1" applyFill="1" applyBorder="1" applyAlignment="1">
      <alignment horizontal="center" vertical="center"/>
    </xf>
    <xf numFmtId="0" fontId="596" fillId="2" borderId="0" xfId="35" applyFont="1" applyFill="1" applyAlignment="1">
      <alignment horizontal="right" vertical="center"/>
    </xf>
    <xf numFmtId="0" fontId="500" fillId="2" borderId="0" xfId="35" applyFont="1" applyFill="1" applyAlignment="1">
      <alignment horizontal="left" vertical="center"/>
    </xf>
    <xf numFmtId="0" fontId="63" fillId="2" borderId="544" xfId="35" applyFont="1" applyFill="1" applyBorder="1"/>
    <xf numFmtId="0" fontId="500" fillId="2" borderId="544" xfId="35" applyFont="1" applyFill="1" applyBorder="1" applyAlignment="1">
      <alignment vertical="center"/>
    </xf>
    <xf numFmtId="0" fontId="63" fillId="2" borderId="536" xfId="35" applyFont="1" applyFill="1" applyBorder="1"/>
    <xf numFmtId="0" fontId="596" fillId="2" borderId="537" xfId="35" applyFont="1" applyFill="1" applyBorder="1" applyAlignment="1">
      <alignment horizontal="left" vertical="center"/>
    </xf>
    <xf numFmtId="0" fontId="500" fillId="2" borderId="537" xfId="35" applyFont="1" applyFill="1" applyBorder="1" applyAlignment="1">
      <alignment vertical="center"/>
    </xf>
    <xf numFmtId="0" fontId="500" fillId="2" borderId="545" xfId="35" applyFont="1" applyFill="1" applyBorder="1" applyAlignment="1">
      <alignment vertical="center"/>
    </xf>
    <xf numFmtId="0" fontId="593" fillId="2" borderId="0" xfId="37" applyFont="1" applyFill="1" applyAlignment="1">
      <alignment horizontal="right" vertical="center"/>
    </xf>
    <xf numFmtId="0" fontId="500" fillId="2" borderId="528" xfId="35" applyFont="1" applyFill="1" applyBorder="1" applyAlignment="1">
      <alignment vertical="center"/>
    </xf>
    <xf numFmtId="0" fontId="42" fillId="2" borderId="528" xfId="35" applyFont="1" applyFill="1" applyBorder="1" applyAlignment="1">
      <alignment vertical="center"/>
    </xf>
    <xf numFmtId="14" fontId="598" fillId="2" borderId="0" xfId="35" applyNumberFormat="1" applyFont="1" applyFill="1"/>
    <xf numFmtId="0" fontId="599" fillId="2" borderId="0" xfId="35" applyFont="1" applyFill="1" applyAlignment="1">
      <alignment horizontal="center" vertical="center"/>
    </xf>
    <xf numFmtId="0" fontId="75" fillId="2" borderId="0" xfId="35" applyFont="1" applyFill="1" applyAlignment="1">
      <alignment horizontal="left" vertical="center"/>
    </xf>
    <xf numFmtId="0" fontId="600" fillId="2" borderId="0" xfId="37" applyFont="1" applyFill="1" applyAlignment="1">
      <alignment horizontal="right" vertical="center"/>
    </xf>
    <xf numFmtId="0" fontId="600" fillId="2" borderId="0" xfId="35" applyFont="1" applyFill="1" applyAlignment="1">
      <alignment vertical="center"/>
    </xf>
    <xf numFmtId="0" fontId="600" fillId="2" borderId="0" xfId="35" applyFont="1" applyFill="1"/>
    <xf numFmtId="0" fontId="24" fillId="2" borderId="0" xfId="35" applyFont="1" applyFill="1"/>
    <xf numFmtId="0" fontId="33" fillId="2" borderId="0" xfId="35" applyFont="1" applyFill="1" applyAlignment="1">
      <alignment horizontal="left" vertical="center"/>
    </xf>
    <xf numFmtId="0" fontId="601" fillId="2" borderId="0" xfId="35" applyFont="1" applyFill="1" applyAlignment="1">
      <alignment horizontal="center" vertical="center"/>
    </xf>
    <xf numFmtId="0" fontId="64" fillId="5" borderId="0" xfId="39" applyFont="1" applyFill="1"/>
    <xf numFmtId="0" fontId="42" fillId="61" borderId="0" xfId="39" applyFont="1" applyFill="1"/>
    <xf numFmtId="0" fontId="84" fillId="61" borderId="0" xfId="35" applyFont="1" applyFill="1"/>
    <xf numFmtId="0" fontId="79" fillId="52" borderId="0" xfId="35" applyFont="1" applyFill="1" applyAlignment="1" applyProtection="1">
      <alignment horizontal="center" vertical="center"/>
      <protection hidden="1"/>
    </xf>
    <xf numFmtId="0" fontId="602" fillId="61" borderId="0" xfId="15" applyFont="1" applyFill="1" applyAlignment="1" applyProtection="1"/>
    <xf numFmtId="0" fontId="24" fillId="61" borderId="0" xfId="35" applyFont="1" applyFill="1"/>
    <xf numFmtId="0" fontId="377" fillId="2" borderId="0" xfId="46" applyFont="1" applyFill="1" applyAlignment="1" applyProtection="1">
      <alignment vertical="center"/>
    </xf>
    <xf numFmtId="0" fontId="16" fillId="2" borderId="0" xfId="35" applyFont="1" applyFill="1" applyAlignment="1">
      <alignment vertical="center"/>
    </xf>
    <xf numFmtId="0" fontId="16" fillId="2" borderId="0" xfId="35" applyFont="1" applyFill="1" applyProtection="1">
      <protection hidden="1"/>
    </xf>
    <xf numFmtId="0" fontId="330" fillId="2" borderId="0" xfId="35" applyFont="1" applyFill="1" applyAlignment="1">
      <alignment vertical="center"/>
    </xf>
    <xf numFmtId="0" fontId="10" fillId="2" borderId="0" xfId="35" applyFont="1" applyFill="1" applyAlignment="1">
      <alignment vertical="center"/>
    </xf>
    <xf numFmtId="0" fontId="13" fillId="2" borderId="0" xfId="35" applyFont="1" applyFill="1" applyAlignment="1">
      <alignment horizontal="center" vertical="center"/>
    </xf>
    <xf numFmtId="0" fontId="603" fillId="2" borderId="0" xfId="3" applyFont="1" applyFill="1" applyAlignment="1" applyProtection="1">
      <alignment horizontal="left" vertical="center"/>
      <protection hidden="1"/>
    </xf>
    <xf numFmtId="0" fontId="604" fillId="2" borderId="0" xfId="35" applyFont="1" applyFill="1" applyProtection="1">
      <protection hidden="1"/>
    </xf>
    <xf numFmtId="0" fontId="333" fillId="2" borderId="0" xfId="41" applyFont="1" applyFill="1" applyAlignment="1">
      <alignment vertical="center"/>
    </xf>
    <xf numFmtId="0" fontId="577" fillId="2" borderId="0" xfId="41" applyFont="1" applyFill="1" applyAlignment="1">
      <alignment vertical="center"/>
    </xf>
    <xf numFmtId="0" fontId="603" fillId="2" borderId="0" xfId="35" applyFont="1" applyFill="1" applyAlignment="1" applyProtection="1">
      <alignment vertical="center"/>
      <protection hidden="1"/>
    </xf>
    <xf numFmtId="0" fontId="3" fillId="2" borderId="0" xfId="41" applyFont="1" applyFill="1"/>
    <xf numFmtId="0" fontId="603" fillId="2" borderId="0" xfId="0" applyFont="1" applyFill="1" applyAlignment="1">
      <alignment horizontal="left" vertical="center"/>
    </xf>
    <xf numFmtId="0" fontId="79" fillId="2" borderId="0" xfId="0" applyFont="1" applyFill="1" applyAlignment="1">
      <alignment horizontal="left" vertical="top"/>
    </xf>
    <xf numFmtId="0" fontId="374" fillId="55" borderId="51" xfId="35" applyFont="1" applyFill="1" applyBorder="1" applyAlignment="1">
      <alignment horizontal="center" vertical="center"/>
    </xf>
    <xf numFmtId="0" fontId="328" fillId="52" borderId="0" xfId="35" applyFont="1" applyFill="1" applyAlignment="1" applyProtection="1">
      <alignment horizontal="center" vertical="center"/>
      <protection hidden="1"/>
    </xf>
    <xf numFmtId="0" fontId="555" fillId="3" borderId="0" xfId="25" applyFont="1" applyFill="1" applyAlignment="1" applyProtection="1">
      <alignment vertical="center"/>
      <protection hidden="1"/>
    </xf>
    <xf numFmtId="0" fontId="605" fillId="2" borderId="0" xfId="35" applyFont="1" applyFill="1" applyAlignment="1">
      <alignment vertical="center"/>
    </xf>
    <xf numFmtId="0" fontId="240" fillId="52" borderId="0" xfId="35" applyFont="1" applyFill="1" applyAlignment="1" applyProtection="1">
      <alignment vertical="center"/>
      <protection hidden="1"/>
    </xf>
    <xf numFmtId="0" fontId="606" fillId="5" borderId="0" xfId="25" applyFont="1" applyFill="1" applyAlignment="1">
      <alignment vertical="center"/>
    </xf>
    <xf numFmtId="0" fontId="9" fillId="61" borderId="0" xfId="35" applyFont="1" applyFill="1" applyAlignment="1">
      <alignment vertical="center"/>
    </xf>
    <xf numFmtId="0" fontId="556" fillId="61" borderId="0" xfId="25" applyFont="1" applyFill="1" applyAlignment="1">
      <alignment vertical="center"/>
    </xf>
    <xf numFmtId="0" fontId="607" fillId="61" borderId="0" xfId="35" applyFont="1" applyFill="1" applyAlignment="1">
      <alignment vertical="center"/>
    </xf>
    <xf numFmtId="0" fontId="581" fillId="61" borderId="0" xfId="35" applyFont="1" applyFill="1"/>
    <xf numFmtId="0" fontId="608" fillId="2" borderId="0" xfId="35" applyFont="1" applyFill="1" applyAlignment="1">
      <alignment vertical="center"/>
    </xf>
    <xf numFmtId="0" fontId="607" fillId="2" borderId="0" xfId="35" applyFont="1" applyFill="1" applyAlignment="1">
      <alignment vertical="center"/>
    </xf>
    <xf numFmtId="0" fontId="581" fillId="2" borderId="0" xfId="35" applyFont="1" applyFill="1"/>
    <xf numFmtId="0" fontId="7" fillId="61" borderId="0" xfId="35" applyFill="1"/>
    <xf numFmtId="0" fontId="608" fillId="2" borderId="0" xfId="35" applyFont="1" applyFill="1"/>
    <xf numFmtId="0" fontId="606" fillId="5" borderId="0" xfId="25" applyFont="1" applyFill="1" applyAlignment="1" applyProtection="1">
      <alignment vertical="center"/>
    </xf>
    <xf numFmtId="0" fontId="556" fillId="61" borderId="0" xfId="25" applyFont="1" applyFill="1" applyAlignment="1" applyProtection="1">
      <alignment vertical="center"/>
    </xf>
    <xf numFmtId="0" fontId="240" fillId="52" borderId="0" xfId="35" applyFont="1" applyFill="1" applyAlignment="1" applyProtection="1">
      <alignment horizontal="center" vertical="center"/>
      <protection hidden="1"/>
    </xf>
    <xf numFmtId="0" fontId="609" fillId="5" borderId="0" xfId="47" applyFont="1" applyFill="1" applyAlignment="1">
      <alignment vertical="center"/>
    </xf>
    <xf numFmtId="0" fontId="329" fillId="61" borderId="0" xfId="47" applyFont="1" applyFill="1" applyAlignment="1">
      <alignment vertical="center"/>
    </xf>
    <xf numFmtId="0" fontId="603" fillId="2" borderId="0" xfId="35" applyFont="1" applyFill="1" applyAlignment="1">
      <alignment vertical="center"/>
    </xf>
    <xf numFmtId="0" fontId="240" fillId="52" borderId="0" xfId="0" applyFont="1" applyFill="1" applyAlignment="1">
      <alignment horizontal="center" vertical="center"/>
    </xf>
    <xf numFmtId="0" fontId="331" fillId="61" borderId="0" xfId="37" applyFont="1" applyFill="1" applyAlignment="1">
      <alignment horizontal="right" vertical="center"/>
    </xf>
    <xf numFmtId="0" fontId="83" fillId="61" borderId="0" xfId="35" applyFont="1" applyFill="1"/>
    <xf numFmtId="0" fontId="83" fillId="61" borderId="0" xfId="0" applyFont="1" applyFill="1"/>
    <xf numFmtId="0" fontId="331" fillId="61" borderId="0" xfId="35" applyFont="1" applyFill="1"/>
    <xf numFmtId="0" fontId="240" fillId="61" borderId="0" xfId="41" applyFont="1" applyFill="1" applyAlignment="1">
      <alignment horizontal="center" vertical="center"/>
    </xf>
    <xf numFmtId="0" fontId="379" fillId="2" borderId="0" xfId="41" applyFont="1" applyFill="1"/>
    <xf numFmtId="0" fontId="84" fillId="2" borderId="0" xfId="35" applyFont="1" applyFill="1" applyAlignment="1">
      <alignment vertical="center"/>
    </xf>
    <xf numFmtId="0" fontId="610" fillId="3" borderId="0" xfId="1" applyFont="1" applyFill="1" applyBorder="1" applyAlignment="1" applyProtection="1">
      <alignment horizontal="center" vertical="center" wrapText="1"/>
      <protection hidden="1"/>
    </xf>
    <xf numFmtId="0" fontId="91" fillId="3" borderId="482" xfId="12" applyFont="1" applyFill="1" applyBorder="1" applyAlignment="1" applyProtection="1">
      <alignment vertical="center"/>
      <protection hidden="1"/>
    </xf>
    <xf numFmtId="0" fontId="91" fillId="3" borderId="549" xfId="12" applyFont="1" applyFill="1" applyBorder="1" applyAlignment="1">
      <alignment horizontal="center" vertical="center"/>
    </xf>
    <xf numFmtId="0" fontId="611" fillId="3" borderId="0" xfId="12" applyFont="1" applyFill="1" applyAlignment="1" applyProtection="1">
      <alignment vertical="center"/>
      <protection locked="0"/>
    </xf>
    <xf numFmtId="0" fontId="611" fillId="3" borderId="348" xfId="12" applyFont="1" applyFill="1" applyBorder="1" applyAlignment="1" applyProtection="1">
      <alignment vertical="center"/>
      <protection locked="0"/>
    </xf>
    <xf numFmtId="0" fontId="612" fillId="3" borderId="0" xfId="3" applyFont="1" applyFill="1" applyAlignment="1">
      <alignment horizontal="center" vertical="center"/>
    </xf>
    <xf numFmtId="0" fontId="91" fillId="3" borderId="0" xfId="12" applyFont="1" applyFill="1" applyAlignment="1" applyProtection="1">
      <alignment horizontal="right" vertical="center"/>
      <protection hidden="1"/>
    </xf>
    <xf numFmtId="2" fontId="115" fillId="183" borderId="0" xfId="42" applyNumberFormat="1" applyFont="1" applyFill="1" applyAlignment="1">
      <alignment horizontal="right" vertical="center"/>
    </xf>
    <xf numFmtId="0" fontId="613" fillId="61" borderId="0" xfId="12" applyFont="1" applyFill="1" applyAlignment="1" applyProtection="1">
      <alignment horizontal="center" vertical="center"/>
      <protection hidden="1"/>
    </xf>
    <xf numFmtId="0" fontId="613" fillId="3" borderId="0" xfId="12" applyFont="1" applyFill="1" applyAlignment="1" applyProtection="1">
      <alignment horizontal="left" vertical="center"/>
      <protection locked="0"/>
    </xf>
    <xf numFmtId="0" fontId="613" fillId="3" borderId="0" xfId="12" applyFont="1" applyFill="1" applyAlignment="1" applyProtection="1">
      <alignment horizontal="left" vertical="center"/>
      <protection hidden="1"/>
    </xf>
    <xf numFmtId="0" fontId="613" fillId="3" borderId="348" xfId="12" applyFont="1" applyFill="1" applyBorder="1" applyAlignment="1" applyProtection="1">
      <alignment horizontal="left" vertical="center"/>
      <protection locked="0"/>
    </xf>
    <xf numFmtId="0" fontId="163" fillId="0" borderId="0" xfId="48" applyFont="1" applyAlignment="1">
      <alignment horizontal="center" vertical="center"/>
    </xf>
    <xf numFmtId="0" fontId="572" fillId="3" borderId="0" xfId="12" applyFont="1" applyFill="1" applyAlignment="1" applyProtection="1">
      <alignment horizontal="right" vertical="center"/>
      <protection hidden="1"/>
    </xf>
    <xf numFmtId="165" fontId="499" fillId="3" borderId="550" xfId="12" applyNumberFormat="1" applyFont="1" applyFill="1" applyBorder="1" applyAlignment="1" applyProtection="1">
      <alignment horizontal="right" vertical="center"/>
      <protection locked="0"/>
    </xf>
    <xf numFmtId="0" fontId="614" fillId="3" borderId="550" xfId="12" applyFont="1" applyFill="1" applyBorder="1" applyAlignment="1" applyProtection="1">
      <alignment horizontal="right" vertical="center"/>
      <protection hidden="1"/>
    </xf>
    <xf numFmtId="2" fontId="91" fillId="3" borderId="550" xfId="42" applyNumberFormat="1" applyFont="1" applyFill="1" applyBorder="1" applyAlignment="1">
      <alignment horizontal="center" vertical="center"/>
    </xf>
    <xf numFmtId="0" fontId="615" fillId="61" borderId="550" xfId="12" applyFont="1" applyFill="1" applyBorder="1" applyAlignment="1" applyProtection="1">
      <alignment horizontal="center" vertical="center"/>
      <protection hidden="1"/>
    </xf>
    <xf numFmtId="0" fontId="90" fillId="3" borderId="550" xfId="42" applyFont="1" applyFill="1" applyBorder="1" applyAlignment="1">
      <alignment vertical="center"/>
    </xf>
    <xf numFmtId="0" fontId="614" fillId="3" borderId="550" xfId="42" applyFont="1" applyFill="1" applyBorder="1" applyAlignment="1">
      <alignment horizontal="right" vertical="center"/>
    </xf>
    <xf numFmtId="0" fontId="33" fillId="68" borderId="551" xfId="48" applyFont="1" applyFill="1" applyBorder="1" applyAlignment="1">
      <alignment horizontal="center" vertical="center"/>
    </xf>
    <xf numFmtId="0" fontId="2" fillId="55" borderId="510" xfId="48" applyFill="1" applyBorder="1"/>
    <xf numFmtId="0" fontId="2" fillId="55" borderId="188" xfId="48" applyFill="1" applyBorder="1"/>
    <xf numFmtId="0" fontId="2" fillId="55" borderId="210" xfId="48" applyFill="1" applyBorder="1"/>
    <xf numFmtId="0" fontId="616" fillId="16" borderId="345" xfId="48" applyFont="1" applyFill="1" applyBorder="1" applyAlignment="1">
      <alignment vertical="center"/>
    </xf>
    <xf numFmtId="0" fontId="616" fillId="16" borderId="0" xfId="48" applyFont="1" applyFill="1" applyAlignment="1">
      <alignment vertical="center"/>
    </xf>
    <xf numFmtId="0" fontId="616" fillId="16" borderId="348" xfId="48" applyFont="1" applyFill="1" applyBorder="1" applyAlignment="1">
      <alignment vertical="center"/>
    </xf>
    <xf numFmtId="0" fontId="617" fillId="16" borderId="345" xfId="48" applyFont="1" applyFill="1" applyBorder="1" applyAlignment="1">
      <alignment vertical="center"/>
    </xf>
    <xf numFmtId="0" fontId="617" fillId="16" borderId="0" xfId="48" applyFont="1" applyFill="1" applyAlignment="1">
      <alignment vertical="center"/>
    </xf>
    <xf numFmtId="0" fontId="617" fillId="16" borderId="348" xfId="48" applyFont="1" applyFill="1" applyBorder="1" applyAlignment="1">
      <alignment vertical="center"/>
    </xf>
    <xf numFmtId="0" fontId="208" fillId="186" borderId="0" xfId="48" applyFont="1" applyFill="1" applyAlignment="1">
      <alignment horizontal="right" vertical="center"/>
    </xf>
    <xf numFmtId="0" fontId="80" fillId="16" borderId="0" xfId="13" applyFont="1" applyFill="1" applyBorder="1" applyAlignment="1">
      <alignment vertical="center"/>
    </xf>
    <xf numFmtId="0" fontId="91" fillId="3" borderId="0" xfId="12" applyFont="1" applyFill="1" applyAlignment="1" applyProtection="1">
      <alignment vertical="center"/>
      <protection hidden="1"/>
    </xf>
    <xf numFmtId="0" fontId="618" fillId="16" borderId="345" xfId="48" applyFont="1" applyFill="1" applyBorder="1" applyAlignment="1">
      <alignment vertical="center"/>
    </xf>
    <xf numFmtId="0" fontId="618" fillId="16" borderId="0" xfId="48" applyFont="1" applyFill="1" applyAlignment="1">
      <alignment vertical="center"/>
    </xf>
    <xf numFmtId="0" fontId="281" fillId="16" borderId="345" xfId="48" applyFont="1" applyFill="1" applyBorder="1" applyAlignment="1">
      <alignment vertical="center"/>
    </xf>
    <xf numFmtId="0" fontId="281" fillId="16" borderId="0" xfId="48" applyFont="1" applyFill="1" applyAlignment="1">
      <alignment vertical="center"/>
    </xf>
    <xf numFmtId="0" fontId="617" fillId="16" borderId="0" xfId="48" applyFont="1" applyFill="1" applyAlignment="1">
      <alignment vertical="center" wrapText="1"/>
    </xf>
    <xf numFmtId="0" fontId="617" fillId="16" borderId="348" xfId="48" applyFont="1" applyFill="1" applyBorder="1" applyAlignment="1">
      <alignment vertical="center" wrapText="1"/>
    </xf>
    <xf numFmtId="0" fontId="619" fillId="16" borderId="345" xfId="48" applyFont="1" applyFill="1" applyBorder="1" applyAlignment="1">
      <alignment vertical="center"/>
    </xf>
    <xf numFmtId="0" fontId="619" fillId="16" borderId="0" xfId="48" applyFont="1" applyFill="1" applyAlignment="1">
      <alignment vertical="center"/>
    </xf>
    <xf numFmtId="0" fontId="620" fillId="16" borderId="0" xfId="48" applyFont="1" applyFill="1" applyAlignment="1">
      <alignment vertical="center"/>
    </xf>
    <xf numFmtId="0" fontId="620" fillId="16" borderId="348" xfId="48" applyFont="1" applyFill="1" applyBorder="1" applyAlignment="1">
      <alignment vertical="center"/>
    </xf>
    <xf numFmtId="0" fontId="620" fillId="16" borderId="0" xfId="48" applyFont="1" applyFill="1" applyAlignment="1">
      <alignment vertical="center" wrapText="1"/>
    </xf>
    <xf numFmtId="0" fontId="620" fillId="16" borderId="348" xfId="48" applyFont="1" applyFill="1" applyBorder="1" applyAlignment="1">
      <alignment vertical="center" wrapText="1"/>
    </xf>
    <xf numFmtId="0" fontId="213" fillId="16" borderId="345" xfId="48" applyFont="1" applyFill="1" applyBorder="1" applyAlignment="1">
      <alignment vertical="center"/>
    </xf>
    <xf numFmtId="0" fontId="213" fillId="16" borderId="0" xfId="48" applyFont="1" applyFill="1" applyAlignment="1">
      <alignment vertical="center"/>
    </xf>
    <xf numFmtId="0" fontId="621" fillId="16" borderId="0" xfId="48" applyFont="1" applyFill="1" applyAlignment="1">
      <alignment vertical="center"/>
    </xf>
    <xf numFmtId="0" fontId="621" fillId="16" borderId="348" xfId="48" applyFont="1" applyFill="1" applyBorder="1" applyAlignment="1">
      <alignment vertical="center"/>
    </xf>
    <xf numFmtId="0" fontId="621" fillId="16" borderId="0" xfId="48" applyFont="1" applyFill="1" applyAlignment="1">
      <alignment vertical="center" wrapText="1"/>
    </xf>
    <xf numFmtId="0" fontId="621" fillId="16" borderId="348" xfId="48" applyFont="1" applyFill="1" applyBorder="1" applyAlignment="1">
      <alignment vertical="center" wrapText="1"/>
    </xf>
    <xf numFmtId="0" fontId="622" fillId="148" borderId="0" xfId="48" applyFont="1" applyFill="1" applyAlignment="1">
      <alignment horizontal="left" vertical="center"/>
    </xf>
    <xf numFmtId="0" fontId="622" fillId="148" borderId="0" xfId="48" applyFont="1" applyFill="1" applyAlignment="1">
      <alignment vertical="center"/>
    </xf>
    <xf numFmtId="0" fontId="622" fillId="148" borderId="0" xfId="48" applyFont="1" applyFill="1" applyAlignment="1">
      <alignment vertical="center" wrapText="1"/>
    </xf>
    <xf numFmtId="0" fontId="622" fillId="148" borderId="348" xfId="48" applyFont="1" applyFill="1" applyBorder="1" applyAlignment="1">
      <alignment vertical="center" wrapText="1"/>
    </xf>
    <xf numFmtId="165" fontId="499" fillId="3" borderId="206" xfId="12" applyNumberFormat="1" applyFont="1" applyFill="1" applyBorder="1" applyAlignment="1" applyProtection="1">
      <alignment horizontal="right" vertical="center"/>
      <protection locked="0"/>
    </xf>
    <xf numFmtId="0" fontId="614" fillId="3" borderId="206" xfId="12" applyFont="1" applyFill="1" applyBorder="1" applyAlignment="1" applyProtection="1">
      <alignment horizontal="right" vertical="center"/>
      <protection hidden="1"/>
    </xf>
    <xf numFmtId="2" fontId="91" fillId="3" borderId="206" xfId="42" applyNumberFormat="1" applyFont="1" applyFill="1" applyBorder="1" applyAlignment="1">
      <alignment horizontal="center" vertical="center"/>
    </xf>
    <xf numFmtId="0" fontId="615" fillId="61" borderId="206" xfId="12" applyFont="1" applyFill="1" applyBorder="1" applyAlignment="1" applyProtection="1">
      <alignment horizontal="center" vertical="center"/>
      <protection hidden="1"/>
    </xf>
    <xf numFmtId="0" fontId="90" fillId="3" borderId="206" xfId="42" applyFont="1" applyFill="1" applyBorder="1" applyAlignment="1">
      <alignment vertical="center"/>
    </xf>
    <xf numFmtId="0" fontId="614" fillId="3" borderId="206" xfId="42" applyFont="1" applyFill="1" applyBorder="1" applyAlignment="1">
      <alignment horizontal="right" vertical="center"/>
    </xf>
    <xf numFmtId="0" fontId="7" fillId="3" borderId="0" xfId="3" applyFill="1" applyAlignment="1">
      <alignment vertical="center"/>
    </xf>
    <xf numFmtId="0" fontId="41" fillId="0" borderId="0" xfId="3" applyFont="1" applyAlignment="1">
      <alignment horizontal="right" vertical="center"/>
    </xf>
    <xf numFmtId="0" fontId="84" fillId="56" borderId="0" xfId="3" applyFont="1" applyFill="1" applyAlignment="1">
      <alignment horizontal="center" vertical="center"/>
    </xf>
    <xf numFmtId="0" fontId="50" fillId="181" borderId="0" xfId="12" applyFont="1" applyFill="1" applyAlignment="1" applyProtection="1">
      <alignment horizontal="center" vertical="center" textRotation="90"/>
      <protection locked="0"/>
    </xf>
    <xf numFmtId="0" fontId="125" fillId="16" borderId="0" xfId="48" applyFont="1" applyFill="1"/>
    <xf numFmtId="0" fontId="621" fillId="16" borderId="0" xfId="6" applyFont="1" applyFill="1" applyAlignment="1">
      <alignment horizontal="right" vertical="center"/>
    </xf>
    <xf numFmtId="0" fontId="24" fillId="16" borderId="348" xfId="6" applyFont="1" applyFill="1" applyBorder="1" applyAlignment="1">
      <alignment horizontal="left" vertical="center" wrapText="1"/>
    </xf>
    <xf numFmtId="2" fontId="534" fillId="0" borderId="0" xfId="30" applyNumberFormat="1" applyFont="1" applyAlignment="1">
      <alignment horizontal="center" vertical="center"/>
    </xf>
    <xf numFmtId="0" fontId="42" fillId="0" borderId="0" xfId="30" applyFont="1" applyAlignment="1">
      <alignment horizontal="center" vertical="center"/>
    </xf>
    <xf numFmtId="0" fontId="42" fillId="0" borderId="0" xfId="30" applyFont="1" applyAlignment="1">
      <alignment horizontal="left" vertical="center"/>
    </xf>
    <xf numFmtId="0" fontId="620" fillId="16" borderId="345" xfId="48" applyFont="1" applyFill="1" applyBorder="1"/>
    <xf numFmtId="0" fontId="620" fillId="16" borderId="0" xfId="48" applyFont="1" applyFill="1"/>
    <xf numFmtId="0" fontId="623" fillId="55" borderId="447" xfId="48" applyFont="1" applyFill="1" applyBorder="1" applyAlignment="1">
      <alignment vertical="center"/>
    </xf>
    <xf numFmtId="0" fontId="623" fillId="55" borderId="507" xfId="48" applyFont="1" applyFill="1" applyBorder="1" applyAlignment="1">
      <alignment vertical="center"/>
    </xf>
    <xf numFmtId="0" fontId="623" fillId="55" borderId="508" xfId="48" applyFont="1" applyFill="1" applyBorder="1" applyAlignment="1">
      <alignment vertical="center"/>
    </xf>
    <xf numFmtId="0" fontId="72" fillId="3" borderId="163" xfId="3" applyFont="1" applyFill="1" applyBorder="1" applyAlignment="1">
      <alignment horizontal="center" vertical="center" wrapText="1"/>
    </xf>
    <xf numFmtId="0" fontId="80" fillId="3" borderId="0" xfId="13" applyFont="1" applyFill="1" applyBorder="1" applyAlignment="1">
      <alignment horizontal="left" vertical="center"/>
    </xf>
    <xf numFmtId="0" fontId="250" fillId="3" borderId="345" xfId="3" applyFont="1" applyFill="1" applyBorder="1" applyAlignment="1" applyProtection="1">
      <alignment horizontal="center" vertical="center"/>
      <protection hidden="1"/>
    </xf>
    <xf numFmtId="0" fontId="377" fillId="2" borderId="0" xfId="46" applyFont="1" applyFill="1" applyAlignment="1" applyProtection="1">
      <alignment horizontal="left" vertical="center"/>
    </xf>
    <xf numFmtId="0" fontId="557" fillId="4" borderId="0" xfId="0" applyFont="1" applyFill="1" applyBorder="1" applyAlignment="1">
      <alignment horizontal="center"/>
    </xf>
    <xf numFmtId="14" fontId="133" fillId="184" borderId="0" xfId="35" applyNumberFormat="1" applyFont="1" applyFill="1" applyAlignment="1">
      <alignment horizontal="center"/>
    </xf>
    <xf numFmtId="14" fontId="372" fillId="184" borderId="0" xfId="35" applyNumberFormat="1" applyFont="1" applyFill="1" applyAlignment="1">
      <alignment horizontal="center"/>
    </xf>
    <xf numFmtId="0" fontId="77" fillId="3" borderId="162" xfId="43" applyFont="1" applyFill="1" applyBorder="1" applyAlignment="1" applyProtection="1">
      <alignment horizontal="center" vertical="center"/>
      <protection locked="0"/>
    </xf>
    <xf numFmtId="0" fontId="77" fillId="3" borderId="379" xfId="43" applyFont="1" applyFill="1" applyBorder="1" applyAlignment="1" applyProtection="1">
      <alignment horizontal="center" vertical="center"/>
      <protection locked="0"/>
    </xf>
    <xf numFmtId="0" fontId="77" fillId="3" borderId="0" xfId="43" applyFont="1" applyFill="1" applyAlignment="1" applyProtection="1">
      <alignment horizontal="center" vertical="center"/>
      <protection locked="0"/>
    </xf>
    <xf numFmtId="0" fontId="77" fillId="3" borderId="163" xfId="43" applyFont="1" applyFill="1" applyBorder="1" applyAlignment="1" applyProtection="1">
      <alignment horizontal="center" vertical="center"/>
      <protection locked="0"/>
    </xf>
    <xf numFmtId="0" fontId="171" fillId="0" borderId="510" xfId="30" applyFont="1" applyBorder="1" applyAlignment="1">
      <alignment horizontal="center" vertical="center" wrapText="1"/>
    </xf>
    <xf numFmtId="0" fontId="171" fillId="0" borderId="188" xfId="30" applyFont="1" applyBorder="1" applyAlignment="1">
      <alignment horizontal="center" vertical="center" wrapText="1"/>
    </xf>
    <xf numFmtId="0" fontId="171" fillId="0" borderId="210" xfId="30" applyFont="1" applyBorder="1" applyAlignment="1">
      <alignment horizontal="center" vertical="center" wrapText="1"/>
    </xf>
    <xf numFmtId="0" fontId="171" fillId="0" borderId="345" xfId="30" applyFont="1" applyBorder="1" applyAlignment="1">
      <alignment horizontal="center" vertical="center" wrapText="1"/>
    </xf>
    <xf numFmtId="0" fontId="171" fillId="0" borderId="0" xfId="30" applyFont="1" applyAlignment="1">
      <alignment horizontal="center" vertical="center" wrapText="1"/>
    </xf>
    <xf numFmtId="0" fontId="171" fillId="0" borderId="348" xfId="30" applyFont="1" applyBorder="1" applyAlignment="1">
      <alignment horizontal="center" vertical="center" wrapText="1"/>
    </xf>
    <xf numFmtId="0" fontId="171" fillId="0" borderId="447" xfId="30" applyFont="1" applyBorder="1" applyAlignment="1">
      <alignment horizontal="center" vertical="center" wrapText="1"/>
    </xf>
    <xf numFmtId="0" fontId="171" fillId="0" borderId="507" xfId="30" applyFont="1" applyBorder="1" applyAlignment="1">
      <alignment horizontal="center" vertical="center" wrapText="1"/>
    </xf>
    <xf numFmtId="0" fontId="171" fillId="0" borderId="508" xfId="30" applyFont="1" applyBorder="1" applyAlignment="1">
      <alignment horizontal="center" vertical="center" wrapText="1"/>
    </xf>
    <xf numFmtId="0" fontId="50" fillId="181" borderId="381" xfId="12" applyFont="1" applyFill="1" applyBorder="1" applyAlignment="1" applyProtection="1">
      <alignment horizontal="center" vertical="center" textRotation="90"/>
      <protection locked="0"/>
    </xf>
    <xf numFmtId="0" fontId="50" fillId="181" borderId="546" xfId="12" applyFont="1" applyFill="1" applyBorder="1" applyAlignment="1" applyProtection="1">
      <alignment horizontal="center" vertical="center" textRotation="90"/>
      <protection locked="0"/>
    </xf>
    <xf numFmtId="0" fontId="567" fillId="3" borderId="162" xfId="12" applyFont="1" applyFill="1" applyBorder="1" applyAlignment="1" applyProtection="1">
      <alignment horizontal="center" vertical="center"/>
      <protection hidden="1"/>
    </xf>
    <xf numFmtId="0" fontId="567" fillId="3" borderId="379" xfId="12" applyFont="1" applyFill="1" applyBorder="1" applyAlignment="1" applyProtection="1">
      <alignment horizontal="center" vertical="center"/>
      <protection hidden="1"/>
    </xf>
    <xf numFmtId="0" fontId="567" fillId="3" borderId="476" xfId="12" applyFont="1" applyFill="1" applyBorder="1" applyAlignment="1" applyProtection="1">
      <alignment horizontal="center" vertical="center"/>
      <protection hidden="1"/>
    </xf>
    <xf numFmtId="0" fontId="567" fillId="3" borderId="547" xfId="12" applyFont="1" applyFill="1" applyBorder="1" applyAlignment="1" applyProtection="1">
      <alignment horizontal="center" vertical="center"/>
      <protection hidden="1"/>
    </xf>
    <xf numFmtId="0" fontId="75" fillId="33" borderId="381" xfId="12" applyFont="1" applyFill="1" applyBorder="1" applyAlignment="1" applyProtection="1">
      <alignment horizontal="center" vertical="center"/>
      <protection hidden="1"/>
    </xf>
    <xf numFmtId="0" fontId="75" fillId="33" borderId="162" xfId="12" applyFont="1" applyFill="1" applyBorder="1" applyAlignment="1" applyProtection="1">
      <alignment horizontal="center" vertical="center"/>
      <protection hidden="1"/>
    </xf>
    <xf numFmtId="0" fontId="50" fillId="181" borderId="381" xfId="42" applyFont="1" applyFill="1" applyBorder="1" applyAlignment="1" applyProtection="1">
      <alignment horizontal="center" vertical="center" textRotation="90"/>
      <protection locked="0"/>
    </xf>
    <xf numFmtId="0" fontId="50" fillId="181" borderId="357" xfId="42" applyFont="1" applyFill="1" applyBorder="1" applyAlignment="1" applyProtection="1">
      <alignment horizontal="center" vertical="center" textRotation="90"/>
      <protection locked="0"/>
    </xf>
    <xf numFmtId="0" fontId="443" fillId="33" borderId="357" xfId="12" applyFont="1" applyFill="1" applyBorder="1" applyAlignment="1" applyProtection="1">
      <alignment horizontal="center" vertical="center" textRotation="90"/>
      <protection locked="0"/>
    </xf>
    <xf numFmtId="0" fontId="443" fillId="33" borderId="440" xfId="12" applyFont="1" applyFill="1" applyBorder="1" applyAlignment="1" applyProtection="1">
      <alignment horizontal="center" vertical="center" textRotation="90"/>
      <protection locked="0"/>
    </xf>
    <xf numFmtId="0" fontId="91" fillId="3" borderId="476" xfId="12" applyFont="1" applyFill="1" applyBorder="1" applyAlignment="1" applyProtection="1">
      <alignment horizontal="left" vertical="center"/>
      <protection hidden="1"/>
    </xf>
    <xf numFmtId="0" fontId="75" fillId="33" borderId="476" xfId="12" applyFont="1" applyFill="1" applyBorder="1" applyAlignment="1" applyProtection="1">
      <alignment horizontal="center" vertical="center"/>
      <protection hidden="1"/>
    </xf>
    <xf numFmtId="0" fontId="75" fillId="33" borderId="548" xfId="12" applyFont="1" applyFill="1" applyBorder="1" applyAlignment="1" applyProtection="1">
      <alignment horizontal="center" vertical="center"/>
      <protection hidden="1"/>
    </xf>
    <xf numFmtId="0" fontId="64" fillId="81" borderId="66" xfId="12" applyFont="1" applyFill="1" applyBorder="1" applyAlignment="1" applyProtection="1">
      <alignment horizontal="center" vertical="center" textRotation="90"/>
      <protection locked="0"/>
    </xf>
    <xf numFmtId="0" fontId="64" fillId="81" borderId="163" xfId="12" applyFont="1" applyFill="1" applyBorder="1" applyAlignment="1" applyProtection="1">
      <alignment horizontal="center" vertical="center" textRotation="90"/>
      <protection locked="0"/>
    </xf>
    <xf numFmtId="1" fontId="275" fillId="3" borderId="0" xfId="12" applyNumberFormat="1" applyFont="1" applyFill="1" applyAlignment="1" applyProtection="1">
      <alignment horizontal="center" vertical="center"/>
      <protection hidden="1"/>
    </xf>
    <xf numFmtId="0" fontId="184" fillId="3" borderId="482" xfId="12" applyFont="1" applyFill="1" applyBorder="1" applyAlignment="1" applyProtection="1">
      <alignment horizontal="center" vertical="center"/>
      <protection hidden="1"/>
    </xf>
    <xf numFmtId="0" fontId="75" fillId="33" borderId="163" xfId="12" applyFont="1" applyFill="1" applyBorder="1" applyAlignment="1" applyProtection="1">
      <alignment horizontal="center" vertical="center" textRotation="90"/>
      <protection locked="0"/>
    </xf>
    <xf numFmtId="0" fontId="75" fillId="33" borderId="356" xfId="12" applyFont="1" applyFill="1" applyBorder="1" applyAlignment="1" applyProtection="1">
      <alignment horizontal="center" vertical="center" textRotation="90"/>
      <protection locked="0"/>
    </xf>
    <xf numFmtId="0" fontId="54" fillId="3" borderId="507" xfId="12" applyFont="1" applyFill="1" applyBorder="1" applyAlignment="1" applyProtection="1">
      <alignment horizontal="center"/>
      <protection hidden="1"/>
    </xf>
    <xf numFmtId="0" fontId="42" fillId="3" borderId="0" xfId="42" applyFont="1" applyFill="1" applyAlignment="1" applyProtection="1">
      <alignment horizontal="center" vertical="center"/>
      <protection locked="0"/>
    </xf>
    <xf numFmtId="0" fontId="50" fillId="181" borderId="357" xfId="12" applyFont="1" applyFill="1" applyBorder="1" applyAlignment="1" applyProtection="1">
      <alignment horizontal="center" vertical="center" textRotation="90"/>
      <protection locked="0"/>
    </xf>
    <xf numFmtId="0" fontId="33" fillId="55" borderId="381" xfId="12" applyFont="1" applyFill="1" applyBorder="1" applyAlignment="1" applyProtection="1">
      <alignment horizontal="center" vertical="center"/>
      <protection hidden="1"/>
    </xf>
    <xf numFmtId="0" fontId="33" fillId="55" borderId="162" xfId="12" applyFont="1" applyFill="1" applyBorder="1" applyAlignment="1" applyProtection="1">
      <alignment horizontal="center" vertical="center"/>
      <protection hidden="1"/>
    </xf>
    <xf numFmtId="0" fontId="50" fillId="55" borderId="357" xfId="12" applyFont="1" applyFill="1" applyBorder="1" applyAlignment="1" applyProtection="1">
      <alignment horizontal="center" vertical="center" textRotation="90"/>
      <protection locked="0"/>
    </xf>
    <xf numFmtId="0" fontId="50" fillId="55" borderId="440" xfId="12" applyFont="1" applyFill="1" applyBorder="1" applyAlignment="1" applyProtection="1">
      <alignment horizontal="center" vertical="center" textRotation="90"/>
      <protection locked="0"/>
    </xf>
    <xf numFmtId="0" fontId="33" fillId="55" borderId="476" xfId="12" applyFont="1" applyFill="1" applyBorder="1" applyAlignment="1" applyProtection="1">
      <alignment horizontal="center" vertical="center"/>
      <protection hidden="1"/>
    </xf>
    <xf numFmtId="0" fontId="33" fillId="55" borderId="548" xfId="12" applyFont="1" applyFill="1" applyBorder="1" applyAlignment="1" applyProtection="1">
      <alignment horizontal="center" vertical="center"/>
      <protection hidden="1"/>
    </xf>
    <xf numFmtId="165" fontId="38" fillId="13" borderId="0" xfId="12" applyNumberFormat="1" applyFont="1" applyFill="1" applyAlignment="1" applyProtection="1">
      <alignment horizontal="center" vertical="center"/>
      <protection hidden="1"/>
    </xf>
    <xf numFmtId="0" fontId="115" fillId="13" borderId="0" xfId="12" applyFont="1" applyFill="1" applyAlignment="1" applyProtection="1">
      <alignment horizontal="center" vertical="center"/>
      <protection hidden="1"/>
    </xf>
    <xf numFmtId="0" fontId="33" fillId="55" borderId="66" xfId="12" applyFont="1" applyFill="1" applyBorder="1" applyAlignment="1" applyProtection="1">
      <alignment horizontal="center" vertical="center" textRotation="90"/>
      <protection locked="0"/>
    </xf>
    <xf numFmtId="0" fontId="33" fillId="55" borderId="552" xfId="12" applyFont="1" applyFill="1" applyBorder="1" applyAlignment="1" applyProtection="1">
      <alignment horizontal="center" vertical="center" textRotation="90"/>
      <protection locked="0"/>
    </xf>
    <xf numFmtId="0" fontId="42" fillId="3" borderId="162" xfId="12" applyFont="1" applyFill="1" applyBorder="1" applyAlignment="1" applyProtection="1">
      <alignment horizontal="center" vertical="center"/>
      <protection locked="0"/>
    </xf>
    <xf numFmtId="0" fontId="418" fillId="16" borderId="0" xfId="1" applyFont="1" applyFill="1" applyBorder="1" applyAlignment="1">
      <alignment horizontal="left" vertical="center"/>
    </xf>
    <xf numFmtId="0" fontId="418" fillId="16" borderId="36" xfId="1" applyFont="1" applyFill="1" applyBorder="1" applyAlignment="1">
      <alignment horizontal="left" vertical="center"/>
    </xf>
    <xf numFmtId="0" fontId="392" fillId="16" borderId="37" xfId="1" applyFont="1" applyFill="1" applyBorder="1" applyAlignment="1">
      <alignment horizontal="left" vertical="center"/>
    </xf>
    <xf numFmtId="0" fontId="392" fillId="16" borderId="0" xfId="1" applyFont="1" applyFill="1" applyBorder="1" applyAlignment="1">
      <alignment horizontal="left" vertical="center"/>
    </xf>
    <xf numFmtId="0" fontId="392" fillId="16" borderId="35" xfId="1" applyFont="1" applyFill="1" applyBorder="1" applyAlignment="1">
      <alignment horizontal="left" vertical="center"/>
    </xf>
    <xf numFmtId="0" fontId="418" fillId="16" borderId="39" xfId="1" applyFont="1" applyFill="1" applyBorder="1" applyAlignment="1">
      <alignment horizontal="left" vertical="center"/>
    </xf>
    <xf numFmtId="0" fontId="418" fillId="16" borderId="40" xfId="1" applyFont="1" applyFill="1" applyBorder="1" applyAlignment="1">
      <alignment horizontal="left" vertical="center"/>
    </xf>
    <xf numFmtId="0" fontId="392" fillId="16" borderId="41" xfId="1" applyFont="1" applyFill="1" applyBorder="1" applyAlignment="1">
      <alignment horizontal="left" vertical="center"/>
    </xf>
    <xf numFmtId="0" fontId="392" fillId="16" borderId="39" xfId="1" applyFont="1" applyFill="1" applyBorder="1" applyAlignment="1">
      <alignment horizontal="left" vertical="center"/>
    </xf>
    <xf numFmtId="0" fontId="392" fillId="16" borderId="42" xfId="1" applyFont="1" applyFill="1" applyBorder="1" applyAlignment="1">
      <alignment horizontal="left" vertical="center"/>
    </xf>
    <xf numFmtId="0" fontId="195" fillId="0" borderId="0" xfId="6" applyNumberFormat="1" applyFont="1" applyFill="1" applyBorder="1" applyAlignment="1">
      <alignment horizontal="center" vertical="center" wrapText="1"/>
    </xf>
    <xf numFmtId="0" fontId="195" fillId="0" borderId="0" xfId="6" applyNumberFormat="1" applyFont="1" applyFill="1" applyBorder="1" applyAlignment="1">
      <alignment horizontal="left" vertical="center" wrapText="1"/>
    </xf>
    <xf numFmtId="0" fontId="195" fillId="0" borderId="35" xfId="6" applyNumberFormat="1" applyFont="1" applyFill="1" applyBorder="1" applyAlignment="1">
      <alignment horizontal="left" vertical="center" wrapText="1"/>
    </xf>
    <xf numFmtId="0" fontId="64" fillId="0" borderId="32" xfId="1" applyFont="1" applyFill="1" applyBorder="1" applyAlignment="1">
      <alignment horizontal="center" vertical="center"/>
    </xf>
    <xf numFmtId="0" fontId="64" fillId="0" borderId="0" xfId="1" applyFont="1" applyFill="1" applyBorder="1" applyAlignment="1">
      <alignment horizontal="center" vertical="center"/>
    </xf>
    <xf numFmtId="0" fontId="64" fillId="0" borderId="35" xfId="1" applyFont="1" applyFill="1" applyBorder="1" applyAlignment="1">
      <alignment horizontal="center" vertical="center"/>
    </xf>
    <xf numFmtId="0" fontId="417" fillId="0" borderId="32" xfId="6" applyFont="1" applyFill="1" applyBorder="1" applyAlignment="1">
      <alignment horizontal="center" vertical="center"/>
    </xf>
    <xf numFmtId="0" fontId="417" fillId="0" borderId="0" xfId="6" applyFont="1" applyFill="1" applyBorder="1" applyAlignment="1">
      <alignment horizontal="center" vertical="center"/>
    </xf>
    <xf numFmtId="0" fontId="274" fillId="0" borderId="0" xfId="6" applyFont="1" applyFill="1" applyBorder="1" applyAlignment="1">
      <alignment horizontal="center" vertical="center"/>
    </xf>
    <xf numFmtId="0" fontId="274" fillId="0" borderId="35" xfId="6" applyFont="1" applyFill="1" applyBorder="1" applyAlignment="1">
      <alignment horizontal="center" vertical="center"/>
    </xf>
    <xf numFmtId="0" fontId="195" fillId="0" borderId="16" xfId="6" applyNumberFormat="1" applyFont="1" applyFill="1" applyBorder="1" applyAlignment="1">
      <alignment horizontal="center" vertical="center" wrapText="1"/>
    </xf>
    <xf numFmtId="0" fontId="195" fillId="0" borderId="16" xfId="6" applyNumberFormat="1" applyFont="1" applyFill="1" applyBorder="1" applyAlignment="1">
      <alignment horizontal="left" vertical="center" wrapText="1"/>
    </xf>
    <xf numFmtId="0" fontId="195" fillId="0" borderId="34" xfId="6" applyNumberFormat="1" applyFont="1" applyFill="1" applyBorder="1" applyAlignment="1">
      <alignment horizontal="left" vertical="center" wrapText="1"/>
    </xf>
    <xf numFmtId="0" fontId="395" fillId="3" borderId="0" xfId="1" applyFont="1" applyFill="1" applyAlignment="1" applyProtection="1">
      <alignment horizontal="center" vertical="center"/>
      <protection hidden="1"/>
    </xf>
    <xf numFmtId="0" fontId="77" fillId="11" borderId="20" xfId="1" applyFont="1" applyFill="1" applyBorder="1" applyAlignment="1" applyProtection="1">
      <alignment horizontal="center" vertical="center" wrapText="1"/>
      <protection hidden="1"/>
    </xf>
    <xf numFmtId="0" fontId="77" fillId="11" borderId="0" xfId="1" applyFont="1" applyFill="1" applyBorder="1" applyAlignment="1" applyProtection="1">
      <alignment horizontal="center" vertical="center" wrapText="1"/>
      <protection hidden="1"/>
    </xf>
    <xf numFmtId="0" fontId="398" fillId="0" borderId="7" xfId="1" applyFont="1" applyBorder="1" applyAlignment="1" applyProtection="1">
      <alignment horizontal="center" vertical="center"/>
      <protection hidden="1"/>
    </xf>
    <xf numFmtId="0" fontId="398" fillId="0" borderId="8" xfId="1" applyFont="1" applyBorder="1" applyAlignment="1" applyProtection="1">
      <alignment horizontal="center" vertical="center"/>
      <protection hidden="1"/>
    </xf>
    <xf numFmtId="0" fontId="398" fillId="0" borderId="9" xfId="1" applyFont="1" applyBorder="1" applyAlignment="1" applyProtection="1">
      <alignment horizontal="center" vertical="center"/>
      <protection hidden="1"/>
    </xf>
    <xf numFmtId="0" fontId="64" fillId="14" borderId="28" xfId="1" applyFont="1" applyFill="1" applyBorder="1" applyAlignment="1" applyProtection="1">
      <alignment horizontal="center" vertical="center"/>
      <protection hidden="1"/>
    </xf>
    <xf numFmtId="0" fontId="64" fillId="14" borderId="29" xfId="1" applyFont="1" applyFill="1" applyBorder="1" applyAlignment="1" applyProtection="1">
      <alignment horizontal="center" vertical="center"/>
      <protection hidden="1"/>
    </xf>
    <xf numFmtId="0" fontId="64" fillId="14" borderId="30" xfId="1" applyFont="1" applyFill="1" applyBorder="1" applyAlignment="1" applyProtection="1">
      <alignment horizontal="center" vertical="center"/>
      <protection hidden="1"/>
    </xf>
    <xf numFmtId="0" fontId="64" fillId="14" borderId="31" xfId="1" applyFont="1" applyFill="1" applyBorder="1" applyAlignment="1" applyProtection="1">
      <alignment horizontal="center" vertical="center"/>
      <protection hidden="1"/>
    </xf>
    <xf numFmtId="0" fontId="395" fillId="3" borderId="15" xfId="1" applyFont="1" applyFill="1" applyBorder="1" applyAlignment="1" applyProtection="1">
      <alignment horizontal="center" vertical="center"/>
      <protection hidden="1"/>
    </xf>
    <xf numFmtId="0" fontId="372" fillId="11" borderId="16" xfId="1" applyFont="1" applyFill="1" applyBorder="1" applyAlignment="1" applyProtection="1">
      <alignment horizontal="center" vertical="center" wrapText="1"/>
      <protection hidden="1"/>
    </xf>
    <xf numFmtId="0" fontId="372" fillId="11" borderId="17" xfId="1" applyFont="1" applyFill="1" applyBorder="1" applyAlignment="1" applyProtection="1">
      <alignment horizontal="center" vertical="center" wrapText="1"/>
      <protection hidden="1"/>
    </xf>
    <xf numFmtId="0" fontId="372" fillId="11" borderId="18" xfId="1" applyFont="1" applyFill="1" applyBorder="1" applyAlignment="1" applyProtection="1">
      <alignment horizontal="center" vertical="center" wrapText="1"/>
      <protection hidden="1"/>
    </xf>
    <xf numFmtId="0" fontId="372" fillId="11" borderId="19" xfId="1" applyFont="1" applyFill="1" applyBorder="1" applyAlignment="1" applyProtection="1">
      <alignment horizontal="center" vertical="center" wrapText="1"/>
      <protection hidden="1"/>
    </xf>
    <xf numFmtId="0" fontId="402" fillId="7" borderId="0" xfId="6" applyNumberFormat="1" applyFont="1" applyFill="1" applyBorder="1" applyAlignment="1">
      <alignment horizontal="center" vertical="center"/>
    </xf>
    <xf numFmtId="0" fontId="77" fillId="0" borderId="11" xfId="1" applyFont="1" applyFill="1" applyBorder="1" applyAlignment="1">
      <alignment horizontal="center" vertical="center" textRotation="90"/>
    </xf>
    <xf numFmtId="0" fontId="77" fillId="0" borderId="12" xfId="1" applyFont="1" applyFill="1" applyBorder="1" applyAlignment="1">
      <alignment horizontal="center" vertical="center" textRotation="90"/>
    </xf>
    <xf numFmtId="0" fontId="77" fillId="0" borderId="10" xfId="1" applyFont="1" applyFill="1" applyBorder="1" applyAlignment="1">
      <alignment horizontal="center" vertical="center" textRotation="90"/>
    </xf>
    <xf numFmtId="0" fontId="77" fillId="0" borderId="13" xfId="1" applyFont="1" applyFill="1" applyBorder="1" applyAlignment="1">
      <alignment horizontal="center" vertical="center" textRotation="90"/>
    </xf>
    <xf numFmtId="0" fontId="384" fillId="5" borderId="7" xfId="1" applyFont="1" applyFill="1" applyBorder="1" applyAlignment="1" applyProtection="1">
      <alignment horizontal="center" vertical="center"/>
      <protection hidden="1"/>
    </xf>
    <xf numFmtId="0" fontId="384" fillId="5" borderId="8" xfId="1" applyFont="1" applyFill="1" applyBorder="1" applyAlignment="1" applyProtection="1">
      <alignment horizontal="center" vertical="center"/>
      <protection hidden="1"/>
    </xf>
    <xf numFmtId="0" fontId="384" fillId="5" borderId="9" xfId="1" applyFont="1" applyFill="1" applyBorder="1" applyAlignment="1" applyProtection="1">
      <alignment horizontal="center" vertical="center"/>
      <protection hidden="1"/>
    </xf>
    <xf numFmtId="0" fontId="421" fillId="5" borderId="162" xfId="5" applyFont="1" applyFill="1" applyBorder="1" applyAlignment="1" applyProtection="1">
      <alignment horizontal="left" vertical="center"/>
    </xf>
    <xf numFmtId="0" fontId="264" fillId="3" borderId="1" xfId="1" applyFont="1" applyFill="1" applyBorder="1" applyAlignment="1" applyProtection="1">
      <alignment horizontal="center" vertical="center"/>
      <protection hidden="1"/>
    </xf>
    <xf numFmtId="0" fontId="264" fillId="3" borderId="2" xfId="1" applyFont="1" applyFill="1" applyBorder="1" applyAlignment="1" applyProtection="1">
      <alignment horizontal="center" vertical="center"/>
      <protection hidden="1"/>
    </xf>
    <xf numFmtId="0" fontId="264" fillId="3" borderId="3" xfId="1" applyFont="1" applyFill="1" applyBorder="1" applyAlignment="1" applyProtection="1">
      <alignment horizontal="center" vertical="center"/>
      <protection hidden="1"/>
    </xf>
    <xf numFmtId="0" fontId="264" fillId="3" borderId="4" xfId="1" applyFont="1" applyFill="1" applyBorder="1" applyAlignment="1" applyProtection="1">
      <alignment horizontal="center" vertical="center"/>
      <protection hidden="1"/>
    </xf>
    <xf numFmtId="0" fontId="264" fillId="3" borderId="5" xfId="1" applyFont="1" applyFill="1" applyBorder="1" applyAlignment="1" applyProtection="1">
      <alignment horizontal="center" vertical="center"/>
      <protection hidden="1"/>
    </xf>
    <xf numFmtId="0" fontId="264" fillId="3" borderId="6" xfId="1" applyFont="1" applyFill="1" applyBorder="1" applyAlignment="1" applyProtection="1">
      <alignment horizontal="center" vertical="center"/>
      <protection hidden="1"/>
    </xf>
    <xf numFmtId="0" fontId="77" fillId="6" borderId="0" xfId="1" applyFont="1" applyFill="1" applyAlignment="1" applyProtection="1">
      <alignment horizontal="center" vertical="center"/>
      <protection hidden="1"/>
    </xf>
    <xf numFmtId="0" fontId="427" fillId="0" borderId="0" xfId="5" applyFont="1" applyAlignment="1" applyProtection="1">
      <alignment horizontal="left" vertical="center"/>
    </xf>
    <xf numFmtId="0" fontId="422" fillId="0" borderId="0" xfId="5" applyFont="1" applyBorder="1" applyAlignment="1" applyProtection="1">
      <alignment horizontal="left" vertical="center"/>
    </xf>
    <xf numFmtId="0" fontId="389" fillId="0" borderId="0" xfId="5" applyFont="1" applyAlignment="1" applyProtection="1">
      <alignment horizontal="left" vertical="center" wrapText="1"/>
    </xf>
    <xf numFmtId="0" fontId="171" fillId="3" borderId="0" xfId="1" applyFont="1" applyFill="1" applyAlignment="1">
      <alignment horizontal="right" vertical="center" wrapText="1"/>
    </xf>
    <xf numFmtId="0" fontId="64" fillId="4" borderId="274" xfId="3" applyFont="1" applyFill="1" applyBorder="1" applyAlignment="1">
      <alignment horizontal="center" vertical="center" wrapText="1"/>
    </xf>
    <xf numFmtId="0" fontId="64" fillId="4" borderId="275" xfId="3" applyFont="1" applyFill="1" applyBorder="1" applyAlignment="1">
      <alignment horizontal="center" vertical="center" wrapText="1"/>
    </xf>
    <xf numFmtId="0" fontId="64" fillId="4" borderId="277" xfId="3" applyFont="1" applyFill="1" applyBorder="1" applyAlignment="1">
      <alignment horizontal="center" vertical="center" wrapText="1"/>
    </xf>
    <xf numFmtId="0" fontId="64" fillId="4" borderId="0" xfId="3" applyFont="1" applyFill="1" applyBorder="1" applyAlignment="1">
      <alignment horizontal="center" vertical="center" wrapText="1"/>
    </xf>
    <xf numFmtId="0" fontId="171" fillId="4" borderId="276" xfId="3" applyFont="1" applyFill="1" applyBorder="1" applyAlignment="1">
      <alignment horizontal="center" vertical="center" wrapText="1"/>
    </xf>
    <xf numFmtId="0" fontId="171" fillId="4" borderId="49" xfId="3" applyFont="1" applyFill="1" applyBorder="1" applyAlignment="1">
      <alignment horizontal="center" vertical="center" wrapText="1"/>
    </xf>
    <xf numFmtId="0" fontId="42" fillId="4" borderId="0" xfId="3" applyFont="1" applyFill="1" applyAlignment="1">
      <alignment horizontal="center"/>
    </xf>
    <xf numFmtId="0" fontId="33" fillId="4" borderId="277" xfId="3" applyFont="1" applyFill="1" applyBorder="1" applyAlignment="1">
      <alignment horizontal="center" vertical="center"/>
    </xf>
    <xf numFmtId="0" fontId="33" fillId="4" borderId="0" xfId="3" applyFont="1" applyFill="1" applyBorder="1" applyAlignment="1">
      <alignment horizontal="center" vertical="center"/>
    </xf>
    <xf numFmtId="0" fontId="33" fillId="4" borderId="49" xfId="3" applyFont="1" applyFill="1" applyBorder="1" applyAlignment="1">
      <alignment horizontal="center" vertical="center"/>
    </xf>
    <xf numFmtId="0" fontId="173" fillId="3" borderId="277" xfId="3" applyFont="1" applyFill="1" applyBorder="1" applyAlignment="1" applyProtection="1">
      <alignment horizontal="center" vertical="center"/>
      <protection hidden="1"/>
    </xf>
    <xf numFmtId="0" fontId="173" fillId="3" borderId="0" xfId="3" applyFont="1" applyFill="1" applyBorder="1" applyAlignment="1" applyProtection="1">
      <alignment horizontal="center" vertical="center"/>
      <protection hidden="1"/>
    </xf>
    <xf numFmtId="0" fontId="173" fillId="3" borderId="49" xfId="3" applyFont="1" applyFill="1" applyBorder="1" applyAlignment="1" applyProtection="1">
      <alignment horizontal="center" vertical="center"/>
      <protection hidden="1"/>
    </xf>
    <xf numFmtId="0" fontId="221" fillId="7" borderId="282" xfId="15" applyFont="1" applyFill="1" applyBorder="1" applyAlignment="1" applyProtection="1">
      <alignment horizontal="left" vertical="center"/>
    </xf>
    <xf numFmtId="0" fontId="221" fillId="7" borderId="283" xfId="15" applyFont="1" applyFill="1" applyBorder="1" applyAlignment="1" applyProtection="1">
      <alignment horizontal="left" vertical="center"/>
    </xf>
    <xf numFmtId="0" fontId="221" fillId="0" borderId="285" xfId="15" applyFont="1" applyBorder="1" applyAlignment="1" applyProtection="1">
      <alignment horizontal="left" vertical="center"/>
    </xf>
    <xf numFmtId="0" fontId="221" fillId="0" borderId="286" xfId="15" applyFont="1" applyBorder="1" applyAlignment="1" applyProtection="1">
      <alignment horizontal="left" vertical="center"/>
    </xf>
    <xf numFmtId="0" fontId="381" fillId="84" borderId="78" xfId="1" applyFont="1" applyFill="1" applyBorder="1" applyAlignment="1">
      <alignment horizontal="center" vertical="center" textRotation="90"/>
    </xf>
    <xf numFmtId="0" fontId="381" fillId="84" borderId="51" xfId="1" applyFont="1" applyFill="1" applyBorder="1" applyAlignment="1">
      <alignment horizontal="center" vertical="center" textRotation="90"/>
    </xf>
    <xf numFmtId="0" fontId="381" fillId="84" borderId="6" xfId="1" applyFont="1" applyFill="1" applyBorder="1" applyAlignment="1">
      <alignment horizontal="center" vertical="center" textRotation="90"/>
    </xf>
    <xf numFmtId="0" fontId="392" fillId="16" borderId="86" xfId="1" applyFont="1" applyFill="1" applyBorder="1" applyAlignment="1">
      <alignment horizontal="left" vertical="center"/>
    </xf>
    <xf numFmtId="0" fontId="418" fillId="16" borderId="5" xfId="1" applyFont="1" applyFill="1" applyBorder="1" applyAlignment="1">
      <alignment horizontal="left" vertical="center"/>
    </xf>
    <xf numFmtId="0" fontId="418" fillId="16" borderId="87" xfId="1" applyFont="1" applyFill="1" applyBorder="1" applyAlignment="1">
      <alignment horizontal="left" vertical="center"/>
    </xf>
    <xf numFmtId="0" fontId="392" fillId="16" borderId="88" xfId="1" applyFont="1" applyFill="1" applyBorder="1" applyAlignment="1">
      <alignment horizontal="left" vertical="center"/>
    </xf>
    <xf numFmtId="0" fontId="392" fillId="16" borderId="5" xfId="1" applyFont="1" applyFill="1" applyBorder="1" applyAlignment="1">
      <alignment horizontal="left" vertical="center"/>
    </xf>
    <xf numFmtId="0" fontId="392" fillId="16" borderId="89" xfId="1" applyFont="1" applyFill="1" applyBorder="1" applyAlignment="1">
      <alignment horizontal="left" vertical="center"/>
    </xf>
    <xf numFmtId="0" fontId="384" fillId="0" borderId="53" xfId="1" applyFont="1" applyFill="1" applyBorder="1" applyAlignment="1">
      <alignment horizontal="center" vertical="center" textRotation="90"/>
    </xf>
    <xf numFmtId="0" fontId="384" fillId="0" borderId="77" xfId="1" applyFont="1" applyFill="1" applyBorder="1" applyAlignment="1">
      <alignment horizontal="center" vertical="center" textRotation="90"/>
    </xf>
    <xf numFmtId="0" fontId="195" fillId="0" borderId="81" xfId="6" applyNumberFormat="1" applyFont="1" applyFill="1" applyBorder="1" applyAlignment="1">
      <alignment horizontal="left" vertical="center" wrapText="1"/>
    </xf>
    <xf numFmtId="0" fontId="64" fillId="0" borderId="20" xfId="1" applyFont="1" applyFill="1" applyBorder="1" applyAlignment="1">
      <alignment horizontal="center" vertical="center"/>
    </xf>
    <xf numFmtId="0" fontId="417" fillId="0" borderId="20" xfId="6" applyFont="1" applyFill="1" applyBorder="1" applyAlignment="1">
      <alignment horizontal="center" vertical="center"/>
    </xf>
    <xf numFmtId="0" fontId="195" fillId="0" borderId="85" xfId="6" applyNumberFormat="1" applyFont="1" applyFill="1" applyBorder="1" applyAlignment="1">
      <alignment horizontal="left" vertical="center" wrapText="1"/>
    </xf>
    <xf numFmtId="0" fontId="372" fillId="0" borderId="0" xfId="6" applyNumberFormat="1" applyFont="1" applyFill="1" applyBorder="1" applyAlignment="1">
      <alignment horizontal="left" vertical="center"/>
    </xf>
    <xf numFmtId="0" fontId="372" fillId="0" borderId="81" xfId="6" applyNumberFormat="1" applyFont="1" applyFill="1" applyBorder="1" applyAlignment="1">
      <alignment horizontal="left" vertical="center"/>
    </xf>
    <xf numFmtId="0" fontId="372" fillId="0" borderId="0" xfId="6" applyNumberFormat="1" applyFont="1" applyFill="1" applyBorder="1" applyAlignment="1">
      <alignment horizontal="left" vertical="center" wrapText="1"/>
    </xf>
    <xf numFmtId="0" fontId="372" fillId="0" borderId="21" xfId="6" applyNumberFormat="1" applyFont="1" applyFill="1" applyBorder="1" applyAlignment="1">
      <alignment horizontal="left" vertical="center" wrapText="1"/>
    </xf>
    <xf numFmtId="0" fontId="64" fillId="14" borderId="82" xfId="1" applyFont="1" applyFill="1" applyBorder="1" applyAlignment="1" applyProtection="1">
      <alignment horizontal="center" vertical="center"/>
      <protection hidden="1"/>
    </xf>
    <xf numFmtId="0" fontId="64" fillId="14" borderId="8" xfId="1" applyFont="1" applyFill="1" applyBorder="1" applyAlignment="1" applyProtection="1">
      <alignment horizontal="center" vertical="center"/>
      <protection hidden="1"/>
    </xf>
    <xf numFmtId="0" fontId="64" fillId="14" borderId="83" xfId="1" applyFont="1" applyFill="1" applyBorder="1" applyAlignment="1" applyProtection="1">
      <alignment horizontal="center" vertical="center"/>
      <protection hidden="1"/>
    </xf>
    <xf numFmtId="0" fontId="64" fillId="14" borderId="84" xfId="1" applyFont="1" applyFill="1" applyBorder="1" applyAlignment="1" applyProtection="1">
      <alignment horizontal="center" vertical="center"/>
      <protection hidden="1"/>
    </xf>
    <xf numFmtId="0" fontId="77" fillId="3" borderId="20" xfId="1" applyFont="1" applyFill="1" applyBorder="1" applyAlignment="1">
      <alignment horizontal="left" vertical="center" wrapText="1"/>
    </xf>
    <xf numFmtId="0" fontId="77" fillId="3" borderId="0" xfId="1" applyFont="1" applyFill="1" applyBorder="1" applyAlignment="1">
      <alignment horizontal="left" vertical="center" wrapText="1"/>
    </xf>
    <xf numFmtId="0" fontId="63" fillId="16" borderId="43" xfId="6" applyNumberFormat="1" applyFont="1" applyFill="1" applyBorder="1" applyAlignment="1">
      <alignment horizontal="center" vertical="center" wrapText="1"/>
    </xf>
    <xf numFmtId="0" fontId="42" fillId="0" borderId="2" xfId="1" applyFont="1" applyBorder="1"/>
    <xf numFmtId="0" fontId="42" fillId="0" borderId="44" xfId="1" applyFont="1" applyBorder="1"/>
    <xf numFmtId="0" fontId="264" fillId="0" borderId="2" xfId="1" applyFont="1" applyFill="1" applyBorder="1" applyAlignment="1">
      <alignment horizontal="center" vertical="center"/>
    </xf>
    <xf numFmtId="0" fontId="264" fillId="0" borderId="45" xfId="1" applyFont="1" applyFill="1" applyBorder="1" applyAlignment="1">
      <alignment horizontal="center" vertical="center"/>
    </xf>
    <xf numFmtId="0" fontId="381" fillId="84" borderId="46" xfId="1" applyFont="1" applyFill="1" applyBorder="1" applyAlignment="1">
      <alignment horizontal="center" vertical="center" textRotation="90"/>
    </xf>
    <xf numFmtId="0" fontId="381" fillId="84" borderId="50" xfId="1" applyFont="1" applyFill="1" applyBorder="1" applyAlignment="1">
      <alignment horizontal="center" vertical="center" textRotation="90"/>
    </xf>
    <xf numFmtId="0" fontId="383" fillId="0" borderId="0" xfId="1" applyFont="1" applyFill="1" applyBorder="1" applyAlignment="1">
      <alignment horizontal="left" vertical="center"/>
    </xf>
    <xf numFmtId="0" fontId="383" fillId="0" borderId="47" xfId="1" applyFont="1" applyFill="1" applyBorder="1" applyAlignment="1">
      <alignment horizontal="left" vertical="center"/>
    </xf>
    <xf numFmtId="167" fontId="63" fillId="16" borderId="48" xfId="1" applyNumberFormat="1" applyFont="1" applyFill="1" applyBorder="1" applyAlignment="1">
      <alignment horizontal="center" vertical="center" wrapText="1"/>
    </xf>
    <xf numFmtId="0" fontId="42" fillId="0" borderId="48" xfId="1" applyFont="1" applyBorder="1"/>
    <xf numFmtId="0" fontId="42" fillId="0" borderId="47" xfId="1" applyFont="1" applyBorder="1"/>
    <xf numFmtId="0" fontId="384" fillId="0" borderId="0" xfId="6" applyNumberFormat="1" applyFont="1" applyFill="1" applyBorder="1" applyAlignment="1">
      <alignment horizontal="center" vertical="center"/>
    </xf>
    <xf numFmtId="0" fontId="384" fillId="0" borderId="49" xfId="6" applyNumberFormat="1" applyFont="1" applyFill="1" applyBorder="1" applyAlignment="1">
      <alignment horizontal="center" vertical="center"/>
    </xf>
    <xf numFmtId="0" fontId="375" fillId="21" borderId="0" xfId="6" applyFont="1" applyFill="1" applyBorder="1" applyAlignment="1">
      <alignment horizontal="center" vertical="center"/>
    </xf>
    <xf numFmtId="0" fontId="388" fillId="0" borderId="0" xfId="5" applyFont="1" applyBorder="1" applyAlignment="1" applyProtection="1">
      <alignment horizontal="center" vertical="center"/>
    </xf>
    <xf numFmtId="0" fontId="388" fillId="0" borderId="47" xfId="5" applyFont="1" applyBorder="1" applyAlignment="1" applyProtection="1">
      <alignment horizontal="center" vertical="center"/>
    </xf>
    <xf numFmtId="168" fontId="63" fillId="0" borderId="48" xfId="1" applyNumberFormat="1" applyFont="1" applyFill="1" applyBorder="1" applyAlignment="1">
      <alignment horizontal="center" vertical="center" wrapText="1"/>
    </xf>
    <xf numFmtId="0" fontId="77" fillId="14" borderId="79" xfId="1" applyFont="1" applyFill="1" applyBorder="1" applyAlignment="1" applyProtection="1">
      <alignment horizontal="center" vertical="center"/>
      <protection hidden="1"/>
    </xf>
    <xf numFmtId="0" fontId="77" fillId="14" borderId="80" xfId="1" applyFont="1" applyFill="1" applyBorder="1" applyAlignment="1" applyProtection="1">
      <alignment horizontal="center" vertical="center"/>
      <protection hidden="1"/>
    </xf>
    <xf numFmtId="0" fontId="77" fillId="0" borderId="0" xfId="6" applyNumberFormat="1" applyFont="1" applyFill="1" applyBorder="1" applyAlignment="1">
      <alignment horizontal="center" vertical="center" wrapText="1"/>
    </xf>
    <xf numFmtId="0" fontId="77" fillId="0" borderId="0" xfId="6" applyNumberFormat="1" applyFont="1" applyFill="1" applyBorder="1" applyAlignment="1">
      <alignment horizontal="center" vertical="center"/>
    </xf>
    <xf numFmtId="0" fontId="77" fillId="0" borderId="81" xfId="6" applyNumberFormat="1" applyFont="1" applyFill="1" applyBorder="1" applyAlignment="1">
      <alignment horizontal="center" vertical="center"/>
    </xf>
    <xf numFmtId="0" fontId="63" fillId="82" borderId="18" xfId="1" applyFont="1" applyFill="1" applyBorder="1" applyAlignment="1" applyProtection="1">
      <alignment horizontal="center" vertical="center" wrapText="1"/>
      <protection hidden="1"/>
    </xf>
    <xf numFmtId="0" fontId="63" fillId="82" borderId="19" xfId="1" applyFont="1" applyFill="1" applyBorder="1" applyAlignment="1" applyProtection="1">
      <alignment horizontal="center" vertical="center" wrapText="1"/>
      <protection hidden="1"/>
    </xf>
    <xf numFmtId="1" fontId="385" fillId="13" borderId="27" xfId="1" applyNumberFormat="1" applyFont="1" applyFill="1" applyBorder="1" applyAlignment="1" applyProtection="1">
      <alignment horizontal="center" vertical="center"/>
      <protection hidden="1"/>
    </xf>
    <xf numFmtId="1" fontId="385" fillId="13" borderId="21" xfId="1" applyNumberFormat="1" applyFont="1" applyFill="1" applyBorder="1" applyAlignment="1" applyProtection="1">
      <alignment horizontal="center" vertical="center"/>
      <protection hidden="1"/>
    </xf>
    <xf numFmtId="1" fontId="385" fillId="13" borderId="51" xfId="1" applyNumberFormat="1" applyFont="1" applyFill="1" applyBorder="1" applyAlignment="1" applyProtection="1">
      <alignment horizontal="center" vertical="center"/>
      <protection hidden="1"/>
    </xf>
    <xf numFmtId="0" fontId="33" fillId="82" borderId="20" xfId="1" applyFont="1" applyFill="1" applyBorder="1" applyAlignment="1" applyProtection="1">
      <alignment horizontal="center" vertical="center" wrapText="1"/>
      <protection hidden="1"/>
    </xf>
    <xf numFmtId="0" fontId="33" fillId="82" borderId="0" xfId="1" applyFont="1" applyFill="1" applyBorder="1" applyAlignment="1" applyProtection="1">
      <alignment horizontal="center" vertical="center" wrapText="1"/>
      <protection hidden="1"/>
    </xf>
    <xf numFmtId="0" fontId="33" fillId="82" borderId="21" xfId="1" applyFont="1" applyFill="1" applyBorder="1" applyAlignment="1" applyProtection="1">
      <alignment horizontal="center" vertical="center" wrapText="1"/>
      <protection hidden="1"/>
    </xf>
    <xf numFmtId="1" fontId="38" fillId="3" borderId="27" xfId="1" applyNumberFormat="1" applyFont="1" applyFill="1" applyBorder="1" applyAlignment="1" applyProtection="1">
      <alignment horizontal="center" vertical="center"/>
      <protection hidden="1"/>
    </xf>
    <xf numFmtId="1" fontId="38" fillId="3" borderId="0" xfId="1" applyNumberFormat="1" applyFont="1" applyFill="1" applyBorder="1" applyAlignment="1" applyProtection="1">
      <alignment horizontal="center" vertical="center"/>
      <protection hidden="1"/>
    </xf>
    <xf numFmtId="165" fontId="64" fillId="3" borderId="75" xfId="6" applyNumberFormat="1" applyFont="1" applyFill="1" applyBorder="1" applyAlignment="1">
      <alignment horizontal="center" vertical="center"/>
    </xf>
    <xf numFmtId="0" fontId="64" fillId="0" borderId="5" xfId="1" applyFont="1" applyBorder="1" applyAlignment="1">
      <alignment vertical="center"/>
    </xf>
    <xf numFmtId="0" fontId="64" fillId="0" borderId="6" xfId="1" applyFont="1" applyBorder="1" applyAlignment="1">
      <alignment vertical="center"/>
    </xf>
    <xf numFmtId="0" fontId="171" fillId="19" borderId="2" xfId="6" applyFont="1" applyFill="1" applyBorder="1" applyAlignment="1">
      <alignment horizontal="center" vertical="center"/>
    </xf>
    <xf numFmtId="0" fontId="264" fillId="0" borderId="3" xfId="1" applyFont="1" applyFill="1" applyBorder="1" applyAlignment="1">
      <alignment horizontal="center" vertical="center"/>
    </xf>
    <xf numFmtId="167" fontId="40" fillId="16" borderId="48" xfId="1" applyNumberFormat="1" applyFont="1" applyFill="1" applyBorder="1" applyAlignment="1">
      <alignment horizontal="center" vertical="center" wrapText="1"/>
    </xf>
    <xf numFmtId="0" fontId="40" fillId="0" borderId="48" xfId="1" applyFont="1" applyBorder="1"/>
    <xf numFmtId="0" fontId="40" fillId="0" borderId="47" xfId="1" applyFont="1" applyBorder="1"/>
    <xf numFmtId="0" fontId="386" fillId="0" borderId="0" xfId="1" applyFont="1" applyFill="1" applyBorder="1" applyAlignment="1">
      <alignment horizontal="left" vertical="center"/>
    </xf>
    <xf numFmtId="0" fontId="387" fillId="7" borderId="0" xfId="6" applyNumberFormat="1" applyFont="1" applyFill="1" applyBorder="1" applyAlignment="1">
      <alignment horizontal="center" vertical="center"/>
    </xf>
    <xf numFmtId="0" fontId="387" fillId="7" borderId="51" xfId="6" applyNumberFormat="1" applyFont="1" applyFill="1" applyBorder="1" applyAlignment="1">
      <alignment horizontal="center" vertical="center"/>
    </xf>
    <xf numFmtId="0" fontId="375" fillId="21" borderId="15" xfId="6" applyFont="1" applyFill="1" applyBorder="1" applyAlignment="1">
      <alignment horizontal="center" vertical="center"/>
    </xf>
    <xf numFmtId="0" fontId="64" fillId="4" borderId="18" xfId="1" applyFont="1" applyFill="1" applyBorder="1" applyAlignment="1" applyProtection="1">
      <alignment horizontal="center" vertical="center" wrapText="1"/>
      <protection hidden="1"/>
    </xf>
    <xf numFmtId="0" fontId="64" fillId="4" borderId="17" xfId="1" applyFont="1" applyFill="1" applyBorder="1" applyAlignment="1" applyProtection="1">
      <alignment horizontal="center" vertical="center" wrapText="1"/>
      <protection hidden="1"/>
    </xf>
    <xf numFmtId="0" fontId="64" fillId="4" borderId="16" xfId="1" applyFont="1" applyFill="1" applyBorder="1" applyAlignment="1" applyProtection="1">
      <alignment horizontal="center" vertical="center" wrapText="1"/>
      <protection hidden="1"/>
    </xf>
    <xf numFmtId="0" fontId="77" fillId="4" borderId="54" xfId="1" applyFont="1" applyFill="1" applyBorder="1" applyAlignment="1" applyProtection="1">
      <alignment horizontal="center" vertical="center" wrapText="1"/>
      <protection hidden="1"/>
    </xf>
    <xf numFmtId="0" fontId="77" fillId="4" borderId="16" xfId="1" applyFont="1" applyFill="1" applyBorder="1" applyAlignment="1" applyProtection="1">
      <alignment horizontal="center" vertical="center" wrapText="1"/>
      <protection hidden="1"/>
    </xf>
    <xf numFmtId="0" fontId="77" fillId="4" borderId="17" xfId="1" applyFont="1" applyFill="1" applyBorder="1" applyAlignment="1" applyProtection="1">
      <alignment horizontal="center" vertical="center" wrapText="1"/>
      <protection hidden="1"/>
    </xf>
    <xf numFmtId="0" fontId="63" fillId="82" borderId="16" xfId="1" applyFont="1" applyFill="1" applyBorder="1" applyAlignment="1" applyProtection="1">
      <alignment horizontal="center" vertical="center" wrapText="1"/>
      <protection hidden="1"/>
    </xf>
    <xf numFmtId="0" fontId="63" fillId="82" borderId="17" xfId="1" applyFont="1" applyFill="1" applyBorder="1" applyAlignment="1" applyProtection="1">
      <alignment horizontal="center" vertical="center" wrapText="1"/>
      <protection hidden="1"/>
    </xf>
    <xf numFmtId="0" fontId="398" fillId="3" borderId="18" xfId="1" applyFont="1" applyFill="1" applyBorder="1" applyAlignment="1" applyProtection="1">
      <alignment horizontal="center" vertical="center"/>
      <protection hidden="1"/>
    </xf>
    <xf numFmtId="0" fontId="398" fillId="3" borderId="16" xfId="1" applyFont="1" applyFill="1" applyBorder="1" applyAlignment="1" applyProtection="1">
      <alignment horizontal="center" vertical="center"/>
      <protection hidden="1"/>
    </xf>
    <xf numFmtId="0" fontId="398" fillId="3" borderId="17" xfId="1" applyFont="1" applyFill="1" applyBorder="1" applyAlignment="1" applyProtection="1">
      <alignment horizontal="center" vertical="center"/>
      <protection hidden="1"/>
    </xf>
    <xf numFmtId="0" fontId="398" fillId="3" borderId="76" xfId="1" applyFont="1" applyFill="1" applyBorder="1" applyAlignment="1" applyProtection="1">
      <alignment horizontal="center" vertical="center"/>
      <protection hidden="1"/>
    </xf>
    <xf numFmtId="0" fontId="398" fillId="3" borderId="15" xfId="1" applyFont="1" applyFill="1" applyBorder="1" applyAlignment="1" applyProtection="1">
      <alignment horizontal="center" vertical="center"/>
      <protection hidden="1"/>
    </xf>
    <xf numFmtId="0" fontId="398" fillId="3" borderId="58" xfId="1" applyFont="1" applyFill="1" applyBorder="1" applyAlignment="1" applyProtection="1">
      <alignment horizontal="center" vertical="center"/>
      <protection hidden="1"/>
    </xf>
    <xf numFmtId="0" fontId="264" fillId="35" borderId="1" xfId="1" applyFont="1" applyFill="1" applyBorder="1" applyAlignment="1" applyProtection="1">
      <alignment horizontal="center" vertical="center"/>
      <protection hidden="1"/>
    </xf>
    <xf numFmtId="0" fontId="264" fillId="35" borderId="2" xfId="1" applyFont="1" applyFill="1" applyBorder="1" applyAlignment="1" applyProtection="1">
      <alignment horizontal="center" vertical="center"/>
      <protection hidden="1"/>
    </xf>
    <xf numFmtId="0" fontId="264" fillId="35" borderId="3" xfId="1" applyFont="1" applyFill="1" applyBorder="1" applyAlignment="1" applyProtection="1">
      <alignment horizontal="center" vertical="center"/>
      <protection hidden="1"/>
    </xf>
    <xf numFmtId="0" fontId="64" fillId="11" borderId="20" xfId="1" applyFont="1" applyFill="1" applyBorder="1" applyAlignment="1" applyProtection="1">
      <alignment horizontal="center" vertical="center" wrapText="1"/>
      <protection hidden="1"/>
    </xf>
    <xf numFmtId="0" fontId="64" fillId="11" borderId="0" xfId="1" applyFont="1" applyFill="1" applyBorder="1" applyAlignment="1" applyProtection="1">
      <alignment horizontal="center" vertical="center" wrapText="1"/>
      <protection hidden="1"/>
    </xf>
    <xf numFmtId="1" fontId="245" fillId="3" borderId="27" xfId="1" applyNumberFormat="1" applyFont="1" applyFill="1" applyBorder="1" applyAlignment="1" applyProtection="1">
      <alignment horizontal="center" vertical="center"/>
      <protection hidden="1"/>
    </xf>
    <xf numFmtId="1" fontId="245" fillId="3" borderId="0" xfId="1" applyNumberFormat="1" applyFont="1" applyFill="1" applyBorder="1" applyAlignment="1" applyProtection="1">
      <alignment horizontal="center" vertical="center"/>
      <protection hidden="1"/>
    </xf>
    <xf numFmtId="0" fontId="33" fillId="11" borderId="20" xfId="1" applyFont="1" applyFill="1" applyBorder="1" applyAlignment="1" applyProtection="1">
      <alignment horizontal="center" vertical="center" wrapText="1"/>
      <protection hidden="1"/>
    </xf>
    <xf numFmtId="0" fontId="33" fillId="11" borderId="0" xfId="1" applyFont="1" applyFill="1" applyBorder="1" applyAlignment="1" applyProtection="1">
      <alignment horizontal="center" vertical="center" wrapText="1"/>
      <protection hidden="1"/>
    </xf>
    <xf numFmtId="0" fontId="33" fillId="11" borderId="21" xfId="1" applyFont="1" applyFill="1" applyBorder="1" applyAlignment="1" applyProtection="1">
      <alignment horizontal="center" vertical="center" wrapText="1"/>
      <protection hidden="1"/>
    </xf>
    <xf numFmtId="0" fontId="63" fillId="11" borderId="18" xfId="1" applyFont="1" applyFill="1" applyBorder="1" applyAlignment="1" applyProtection="1">
      <alignment horizontal="center" vertical="center" wrapText="1"/>
      <protection hidden="1"/>
    </xf>
    <xf numFmtId="0" fontId="63" fillId="11" borderId="19" xfId="1" applyFont="1" applyFill="1" applyBorder="1" applyAlignment="1" applyProtection="1">
      <alignment horizontal="center" vertical="center" wrapText="1"/>
      <protection hidden="1"/>
    </xf>
    <xf numFmtId="168" fontId="63" fillId="0" borderId="15" xfId="1" applyNumberFormat="1" applyFont="1" applyFill="1" applyBorder="1" applyAlignment="1">
      <alignment horizontal="center" vertical="center" wrapText="1"/>
    </xf>
    <xf numFmtId="0" fontId="77" fillId="6" borderId="54" xfId="1" applyFont="1" applyFill="1" applyBorder="1" applyAlignment="1">
      <alignment horizontal="center" vertical="center" wrapText="1"/>
    </xf>
    <xf numFmtId="0" fontId="77" fillId="6" borderId="19" xfId="1" applyFont="1" applyFill="1" applyBorder="1" applyAlignment="1">
      <alignment horizontal="center" vertical="center" wrapText="1"/>
    </xf>
    <xf numFmtId="0" fontId="77" fillId="6" borderId="20" xfId="1" applyFont="1" applyFill="1" applyBorder="1" applyAlignment="1">
      <alignment horizontal="center" vertical="center" wrapText="1"/>
    </xf>
    <xf numFmtId="0" fontId="77" fillId="6" borderId="51" xfId="1" applyFont="1" applyFill="1" applyBorder="1" applyAlignment="1">
      <alignment horizontal="center" vertical="center" wrapText="1"/>
    </xf>
    <xf numFmtId="0" fontId="63" fillId="11" borderId="17" xfId="1" applyFont="1" applyFill="1" applyBorder="1" applyAlignment="1" applyProtection="1">
      <alignment horizontal="center" vertical="center" wrapText="1"/>
      <protection hidden="1"/>
    </xf>
    <xf numFmtId="0" fontId="63" fillId="11" borderId="16" xfId="1" applyFont="1" applyFill="1" applyBorder="1" applyAlignment="1" applyProtection="1">
      <alignment horizontal="center" vertical="center" wrapText="1"/>
      <protection hidden="1"/>
    </xf>
    <xf numFmtId="0" fontId="63" fillId="16" borderId="2" xfId="6" applyNumberFormat="1" applyFont="1" applyFill="1" applyBorder="1" applyAlignment="1">
      <alignment horizontal="center" vertical="center" wrapText="1"/>
    </xf>
    <xf numFmtId="167" fontId="63" fillId="16" borderId="0" xfId="1" applyNumberFormat="1" applyFont="1" applyFill="1" applyBorder="1" applyAlignment="1">
      <alignment horizontal="center" vertical="center" wrapText="1"/>
    </xf>
    <xf numFmtId="0" fontId="384" fillId="0" borderId="51" xfId="6" applyNumberFormat="1" applyFont="1" applyFill="1" applyBorder="1" applyAlignment="1">
      <alignment horizontal="center" vertical="center"/>
    </xf>
    <xf numFmtId="0" fontId="384" fillId="0" borderId="90" xfId="6" applyNumberFormat="1" applyFont="1" applyFill="1" applyBorder="1" applyAlignment="1">
      <alignment horizontal="center" vertical="center"/>
    </xf>
    <xf numFmtId="0" fontId="64" fillId="0" borderId="21" xfId="1" applyFont="1" applyFill="1" applyBorder="1" applyAlignment="1">
      <alignment horizontal="center" vertical="center"/>
    </xf>
    <xf numFmtId="0" fontId="64" fillId="3" borderId="253" xfId="1" applyFont="1" applyFill="1" applyBorder="1" applyAlignment="1">
      <alignment horizontal="left" vertical="center" wrapText="1"/>
    </xf>
    <xf numFmtId="0" fontId="63" fillId="3" borderId="253" xfId="1" applyFont="1" applyFill="1" applyBorder="1" applyAlignment="1">
      <alignment horizontal="left" vertical="center" wrapText="1"/>
    </xf>
    <xf numFmtId="0" fontId="64" fillId="3" borderId="345" xfId="1" applyFont="1" applyFill="1" applyBorder="1" applyAlignment="1">
      <alignment horizontal="right" vertical="center"/>
    </xf>
    <xf numFmtId="0" fontId="64" fillId="3" borderId="0" xfId="1" applyFont="1" applyFill="1" applyBorder="1" applyAlignment="1">
      <alignment horizontal="right" vertical="center"/>
    </xf>
    <xf numFmtId="0" fontId="43" fillId="0" borderId="338" xfId="1" applyFont="1" applyBorder="1" applyAlignment="1">
      <alignment horizontal="center" vertical="center" wrapText="1"/>
    </xf>
    <xf numFmtId="0" fontId="43" fillId="0" borderId="196" xfId="1" applyFont="1" applyBorder="1" applyAlignment="1">
      <alignment horizontal="center" vertical="center" wrapText="1"/>
    </xf>
    <xf numFmtId="0" fontId="43" fillId="0" borderId="209" xfId="1" applyFont="1" applyBorder="1" applyAlignment="1">
      <alignment horizontal="center" vertical="center" wrapText="1"/>
    </xf>
    <xf numFmtId="0" fontId="41" fillId="0" borderId="510" xfId="1" applyFont="1" applyBorder="1" applyAlignment="1">
      <alignment horizontal="center" vertical="center" wrapText="1"/>
    </xf>
    <xf numFmtId="0" fontId="41" fillId="0" borderId="506" xfId="1" applyFont="1" applyBorder="1" applyAlignment="1">
      <alignment horizontal="center" vertical="center" wrapText="1"/>
    </xf>
    <xf numFmtId="0" fontId="41" fillId="0" borderId="509" xfId="1" applyFont="1" applyBorder="1" applyAlignment="1">
      <alignment horizontal="center" vertical="center" wrapText="1"/>
    </xf>
    <xf numFmtId="0" fontId="41" fillId="0" borderId="345"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348" xfId="1" applyFont="1" applyBorder="1" applyAlignment="1">
      <alignment horizontal="center" vertical="center" wrapText="1"/>
    </xf>
    <xf numFmtId="0" fontId="41" fillId="0" borderId="447" xfId="1" applyFont="1" applyBorder="1" applyAlignment="1">
      <alignment horizontal="center" vertical="center" wrapText="1"/>
    </xf>
    <xf numFmtId="0" fontId="41" fillId="0" borderId="507" xfId="1" applyFont="1" applyBorder="1" applyAlignment="1">
      <alignment horizontal="center" vertical="center" wrapText="1"/>
    </xf>
    <xf numFmtId="0" fontId="41" fillId="0" borderId="508" xfId="1" applyFont="1" applyBorder="1" applyAlignment="1">
      <alignment horizontal="center" vertical="center" wrapText="1"/>
    </xf>
    <xf numFmtId="0" fontId="274" fillId="0" borderId="27" xfId="6" applyFont="1" applyFill="1" applyBorder="1" applyAlignment="1">
      <alignment horizontal="center" vertical="center"/>
    </xf>
    <xf numFmtId="0" fontId="274" fillId="0" borderId="21" xfId="6" applyFont="1" applyFill="1" applyBorder="1" applyAlignment="1">
      <alignment horizontal="center" vertical="center"/>
    </xf>
    <xf numFmtId="0" fontId="381" fillId="84" borderId="163" xfId="1" applyFont="1" applyFill="1" applyBorder="1" applyAlignment="1">
      <alignment horizontal="center" vertical="center" textRotation="90"/>
    </xf>
    <xf numFmtId="0" fontId="381" fillId="84" borderId="273" xfId="1" applyFont="1" applyFill="1" applyBorder="1" applyAlignment="1">
      <alignment horizontal="center" vertical="center" textRotation="90"/>
    </xf>
    <xf numFmtId="0" fontId="38" fillId="7" borderId="252" xfId="1" applyFont="1" applyFill="1" applyBorder="1" applyAlignment="1">
      <alignment horizontal="center" vertical="center" wrapText="1"/>
    </xf>
    <xf numFmtId="0" fontId="38" fillId="7" borderId="330" xfId="1" applyFont="1" applyFill="1" applyBorder="1" applyAlignment="1">
      <alignment horizontal="center" vertical="center" wrapText="1"/>
    </xf>
    <xf numFmtId="0" fontId="38" fillId="7" borderId="331" xfId="1" applyFont="1" applyFill="1" applyBorder="1" applyAlignment="1">
      <alignment horizontal="center" vertical="center" wrapText="1"/>
    </xf>
    <xf numFmtId="0" fontId="77" fillId="0" borderId="506" xfId="1" applyFont="1" applyBorder="1" applyAlignment="1">
      <alignment horizontal="center" vertical="center"/>
    </xf>
    <xf numFmtId="0" fontId="553" fillId="0" borderId="507" xfId="1" applyFont="1" applyFill="1" applyBorder="1" applyAlignment="1">
      <alignment horizontal="left" vertical="top" wrapText="1"/>
    </xf>
    <xf numFmtId="0" fontId="553" fillId="0" borderId="508" xfId="1" applyFont="1" applyFill="1" applyBorder="1" applyAlignment="1">
      <alignment horizontal="left" vertical="top" wrapText="1"/>
    </xf>
    <xf numFmtId="0" fontId="41" fillId="1" borderId="506" xfId="1" applyFont="1" applyFill="1" applyBorder="1" applyAlignment="1">
      <alignment horizontal="center" vertical="center" wrapText="1"/>
    </xf>
    <xf numFmtId="0" fontId="41" fillId="1" borderId="509" xfId="1" applyFont="1" applyFill="1" applyBorder="1" applyAlignment="1">
      <alignment horizontal="center" vertical="center" wrapText="1"/>
    </xf>
    <xf numFmtId="0" fontId="64" fillId="3" borderId="345" xfId="1" applyFont="1" applyFill="1" applyBorder="1" applyAlignment="1">
      <alignment horizontal="left"/>
    </xf>
    <xf numFmtId="0" fontId="64" fillId="3" borderId="0" xfId="1" applyFont="1" applyFill="1" applyBorder="1" applyAlignment="1">
      <alignment horizontal="left"/>
    </xf>
    <xf numFmtId="0" fontId="64" fillId="3" borderId="355" xfId="1" applyFont="1" applyFill="1" applyBorder="1" applyAlignment="1">
      <alignment horizontal="left"/>
    </xf>
    <xf numFmtId="0" fontId="64" fillId="3" borderId="354" xfId="1" applyFont="1" applyFill="1" applyBorder="1" applyAlignment="1">
      <alignment horizontal="left"/>
    </xf>
    <xf numFmtId="0" fontId="381" fillId="84" borderId="3" xfId="1" applyFont="1" applyFill="1" applyBorder="1" applyAlignment="1">
      <alignment horizontal="center" vertical="center" textRotation="90"/>
    </xf>
    <xf numFmtId="167" fontId="52" fillId="3" borderId="0" xfId="1" applyNumberFormat="1" applyFont="1" applyFill="1" applyBorder="1" applyAlignment="1">
      <alignment horizontal="center" vertical="center" wrapText="1"/>
    </xf>
    <xf numFmtId="0" fontId="388" fillId="3" borderId="0" xfId="5" applyFont="1" applyFill="1" applyBorder="1" applyAlignment="1" applyProtection="1">
      <alignment horizontal="left" vertical="center"/>
    </xf>
    <xf numFmtId="0" fontId="388" fillId="3" borderId="21" xfId="5" applyFont="1" applyFill="1" applyBorder="1" applyAlignment="1" applyProtection="1">
      <alignment horizontal="left" vertical="center"/>
    </xf>
    <xf numFmtId="0" fontId="383" fillId="0" borderId="163" xfId="1" applyFont="1" applyFill="1" applyBorder="1" applyAlignment="1">
      <alignment horizontal="center" vertical="center" textRotation="90"/>
    </xf>
    <xf numFmtId="0" fontId="383" fillId="0" borderId="53" xfId="1" applyFont="1" applyFill="1" applyBorder="1" applyAlignment="1">
      <alignment horizontal="center" vertical="center" textRotation="90"/>
    </xf>
    <xf numFmtId="0" fontId="383" fillId="0" borderId="295" xfId="1" applyFont="1" applyFill="1" applyBorder="1" applyAlignment="1">
      <alignment horizontal="center" vertical="center" textRotation="90"/>
    </xf>
    <xf numFmtId="0" fontId="77" fillId="14" borderId="20" xfId="1" applyFont="1" applyFill="1" applyBorder="1" applyAlignment="1" applyProtection="1">
      <alignment horizontal="center" vertical="center"/>
      <protection hidden="1"/>
    </xf>
    <xf numFmtId="0" fontId="77" fillId="14" borderId="0" xfId="1" applyFont="1" applyFill="1" applyBorder="1" applyAlignment="1" applyProtection="1">
      <alignment horizontal="center" vertical="center"/>
      <protection hidden="1"/>
    </xf>
    <xf numFmtId="0" fontId="77" fillId="14" borderId="21" xfId="1" applyFont="1" applyFill="1" applyBorder="1" applyAlignment="1" applyProtection="1">
      <alignment horizontal="center" vertical="center"/>
      <protection hidden="1"/>
    </xf>
    <xf numFmtId="0" fontId="64" fillId="86" borderId="262" xfId="1" applyFont="1" applyFill="1" applyBorder="1" applyAlignment="1" applyProtection="1">
      <alignment horizontal="center" vertical="center"/>
      <protection hidden="1"/>
    </xf>
    <xf numFmtId="0" fontId="64" fillId="86" borderId="263" xfId="1" applyFont="1" applyFill="1" applyBorder="1" applyAlignment="1" applyProtection="1">
      <alignment horizontal="center" vertical="center"/>
      <protection hidden="1"/>
    </xf>
    <xf numFmtId="0" fontId="64" fillId="14" borderId="208" xfId="1" applyFont="1" applyFill="1" applyBorder="1" applyAlignment="1" applyProtection="1">
      <alignment horizontal="center" vertical="center"/>
      <protection hidden="1"/>
    </xf>
    <xf numFmtId="0" fontId="64" fillId="14" borderId="262" xfId="1" applyFont="1" applyFill="1" applyBorder="1" applyAlignment="1" applyProtection="1">
      <alignment horizontal="center" vertical="center"/>
      <protection hidden="1"/>
    </xf>
    <xf numFmtId="0" fontId="64" fillId="14" borderId="263" xfId="1" applyFont="1" applyFill="1" applyBorder="1" applyAlignment="1" applyProtection="1">
      <alignment horizontal="center" vertical="center"/>
      <protection hidden="1"/>
    </xf>
    <xf numFmtId="0" fontId="258" fillId="62" borderId="0" xfId="27" applyFont="1" applyFill="1" applyBorder="1" applyAlignment="1">
      <alignment horizontal="center" vertical="center" textRotation="90" wrapText="1"/>
    </xf>
    <xf numFmtId="0" fontId="258" fillId="62" borderId="348" xfId="27" applyFont="1" applyFill="1" applyBorder="1" applyAlignment="1">
      <alignment horizontal="center" vertical="center" textRotation="90" wrapText="1"/>
    </xf>
    <xf numFmtId="0" fontId="273" fillId="62" borderId="0" xfId="27" applyFont="1" applyFill="1" applyBorder="1" applyAlignment="1">
      <alignment horizontal="center" vertical="center"/>
    </xf>
    <xf numFmtId="0" fontId="273" fillId="62" borderId="163" xfId="27" applyFont="1" applyFill="1" applyBorder="1" applyAlignment="1">
      <alignment horizontal="center" vertical="center"/>
    </xf>
    <xf numFmtId="0" fontId="263" fillId="5" borderId="388" xfId="28" applyFont="1" applyFill="1" applyBorder="1" applyAlignment="1">
      <alignment horizontal="center" vertical="center" textRotation="90" wrapText="1"/>
    </xf>
    <xf numFmtId="0" fontId="263" fillId="5" borderId="474" xfId="28" applyFont="1" applyFill="1" applyBorder="1" applyAlignment="1">
      <alignment horizontal="center" vertical="center" textRotation="90" wrapText="1"/>
    </xf>
    <xf numFmtId="0" fontId="33" fillId="4" borderId="472" xfId="27" applyFont="1" applyFill="1" applyBorder="1" applyAlignment="1">
      <alignment horizontal="center" vertical="center" textRotation="90"/>
    </xf>
    <xf numFmtId="0" fontId="33" fillId="4" borderId="475" xfId="27" applyFont="1" applyFill="1" applyBorder="1" applyAlignment="1">
      <alignment horizontal="center" vertical="center" textRotation="90"/>
    </xf>
    <xf numFmtId="0" fontId="33" fillId="121" borderId="0" xfId="27" applyFont="1" applyFill="1" applyBorder="1" applyAlignment="1">
      <alignment horizontal="center" vertical="center"/>
    </xf>
    <xf numFmtId="0" fontId="33" fillId="121" borderId="163" xfId="27" applyFont="1" applyFill="1" applyBorder="1" applyAlignment="1">
      <alignment horizontal="center" vertical="center"/>
    </xf>
    <xf numFmtId="222" fontId="33" fillId="121" borderId="476" xfId="27" applyNumberFormat="1" applyFont="1" applyFill="1" applyBorder="1" applyAlignment="1">
      <alignment horizontal="center" vertical="center"/>
    </xf>
    <xf numFmtId="222" fontId="33" fillId="121" borderId="24" xfId="27" applyNumberFormat="1" applyFont="1" applyFill="1" applyBorder="1" applyAlignment="1">
      <alignment horizontal="center" vertical="center"/>
    </xf>
    <xf numFmtId="2" fontId="33" fillId="61" borderId="189" xfId="27" applyNumberFormat="1" applyFont="1" applyFill="1" applyBorder="1" applyAlignment="1">
      <alignment horizontal="center" vertical="center" wrapText="1"/>
    </xf>
    <xf numFmtId="2" fontId="33" fillId="61" borderId="163" xfId="27" applyNumberFormat="1" applyFont="1" applyFill="1" applyBorder="1" applyAlignment="1">
      <alignment horizontal="center" vertical="center" wrapText="1"/>
    </xf>
    <xf numFmtId="0" fontId="264" fillId="4" borderId="37" xfId="27" applyFont="1" applyFill="1" applyBorder="1" applyAlignment="1">
      <alignment horizontal="center" vertical="center"/>
    </xf>
    <xf numFmtId="0" fontId="264" fillId="4" borderId="0" xfId="27" applyFont="1" applyFill="1" applyBorder="1" applyAlignment="1">
      <alignment horizontal="center" vertical="center"/>
    </xf>
    <xf numFmtId="1" fontId="200" fillId="3" borderId="474" xfId="28" applyNumberFormat="1" applyFont="1" applyFill="1" applyBorder="1" applyAlignment="1">
      <alignment horizontal="center" vertical="center" wrapText="1"/>
    </xf>
    <xf numFmtId="0" fontId="171" fillId="4" borderId="473" xfId="27" applyFont="1" applyFill="1" applyBorder="1" applyAlignment="1">
      <alignment horizontal="left" vertical="center"/>
    </xf>
    <xf numFmtId="0" fontId="171" fillId="4" borderId="482" xfId="27" applyFont="1" applyFill="1" applyBorder="1" applyAlignment="1">
      <alignment horizontal="left" vertical="center"/>
    </xf>
    <xf numFmtId="0" fontId="171" fillId="4" borderId="485" xfId="27" applyFont="1" applyFill="1" applyBorder="1" applyAlignment="1">
      <alignment horizontal="left" vertical="center"/>
    </xf>
    <xf numFmtId="0" fontId="33" fillId="121" borderId="479" xfId="27" applyFont="1" applyFill="1" applyBorder="1" applyAlignment="1">
      <alignment horizontal="center" vertical="center" wrapText="1"/>
    </xf>
    <xf numFmtId="0" fontId="33" fillId="121" borderId="151" xfId="27" applyFont="1" applyFill="1" applyBorder="1" applyAlignment="1">
      <alignment horizontal="center" vertical="center" wrapText="1"/>
    </xf>
    <xf numFmtId="0" fontId="33" fillId="121" borderId="152" xfId="27" applyFont="1" applyFill="1" applyBorder="1" applyAlignment="1">
      <alignment horizontal="center" vertical="center" wrapText="1"/>
    </xf>
    <xf numFmtId="0" fontId="33" fillId="121" borderId="480" xfId="27" applyFont="1" applyFill="1" applyBorder="1" applyAlignment="1">
      <alignment horizontal="center" vertical="center" wrapText="1"/>
    </xf>
    <xf numFmtId="0" fontId="33" fillId="121" borderId="483" xfId="27" applyFont="1" applyFill="1" applyBorder="1" applyAlignment="1">
      <alignment horizontal="center" vertical="center" wrapText="1"/>
    </xf>
    <xf numFmtId="0" fontId="33" fillId="121" borderId="486" xfId="27" applyFont="1" applyFill="1" applyBorder="1" applyAlignment="1">
      <alignment horizontal="center" vertical="center" wrapText="1"/>
    </xf>
    <xf numFmtId="2" fontId="43" fillId="7" borderId="188" xfId="27" applyNumberFormat="1" applyFont="1" applyFill="1" applyBorder="1" applyAlignment="1">
      <alignment horizontal="center" vertical="center" wrapText="1"/>
    </xf>
    <xf numFmtId="2" fontId="43" fillId="7" borderId="0" xfId="27" applyNumberFormat="1" applyFont="1" applyFill="1" applyBorder="1" applyAlignment="1">
      <alignment horizontal="center" vertical="center" wrapText="1"/>
    </xf>
    <xf numFmtId="2" fontId="35" fillId="7" borderId="177" xfId="27" applyNumberFormat="1" applyFont="1" applyFill="1" applyBorder="1" applyAlignment="1">
      <alignment horizontal="center" vertical="center" wrapText="1"/>
    </xf>
    <xf numFmtId="2" fontId="35" fillId="7" borderId="345" xfId="27" applyNumberFormat="1" applyFont="1" applyFill="1" applyBorder="1" applyAlignment="1">
      <alignment horizontal="center" vertical="center" wrapText="1"/>
    </xf>
    <xf numFmtId="0" fontId="381" fillId="18" borderId="78" xfId="1" applyFont="1" applyFill="1" applyBorder="1" applyAlignment="1">
      <alignment horizontal="center" vertical="center" textRotation="90"/>
    </xf>
    <xf numFmtId="0" fontId="381" fillId="18" borderId="51" xfId="1" applyFont="1" applyFill="1" applyBorder="1" applyAlignment="1">
      <alignment horizontal="center" vertical="center" textRotation="90"/>
    </xf>
    <xf numFmtId="0" fontId="381" fillId="18" borderId="6" xfId="1" applyFont="1" applyFill="1" applyBorder="1" applyAlignment="1">
      <alignment horizontal="center" vertical="center" textRotation="90"/>
    </xf>
    <xf numFmtId="0" fontId="63" fillId="0" borderId="0" xfId="6" applyNumberFormat="1" applyFont="1" applyFill="1" applyBorder="1" applyAlignment="1">
      <alignment horizontal="left" vertical="center" wrapText="1"/>
    </xf>
    <xf numFmtId="0" fontId="63" fillId="0" borderId="81" xfId="6" applyNumberFormat="1" applyFont="1" applyFill="1" applyBorder="1" applyAlignment="1">
      <alignment horizontal="left" vertical="center" wrapText="1"/>
    </xf>
    <xf numFmtId="0" fontId="77" fillId="0" borderId="16" xfId="6" applyNumberFormat="1" applyFont="1" applyFill="1" applyBorder="1" applyAlignment="1">
      <alignment horizontal="center" vertical="center" wrapText="1"/>
    </xf>
    <xf numFmtId="0" fontId="77" fillId="0" borderId="16" xfId="6" applyNumberFormat="1" applyFont="1" applyFill="1" applyBorder="1" applyAlignment="1">
      <alignment horizontal="center" vertical="center"/>
    </xf>
    <xf numFmtId="0" fontId="77" fillId="0" borderId="85" xfId="6" applyNumberFormat="1" applyFont="1" applyFill="1" applyBorder="1" applyAlignment="1">
      <alignment horizontal="center" vertical="center"/>
    </xf>
    <xf numFmtId="0" fontId="396" fillId="0" borderId="20" xfId="6" applyNumberFormat="1" applyFont="1" applyFill="1" applyBorder="1" applyAlignment="1">
      <alignment horizontal="center" vertical="center"/>
    </xf>
    <xf numFmtId="0" fontId="372" fillId="0" borderId="81" xfId="6" applyNumberFormat="1" applyFont="1" applyFill="1" applyBorder="1" applyAlignment="1">
      <alignment horizontal="left" vertical="center" wrapText="1"/>
    </xf>
    <xf numFmtId="0" fontId="396" fillId="0" borderId="33" xfId="6" applyNumberFormat="1" applyFont="1" applyFill="1" applyBorder="1" applyAlignment="1">
      <alignment horizontal="center" vertical="center"/>
    </xf>
    <xf numFmtId="0" fontId="77" fillId="0" borderId="17" xfId="6" applyNumberFormat="1" applyFont="1" applyFill="1" applyBorder="1" applyAlignment="1">
      <alignment horizontal="center" vertical="center" wrapText="1"/>
    </xf>
    <xf numFmtId="0" fontId="381" fillId="18" borderId="46" xfId="1" applyFont="1" applyFill="1" applyBorder="1" applyAlignment="1">
      <alignment horizontal="center" vertical="center" textRotation="90"/>
    </xf>
    <xf numFmtId="0" fontId="381" fillId="18" borderId="50" xfId="1" applyFont="1" applyFill="1" applyBorder="1" applyAlignment="1">
      <alignment horizontal="center" vertical="center" textRotation="90"/>
    </xf>
    <xf numFmtId="0" fontId="75" fillId="182" borderId="164" xfId="1" applyFont="1" applyFill="1" applyBorder="1" applyAlignment="1">
      <alignment horizontal="center" vertical="center"/>
    </xf>
    <xf numFmtId="0" fontId="75" fillId="182" borderId="165" xfId="1" applyFont="1" applyFill="1" applyBorder="1" applyAlignment="1">
      <alignment horizontal="center" vertical="center"/>
    </xf>
    <xf numFmtId="0" fontId="75" fillId="182" borderId="166" xfId="1" applyFont="1" applyFill="1" applyBorder="1" applyAlignment="1">
      <alignment horizontal="center" vertical="center"/>
    </xf>
    <xf numFmtId="0" fontId="64" fillId="3" borderId="328" xfId="1" applyFont="1" applyFill="1" applyBorder="1" applyAlignment="1">
      <alignment horizontal="left"/>
    </xf>
    <xf numFmtId="0" fontId="64" fillId="3" borderId="336" xfId="1" applyFont="1" applyFill="1" applyBorder="1" applyAlignment="1">
      <alignment horizontal="left"/>
    </xf>
    <xf numFmtId="0" fontId="64" fillId="45" borderId="253" xfId="1" applyFont="1" applyFill="1" applyBorder="1" applyAlignment="1">
      <alignment horizontal="left" vertical="center" wrapText="1"/>
    </xf>
    <xf numFmtId="0" fontId="63" fillId="45" borderId="253" xfId="1" applyFont="1" applyFill="1" applyBorder="1" applyAlignment="1">
      <alignment horizontal="left" vertical="center" wrapText="1"/>
    </xf>
    <xf numFmtId="0" fontId="50" fillId="0" borderId="329" xfId="1" applyFont="1" applyBorder="1" applyAlignment="1">
      <alignment horizontal="center" vertical="top" wrapText="1"/>
    </xf>
    <xf numFmtId="0" fontId="42" fillId="0" borderId="330" xfId="1" applyFont="1" applyBorder="1" applyAlignment="1">
      <alignment horizontal="center" vertical="top" wrapText="1"/>
    </xf>
    <xf numFmtId="0" fontId="42" fillId="0" borderId="331" xfId="1" applyFont="1" applyBorder="1" applyAlignment="1">
      <alignment horizontal="center" vertical="top" wrapText="1"/>
    </xf>
    <xf numFmtId="0" fontId="42" fillId="91" borderId="307" xfId="1" applyFont="1" applyFill="1" applyBorder="1" applyAlignment="1">
      <alignment horizontal="center" vertical="top" wrapText="1"/>
    </xf>
    <xf numFmtId="0" fontId="42" fillId="1" borderId="335" xfId="1" applyFont="1" applyFill="1" applyBorder="1" applyAlignment="1">
      <alignment horizontal="center" vertical="top" wrapText="1"/>
    </xf>
    <xf numFmtId="0" fontId="42" fillId="1" borderId="336" xfId="1" applyFont="1" applyFill="1" applyBorder="1" applyAlignment="1">
      <alignment horizontal="center" vertical="top" wrapText="1"/>
    </xf>
    <xf numFmtId="0" fontId="42" fillId="1" borderId="337" xfId="1" applyFont="1" applyFill="1" applyBorder="1" applyAlignment="1">
      <alignment horizontal="center" vertical="top" wrapText="1"/>
    </xf>
    <xf numFmtId="0" fontId="33" fillId="87" borderId="309" xfId="1" applyFont="1" applyFill="1" applyBorder="1" applyAlignment="1">
      <alignment horizontal="center" vertical="center" wrapText="1"/>
    </xf>
    <xf numFmtId="0" fontId="33" fillId="0" borderId="311" xfId="1" applyFont="1" applyBorder="1" applyAlignment="1">
      <alignment horizontal="center" vertical="center" wrapText="1"/>
    </xf>
    <xf numFmtId="0" fontId="33" fillId="87" borderId="312" xfId="1" applyFont="1" applyFill="1" applyBorder="1" applyAlignment="1">
      <alignment horizontal="center" vertical="center" wrapText="1"/>
    </xf>
    <xf numFmtId="0" fontId="64" fillId="5" borderId="253" xfId="1" applyFont="1" applyFill="1" applyBorder="1" applyAlignment="1">
      <alignment horizontal="left" vertical="center" wrapText="1"/>
    </xf>
    <xf numFmtId="0" fontId="63" fillId="5" borderId="253" xfId="1" applyFont="1" applyFill="1" applyBorder="1" applyAlignment="1">
      <alignment horizontal="left" vertical="center" wrapText="1"/>
    </xf>
    <xf numFmtId="0" fontId="50" fillId="0" borderId="252" xfId="1" applyFont="1" applyBorder="1" applyAlignment="1">
      <alignment horizontal="left" vertical="top" wrapText="1"/>
    </xf>
    <xf numFmtId="0" fontId="42" fillId="0" borderId="253" xfId="1" applyFont="1" applyBorder="1" applyAlignment="1">
      <alignment horizontal="left" vertical="top" wrapText="1"/>
    </xf>
    <xf numFmtId="0" fontId="42" fillId="0" borderId="254" xfId="1" applyFont="1" applyBorder="1" applyAlignment="1">
      <alignment horizontal="left" vertical="top" wrapText="1"/>
    </xf>
    <xf numFmtId="0" fontId="42" fillId="1" borderId="15" xfId="1" applyFont="1" applyFill="1" applyBorder="1" applyAlignment="1">
      <alignment horizontal="center" vertical="top" wrapText="1"/>
    </xf>
    <xf numFmtId="0" fontId="42" fillId="1" borderId="58" xfId="1" applyFont="1" applyFill="1" applyBorder="1" applyAlignment="1">
      <alignment horizontal="center" vertical="top" wrapText="1"/>
    </xf>
    <xf numFmtId="0" fontId="42" fillId="1" borderId="57" xfId="1" applyFont="1" applyFill="1" applyBorder="1" applyAlignment="1">
      <alignment horizontal="center" vertical="top" wrapText="1"/>
    </xf>
    <xf numFmtId="0" fontId="50" fillId="0" borderId="252" xfId="1" applyFont="1" applyBorder="1" applyAlignment="1">
      <alignment horizontal="center" vertical="top" wrapText="1"/>
    </xf>
    <xf numFmtId="0" fontId="42" fillId="0" borderId="253" xfId="1" applyFont="1" applyBorder="1" applyAlignment="1">
      <alignment horizontal="center" vertical="top" wrapText="1"/>
    </xf>
    <xf numFmtId="0" fontId="42" fillId="0" borderId="254" xfId="1" applyFont="1" applyBorder="1" applyAlignment="1">
      <alignment horizontal="center" vertical="top" wrapText="1"/>
    </xf>
    <xf numFmtId="0" fontId="50" fillId="87" borderId="312" xfId="1" applyFont="1" applyFill="1" applyBorder="1" applyAlignment="1">
      <alignment horizontal="center" wrapText="1"/>
    </xf>
    <xf numFmtId="0" fontId="50" fillId="0" borderId="299" xfId="1" applyFont="1" applyBorder="1" applyAlignment="1">
      <alignment horizontal="center" vertical="top" wrapText="1"/>
    </xf>
    <xf numFmtId="0" fontId="42" fillId="87" borderId="307" xfId="1" applyFont="1" applyFill="1" applyBorder="1" applyAlignment="1">
      <alignment horizontal="center" vertical="top" wrapText="1"/>
    </xf>
    <xf numFmtId="0" fontId="33" fillId="91" borderId="309" xfId="1" applyFont="1" applyFill="1" applyBorder="1" applyAlignment="1">
      <alignment horizontal="center" vertical="center" wrapText="1"/>
    </xf>
    <xf numFmtId="0" fontId="50" fillId="87" borderId="309" xfId="1" applyFont="1" applyFill="1" applyBorder="1" applyAlignment="1">
      <alignment horizontal="center" wrapText="1"/>
    </xf>
    <xf numFmtId="0" fontId="50" fillId="0" borderId="311" xfId="1" applyFont="1" applyBorder="1" applyAlignment="1">
      <alignment horizontal="center" wrapText="1"/>
    </xf>
    <xf numFmtId="0" fontId="50" fillId="0" borderId="329" xfId="1" applyFont="1" applyBorder="1" applyAlignment="1">
      <alignment horizontal="left" vertical="top" wrapText="1"/>
    </xf>
    <xf numFmtId="0" fontId="42" fillId="0" borderId="330" xfId="1" applyFont="1" applyBorder="1" applyAlignment="1">
      <alignment horizontal="left" vertical="top" wrapText="1"/>
    </xf>
    <xf numFmtId="0" fontId="42" fillId="0" borderId="331" xfId="1" applyFont="1" applyBorder="1" applyAlignment="1">
      <alignment horizontal="left" vertical="top" wrapText="1"/>
    </xf>
    <xf numFmtId="0" fontId="196" fillId="7" borderId="274" xfId="3" applyFont="1" applyFill="1" applyBorder="1" applyAlignment="1">
      <alignment horizontal="center" vertical="center" wrapText="1"/>
    </xf>
    <xf numFmtId="0" fontId="196" fillId="7" borderId="277" xfId="3" applyFont="1" applyFill="1" applyBorder="1" applyAlignment="1">
      <alignment horizontal="center" vertical="center" wrapText="1"/>
    </xf>
    <xf numFmtId="0" fontId="256" fillId="7" borderId="275" xfId="3" applyFont="1" applyFill="1" applyBorder="1" applyAlignment="1">
      <alignment horizontal="center" vertical="center" wrapText="1"/>
    </xf>
    <xf numFmtId="0" fontId="256" fillId="7" borderId="0" xfId="3" applyFont="1" applyFill="1" applyBorder="1" applyAlignment="1">
      <alignment horizontal="center" vertical="center" wrapText="1"/>
    </xf>
    <xf numFmtId="0" fontId="221" fillId="0" borderId="0" xfId="5" applyFont="1" applyBorder="1" applyAlignment="1" applyProtection="1">
      <alignment horizontal="left" vertical="center"/>
    </xf>
    <xf numFmtId="0" fontId="33" fillId="0" borderId="0" xfId="3" applyFont="1" applyBorder="1" applyAlignment="1">
      <alignment horizontal="left" vertical="center"/>
    </xf>
    <xf numFmtId="0" fontId="180" fillId="3" borderId="0" xfId="3" applyFont="1" applyFill="1" applyBorder="1" applyAlignment="1">
      <alignment horizontal="center" vertical="center" wrapText="1"/>
    </xf>
    <xf numFmtId="0" fontId="180" fillId="3" borderId="49" xfId="3" applyFont="1" applyFill="1" applyBorder="1" applyAlignment="1">
      <alignment horizontal="center" vertical="center" wrapText="1"/>
    </xf>
    <xf numFmtId="0" fontId="172" fillId="3" borderId="0" xfId="3" applyFont="1" applyFill="1" applyBorder="1" applyAlignment="1">
      <alignment horizontal="center" vertical="center"/>
    </xf>
    <xf numFmtId="0" fontId="172" fillId="3" borderId="49" xfId="3" applyFont="1" applyFill="1" applyBorder="1" applyAlignment="1">
      <alignment horizontal="center" vertical="center"/>
    </xf>
    <xf numFmtId="0" fontId="449" fillId="3" borderId="0" xfId="3" applyFont="1" applyFill="1" applyBorder="1" applyAlignment="1">
      <alignment horizontal="center" vertical="center"/>
    </xf>
    <xf numFmtId="0" fontId="449" fillId="3" borderId="285" xfId="3" applyFont="1" applyFill="1" applyBorder="1" applyAlignment="1">
      <alignment horizontal="center" vertical="center"/>
    </xf>
    <xf numFmtId="0" fontId="38" fillId="3" borderId="0" xfId="3" applyFont="1" applyFill="1" applyBorder="1" applyAlignment="1">
      <alignment horizontal="center" vertical="center"/>
    </xf>
    <xf numFmtId="0" fontId="38" fillId="3" borderId="285" xfId="3" applyFont="1" applyFill="1" applyBorder="1" applyAlignment="1">
      <alignment horizontal="center" vertical="center"/>
    </xf>
    <xf numFmtId="1" fontId="245" fillId="7" borderId="49" xfId="9" applyNumberFormat="1" applyFont="1" applyFill="1" applyBorder="1" applyAlignment="1">
      <alignment horizontal="center" vertical="center"/>
    </xf>
    <xf numFmtId="1" fontId="245" fillId="7" borderId="368" xfId="9" applyNumberFormat="1" applyFont="1" applyFill="1" applyBorder="1" applyAlignment="1">
      <alignment horizontal="center" vertical="center"/>
    </xf>
    <xf numFmtId="0" fontId="41" fillId="0" borderId="451" xfId="3" applyFont="1" applyBorder="1" applyAlignment="1">
      <alignment horizontal="center" vertical="center"/>
    </xf>
    <xf numFmtId="0" fontId="41" fillId="0" borderId="401" xfId="3" applyFont="1" applyBorder="1" applyAlignment="1">
      <alignment horizontal="center" vertical="center"/>
    </xf>
    <xf numFmtId="0" fontId="91" fillId="0" borderId="374" xfId="3" applyFont="1" applyBorder="1" applyAlignment="1">
      <alignment horizontal="center" vertical="center"/>
    </xf>
    <xf numFmtId="0" fontId="91" fillId="0" borderId="375" xfId="3" applyFont="1" applyBorder="1" applyAlignment="1">
      <alignment horizontal="center" vertical="center"/>
    </xf>
    <xf numFmtId="0" fontId="181" fillId="7" borderId="276" xfId="3" applyFont="1" applyFill="1" applyBorder="1" applyAlignment="1">
      <alignment horizontal="center" vertical="center" wrapText="1"/>
    </xf>
    <xf numFmtId="0" fontId="181" fillId="7" borderId="49" xfId="3" applyFont="1" applyFill="1" applyBorder="1" applyAlignment="1">
      <alignment horizontal="center" vertical="center" wrapText="1"/>
    </xf>
    <xf numFmtId="0" fontId="194" fillId="7" borderId="355" xfId="2" applyFont="1" applyFill="1" applyBorder="1" applyAlignment="1">
      <alignment horizontal="center" vertical="center"/>
    </xf>
    <xf numFmtId="0" fontId="194" fillId="7" borderId="354" xfId="2" applyFont="1" applyFill="1" applyBorder="1" applyAlignment="1">
      <alignment horizontal="center" vertical="center"/>
    </xf>
    <xf numFmtId="0" fontId="194" fillId="7" borderId="471" xfId="2" applyFont="1" applyFill="1" applyBorder="1" applyAlignment="1">
      <alignment horizontal="center" vertical="center"/>
    </xf>
    <xf numFmtId="0" fontId="75" fillId="73" borderId="345" xfId="2" applyFont="1" applyFill="1" applyBorder="1" applyAlignment="1">
      <alignment horizontal="center" vertical="center"/>
    </xf>
    <xf numFmtId="0" fontId="75" fillId="73" borderId="0" xfId="2" applyFont="1" applyFill="1" applyBorder="1" applyAlignment="1">
      <alignment horizontal="center" vertical="center"/>
    </xf>
    <xf numFmtId="0" fontId="64" fillId="3" borderId="0" xfId="3" applyFont="1" applyFill="1" applyBorder="1" applyAlignment="1" applyProtection="1">
      <alignment horizontal="left" vertical="center" wrapText="1"/>
      <protection hidden="1"/>
    </xf>
    <xf numFmtId="0" fontId="64" fillId="3" borderId="163" xfId="3" applyFont="1" applyFill="1" applyBorder="1" applyAlignment="1" applyProtection="1">
      <alignment horizontal="left" vertical="center" wrapText="1"/>
      <protection hidden="1"/>
    </xf>
    <xf numFmtId="0" fontId="180" fillId="7" borderId="274" xfId="3" applyFont="1" applyFill="1" applyBorder="1" applyAlignment="1">
      <alignment horizontal="center" vertical="center" wrapText="1"/>
    </xf>
    <xf numFmtId="0" fontId="180" fillId="7" borderId="275" xfId="3" applyFont="1" applyFill="1" applyBorder="1" applyAlignment="1">
      <alignment horizontal="center" vertical="center" wrapText="1"/>
    </xf>
    <xf numFmtId="0" fontId="180" fillId="7" borderId="277" xfId="3" applyFont="1" applyFill="1" applyBorder="1" applyAlignment="1">
      <alignment horizontal="center" vertical="center" wrapText="1"/>
    </xf>
    <xf numFmtId="0" fontId="180" fillId="7" borderId="0" xfId="3" applyFont="1" applyFill="1" applyBorder="1" applyAlignment="1">
      <alignment horizontal="center" vertical="center" wrapText="1"/>
    </xf>
    <xf numFmtId="176" fontId="33" fillId="4" borderId="173" xfId="9" applyNumberFormat="1" applyFont="1" applyFill="1" applyBorder="1" applyAlignment="1">
      <alignment horizontal="center" vertical="center"/>
    </xf>
    <xf numFmtId="176" fontId="33" fillId="4" borderId="176" xfId="9" applyNumberFormat="1" applyFont="1" applyFill="1" applyBorder="1" applyAlignment="1">
      <alignment horizontal="center" vertical="center"/>
    </xf>
    <xf numFmtId="0" fontId="41" fillId="3" borderId="381" xfId="3" applyFont="1" applyFill="1" applyBorder="1" applyAlignment="1" applyProtection="1">
      <alignment horizontal="center" vertical="center" wrapText="1"/>
      <protection hidden="1"/>
    </xf>
    <xf numFmtId="0" fontId="41" fillId="3" borderId="162" xfId="3" applyFont="1" applyFill="1" applyBorder="1" applyAlignment="1" applyProtection="1">
      <alignment horizontal="center" vertical="center" wrapText="1"/>
      <protection hidden="1"/>
    </xf>
    <xf numFmtId="0" fontId="41" fillId="85" borderId="381" xfId="3" applyFont="1" applyFill="1" applyBorder="1" applyAlignment="1" applyProtection="1">
      <alignment horizontal="center" vertical="center" wrapText="1"/>
      <protection hidden="1"/>
    </xf>
    <xf numFmtId="0" fontId="41" fillId="85" borderId="162" xfId="3" applyFont="1" applyFill="1" applyBorder="1" applyAlignment="1" applyProtection="1">
      <alignment horizontal="center" vertical="center" wrapText="1"/>
      <protection hidden="1"/>
    </xf>
    <xf numFmtId="0" fontId="196" fillId="7" borderId="162" xfId="2" applyFont="1" applyFill="1" applyBorder="1" applyAlignment="1">
      <alignment horizontal="left" vertical="center" wrapText="1"/>
    </xf>
    <xf numFmtId="0" fontId="91" fillId="0" borderId="464" xfId="3" applyFont="1" applyBorder="1" applyAlignment="1">
      <alignment horizontal="center" vertical="center"/>
    </xf>
    <xf numFmtId="0" fontId="180" fillId="7" borderId="49" xfId="3" applyFont="1" applyFill="1" applyBorder="1" applyAlignment="1">
      <alignment horizontal="center" vertical="center" wrapText="1"/>
    </xf>
    <xf numFmtId="0" fontId="172" fillId="7" borderId="277" xfId="3" applyFont="1" applyFill="1" applyBorder="1" applyAlignment="1">
      <alignment horizontal="center" vertical="center"/>
    </xf>
    <xf numFmtId="0" fontId="172" fillId="7" borderId="0" xfId="3" applyFont="1" applyFill="1" applyBorder="1" applyAlignment="1">
      <alignment horizontal="center" vertical="center"/>
    </xf>
    <xf numFmtId="0" fontId="172" fillId="7" borderId="49" xfId="3" applyFont="1" applyFill="1" applyBorder="1" applyAlignment="1">
      <alignment horizontal="center" vertical="center"/>
    </xf>
    <xf numFmtId="0" fontId="35" fillId="3" borderId="0" xfId="3" applyFont="1" applyFill="1" applyBorder="1" applyAlignment="1">
      <alignment horizontal="right" vertical="center"/>
    </xf>
    <xf numFmtId="1" fontId="200" fillId="5" borderId="49" xfId="9" applyNumberFormat="1" applyFont="1" applyFill="1" applyBorder="1" applyAlignment="1">
      <alignment horizontal="center" vertical="center"/>
    </xf>
    <xf numFmtId="1" fontId="200" fillId="5" borderId="368" xfId="9" applyNumberFormat="1" applyFont="1" applyFill="1" applyBorder="1" applyAlignment="1">
      <alignment horizontal="center" vertical="center"/>
    </xf>
    <xf numFmtId="0" fontId="41" fillId="0" borderId="398" xfId="3" applyFont="1" applyBorder="1" applyAlignment="1">
      <alignment horizontal="center" vertical="center"/>
    </xf>
    <xf numFmtId="0" fontId="41" fillId="0" borderId="399" xfId="3" applyFont="1" applyBorder="1" applyAlignment="1">
      <alignment horizontal="center" vertical="center"/>
    </xf>
    <xf numFmtId="0" fontId="91" fillId="0" borderId="374" xfId="3" applyFont="1" applyBorder="1" applyAlignment="1">
      <alignment horizontal="center"/>
    </xf>
    <xf numFmtId="0" fontId="91" fillId="0" borderId="375" xfId="3" applyFont="1" applyBorder="1" applyAlignment="1">
      <alignment horizontal="center"/>
    </xf>
    <xf numFmtId="196" fontId="172" fillId="86" borderId="171" xfId="9" applyNumberFormat="1" applyFont="1" applyFill="1" applyBorder="1" applyAlignment="1">
      <alignment horizontal="center" vertical="center"/>
    </xf>
    <xf numFmtId="196" fontId="172" fillId="86" borderId="174" xfId="9" applyNumberFormat="1" applyFont="1" applyFill="1" applyBorder="1" applyAlignment="1">
      <alignment horizontal="center" vertical="center"/>
    </xf>
    <xf numFmtId="0" fontId="218" fillId="3" borderId="172" xfId="3" applyFont="1" applyFill="1" applyBorder="1" applyAlignment="1">
      <alignment horizontal="left" vertical="center" wrapText="1"/>
    </xf>
    <xf numFmtId="0" fontId="218" fillId="3" borderId="175" xfId="3" applyFont="1" applyFill="1" applyBorder="1" applyAlignment="1">
      <alignment horizontal="left" vertical="center" wrapText="1"/>
    </xf>
    <xf numFmtId="0" fontId="33" fillId="3" borderId="0" xfId="3" applyFont="1" applyFill="1" applyBorder="1" applyAlignment="1">
      <alignment horizontal="right" vertical="center" wrapText="1"/>
    </xf>
    <xf numFmtId="0" fontId="33" fillId="3" borderId="175" xfId="3" applyFont="1" applyFill="1" applyBorder="1" applyAlignment="1">
      <alignment horizontal="right" vertical="center" wrapText="1"/>
    </xf>
    <xf numFmtId="0" fontId="36" fillId="7" borderId="390" xfId="3" applyFont="1" applyFill="1" applyBorder="1" applyAlignment="1">
      <alignment horizontal="left" vertical="center" wrapText="1"/>
    </xf>
    <xf numFmtId="0" fontId="171" fillId="61" borderId="172" xfId="3" applyFont="1" applyFill="1" applyBorder="1" applyAlignment="1">
      <alignment horizontal="center" vertical="center" textRotation="90"/>
    </xf>
    <xf numFmtId="0" fontId="171" fillId="61" borderId="468" xfId="3" applyFont="1" applyFill="1" applyBorder="1" applyAlignment="1">
      <alignment horizontal="center" vertical="center" textRotation="90"/>
    </xf>
    <xf numFmtId="0" fontId="171" fillId="61" borderId="357" xfId="3" applyFont="1" applyFill="1" applyBorder="1" applyAlignment="1">
      <alignment horizontal="center" vertical="center" textRotation="90"/>
    </xf>
    <xf numFmtId="0" fontId="171" fillId="61" borderId="469" xfId="3" applyFont="1" applyFill="1" applyBorder="1" applyAlignment="1">
      <alignment horizontal="center" vertical="center" textRotation="90"/>
    </xf>
    <xf numFmtId="0" fontId="171" fillId="61" borderId="174" xfId="3" applyFont="1" applyFill="1" applyBorder="1" applyAlignment="1">
      <alignment horizontal="center" vertical="center" textRotation="90"/>
    </xf>
    <xf numFmtId="0" fontId="171" fillId="61" borderId="470" xfId="3" applyFont="1" applyFill="1" applyBorder="1" applyAlignment="1">
      <alignment horizontal="center" vertical="center" textRotation="90"/>
    </xf>
    <xf numFmtId="0" fontId="69" fillId="6" borderId="357" xfId="2" applyFont="1" applyFill="1" applyBorder="1" applyAlignment="1">
      <alignment horizontal="center" vertical="center"/>
    </xf>
    <xf numFmtId="0" fontId="69" fillId="6" borderId="0" xfId="2" applyFont="1" applyFill="1" applyBorder="1" applyAlignment="1">
      <alignment horizontal="center" vertical="center"/>
    </xf>
    <xf numFmtId="0" fontId="439" fillId="94" borderId="0" xfId="6" applyFont="1" applyFill="1" applyBorder="1" applyAlignment="1">
      <alignment horizontal="center" vertical="center"/>
    </xf>
    <xf numFmtId="0" fontId="76" fillId="3" borderId="357" xfId="2" applyFont="1" applyFill="1" applyBorder="1" applyAlignment="1">
      <alignment horizontal="center" vertical="center"/>
    </xf>
    <xf numFmtId="0" fontId="76" fillId="3" borderId="0" xfId="2" applyFont="1" applyFill="1" applyBorder="1" applyAlignment="1">
      <alignment horizontal="center" vertical="center"/>
    </xf>
    <xf numFmtId="0" fontId="198" fillId="7" borderId="0" xfId="2" applyFont="1" applyFill="1" applyBorder="1" applyAlignment="1">
      <alignment horizontal="left" vertical="center"/>
    </xf>
    <xf numFmtId="0" fontId="198" fillId="7" borderId="163" xfId="2" applyFont="1" applyFill="1" applyBorder="1" applyAlignment="1">
      <alignment horizontal="left" vertical="center"/>
    </xf>
    <xf numFmtId="2" fontId="33" fillId="105" borderId="0" xfId="3" applyNumberFormat="1" applyFont="1" applyFill="1" applyBorder="1" applyAlignment="1">
      <alignment horizontal="center" vertical="center" wrapText="1"/>
    </xf>
    <xf numFmtId="2" fontId="33" fillId="105" borderId="163" xfId="3" applyNumberFormat="1" applyFont="1" applyFill="1" applyBorder="1" applyAlignment="1">
      <alignment horizontal="center" vertical="center" wrapText="1"/>
    </xf>
    <xf numFmtId="0" fontId="192" fillId="52" borderId="345" xfId="2" applyFont="1" applyFill="1" applyBorder="1" applyAlignment="1">
      <alignment horizontal="center" vertical="center" wrapText="1"/>
    </xf>
    <xf numFmtId="0" fontId="192" fillId="52" borderId="0" xfId="2" applyFont="1" applyFill="1" applyBorder="1" applyAlignment="1">
      <alignment horizontal="center" vertical="center" wrapText="1"/>
    </xf>
    <xf numFmtId="0" fontId="41" fillId="105" borderId="0" xfId="3" applyNumberFormat="1" applyFont="1" applyFill="1" applyBorder="1" applyAlignment="1">
      <alignment horizontal="center" vertical="center" wrapText="1"/>
    </xf>
    <xf numFmtId="0" fontId="41" fillId="105" borderId="163" xfId="3" applyNumberFormat="1" applyFont="1" applyFill="1" applyBorder="1" applyAlignment="1">
      <alignment horizontal="center" vertical="center" wrapText="1"/>
    </xf>
    <xf numFmtId="0" fontId="41" fillId="105" borderId="357" xfId="3" applyNumberFormat="1" applyFont="1" applyFill="1" applyBorder="1" applyAlignment="1">
      <alignment horizontal="center" vertical="center" wrapText="1"/>
    </xf>
    <xf numFmtId="0" fontId="38" fillId="81" borderId="357" xfId="3" applyFont="1" applyFill="1" applyBorder="1" applyAlignment="1">
      <alignment horizontal="center" vertical="center"/>
    </xf>
    <xf numFmtId="0" fontId="38" fillId="81" borderId="0" xfId="3" applyFont="1" applyFill="1" applyBorder="1" applyAlignment="1">
      <alignment horizontal="center" vertical="center"/>
    </xf>
    <xf numFmtId="177" fontId="441" fillId="14" borderId="56" xfId="9" applyNumberFormat="1" applyFont="1" applyFill="1" applyBorder="1" applyAlignment="1">
      <alignment horizontal="center" vertical="center"/>
    </xf>
    <xf numFmtId="177" fontId="441" fillId="14" borderId="24" xfId="9" applyNumberFormat="1" applyFont="1" applyFill="1" applyBorder="1" applyAlignment="1">
      <alignment horizontal="center" vertical="center"/>
    </xf>
    <xf numFmtId="0" fontId="173" fillId="3" borderId="357" xfId="3" applyFont="1" applyFill="1" applyBorder="1" applyAlignment="1" applyProtection="1">
      <alignment horizontal="center" vertical="center"/>
      <protection hidden="1"/>
    </xf>
    <xf numFmtId="0" fontId="173" fillId="3" borderId="163" xfId="3" applyFont="1" applyFill="1" applyBorder="1" applyAlignment="1" applyProtection="1">
      <alignment horizontal="center" vertical="center"/>
      <protection hidden="1"/>
    </xf>
    <xf numFmtId="2" fontId="64" fillId="105" borderId="357" xfId="3" applyNumberFormat="1" applyFont="1" applyFill="1" applyBorder="1" applyAlignment="1">
      <alignment horizontal="center" vertical="center" wrapText="1"/>
    </xf>
    <xf numFmtId="2" fontId="64" fillId="105" borderId="0" xfId="3" applyNumberFormat="1" applyFont="1" applyFill="1" applyBorder="1" applyAlignment="1">
      <alignment horizontal="center" vertical="center" wrapText="1"/>
    </xf>
    <xf numFmtId="0" fontId="52" fillId="3" borderId="357" xfId="3" applyFont="1" applyFill="1" applyBorder="1" applyAlignment="1">
      <alignment horizontal="center" vertical="center"/>
    </xf>
    <xf numFmtId="0" fontId="52" fillId="3" borderId="0" xfId="3" applyFont="1" applyFill="1" applyBorder="1" applyAlignment="1">
      <alignment horizontal="center" vertical="center"/>
    </xf>
    <xf numFmtId="0" fontId="172" fillId="7" borderId="0" xfId="2" applyFont="1" applyFill="1" applyBorder="1" applyAlignment="1">
      <alignment horizontal="left" vertical="center"/>
    </xf>
    <xf numFmtId="0" fontId="172" fillId="7" borderId="163" xfId="2" applyFont="1" applyFill="1" applyBorder="1" applyAlignment="1">
      <alignment horizontal="left" vertical="center"/>
    </xf>
    <xf numFmtId="1" fontId="200" fillId="81" borderId="0" xfId="9" applyNumberFormat="1" applyFont="1" applyFill="1" applyBorder="1" applyAlignment="1">
      <alignment horizontal="center" vertical="center"/>
    </xf>
    <xf numFmtId="2" fontId="54" fillId="105" borderId="0" xfId="3" applyNumberFormat="1" applyFont="1" applyFill="1" applyBorder="1" applyAlignment="1">
      <alignment horizontal="center" vertical="center" wrapText="1"/>
    </xf>
    <xf numFmtId="2" fontId="54" fillId="105" borderId="163" xfId="3" applyNumberFormat="1" applyFont="1" applyFill="1" applyBorder="1" applyAlignment="1">
      <alignment horizontal="center" vertical="center" wrapText="1"/>
    </xf>
    <xf numFmtId="2" fontId="36" fillId="96" borderId="357" xfId="3" applyNumberFormat="1" applyFont="1" applyFill="1" applyBorder="1" applyAlignment="1">
      <alignment horizontal="center" vertical="center" wrapText="1"/>
    </xf>
    <xf numFmtId="2" fontId="36" fillId="96" borderId="0" xfId="3" applyNumberFormat="1" applyFont="1" applyFill="1" applyBorder="1" applyAlignment="1">
      <alignment horizontal="center" vertical="center" wrapText="1"/>
    </xf>
    <xf numFmtId="2" fontId="36" fillId="96" borderId="163" xfId="3" applyNumberFormat="1" applyFont="1" applyFill="1" applyBorder="1" applyAlignment="1">
      <alignment horizontal="center" vertical="center" wrapText="1"/>
    </xf>
    <xf numFmtId="1" fontId="152" fillId="4" borderId="357" xfId="9" applyNumberFormat="1" applyFont="1" applyFill="1" applyBorder="1" applyAlignment="1">
      <alignment horizontal="right" vertical="center"/>
    </xf>
    <xf numFmtId="1" fontId="152" fillId="4" borderId="0" xfId="9" applyNumberFormat="1" applyFont="1" applyFill="1" applyBorder="1" applyAlignment="1">
      <alignment horizontal="right" vertical="center"/>
    </xf>
    <xf numFmtId="0" fontId="236" fillId="3" borderId="0" xfId="0" applyFont="1" applyFill="1" applyAlignment="1">
      <alignment horizontal="left" vertical="center" wrapText="1"/>
    </xf>
    <xf numFmtId="0" fontId="204" fillId="3" borderId="0" xfId="2" applyFont="1" applyFill="1" applyBorder="1" applyAlignment="1">
      <alignment horizontal="center" vertical="center"/>
    </xf>
    <xf numFmtId="0" fontId="450" fillId="3" borderId="0" xfId="5" applyFont="1" applyFill="1" applyBorder="1" applyAlignment="1" applyProtection="1">
      <alignment horizontal="center" vertical="center"/>
    </xf>
    <xf numFmtId="0" fontId="0" fillId="0" borderId="0" xfId="0" applyFont="1" applyBorder="1" applyAlignment="1">
      <alignment horizontal="left" vertical="top" wrapText="1"/>
    </xf>
    <xf numFmtId="0" fontId="0" fillId="0" borderId="163" xfId="0" applyFont="1" applyBorder="1" applyAlignment="1">
      <alignment horizontal="left" vertical="top" wrapText="1"/>
    </xf>
    <xf numFmtId="0" fontId="0" fillId="3" borderId="0" xfId="0" applyFont="1" applyFill="1" applyBorder="1" applyAlignment="1">
      <alignment horizontal="left" vertical="center" wrapText="1"/>
    </xf>
    <xf numFmtId="0" fontId="0" fillId="3" borderId="163"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163" xfId="0" applyFont="1" applyBorder="1" applyAlignment="1">
      <alignment horizontal="left" vertical="center" wrapText="1"/>
    </xf>
    <xf numFmtId="0" fontId="0" fillId="0" borderId="354" xfId="0" applyFont="1" applyBorder="1" applyAlignment="1">
      <alignment horizontal="left" vertical="center" wrapText="1"/>
    </xf>
    <xf numFmtId="0" fontId="0" fillId="0" borderId="356" xfId="0" applyFont="1" applyBorder="1" applyAlignment="1">
      <alignment horizontal="left" vertical="center" wrapText="1"/>
    </xf>
    <xf numFmtId="0" fontId="225" fillId="3" borderId="15" xfId="3" applyFont="1" applyFill="1" applyBorder="1" applyAlignment="1" applyProtection="1">
      <alignment horizontal="center" vertical="center"/>
      <protection hidden="1"/>
    </xf>
    <xf numFmtId="0" fontId="225" fillId="3" borderId="90" xfId="3" applyFont="1" applyFill="1" applyBorder="1" applyAlignment="1" applyProtection="1">
      <alignment horizontal="center" vertical="center"/>
      <protection hidden="1"/>
    </xf>
    <xf numFmtId="0" fontId="0" fillId="3" borderId="188" xfId="0" applyFont="1" applyFill="1" applyBorder="1" applyAlignment="1">
      <alignment horizontal="left" vertical="center" wrapText="1"/>
    </xf>
    <xf numFmtId="0" fontId="0" fillId="3" borderId="269" xfId="0" applyFont="1" applyFill="1" applyBorder="1" applyAlignment="1">
      <alignment horizontal="left" vertical="center" wrapText="1"/>
    </xf>
    <xf numFmtId="0" fontId="0" fillId="3" borderId="354" xfId="0" applyFont="1" applyFill="1" applyBorder="1" applyAlignment="1">
      <alignment horizontal="left" vertical="center" wrapText="1"/>
    </xf>
    <xf numFmtId="0" fontId="0" fillId="3" borderId="356" xfId="0" applyFont="1" applyFill="1" applyBorder="1" applyAlignment="1">
      <alignment horizontal="left" vertical="center" wrapText="1"/>
    </xf>
    <xf numFmtId="0" fontId="179" fillId="0" borderId="436" xfId="0" applyFont="1" applyBorder="1" applyAlignment="1">
      <alignment horizontal="center" vertical="center"/>
    </xf>
    <xf numFmtId="0" fontId="179" fillId="0" borderId="437" xfId="0" applyFont="1" applyBorder="1" applyAlignment="1">
      <alignment horizontal="center" vertical="center"/>
    </xf>
    <xf numFmtId="0" fontId="179" fillId="0" borderId="438" xfId="0" applyFont="1" applyBorder="1" applyAlignment="1">
      <alignment horizontal="center" vertical="center"/>
    </xf>
    <xf numFmtId="0" fontId="233" fillId="5" borderId="0" xfId="0" applyFont="1" applyFill="1" applyAlignment="1">
      <alignment horizontal="center" vertical="center" wrapText="1"/>
    </xf>
    <xf numFmtId="190" fontId="455" fillId="7" borderId="20" xfId="3" applyNumberFormat="1" applyFont="1" applyFill="1" applyBorder="1" applyAlignment="1" applyProtection="1">
      <alignment horizontal="center" vertical="center"/>
      <protection hidden="1"/>
    </xf>
    <xf numFmtId="190" fontId="455" fillId="7" borderId="4" xfId="3" applyNumberFormat="1" applyFont="1" applyFill="1" applyBorder="1" applyAlignment="1" applyProtection="1">
      <alignment horizontal="center" vertical="center"/>
      <protection hidden="1"/>
    </xf>
    <xf numFmtId="189" fontId="219" fillId="4" borderId="0" xfId="3" applyNumberFormat="1" applyFont="1" applyFill="1" applyBorder="1" applyAlignment="1" applyProtection="1">
      <alignment horizontal="center" vertical="center"/>
      <protection hidden="1"/>
    </xf>
    <xf numFmtId="189" fontId="219" fillId="4" borderId="5" xfId="3" applyNumberFormat="1" applyFont="1" applyFill="1" applyBorder="1" applyAlignment="1" applyProtection="1">
      <alignment horizontal="center" vertical="center"/>
      <protection hidden="1"/>
    </xf>
    <xf numFmtId="0" fontId="225" fillId="3" borderId="435" xfId="3" applyFont="1" applyFill="1" applyBorder="1" applyAlignment="1" applyProtection="1">
      <alignment horizontal="center" vertical="center"/>
      <protection hidden="1"/>
    </xf>
    <xf numFmtId="0" fontId="177" fillId="0" borderId="0" xfId="0" applyFont="1" applyBorder="1" applyAlignment="1">
      <alignment horizontal="left" vertical="center" wrapText="1"/>
    </xf>
    <xf numFmtId="0" fontId="177" fillId="0" borderId="163" xfId="0" applyFont="1" applyBorder="1" applyAlignment="1">
      <alignment horizontal="left" vertical="center" wrapText="1"/>
    </xf>
    <xf numFmtId="0" fontId="177" fillId="0" borderId="354" xfId="0" applyFont="1" applyBorder="1" applyAlignment="1">
      <alignment horizontal="left" vertical="center"/>
    </xf>
    <xf numFmtId="0" fontId="177" fillId="0" borderId="356" xfId="0" applyFont="1" applyBorder="1" applyAlignment="1">
      <alignment horizontal="left" vertical="center"/>
    </xf>
    <xf numFmtId="0" fontId="0" fillId="3" borderId="251" xfId="0" applyFont="1" applyFill="1" applyBorder="1" applyAlignment="1">
      <alignment horizontal="left" vertical="center" wrapText="1"/>
    </xf>
    <xf numFmtId="0" fontId="0" fillId="3" borderId="345" xfId="0" applyFont="1" applyFill="1" applyBorder="1" applyAlignment="1">
      <alignment horizontal="left" vertical="center" wrapText="1"/>
    </xf>
    <xf numFmtId="0" fontId="178" fillId="89" borderId="359" xfId="0" applyFont="1" applyFill="1" applyBorder="1" applyAlignment="1">
      <alignment vertical="center"/>
    </xf>
    <xf numFmtId="0" fontId="178" fillId="89" borderId="394" xfId="0" applyFont="1" applyFill="1" applyBorder="1" applyAlignment="1">
      <alignment vertical="center"/>
    </xf>
    <xf numFmtId="0" fontId="178" fillId="89" borderId="363" xfId="0" applyFont="1" applyFill="1" applyBorder="1" applyAlignment="1">
      <alignment vertical="center"/>
    </xf>
    <xf numFmtId="49" fontId="222" fillId="54" borderId="1" xfId="3" applyNumberFormat="1" applyFont="1" applyFill="1" applyBorder="1" applyAlignment="1">
      <alignment horizontal="center" vertical="center"/>
    </xf>
    <xf numFmtId="49" fontId="222" fillId="54" borderId="162" xfId="3" applyNumberFormat="1" applyFont="1" applyFill="1" applyBorder="1" applyAlignment="1">
      <alignment horizontal="center" vertical="center"/>
    </xf>
    <xf numFmtId="49" fontId="222" fillId="54" borderId="3" xfId="3" applyNumberFormat="1" applyFont="1" applyFill="1" applyBorder="1" applyAlignment="1">
      <alignment horizontal="center" vertical="center"/>
    </xf>
    <xf numFmtId="0" fontId="167" fillId="3" borderId="55" xfId="3" applyFont="1" applyFill="1" applyBorder="1" applyAlignment="1" applyProtection="1">
      <alignment horizontal="center" vertical="center"/>
      <protection hidden="1"/>
    </xf>
    <xf numFmtId="0" fontId="167" fillId="3" borderId="56" xfId="3" applyFont="1" applyFill="1" applyBorder="1" applyAlignment="1" applyProtection="1">
      <alignment horizontal="center" vertical="center"/>
      <protection hidden="1"/>
    </xf>
    <xf numFmtId="0" fontId="220" fillId="3" borderId="56" xfId="3" applyFont="1" applyFill="1" applyBorder="1" applyAlignment="1" applyProtection="1">
      <alignment horizontal="center" vertical="center"/>
      <protection hidden="1"/>
    </xf>
    <xf numFmtId="0" fontId="220" fillId="3" borderId="24" xfId="3" applyFont="1" applyFill="1" applyBorder="1" applyAlignment="1" applyProtection="1">
      <alignment horizontal="center" vertical="center"/>
      <protection hidden="1"/>
    </xf>
    <xf numFmtId="0" fontId="0" fillId="3" borderId="251" xfId="0" applyFont="1" applyFill="1" applyBorder="1" applyAlignment="1">
      <alignment horizontal="center" vertical="center" wrapText="1"/>
    </xf>
    <xf numFmtId="0" fontId="0" fillId="3" borderId="188" xfId="0" applyFont="1" applyFill="1" applyBorder="1" applyAlignment="1">
      <alignment horizontal="center" vertical="center" wrapText="1"/>
    </xf>
    <xf numFmtId="0" fontId="0" fillId="3" borderId="269" xfId="0" applyFont="1" applyFill="1" applyBorder="1" applyAlignment="1">
      <alignment horizontal="center" vertical="center" wrapText="1"/>
    </xf>
    <xf numFmtId="0" fontId="0" fillId="3" borderId="345"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163" xfId="0" applyFont="1" applyFill="1" applyBorder="1" applyAlignment="1">
      <alignment horizontal="center" vertical="center" wrapText="1"/>
    </xf>
    <xf numFmtId="0" fontId="0" fillId="3" borderId="355" xfId="0" applyFont="1" applyFill="1" applyBorder="1" applyAlignment="1">
      <alignment horizontal="center" vertical="center" wrapText="1"/>
    </xf>
    <xf numFmtId="0" fontId="0" fillId="3" borderId="354" xfId="0" applyFont="1" applyFill="1" applyBorder="1" applyAlignment="1">
      <alignment horizontal="center" vertical="center" wrapText="1"/>
    </xf>
    <xf numFmtId="0" fontId="0" fillId="3" borderId="356" xfId="0" applyFont="1" applyFill="1" applyBorder="1" applyAlignment="1">
      <alignment horizontal="center" vertical="center" wrapText="1"/>
    </xf>
    <xf numFmtId="0" fontId="69" fillId="5" borderId="357" xfId="2" applyFont="1" applyFill="1" applyBorder="1" applyAlignment="1">
      <alignment horizontal="center" vertical="center"/>
    </xf>
    <xf numFmtId="0" fontId="69" fillId="5" borderId="0" xfId="2" applyFont="1" applyFill="1" applyBorder="1" applyAlignment="1">
      <alignment horizontal="center" vertical="center"/>
    </xf>
    <xf numFmtId="0" fontId="69" fillId="5" borderId="163" xfId="2" applyFont="1" applyFill="1" applyBorder="1" applyAlignment="1">
      <alignment horizontal="center" vertical="center"/>
    </xf>
    <xf numFmtId="0" fontId="69" fillId="5" borderId="440" xfId="2" applyFont="1" applyFill="1" applyBorder="1" applyAlignment="1">
      <alignment horizontal="center" vertical="center"/>
    </xf>
    <xf numFmtId="0" fontId="69" fillId="5" borderId="354" xfId="2" applyFont="1" applyFill="1" applyBorder="1" applyAlignment="1">
      <alignment horizontal="center" vertical="center"/>
    </xf>
    <xf numFmtId="0" fontId="69" fillId="5" borderId="356" xfId="2" applyFont="1" applyFill="1" applyBorder="1" applyAlignment="1">
      <alignment horizontal="center" vertical="center"/>
    </xf>
    <xf numFmtId="0" fontId="35" fillId="7" borderId="448" xfId="2" applyFont="1" applyFill="1" applyBorder="1" applyAlignment="1" applyProtection="1">
      <alignment horizontal="center" vertical="center"/>
      <protection locked="0"/>
    </xf>
    <xf numFmtId="0" fontId="35" fillId="7" borderId="55" xfId="2" applyFont="1" applyFill="1" applyBorder="1" applyAlignment="1" applyProtection="1">
      <alignment horizontal="center" vertical="center"/>
      <protection locked="0"/>
    </xf>
    <xf numFmtId="0" fontId="35" fillId="7" borderId="172" xfId="3" applyFont="1" applyFill="1" applyBorder="1" applyAlignment="1">
      <alignment horizontal="left" vertical="center" wrapText="1"/>
    </xf>
    <xf numFmtId="0" fontId="35" fillId="7" borderId="0" xfId="3" applyFont="1" applyFill="1" applyBorder="1" applyAlignment="1">
      <alignment horizontal="left" vertical="center" wrapText="1"/>
    </xf>
    <xf numFmtId="0" fontId="218" fillId="3" borderId="172" xfId="3" applyFont="1" applyFill="1" applyBorder="1" applyAlignment="1">
      <alignment horizontal="right" vertical="center" wrapText="1"/>
    </xf>
    <xf numFmtId="0" fontId="218" fillId="3" borderId="0" xfId="3" applyFont="1" applyFill="1" applyBorder="1" applyAlignment="1">
      <alignment horizontal="right" vertical="center" wrapText="1"/>
    </xf>
    <xf numFmtId="196" fontId="172" fillId="86" borderId="449" xfId="9" applyNumberFormat="1" applyFont="1" applyFill="1" applyBorder="1" applyAlignment="1">
      <alignment horizontal="center" vertical="center"/>
    </xf>
    <xf numFmtId="196" fontId="172" fillId="86" borderId="24" xfId="9" applyNumberFormat="1" applyFont="1" applyFill="1" applyBorder="1" applyAlignment="1">
      <alignment horizontal="center" vertical="center"/>
    </xf>
    <xf numFmtId="0" fontId="35" fillId="3" borderId="354" xfId="3" applyFont="1" applyFill="1" applyBorder="1" applyAlignment="1">
      <alignment horizontal="right" vertical="center"/>
    </xf>
    <xf numFmtId="177" fontId="35" fillId="61" borderId="163" xfId="9" applyNumberFormat="1" applyFont="1" applyFill="1" applyBorder="1" applyAlignment="1">
      <alignment horizontal="center" vertical="center"/>
    </xf>
    <xf numFmtId="177" fontId="35" fillId="61" borderId="356" xfId="9" applyNumberFormat="1" applyFont="1" applyFill="1" applyBorder="1" applyAlignment="1">
      <alignment horizontal="center" vertical="center"/>
    </xf>
    <xf numFmtId="0" fontId="75" fillId="28" borderId="357" xfId="2" applyFont="1" applyFill="1" applyBorder="1" applyAlignment="1">
      <alignment horizontal="center" vertical="center"/>
    </xf>
    <xf numFmtId="0" fontId="75" fillId="28" borderId="0" xfId="2" applyFont="1" applyFill="1" applyBorder="1" applyAlignment="1">
      <alignment horizontal="center" vertical="center"/>
    </xf>
    <xf numFmtId="0" fontId="43" fillId="3" borderId="357" xfId="3" applyFont="1" applyFill="1" applyBorder="1" applyAlignment="1">
      <alignment horizontal="center" vertical="center" wrapText="1"/>
    </xf>
    <xf numFmtId="0" fontId="43" fillId="3" borderId="0" xfId="3" applyFont="1" applyFill="1" applyBorder="1" applyAlignment="1">
      <alignment horizontal="center" vertical="center" wrapText="1"/>
    </xf>
    <xf numFmtId="0" fontId="43" fillId="3" borderId="163" xfId="3" applyFont="1" applyFill="1" applyBorder="1" applyAlignment="1">
      <alignment horizontal="center" vertical="center" wrapText="1"/>
    </xf>
    <xf numFmtId="0" fontId="43" fillId="3" borderId="357" xfId="3" applyFont="1" applyFill="1" applyBorder="1" applyAlignment="1">
      <alignment horizontal="center" vertical="center"/>
    </xf>
    <xf numFmtId="0" fontId="43" fillId="3" borderId="0" xfId="3" applyFont="1" applyFill="1" applyBorder="1" applyAlignment="1">
      <alignment horizontal="center" vertical="center"/>
    </xf>
    <xf numFmtId="0" fontId="43" fillId="3" borderId="163" xfId="3" applyFont="1" applyFill="1" applyBorder="1" applyAlignment="1">
      <alignment horizontal="center" vertical="center"/>
    </xf>
    <xf numFmtId="0" fontId="240" fillId="73" borderId="171" xfId="2" applyFont="1" applyFill="1" applyBorder="1" applyAlignment="1">
      <alignment horizontal="center" vertical="center"/>
    </xf>
    <xf numFmtId="0" fontId="240" fillId="73" borderId="172" xfId="2" applyFont="1" applyFill="1" applyBorder="1" applyAlignment="1">
      <alignment horizontal="center" vertical="center"/>
    </xf>
    <xf numFmtId="0" fontId="240" fillId="73" borderId="173" xfId="2" applyFont="1" applyFill="1" applyBorder="1" applyAlignment="1">
      <alignment horizontal="center" vertical="center"/>
    </xf>
    <xf numFmtId="0" fontId="240" fillId="73" borderId="174" xfId="2" applyFont="1" applyFill="1" applyBorder="1" applyAlignment="1">
      <alignment horizontal="center" vertical="center"/>
    </xf>
    <xf numFmtId="0" fontId="240" fillId="73" borderId="175" xfId="2" applyFont="1" applyFill="1" applyBorder="1" applyAlignment="1">
      <alignment horizontal="center" vertical="center"/>
    </xf>
    <xf numFmtId="0" fontId="240" fillId="73" borderId="176" xfId="2" applyFont="1" applyFill="1" applyBorder="1" applyAlignment="1">
      <alignment horizontal="center" vertical="center"/>
    </xf>
    <xf numFmtId="196" fontId="172" fillId="86" borderId="55" xfId="9" applyNumberFormat="1" applyFont="1" applyFill="1" applyBorder="1" applyAlignment="1">
      <alignment horizontal="center" vertical="center"/>
    </xf>
    <xf numFmtId="176" fontId="41" fillId="4" borderId="173" xfId="9" applyNumberFormat="1" applyFont="1" applyFill="1" applyBorder="1" applyAlignment="1">
      <alignment horizontal="center" vertical="center"/>
    </xf>
    <xf numFmtId="176" fontId="41" fillId="4" borderId="24" xfId="9" applyNumberFormat="1" applyFont="1" applyFill="1" applyBorder="1" applyAlignment="1">
      <alignment horizontal="center" vertical="center"/>
    </xf>
    <xf numFmtId="0" fontId="205" fillId="3" borderId="0" xfId="3" applyFont="1" applyFill="1" applyBorder="1" applyAlignment="1">
      <alignment horizontal="right" vertical="center"/>
    </xf>
    <xf numFmtId="0" fontId="32" fillId="115" borderId="0" xfId="3" applyFont="1" applyFill="1" applyBorder="1" applyAlignment="1">
      <alignment horizontal="center" vertical="center"/>
    </xf>
    <xf numFmtId="0" fontId="30" fillId="13" borderId="0" xfId="3" applyFont="1" applyFill="1" applyBorder="1" applyAlignment="1">
      <alignment horizontal="right" vertical="center"/>
    </xf>
    <xf numFmtId="0" fontId="244" fillId="6" borderId="171" xfId="3" applyFont="1" applyFill="1" applyBorder="1" applyAlignment="1">
      <alignment horizontal="center" vertical="center"/>
    </xf>
    <xf numFmtId="0" fontId="244" fillId="6" borderId="172" xfId="3" applyFont="1" applyFill="1" applyBorder="1" applyAlignment="1">
      <alignment horizontal="center" vertical="center"/>
    </xf>
    <xf numFmtId="0" fontId="244" fillId="6" borderId="173" xfId="3" applyFont="1" applyFill="1" applyBorder="1" applyAlignment="1">
      <alignment horizontal="center" vertical="center"/>
    </xf>
    <xf numFmtId="0" fontId="244" fillId="6" borderId="174" xfId="3" applyFont="1" applyFill="1" applyBorder="1" applyAlignment="1">
      <alignment horizontal="center" vertical="center"/>
    </xf>
    <xf numFmtId="0" fontId="244" fillId="6" borderId="175" xfId="3" applyFont="1" applyFill="1" applyBorder="1" applyAlignment="1">
      <alignment horizontal="center" vertical="center"/>
    </xf>
    <xf numFmtId="0" fontId="244" fillId="6" borderId="176" xfId="3" applyFont="1" applyFill="1" applyBorder="1" applyAlignment="1">
      <alignment horizontal="center" vertical="center"/>
    </xf>
    <xf numFmtId="2" fontId="30" fillId="7" borderId="0" xfId="3" applyNumberFormat="1" applyFont="1" applyFill="1" applyBorder="1" applyAlignment="1">
      <alignment horizontal="right" vertical="center"/>
    </xf>
    <xf numFmtId="0" fontId="23" fillId="71" borderId="0" xfId="3" applyFont="1" applyFill="1" applyBorder="1" applyAlignment="1">
      <alignment horizontal="right" vertical="center"/>
    </xf>
    <xf numFmtId="0" fontId="194" fillId="7" borderId="171" xfId="2" applyFont="1" applyFill="1" applyBorder="1" applyAlignment="1">
      <alignment horizontal="center" vertical="center"/>
    </xf>
    <xf numFmtId="0" fontId="194" fillId="7" borderId="172" xfId="2" applyFont="1" applyFill="1" applyBorder="1" applyAlignment="1">
      <alignment horizontal="center" vertical="center"/>
    </xf>
    <xf numFmtId="0" fontId="194" fillId="7" borderId="173" xfId="2" applyFont="1" applyFill="1" applyBorder="1" applyAlignment="1">
      <alignment horizontal="center" vertical="center"/>
    </xf>
    <xf numFmtId="0" fontId="194" fillId="7" borderId="174" xfId="2" applyFont="1" applyFill="1" applyBorder="1" applyAlignment="1">
      <alignment horizontal="center" vertical="center"/>
    </xf>
    <xf numFmtId="0" fontId="194" fillId="7" borderId="175" xfId="2" applyFont="1" applyFill="1" applyBorder="1" applyAlignment="1">
      <alignment horizontal="center" vertical="center"/>
    </xf>
    <xf numFmtId="0" fontId="194" fillId="7" borderId="176" xfId="2" applyFont="1" applyFill="1" applyBorder="1" applyAlignment="1">
      <alignment horizontal="center" vertical="center"/>
    </xf>
    <xf numFmtId="0" fontId="62" fillId="3" borderId="357" xfId="2" applyFont="1" applyFill="1" applyBorder="1" applyAlignment="1">
      <alignment horizontal="center" vertical="center"/>
    </xf>
    <xf numFmtId="0" fontId="62" fillId="3" borderId="0" xfId="2" applyFont="1" applyFill="1" applyBorder="1" applyAlignment="1">
      <alignment horizontal="center" vertical="center"/>
    </xf>
    <xf numFmtId="0" fontId="62" fillId="3" borderId="163" xfId="2" applyFont="1" applyFill="1" applyBorder="1" applyAlignment="1">
      <alignment horizontal="center" vertical="center"/>
    </xf>
    <xf numFmtId="0" fontId="94" fillId="3" borderId="357" xfId="2" applyFont="1" applyFill="1" applyBorder="1" applyAlignment="1">
      <alignment horizontal="center"/>
    </xf>
    <xf numFmtId="0" fontId="94" fillId="3" borderId="0" xfId="2" applyFont="1" applyFill="1" applyBorder="1" applyAlignment="1">
      <alignment horizontal="center"/>
    </xf>
    <xf numFmtId="0" fontId="62" fillId="3" borderId="357" xfId="2" applyFont="1" applyFill="1" applyBorder="1" applyAlignment="1">
      <alignment horizontal="center"/>
    </xf>
    <xf numFmtId="0" fontId="62" fillId="3" borderId="0" xfId="2" applyFont="1" applyFill="1" applyBorder="1" applyAlignment="1">
      <alignment horizontal="center"/>
    </xf>
    <xf numFmtId="0" fontId="62" fillId="3" borderId="163" xfId="2" applyFont="1" applyFill="1" applyBorder="1" applyAlignment="1">
      <alignment horizontal="center"/>
    </xf>
    <xf numFmtId="0" fontId="242" fillId="7" borderId="0" xfId="2" applyFont="1" applyFill="1" applyBorder="1" applyAlignment="1">
      <alignment horizontal="center" vertical="center"/>
    </xf>
    <xf numFmtId="49" fontId="129" fillId="54" borderId="381" xfId="3" applyNumberFormat="1" applyFont="1" applyFill="1" applyBorder="1" applyAlignment="1">
      <alignment horizontal="center" vertical="center"/>
    </xf>
    <xf numFmtId="49" fontId="129" fillId="54" borderId="162" xfId="3" applyNumberFormat="1" applyFont="1" applyFill="1" applyBorder="1" applyAlignment="1">
      <alignment horizontal="center" vertical="center"/>
    </xf>
    <xf numFmtId="49" fontId="129" fillId="54" borderId="379" xfId="3" applyNumberFormat="1" applyFont="1" applyFill="1" applyBorder="1" applyAlignment="1">
      <alignment horizontal="center" vertical="center"/>
    </xf>
    <xf numFmtId="0" fontId="25" fillId="3" borderId="55" xfId="3" applyFont="1" applyFill="1" applyBorder="1" applyAlignment="1" applyProtection="1">
      <alignment horizontal="center" vertical="center"/>
      <protection hidden="1"/>
    </xf>
    <xf numFmtId="0" fontId="25" fillId="3" borderId="56" xfId="3" applyFont="1" applyFill="1" applyBorder="1" applyAlignment="1" applyProtection="1">
      <alignment horizontal="center" vertical="center"/>
      <protection hidden="1"/>
    </xf>
    <xf numFmtId="0" fontId="29" fillId="3" borderId="56" xfId="3" applyFont="1" applyFill="1" applyBorder="1" applyAlignment="1" applyProtection="1">
      <alignment horizontal="center" vertical="center"/>
      <protection hidden="1"/>
    </xf>
    <xf numFmtId="0" fontId="29" fillId="3" borderId="24" xfId="3" applyFont="1" applyFill="1" applyBorder="1" applyAlignment="1" applyProtection="1">
      <alignment horizontal="center" vertical="center"/>
      <protection hidden="1"/>
    </xf>
    <xf numFmtId="177" fontId="131" fillId="7" borderId="357" xfId="3" applyNumberFormat="1" applyFont="1" applyFill="1" applyBorder="1" applyAlignment="1" applyProtection="1">
      <alignment horizontal="center" vertical="center"/>
      <protection hidden="1"/>
    </xf>
    <xf numFmtId="177" fontId="131" fillId="7" borderId="440" xfId="3" applyNumberFormat="1" applyFont="1" applyFill="1" applyBorder="1" applyAlignment="1" applyProtection="1">
      <alignment horizontal="center" vertical="center"/>
      <protection hidden="1"/>
    </xf>
    <xf numFmtId="192" fontId="23" fillId="4" borderId="0" xfId="3" applyNumberFormat="1" applyFont="1" applyFill="1" applyBorder="1" applyAlignment="1" applyProtection="1">
      <alignment horizontal="center" vertical="center"/>
      <protection hidden="1"/>
    </xf>
    <xf numFmtId="192" fontId="23" fillId="4" borderId="354" xfId="3" applyNumberFormat="1" applyFont="1" applyFill="1" applyBorder="1" applyAlignment="1" applyProtection="1">
      <alignment horizontal="center" vertical="center"/>
      <protection hidden="1"/>
    </xf>
    <xf numFmtId="0" fontId="222" fillId="54" borderId="357" xfId="3" applyFont="1" applyFill="1" applyBorder="1" applyAlignment="1" applyProtection="1">
      <alignment horizontal="center" vertical="center"/>
      <protection hidden="1"/>
    </xf>
    <xf numFmtId="0" fontId="222" fillId="54" borderId="0" xfId="3" applyFont="1" applyFill="1" applyBorder="1" applyAlignment="1" applyProtection="1">
      <alignment horizontal="center" vertical="center"/>
      <protection hidden="1"/>
    </xf>
    <xf numFmtId="0" fontId="219" fillId="3" borderId="357" xfId="3" applyFont="1" applyFill="1" applyBorder="1" applyAlignment="1" applyProtection="1">
      <alignment horizontal="center" vertical="center"/>
      <protection hidden="1"/>
    </xf>
    <xf numFmtId="0" fontId="219" fillId="3" borderId="0" xfId="3" applyFont="1" applyFill="1" applyBorder="1" applyAlignment="1" applyProtection="1">
      <alignment horizontal="center" vertical="center"/>
      <protection hidden="1"/>
    </xf>
    <xf numFmtId="0" fontId="210" fillId="16" borderId="357" xfId="2" applyFont="1" applyFill="1" applyBorder="1" applyAlignment="1">
      <alignment horizontal="center" vertical="center"/>
    </xf>
    <xf numFmtId="0" fontId="210" fillId="16" borderId="0" xfId="2" applyFont="1" applyFill="1" applyBorder="1" applyAlignment="1">
      <alignment horizontal="center" vertical="center"/>
    </xf>
    <xf numFmtId="215" fontId="131" fillId="7" borderId="357" xfId="3" applyNumberFormat="1" applyFont="1" applyFill="1" applyBorder="1" applyAlignment="1" applyProtection="1">
      <alignment horizontal="center" vertical="center"/>
      <protection hidden="1"/>
    </xf>
    <xf numFmtId="215" fontId="131" fillId="7" borderId="440" xfId="3" applyNumberFormat="1" applyFont="1" applyFill="1" applyBorder="1" applyAlignment="1" applyProtection="1">
      <alignment horizontal="center" vertical="center"/>
      <protection hidden="1"/>
    </xf>
    <xf numFmtId="177" fontId="23" fillId="4" borderId="0" xfId="3" applyNumberFormat="1" applyFont="1" applyFill="1" applyBorder="1" applyAlignment="1" applyProtection="1">
      <alignment horizontal="center" vertical="center"/>
      <protection hidden="1"/>
    </xf>
    <xf numFmtId="177" fontId="23" fillId="4" borderId="354" xfId="3" applyNumberFormat="1" applyFont="1" applyFill="1" applyBorder="1" applyAlignment="1" applyProtection="1">
      <alignment horizontal="center" vertical="center"/>
      <protection hidden="1"/>
    </xf>
    <xf numFmtId="0" fontId="241" fillId="7" borderId="0" xfId="2" applyFont="1" applyFill="1" applyBorder="1" applyAlignment="1">
      <alignment horizontal="center" vertical="center" wrapText="1"/>
    </xf>
    <xf numFmtId="0" fontId="242" fillId="7" borderId="357" xfId="2" applyFont="1" applyFill="1" applyBorder="1" applyAlignment="1">
      <alignment horizontal="center" vertical="center" wrapText="1"/>
    </xf>
    <xf numFmtId="0" fontId="242" fillId="7" borderId="0" xfId="2" applyFont="1" applyFill="1" applyBorder="1" applyAlignment="1">
      <alignment horizontal="center" vertical="center" wrapText="1"/>
    </xf>
    <xf numFmtId="0" fontId="242" fillId="7" borderId="163" xfId="2" applyFont="1" applyFill="1" applyBorder="1" applyAlignment="1">
      <alignment horizontal="center" vertical="center" wrapText="1"/>
    </xf>
    <xf numFmtId="0" fontId="242" fillId="7" borderId="357" xfId="2" applyFont="1" applyFill="1" applyBorder="1" applyAlignment="1">
      <alignment horizontal="left" vertical="center"/>
    </xf>
    <xf numFmtId="0" fontId="172" fillId="7" borderId="163" xfId="2" applyFont="1" applyFill="1" applyBorder="1" applyAlignment="1">
      <alignment horizontal="center" vertical="center" wrapText="1"/>
    </xf>
    <xf numFmtId="0" fontId="76" fillId="3" borderId="357" xfId="2" applyFont="1" applyFill="1" applyBorder="1" applyAlignment="1">
      <alignment horizontal="left" vertical="center"/>
    </xf>
    <xf numFmtId="0" fontId="76" fillId="3" borderId="0" xfId="2" applyFont="1" applyFill="1" applyBorder="1" applyAlignment="1">
      <alignment horizontal="left" vertical="center"/>
    </xf>
    <xf numFmtId="193" fontId="131" fillId="7" borderId="357" xfId="3" applyNumberFormat="1" applyFont="1" applyFill="1" applyBorder="1" applyAlignment="1" applyProtection="1">
      <alignment horizontal="center" vertical="center"/>
      <protection hidden="1"/>
    </xf>
    <xf numFmtId="193" fontId="131" fillId="7" borderId="440" xfId="3" applyNumberFormat="1" applyFont="1" applyFill="1" applyBorder="1" applyAlignment="1" applyProtection="1">
      <alignment horizontal="center" vertical="center"/>
      <protection hidden="1"/>
    </xf>
    <xf numFmtId="189" fontId="23" fillId="4" borderId="0" xfId="3" applyNumberFormat="1" applyFont="1" applyFill="1" applyBorder="1" applyAlignment="1" applyProtection="1">
      <alignment horizontal="center" vertical="center"/>
      <protection hidden="1"/>
    </xf>
    <xf numFmtId="189" fontId="23" fillId="4" borderId="354" xfId="3" applyNumberFormat="1" applyFont="1" applyFill="1" applyBorder="1" applyAlignment="1" applyProtection="1">
      <alignment horizontal="center" vertical="center"/>
      <protection hidden="1"/>
    </xf>
    <xf numFmtId="0" fontId="79" fillId="120" borderId="162" xfId="2" applyFont="1" applyFill="1" applyBorder="1" applyAlignment="1">
      <alignment horizontal="center" vertical="center" wrapText="1"/>
    </xf>
    <xf numFmtId="0" fontId="79" fillId="120" borderId="379" xfId="2" applyFont="1" applyFill="1" applyBorder="1" applyAlignment="1">
      <alignment horizontal="center" vertical="center" wrapText="1"/>
    </xf>
    <xf numFmtId="0" fontId="79" fillId="120" borderId="0" xfId="2" applyFont="1" applyFill="1" applyBorder="1" applyAlignment="1">
      <alignment horizontal="center" vertical="center" wrapText="1"/>
    </xf>
    <xf numFmtId="0" fontId="79" fillId="120" borderId="163" xfId="2" applyFont="1" applyFill="1" applyBorder="1" applyAlignment="1">
      <alignment horizontal="center" vertical="center" wrapText="1"/>
    </xf>
    <xf numFmtId="0" fontId="61" fillId="3" borderId="357" xfId="2" applyFont="1" applyFill="1" applyBorder="1" applyAlignment="1">
      <alignment horizontal="center" vertical="center" wrapText="1"/>
    </xf>
    <xf numFmtId="0" fontId="61" fillId="3" borderId="0" xfId="2" applyFont="1" applyFill="1" applyBorder="1" applyAlignment="1">
      <alignment horizontal="center" vertical="center" wrapText="1"/>
    </xf>
    <xf numFmtId="0" fontId="61" fillId="3" borderId="163" xfId="2" applyFont="1" applyFill="1" applyBorder="1" applyAlignment="1">
      <alignment horizontal="center" vertical="center" wrapText="1"/>
    </xf>
    <xf numFmtId="190" fontId="131" fillId="7" borderId="357" xfId="3" applyNumberFormat="1" applyFont="1" applyFill="1" applyBorder="1" applyAlignment="1" applyProtection="1">
      <alignment horizontal="center" vertical="center"/>
      <protection hidden="1"/>
    </xf>
    <xf numFmtId="190" fontId="131" fillId="7" borderId="440" xfId="3" applyNumberFormat="1" applyFont="1" applyFill="1" applyBorder="1" applyAlignment="1" applyProtection="1">
      <alignment horizontal="center" vertical="center"/>
      <protection hidden="1"/>
    </xf>
    <xf numFmtId="0" fontId="33" fillId="0" borderId="257" xfId="2" applyFont="1" applyBorder="1" applyAlignment="1">
      <alignment horizontal="center"/>
    </xf>
    <xf numFmtId="0" fontId="33" fillId="0" borderId="188" xfId="2" applyFont="1" applyBorder="1" applyAlignment="1">
      <alignment horizontal="center"/>
    </xf>
    <xf numFmtId="0" fontId="33" fillId="0" borderId="189" xfId="2" applyFont="1" applyBorder="1" applyAlignment="1">
      <alignment horizontal="center"/>
    </xf>
    <xf numFmtId="0" fontId="76" fillId="3" borderId="357" xfId="2" applyFont="1" applyFill="1" applyBorder="1" applyAlignment="1">
      <alignment horizontal="left" vertical="center" wrapText="1"/>
    </xf>
    <xf numFmtId="0" fontId="76" fillId="3" borderId="0" xfId="2" applyFont="1" applyFill="1" applyBorder="1" applyAlignment="1">
      <alignment horizontal="left" vertical="center" wrapText="1"/>
    </xf>
    <xf numFmtId="196" fontId="204" fillId="86" borderId="171" xfId="9" applyNumberFormat="1" applyFont="1" applyFill="1" applyBorder="1" applyAlignment="1">
      <alignment horizontal="center" vertical="center"/>
    </xf>
    <xf numFmtId="196" fontId="204" fillId="86" borderId="174" xfId="9" applyNumberFormat="1" applyFont="1" applyFill="1" applyBorder="1" applyAlignment="1">
      <alignment horizontal="center" vertical="center"/>
    </xf>
    <xf numFmtId="0" fontId="224" fillId="81" borderId="357" xfId="3" applyFont="1" applyFill="1" applyBorder="1" applyAlignment="1">
      <alignment horizontal="center" vertical="center"/>
    </xf>
    <xf numFmtId="0" fontId="224" fillId="81" borderId="0" xfId="3" applyFont="1" applyFill="1" applyBorder="1" applyAlignment="1">
      <alignment horizontal="center" vertical="center"/>
    </xf>
    <xf numFmtId="177" fontId="213" fillId="14" borderId="56" xfId="9" applyNumberFormat="1" applyFont="1" applyFill="1" applyBorder="1" applyAlignment="1">
      <alignment horizontal="center" vertical="center"/>
    </xf>
    <xf numFmtId="177" fontId="213" fillId="14" borderId="24" xfId="9" applyNumberFormat="1" applyFont="1" applyFill="1" applyBorder="1" applyAlignment="1">
      <alignment horizontal="center" vertical="center"/>
    </xf>
    <xf numFmtId="0" fontId="239" fillId="0" borderId="0" xfId="25" applyFont="1" applyBorder="1" applyAlignment="1" applyProtection="1">
      <alignment horizontal="left" vertical="center"/>
    </xf>
    <xf numFmtId="0" fontId="33" fillId="0" borderId="163" xfId="3" applyFont="1" applyBorder="1" applyAlignment="1">
      <alignment horizontal="left" vertical="center"/>
    </xf>
    <xf numFmtId="1" fontId="153" fillId="4" borderId="0" xfId="9" applyNumberFormat="1" applyFont="1" applyFill="1" applyBorder="1" applyAlignment="1">
      <alignment horizontal="right" vertical="center"/>
    </xf>
    <xf numFmtId="0" fontId="135" fillId="94" borderId="348" xfId="6" applyFont="1" applyFill="1" applyBorder="1" applyAlignment="1">
      <alignment horizontal="center" vertical="center"/>
    </xf>
    <xf numFmtId="0" fontId="8" fillId="3" borderId="0" xfId="2" applyFill="1" applyBorder="1" applyAlignment="1">
      <alignment horizontal="center" vertical="center"/>
    </xf>
    <xf numFmtId="0" fontId="135" fillId="94" borderId="169" xfId="6" applyFont="1" applyFill="1" applyBorder="1" applyAlignment="1">
      <alignment horizontal="center" vertical="center"/>
    </xf>
    <xf numFmtId="0" fontId="8" fillId="68" borderId="27" xfId="2" applyFill="1" applyBorder="1" applyAlignment="1">
      <alignment horizontal="center"/>
    </xf>
    <xf numFmtId="0" fontId="166" fillId="3" borderId="0" xfId="3" applyFont="1" applyFill="1" applyBorder="1" applyAlignment="1">
      <alignment horizontal="center" vertical="center"/>
    </xf>
    <xf numFmtId="0" fontId="19" fillId="3" borderId="378" xfId="3" applyFont="1" applyFill="1" applyBorder="1" applyAlignment="1" applyProtection="1">
      <alignment horizontal="center" vertical="center" wrapText="1"/>
      <protection hidden="1"/>
    </xf>
    <xf numFmtId="0" fontId="19" fillId="3" borderId="162" xfId="3" applyFont="1" applyFill="1" applyBorder="1" applyAlignment="1" applyProtection="1">
      <alignment horizontal="center" vertical="center" wrapText="1"/>
      <protection hidden="1"/>
    </xf>
    <xf numFmtId="0" fontId="20" fillId="85" borderId="177" xfId="3" applyFont="1" applyFill="1" applyBorder="1" applyAlignment="1" applyProtection="1">
      <alignment horizontal="center" vertical="center" wrapText="1"/>
      <protection hidden="1"/>
    </xf>
    <xf numFmtId="0" fontId="20" fillId="85" borderId="188" xfId="3" applyFont="1" applyFill="1" applyBorder="1" applyAlignment="1" applyProtection="1">
      <alignment horizontal="center" vertical="center" wrapText="1"/>
      <protection hidden="1"/>
    </xf>
    <xf numFmtId="0" fontId="194" fillId="7" borderId="162" xfId="2" applyFont="1" applyFill="1" applyBorder="1" applyAlignment="1">
      <alignment horizontal="left" vertical="center" wrapText="1"/>
    </xf>
    <xf numFmtId="0" fontId="165" fillId="3" borderId="0" xfId="3" applyFont="1" applyFill="1" applyBorder="1" applyAlignment="1">
      <alignment horizontal="right" vertical="center"/>
    </xf>
    <xf numFmtId="0" fontId="192" fillId="52" borderId="27" xfId="2" applyFont="1" applyFill="1" applyBorder="1" applyAlignment="1">
      <alignment horizontal="center" vertical="center" wrapText="1"/>
    </xf>
    <xf numFmtId="0" fontId="75" fillId="73" borderId="355" xfId="2" applyFont="1" applyFill="1" applyBorder="1" applyAlignment="1">
      <alignment horizontal="center" vertical="center"/>
    </xf>
    <xf numFmtId="0" fontId="75" fillId="73" borderId="354" xfId="2" applyFont="1" applyFill="1" applyBorder="1" applyAlignment="1">
      <alignment horizontal="center" vertical="center"/>
    </xf>
    <xf numFmtId="0" fontId="69" fillId="6" borderId="163" xfId="2" applyFont="1" applyFill="1" applyBorder="1" applyAlignment="1">
      <alignment horizontal="center" vertical="center"/>
    </xf>
    <xf numFmtId="0" fontId="52" fillId="16" borderId="4" xfId="6" applyNumberFormat="1" applyFont="1" applyFill="1" applyBorder="1" applyAlignment="1">
      <alignment horizontal="center" vertical="center"/>
    </xf>
    <xf numFmtId="0" fontId="52" fillId="16" borderId="5" xfId="6" applyNumberFormat="1" applyFont="1" applyFill="1" applyBorder="1" applyAlignment="1">
      <alignment horizontal="center" vertical="center"/>
    </xf>
    <xf numFmtId="0" fontId="52" fillId="16" borderId="6" xfId="6" applyNumberFormat="1" applyFont="1" applyFill="1" applyBorder="1" applyAlignment="1">
      <alignment horizontal="center" vertical="center"/>
    </xf>
    <xf numFmtId="0" fontId="514" fillId="4" borderId="250" xfId="2" applyFont="1" applyFill="1" applyBorder="1" applyAlignment="1">
      <alignment horizontal="center" vertical="center"/>
    </xf>
    <xf numFmtId="0" fontId="514" fillId="4" borderId="0" xfId="2" applyFont="1" applyFill="1" applyBorder="1" applyAlignment="1">
      <alignment horizontal="center" vertical="center"/>
    </xf>
    <xf numFmtId="0" fontId="441" fillId="37" borderId="208" xfId="2" applyFont="1" applyFill="1" applyBorder="1" applyAlignment="1">
      <alignment horizontal="center" vertical="center"/>
    </xf>
    <xf numFmtId="0" fontId="441" fillId="37" borderId="209" xfId="2" applyFont="1" applyFill="1" applyBorder="1" applyAlignment="1">
      <alignment horizontal="center" vertical="center"/>
    </xf>
    <xf numFmtId="0" fontId="507" fillId="16" borderId="64" xfId="2" applyFont="1" applyFill="1" applyBorder="1" applyAlignment="1">
      <alignment horizontal="center" vertical="center" wrapText="1"/>
    </xf>
    <xf numFmtId="0" fontId="507" fillId="16" borderId="26" xfId="2" applyFont="1" applyFill="1" applyBorder="1" applyAlignment="1">
      <alignment horizontal="center" vertical="center" wrapText="1"/>
    </xf>
    <xf numFmtId="0" fontId="507" fillId="16" borderId="146" xfId="2" applyFont="1" applyFill="1" applyBorder="1" applyAlignment="1">
      <alignment horizontal="center" vertical="center" wrapText="1"/>
    </xf>
    <xf numFmtId="0" fontId="507" fillId="16" borderId="181" xfId="2" applyFont="1" applyFill="1" applyBorder="1" applyAlignment="1">
      <alignment horizontal="center" vertical="center" wrapText="1"/>
    </xf>
    <xf numFmtId="0" fontId="507" fillId="16" borderId="182" xfId="2" applyFont="1" applyFill="1" applyBorder="1" applyAlignment="1">
      <alignment horizontal="center" vertical="center" wrapText="1"/>
    </xf>
    <xf numFmtId="0" fontId="507" fillId="16" borderId="183" xfId="2" applyFont="1" applyFill="1" applyBorder="1" applyAlignment="1">
      <alignment horizontal="center" vertical="center" wrapText="1"/>
    </xf>
    <xf numFmtId="177" fontId="51" fillId="47" borderId="179" xfId="9" applyNumberFormat="1" applyFont="1" applyFill="1" applyBorder="1" applyAlignment="1">
      <alignment horizontal="left" vertical="center"/>
    </xf>
    <xf numFmtId="177" fontId="51" fillId="47" borderId="180" xfId="9" applyNumberFormat="1" applyFont="1" applyFill="1" applyBorder="1" applyAlignment="1">
      <alignment horizontal="left" vertical="center"/>
    </xf>
    <xf numFmtId="177" fontId="51" fillId="47" borderId="0" xfId="9" applyNumberFormat="1" applyFont="1" applyFill="1" applyBorder="1" applyAlignment="1">
      <alignment horizontal="left" vertical="center"/>
    </xf>
    <xf numFmtId="177" fontId="51" fillId="47" borderId="163" xfId="9" applyNumberFormat="1" applyFont="1" applyFill="1" applyBorder="1" applyAlignment="1">
      <alignment horizontal="left" vertical="center"/>
    </xf>
    <xf numFmtId="0" fontId="8" fillId="78" borderId="163" xfId="2" applyFont="1" applyFill="1" applyBorder="1" applyAlignment="1">
      <alignment horizontal="center"/>
    </xf>
    <xf numFmtId="0" fontId="64" fillId="3" borderId="20" xfId="9" applyNumberFormat="1" applyFont="1" applyFill="1" applyBorder="1" applyAlignment="1">
      <alignment horizontal="center" vertical="center" wrapText="1"/>
    </xf>
    <xf numFmtId="0" fontId="64" fillId="3" borderId="0" xfId="9" applyNumberFormat="1" applyFont="1" applyFill="1" applyBorder="1" applyAlignment="1">
      <alignment horizontal="center" vertical="center" wrapText="1"/>
    </xf>
    <xf numFmtId="0" fontId="64" fillId="3" borderId="163" xfId="9" applyNumberFormat="1" applyFont="1" applyFill="1" applyBorder="1" applyAlignment="1">
      <alignment horizontal="center" vertical="center" wrapText="1"/>
    </xf>
    <xf numFmtId="0" fontId="40" fillId="3" borderId="20" xfId="9" applyNumberFormat="1" applyFont="1" applyFill="1" applyBorder="1" applyAlignment="1">
      <alignment horizontal="center" vertical="center" wrapText="1"/>
    </xf>
    <xf numFmtId="0" fontId="40" fillId="3" borderId="0" xfId="9" applyNumberFormat="1" applyFont="1" applyFill="1" applyBorder="1" applyAlignment="1">
      <alignment horizontal="center" vertical="center" wrapText="1"/>
    </xf>
    <xf numFmtId="0" fontId="40" fillId="3" borderId="163" xfId="9" applyNumberFormat="1" applyFont="1" applyFill="1" applyBorder="1" applyAlignment="1">
      <alignment horizontal="center" vertical="center" wrapText="1"/>
    </xf>
    <xf numFmtId="0" fontId="54" fillId="79" borderId="20" xfId="3" applyFont="1" applyFill="1" applyBorder="1" applyAlignment="1">
      <alignment horizontal="left" vertical="center"/>
    </xf>
    <xf numFmtId="0" fontId="54" fillId="79" borderId="0" xfId="3" applyFont="1" applyFill="1" applyBorder="1" applyAlignment="1">
      <alignment horizontal="left" vertical="center"/>
    </xf>
    <xf numFmtId="0" fontId="54" fillId="79" borderId="163" xfId="3" applyFont="1" applyFill="1" applyBorder="1" applyAlignment="1">
      <alignment horizontal="left" vertical="center"/>
    </xf>
    <xf numFmtId="0" fontId="485" fillId="16" borderId="0" xfId="3" applyFont="1" applyFill="1" applyBorder="1" applyAlignment="1">
      <alignment horizontal="center" vertical="center"/>
    </xf>
    <xf numFmtId="177" fontId="150" fillId="37" borderId="0" xfId="9" applyNumberFormat="1" applyFont="1" applyFill="1" applyBorder="1" applyAlignment="1">
      <alignment horizontal="center" vertical="center"/>
    </xf>
    <xf numFmtId="0" fontId="54" fillId="80" borderId="20" xfId="3" applyFont="1" applyFill="1" applyBorder="1" applyAlignment="1">
      <alignment horizontal="center" vertical="center"/>
    </xf>
    <xf numFmtId="0" fontId="54" fillId="80" borderId="0" xfId="3" applyFont="1" applyFill="1" applyBorder="1" applyAlignment="1">
      <alignment horizontal="center" vertical="center"/>
    </xf>
    <xf numFmtId="0" fontId="54" fillId="80" borderId="163" xfId="3" applyFont="1" applyFill="1" applyBorder="1" applyAlignment="1">
      <alignment horizontal="center" vertical="center"/>
    </xf>
    <xf numFmtId="0" fontId="512" fillId="16" borderId="0" xfId="3" applyFont="1" applyFill="1" applyBorder="1" applyAlignment="1">
      <alignment horizontal="center" vertical="center"/>
    </xf>
    <xf numFmtId="0" fontId="439" fillId="77" borderId="162" xfId="6" applyFont="1" applyFill="1" applyBorder="1" applyAlignment="1">
      <alignment horizontal="center" vertical="center"/>
    </xf>
    <xf numFmtId="0" fontId="439" fillId="77" borderId="0" xfId="6" applyFont="1" applyFill="1" applyBorder="1" applyAlignment="1">
      <alignment horizontal="center" vertical="center"/>
    </xf>
    <xf numFmtId="0" fontId="64" fillId="55" borderId="1" xfId="3" applyFont="1" applyFill="1" applyBorder="1" applyAlignment="1" applyProtection="1">
      <alignment horizontal="center" vertical="center" wrapText="1"/>
      <protection hidden="1"/>
    </xf>
    <xf numFmtId="0" fontId="64" fillId="55" borderId="162" xfId="3" applyFont="1" applyFill="1" applyBorder="1" applyAlignment="1" applyProtection="1">
      <alignment horizontal="center" vertical="center" wrapText="1"/>
      <protection hidden="1"/>
    </xf>
    <xf numFmtId="0" fontId="64" fillId="55" borderId="20" xfId="3" applyFont="1" applyFill="1" applyBorder="1" applyAlignment="1" applyProtection="1">
      <alignment horizontal="center" vertical="center" wrapText="1"/>
      <protection hidden="1"/>
    </xf>
    <xf numFmtId="0" fontId="64" fillId="55" borderId="0" xfId="3" applyFont="1" applyFill="1" applyBorder="1" applyAlignment="1" applyProtection="1">
      <alignment horizontal="center" vertical="center" wrapText="1"/>
      <protection hidden="1"/>
    </xf>
    <xf numFmtId="0" fontId="171" fillId="55" borderId="3" xfId="6" applyNumberFormat="1" applyFont="1" applyFill="1" applyBorder="1" applyAlignment="1">
      <alignment horizontal="center" vertical="center"/>
    </xf>
    <xf numFmtId="0" fontId="171" fillId="55" borderId="163" xfId="6" applyNumberFormat="1" applyFont="1" applyFill="1" applyBorder="1" applyAlignment="1">
      <alignment horizontal="center" vertical="center"/>
    </xf>
    <xf numFmtId="0" fontId="150" fillId="37" borderId="208" xfId="2" applyFont="1" applyFill="1" applyBorder="1" applyAlignment="1">
      <alignment horizontal="center" vertical="center"/>
    </xf>
    <xf numFmtId="0" fontId="150" fillId="37" borderId="209" xfId="2" applyFont="1" applyFill="1" applyBorder="1" applyAlignment="1">
      <alignment horizontal="center" vertical="center"/>
    </xf>
    <xf numFmtId="0" fontId="40" fillId="0" borderId="27" xfId="6" applyNumberFormat="1" applyFont="1" applyFill="1" applyBorder="1" applyAlignment="1" applyProtection="1">
      <alignment horizontal="center" vertical="center"/>
      <protection locked="0"/>
    </xf>
    <xf numFmtId="0" fontId="40" fillId="0" borderId="0" xfId="6" applyNumberFormat="1" applyFont="1" applyFill="1" applyBorder="1" applyAlignment="1" applyProtection="1">
      <alignment horizontal="center" vertical="center"/>
      <protection locked="0"/>
    </xf>
    <xf numFmtId="0" fontId="40" fillId="0" borderId="21" xfId="6" applyNumberFormat="1" applyFont="1" applyFill="1" applyBorder="1" applyAlignment="1" applyProtection="1">
      <alignment horizontal="center" vertical="center"/>
      <protection locked="0"/>
    </xf>
    <xf numFmtId="0" fontId="54" fillId="3" borderId="0" xfId="6" applyNumberFormat="1" applyFont="1" applyFill="1" applyBorder="1" applyAlignment="1">
      <alignment horizontal="center" vertical="center"/>
    </xf>
    <xf numFmtId="0" fontId="485" fillId="16" borderId="15" xfId="3" applyFont="1" applyFill="1" applyBorder="1" applyAlignment="1">
      <alignment horizontal="center" vertical="center"/>
    </xf>
    <xf numFmtId="207" fontId="212" fillId="3" borderId="20" xfId="7" applyNumberFormat="1" applyFont="1" applyFill="1" applyBorder="1" applyAlignment="1" applyProtection="1">
      <alignment horizontal="center" vertical="center"/>
    </xf>
    <xf numFmtId="207" fontId="212" fillId="3" borderId="0" xfId="7" applyNumberFormat="1" applyFont="1" applyFill="1" applyBorder="1" applyAlignment="1" applyProtection="1">
      <alignment horizontal="center" vertical="center"/>
    </xf>
    <xf numFmtId="208" fontId="212" fillId="3" borderId="0" xfId="7" applyNumberFormat="1" applyFont="1" applyFill="1" applyBorder="1" applyAlignment="1" applyProtection="1">
      <alignment horizontal="center" vertical="center"/>
    </xf>
    <xf numFmtId="207" fontId="212" fillId="3" borderId="20" xfId="7" applyNumberFormat="1" applyFont="1" applyFill="1" applyBorder="1" applyAlignment="1" applyProtection="1">
      <alignment horizontal="left" vertical="center" wrapText="1"/>
    </xf>
    <xf numFmtId="207" fontId="212" fillId="3" borderId="0" xfId="7" applyNumberFormat="1" applyFont="1" applyFill="1" applyBorder="1" applyAlignment="1" applyProtection="1">
      <alignment horizontal="left" vertical="center" wrapText="1"/>
    </xf>
    <xf numFmtId="207" fontId="212" fillId="3" borderId="163" xfId="7" applyNumberFormat="1" applyFont="1" applyFill="1" applyBorder="1" applyAlignment="1" applyProtection="1">
      <alignment horizontal="left" vertical="center" wrapText="1"/>
    </xf>
    <xf numFmtId="207" fontId="212" fillId="3" borderId="4" xfId="7" applyNumberFormat="1" applyFont="1" applyFill="1" applyBorder="1" applyAlignment="1" applyProtection="1">
      <alignment horizontal="left" vertical="center" wrapText="1"/>
    </xf>
    <xf numFmtId="207" fontId="212" fillId="3" borderId="5" xfId="7" applyNumberFormat="1" applyFont="1" applyFill="1" applyBorder="1" applyAlignment="1" applyProtection="1">
      <alignment horizontal="left" vertical="center" wrapText="1"/>
    </xf>
    <xf numFmtId="207" fontId="212" fillId="3" borderId="6" xfId="7" applyNumberFormat="1" applyFont="1" applyFill="1" applyBorder="1" applyAlignment="1" applyProtection="1">
      <alignment horizontal="left" vertical="center" wrapText="1"/>
    </xf>
    <xf numFmtId="0" fontId="500" fillId="76" borderId="15" xfId="3" applyFont="1" applyFill="1" applyBorder="1" applyAlignment="1" applyProtection="1">
      <alignment horizontal="center" vertical="center"/>
      <protection hidden="1"/>
    </xf>
    <xf numFmtId="207" fontId="150" fillId="13" borderId="20" xfId="7" applyNumberFormat="1" applyFont="1" applyFill="1" applyBorder="1" applyAlignment="1" applyProtection="1">
      <alignment horizontal="center" vertical="center"/>
    </xf>
    <xf numFmtId="207" fontId="150" fillId="13" borderId="0" xfId="7" applyNumberFormat="1" applyFont="1" applyFill="1" applyBorder="1" applyAlignment="1" applyProtection="1">
      <alignment horizontal="center" vertical="center"/>
    </xf>
    <xf numFmtId="208" fontId="152" fillId="7" borderId="0" xfId="7" applyNumberFormat="1" applyFont="1" applyFill="1" applyBorder="1" applyAlignment="1" applyProtection="1">
      <alignment horizontal="center" vertical="center"/>
    </xf>
    <xf numFmtId="2" fontId="41" fillId="3" borderId="0" xfId="7" applyNumberFormat="1" applyFont="1" applyFill="1" applyBorder="1" applyAlignment="1" applyProtection="1">
      <alignment horizontal="center" vertical="center"/>
    </xf>
    <xf numFmtId="0" fontId="498" fillId="3" borderId="0" xfId="7" applyFont="1" applyFill="1" applyBorder="1" applyAlignment="1" applyProtection="1">
      <alignment horizontal="left" vertical="center"/>
    </xf>
    <xf numFmtId="0" fontId="498" fillId="3" borderId="163" xfId="7" applyFont="1" applyFill="1" applyBorder="1" applyAlignment="1" applyProtection="1">
      <alignment horizontal="left" vertical="center"/>
    </xf>
    <xf numFmtId="207" fontId="41" fillId="6" borderId="20" xfId="7" applyNumberFormat="1" applyFont="1" applyFill="1" applyBorder="1" applyAlignment="1" applyProtection="1">
      <alignment horizontal="center" vertical="center"/>
    </xf>
    <xf numFmtId="207" fontId="41" fillId="6" borderId="0" xfId="7" applyNumberFormat="1" applyFont="1" applyFill="1" applyBorder="1" applyAlignment="1" applyProtection="1">
      <alignment horizontal="center" vertical="center"/>
    </xf>
    <xf numFmtId="207" fontId="41" fillId="6" borderId="163" xfId="7" applyNumberFormat="1" applyFont="1" applyFill="1" applyBorder="1" applyAlignment="1" applyProtection="1">
      <alignment horizontal="center" vertical="center"/>
    </xf>
    <xf numFmtId="177" fontId="484" fillId="3" borderId="27" xfId="7" applyNumberFormat="1" applyFont="1" applyFill="1" applyBorder="1" applyAlignment="1" applyProtection="1">
      <alignment horizontal="center" vertical="center"/>
    </xf>
    <xf numFmtId="177" fontId="484" fillId="3" borderId="0" xfId="7" applyNumberFormat="1" applyFont="1" applyFill="1" applyBorder="1" applyAlignment="1" applyProtection="1">
      <alignment horizontal="center" vertical="center"/>
    </xf>
    <xf numFmtId="0" fontId="484" fillId="3" borderId="0" xfId="7" applyNumberFormat="1" applyFont="1" applyFill="1" applyBorder="1" applyAlignment="1" applyProtection="1">
      <alignment horizontal="center" vertical="center"/>
    </xf>
    <xf numFmtId="0" fontId="54" fillId="3" borderId="0" xfId="7" applyFont="1" applyFill="1" applyBorder="1" applyAlignment="1" applyProtection="1">
      <alignment horizontal="right" vertical="center"/>
    </xf>
    <xf numFmtId="0" fontId="488" fillId="13" borderId="1" xfId="8" applyFont="1" applyFill="1" applyBorder="1" applyAlignment="1">
      <alignment horizontal="center" vertical="center" wrapText="1"/>
    </xf>
    <xf numFmtId="0" fontId="488" fillId="13" borderId="162" xfId="8" applyFont="1" applyFill="1" applyBorder="1" applyAlignment="1">
      <alignment horizontal="center" vertical="center" wrapText="1"/>
    </xf>
    <xf numFmtId="0" fontId="488" fillId="13" borderId="20" xfId="8" applyFont="1" applyFill="1" applyBorder="1" applyAlignment="1">
      <alignment horizontal="center" vertical="center" wrapText="1"/>
    </xf>
    <xf numFmtId="0" fontId="488" fillId="13" borderId="0" xfId="8" applyFont="1" applyFill="1" applyBorder="1" applyAlignment="1">
      <alignment horizontal="center" vertical="center" wrapText="1"/>
    </xf>
    <xf numFmtId="0" fontId="489" fillId="7" borderId="162" xfId="7" applyFont="1" applyFill="1" applyBorder="1" applyAlignment="1" applyProtection="1">
      <alignment horizontal="center" vertical="center" wrapText="1"/>
    </xf>
    <xf numFmtId="0" fontId="489" fillId="7" borderId="0" xfId="7" applyFont="1" applyFill="1" applyBorder="1" applyAlignment="1" applyProtection="1">
      <alignment horizontal="center" vertical="center" wrapText="1"/>
    </xf>
    <xf numFmtId="0" fontId="50" fillId="3" borderId="162" xfId="7" applyFont="1" applyFill="1" applyBorder="1" applyAlignment="1" applyProtection="1">
      <alignment horizontal="center" vertical="center" wrapText="1"/>
    </xf>
    <xf numFmtId="0" fontId="50" fillId="3" borderId="0" xfId="7" applyFont="1" applyFill="1" applyBorder="1" applyAlignment="1" applyProtection="1">
      <alignment horizontal="center" vertical="center" wrapText="1"/>
    </xf>
    <xf numFmtId="0" fontId="443" fillId="33" borderId="162" xfId="8" applyFont="1" applyFill="1" applyBorder="1" applyAlignment="1">
      <alignment horizontal="center" vertical="center"/>
    </xf>
    <xf numFmtId="0" fontId="443" fillId="33" borderId="3" xfId="8" applyFont="1" applyFill="1" applyBorder="1" applyAlignment="1">
      <alignment horizontal="center" vertical="center"/>
    </xf>
    <xf numFmtId="0" fontId="160" fillId="3" borderId="27" xfId="8" applyFont="1" applyFill="1" applyBorder="1" applyAlignment="1">
      <alignment horizontal="center" vertical="center" wrapText="1"/>
    </xf>
    <xf numFmtId="0" fontId="160" fillId="3" borderId="0" xfId="8" applyFont="1" applyFill="1" applyBorder="1" applyAlignment="1">
      <alignment horizontal="center" vertical="center" wrapText="1"/>
    </xf>
    <xf numFmtId="0" fontId="160" fillId="3" borderId="0" xfId="7" applyFont="1" applyFill="1" applyBorder="1" applyAlignment="1" applyProtection="1">
      <alignment horizontal="center" vertical="center" wrapText="1"/>
    </xf>
    <xf numFmtId="0" fontId="54" fillId="3" borderId="0" xfId="7" applyFont="1" applyFill="1" applyBorder="1" applyAlignment="1" applyProtection="1">
      <alignment horizontal="center" vertical="center"/>
    </xf>
    <xf numFmtId="0" fontId="54" fillId="3" borderId="21" xfId="7" applyFont="1" applyFill="1" applyBorder="1" applyAlignment="1" applyProtection="1">
      <alignment horizontal="center" wrapText="1"/>
    </xf>
    <xf numFmtId="0" fontId="57" fillId="29" borderId="27" xfId="8" applyFont="1" applyFill="1" applyBorder="1" applyAlignment="1">
      <alignment horizontal="center" vertical="center"/>
    </xf>
    <xf numFmtId="0" fontId="57" fillId="29" borderId="0" xfId="8" applyFont="1" applyFill="1" applyBorder="1" applyAlignment="1">
      <alignment horizontal="center" vertical="center"/>
    </xf>
    <xf numFmtId="0" fontId="57" fillId="29" borderId="21" xfId="8" applyFont="1" applyFill="1" applyBorder="1" applyAlignment="1">
      <alignment horizontal="center" vertical="center"/>
    </xf>
    <xf numFmtId="0" fontId="57" fillId="29" borderId="0" xfId="8" applyFont="1" applyFill="1" applyBorder="1" applyAlignment="1">
      <alignment horizontal="left" vertical="center"/>
    </xf>
    <xf numFmtId="0" fontId="57" fillId="29" borderId="21" xfId="8" applyFont="1" applyFill="1" applyBorder="1" applyAlignment="1">
      <alignment horizontal="left" vertical="center"/>
    </xf>
    <xf numFmtId="0" fontId="41" fillId="12" borderId="0" xfId="2" applyFont="1" applyFill="1" applyBorder="1" applyAlignment="1">
      <alignment horizontal="center" vertical="center"/>
    </xf>
    <xf numFmtId="0" fontId="75" fillId="33" borderId="177" xfId="8" applyFont="1" applyFill="1" applyBorder="1" applyAlignment="1">
      <alignment horizontal="center" vertical="center"/>
    </xf>
    <xf numFmtId="0" fontId="75" fillId="33" borderId="188" xfId="8" applyFont="1" applyFill="1" applyBorder="1" applyAlignment="1">
      <alignment horizontal="center" vertical="center"/>
    </xf>
    <xf numFmtId="0" fontId="75" fillId="33" borderId="210" xfId="8" applyFont="1" applyFill="1" applyBorder="1" applyAlignment="1">
      <alignment horizontal="center" vertical="center"/>
    </xf>
    <xf numFmtId="0" fontId="57" fillId="33" borderId="27" xfId="8" applyFont="1" applyFill="1" applyBorder="1" applyAlignment="1">
      <alignment horizontal="center" vertical="center"/>
    </xf>
    <xf numFmtId="0" fontId="57" fillId="33" borderId="0" xfId="8" applyFont="1" applyFill="1" applyBorder="1" applyAlignment="1">
      <alignment horizontal="center" vertical="center"/>
    </xf>
    <xf numFmtId="0" fontId="57" fillId="33" borderId="21" xfId="8" applyFont="1" applyFill="1" applyBorder="1" applyAlignment="1">
      <alignment horizontal="center" vertical="center"/>
    </xf>
    <xf numFmtId="0" fontId="57" fillId="33" borderId="0" xfId="8" applyFont="1" applyFill="1" applyBorder="1" applyAlignment="1">
      <alignment horizontal="left" vertical="center"/>
    </xf>
    <xf numFmtId="0" fontId="57" fillId="33" borderId="21" xfId="8" applyFont="1" applyFill="1" applyBorder="1" applyAlignment="1">
      <alignment horizontal="left" vertical="center"/>
    </xf>
    <xf numFmtId="0" fontId="54" fillId="5" borderId="27" xfId="8" applyFont="1" applyFill="1" applyBorder="1" applyAlignment="1">
      <alignment horizontal="center" vertical="center"/>
    </xf>
    <xf numFmtId="0" fontId="54" fillId="5" borderId="0" xfId="8" applyFont="1" applyFill="1" applyBorder="1" applyAlignment="1">
      <alignment horizontal="center" vertical="center"/>
    </xf>
    <xf numFmtId="0" fontId="54" fillId="5" borderId="21" xfId="8" applyFont="1" applyFill="1" applyBorder="1" applyAlignment="1">
      <alignment horizontal="center" vertical="center"/>
    </xf>
    <xf numFmtId="171" fontId="91" fillId="4" borderId="0" xfId="6" applyNumberFormat="1" applyFont="1" applyFill="1" applyBorder="1" applyAlignment="1">
      <alignment horizontal="center" vertical="center"/>
    </xf>
    <xf numFmtId="171" fontId="91" fillId="4" borderId="163" xfId="6" applyNumberFormat="1" applyFont="1" applyFill="1" applyBorder="1" applyAlignment="1">
      <alignment horizontal="center" vertical="center"/>
    </xf>
    <xf numFmtId="0" fontId="41" fillId="4" borderId="20" xfId="2" applyFont="1" applyFill="1" applyBorder="1" applyAlignment="1">
      <alignment horizontal="right" vertical="center"/>
    </xf>
    <xf numFmtId="1" fontId="41" fillId="4" borderId="0" xfId="2" applyNumberFormat="1" applyFont="1" applyFill="1" applyBorder="1" applyAlignment="1">
      <alignment horizontal="center" vertical="center"/>
    </xf>
    <xf numFmtId="0" fontId="91" fillId="4" borderId="0" xfId="2" applyFont="1" applyFill="1" applyBorder="1" applyAlignment="1">
      <alignment horizontal="center" vertical="center"/>
    </xf>
    <xf numFmtId="0" fontId="52" fillId="4" borderId="0" xfId="2" applyFont="1" applyFill="1" applyBorder="1" applyAlignment="1">
      <alignment horizontal="center" vertical="center"/>
    </xf>
    <xf numFmtId="1" fontId="41" fillId="4" borderId="0" xfId="6" applyNumberFormat="1" applyFont="1" applyFill="1" applyBorder="1" applyAlignment="1">
      <alignment horizontal="center" vertical="center"/>
    </xf>
    <xf numFmtId="195" fontId="169" fillId="3" borderId="0" xfId="6" applyNumberFormat="1" applyFont="1" applyFill="1" applyBorder="1" applyAlignment="1">
      <alignment horizontal="right" vertical="center" wrapText="1"/>
    </xf>
    <xf numFmtId="0" fontId="33" fillId="55" borderId="1" xfId="2" applyFont="1" applyFill="1" applyBorder="1" applyAlignment="1">
      <alignment horizontal="center" vertical="center"/>
    </xf>
    <xf numFmtId="0" fontId="33" fillId="55" borderId="162" xfId="2" applyFont="1" applyFill="1" applyBorder="1" applyAlignment="1">
      <alignment horizontal="center" vertical="center"/>
    </xf>
    <xf numFmtId="0" fontId="33" fillId="55" borderId="3" xfId="2" applyFont="1" applyFill="1" applyBorder="1" applyAlignment="1">
      <alignment horizontal="center" vertical="center"/>
    </xf>
    <xf numFmtId="0" fontId="91" fillId="3" borderId="20" xfId="2" applyFont="1" applyFill="1" applyBorder="1" applyAlignment="1">
      <alignment horizontal="left" vertical="center" wrapText="1"/>
    </xf>
    <xf numFmtId="0" fontId="91" fillId="3" borderId="0" xfId="2" applyFont="1" applyFill="1" applyBorder="1" applyAlignment="1">
      <alignment horizontal="left" vertical="center" wrapText="1"/>
    </xf>
    <xf numFmtId="0" fontId="91" fillId="3" borderId="163" xfId="2" applyFont="1" applyFill="1" applyBorder="1" applyAlignment="1">
      <alignment horizontal="left" vertical="center" wrapText="1"/>
    </xf>
    <xf numFmtId="0" fontId="91" fillId="3" borderId="198" xfId="2" applyFont="1" applyFill="1" applyBorder="1" applyAlignment="1">
      <alignment horizontal="left" vertical="center" wrapText="1"/>
    </xf>
    <xf numFmtId="0" fontId="91" fillId="3" borderId="199" xfId="2" applyFont="1" applyFill="1" applyBorder="1" applyAlignment="1">
      <alignment horizontal="left" vertical="center" wrapText="1"/>
    </xf>
    <xf numFmtId="0" fontId="91" fillId="3" borderId="200" xfId="2" applyFont="1" applyFill="1" applyBorder="1" applyAlignment="1">
      <alignment horizontal="left" vertical="center" wrapText="1"/>
    </xf>
    <xf numFmtId="0" fontId="57" fillId="33" borderId="20" xfId="2" applyFont="1" applyFill="1" applyBorder="1" applyAlignment="1">
      <alignment horizontal="center" vertical="center"/>
    </xf>
    <xf numFmtId="195" fontId="50" fillId="3" borderId="0" xfId="6" applyNumberFormat="1" applyFont="1" applyFill="1" applyBorder="1" applyAlignment="1">
      <alignment horizontal="right" vertical="center" wrapText="1"/>
    </xf>
    <xf numFmtId="195" fontId="39" fillId="7" borderId="20" xfId="6" applyNumberFormat="1" applyFont="1" applyFill="1" applyBorder="1" applyAlignment="1">
      <alignment horizontal="center" vertical="center" wrapText="1"/>
    </xf>
    <xf numFmtId="195" fontId="39" fillId="7" borderId="0" xfId="6" applyNumberFormat="1" applyFont="1" applyFill="1" applyBorder="1" applyAlignment="1">
      <alignment horizontal="center" vertical="center" wrapText="1"/>
    </xf>
    <xf numFmtId="195" fontId="484" fillId="3" borderId="0" xfId="6" applyNumberFormat="1" applyFont="1" applyFill="1" applyBorder="1" applyAlignment="1">
      <alignment horizontal="right" vertical="center" wrapText="1"/>
    </xf>
    <xf numFmtId="171" fontId="151" fillId="37" borderId="0" xfId="6" applyNumberFormat="1" applyFont="1" applyFill="1" applyBorder="1" applyAlignment="1">
      <alignment horizontal="center" vertical="center"/>
    </xf>
    <xf numFmtId="195" fontId="483" fillId="3" borderId="0" xfId="6" applyNumberFormat="1" applyFont="1" applyFill="1" applyBorder="1" applyAlignment="1">
      <alignment horizontal="right" vertical="center" wrapText="1"/>
    </xf>
    <xf numFmtId="171" fontId="150" fillId="37" borderId="163" xfId="6" applyNumberFormat="1" applyFont="1" applyFill="1" applyBorder="1" applyAlignment="1">
      <alignment horizontal="center" vertical="center"/>
    </xf>
    <xf numFmtId="0" fontId="54" fillId="12" borderId="20" xfId="2" applyFont="1" applyFill="1" applyBorder="1" applyAlignment="1">
      <alignment horizontal="right" vertical="center" wrapText="1"/>
    </xf>
    <xf numFmtId="0" fontId="54" fillId="12" borderId="0" xfId="2" applyFont="1" applyFill="1" applyBorder="1" applyAlignment="1">
      <alignment horizontal="right" vertical="center" wrapText="1"/>
    </xf>
    <xf numFmtId="2" fontId="41" fillId="12" borderId="0" xfId="2" applyNumberFormat="1" applyFont="1" applyFill="1" applyBorder="1" applyAlignment="1">
      <alignment horizontal="center" vertical="center"/>
    </xf>
    <xf numFmtId="0" fontId="8" fillId="3" borderId="27" xfId="2" applyFont="1" applyFill="1" applyBorder="1" applyAlignment="1">
      <alignment horizontal="right" vertical="center"/>
    </xf>
    <xf numFmtId="0" fontId="8" fillId="3" borderId="0" xfId="2" applyFont="1" applyFill="1" applyBorder="1" applyAlignment="1">
      <alignment horizontal="right" vertical="center"/>
    </xf>
    <xf numFmtId="0" fontId="75" fillId="33" borderId="1" xfId="8" applyFont="1" applyFill="1" applyBorder="1" applyAlignment="1">
      <alignment horizontal="center" vertical="center" wrapText="1"/>
    </xf>
    <xf numFmtId="0" fontId="75" fillId="33" borderId="162" xfId="8" applyFont="1" applyFill="1" applyBorder="1" applyAlignment="1">
      <alignment horizontal="center" vertical="center" wrapText="1"/>
    </xf>
    <xf numFmtId="0" fontId="75" fillId="33" borderId="3" xfId="8" applyFont="1" applyFill="1" applyBorder="1" applyAlignment="1">
      <alignment horizontal="center" vertical="center" wrapText="1"/>
    </xf>
    <xf numFmtId="0" fontId="53" fillId="3" borderId="20" xfId="8" applyFont="1" applyFill="1" applyBorder="1" applyAlignment="1">
      <alignment horizontal="center" vertical="center" wrapText="1"/>
    </xf>
    <xf numFmtId="0" fontId="53" fillId="3" borderId="0" xfId="8" applyFont="1" applyFill="1" applyBorder="1" applyAlignment="1">
      <alignment horizontal="center" vertical="center" wrapText="1"/>
    </xf>
    <xf numFmtId="0" fontId="53" fillId="3" borderId="163" xfId="8" applyFont="1" applyFill="1" applyBorder="1" applyAlignment="1">
      <alignment horizontal="center" vertical="center" wrapText="1"/>
    </xf>
    <xf numFmtId="0" fontId="33" fillId="4" borderId="20" xfId="8" applyFont="1" applyFill="1" applyBorder="1" applyAlignment="1">
      <alignment horizontal="center" vertical="center"/>
    </xf>
    <xf numFmtId="0" fontId="33" fillId="4" borderId="0" xfId="8" applyFont="1" applyFill="1" applyBorder="1" applyAlignment="1">
      <alignment horizontal="center" vertical="center"/>
    </xf>
    <xf numFmtId="0" fontId="33" fillId="4" borderId="163" xfId="8" applyFont="1" applyFill="1" applyBorder="1" applyAlignment="1">
      <alignment horizontal="center" vertical="center"/>
    </xf>
    <xf numFmtId="0" fontId="48" fillId="3" borderId="20" xfId="7" applyFont="1" applyFill="1" applyBorder="1" applyAlignment="1">
      <alignment horizontal="center" vertical="center" wrapText="1"/>
    </xf>
    <xf numFmtId="0" fontId="48" fillId="3" borderId="0" xfId="7" applyFont="1" applyFill="1" applyBorder="1" applyAlignment="1">
      <alignment horizontal="center" vertical="center" wrapText="1"/>
    </xf>
    <xf numFmtId="0" fontId="48" fillId="3" borderId="163" xfId="7" applyFont="1" applyFill="1" applyBorder="1" applyAlignment="1">
      <alignment horizontal="center" vertical="center" wrapText="1"/>
    </xf>
    <xf numFmtId="0" fontId="494" fillId="37" borderId="20" xfId="8" applyFont="1" applyFill="1" applyBorder="1" applyAlignment="1">
      <alignment horizontal="center" vertical="center"/>
    </xf>
    <xf numFmtId="0" fontId="494" fillId="37" borderId="0" xfId="8" applyFont="1" applyFill="1" applyBorder="1" applyAlignment="1">
      <alignment horizontal="center" vertical="center"/>
    </xf>
    <xf numFmtId="0" fontId="494" fillId="37" borderId="163" xfId="8" applyFont="1" applyFill="1" applyBorder="1" applyAlignment="1">
      <alignment horizontal="center" vertical="center"/>
    </xf>
    <xf numFmtId="0" fontId="60" fillId="3" borderId="27" xfId="2" applyFont="1" applyFill="1" applyBorder="1" applyAlignment="1">
      <alignment horizontal="right" vertical="center"/>
    </xf>
    <xf numFmtId="0" fontId="60" fillId="3" borderId="0" xfId="2" applyFont="1" applyFill="1" applyBorder="1" applyAlignment="1">
      <alignment horizontal="right" vertical="center"/>
    </xf>
    <xf numFmtId="171" fontId="42" fillId="3" borderId="0" xfId="2" applyNumberFormat="1" applyFont="1" applyFill="1" applyBorder="1" applyAlignment="1" applyProtection="1">
      <alignment horizontal="center" vertical="center"/>
      <protection locked="0"/>
    </xf>
    <xf numFmtId="171" fontId="50" fillId="3" borderId="0" xfId="2" applyNumberFormat="1" applyFont="1" applyFill="1" applyBorder="1" applyAlignment="1" applyProtection="1">
      <alignment horizontal="center" vertical="center"/>
      <protection locked="0"/>
    </xf>
    <xf numFmtId="171" fontId="50" fillId="3" borderId="21" xfId="2" applyNumberFormat="1" applyFont="1" applyFill="1" applyBorder="1" applyAlignment="1" applyProtection="1">
      <alignment horizontal="center" vertical="center"/>
      <protection locked="0"/>
    </xf>
    <xf numFmtId="0" fontId="50" fillId="3" borderId="27" xfId="2" applyFont="1" applyFill="1" applyBorder="1" applyAlignment="1">
      <alignment horizontal="center" vertical="center" wrapText="1"/>
    </xf>
    <xf numFmtId="0" fontId="50" fillId="3" borderId="0" xfId="2" applyFont="1" applyFill="1" applyBorder="1" applyAlignment="1">
      <alignment horizontal="center" vertical="center" wrapText="1"/>
    </xf>
    <xf numFmtId="0" fontId="50" fillId="3" borderId="0" xfId="2" applyFont="1" applyFill="1" applyBorder="1" applyAlignment="1">
      <alignment horizontal="center" vertical="center"/>
    </xf>
    <xf numFmtId="171" fontId="104" fillId="3" borderId="0" xfId="2" applyNumberFormat="1" applyFont="1" applyFill="1" applyBorder="1" applyAlignment="1" applyProtection="1">
      <alignment horizontal="center" vertical="center" wrapText="1"/>
      <protection locked="0"/>
    </xf>
    <xf numFmtId="171" fontId="104" fillId="3" borderId="21" xfId="2" applyNumberFormat="1" applyFont="1" applyFill="1" applyBorder="1" applyAlignment="1" applyProtection="1">
      <alignment horizontal="center" vertical="center" wrapText="1"/>
      <protection locked="0"/>
    </xf>
    <xf numFmtId="0" fontId="478" fillId="3" borderId="0" xfId="13" applyFont="1" applyFill="1" applyAlignment="1">
      <alignment horizontal="left" vertical="center"/>
    </xf>
    <xf numFmtId="0" fontId="41" fillId="55" borderId="177" xfId="2" applyFont="1" applyFill="1" applyBorder="1" applyAlignment="1">
      <alignment horizontal="center" vertical="center"/>
    </xf>
    <xf numFmtId="0" fontId="41" fillId="55" borderId="188" xfId="2" applyFont="1" applyFill="1" applyBorder="1" applyAlignment="1">
      <alignment horizontal="center" vertical="center"/>
    </xf>
    <xf numFmtId="0" fontId="41" fillId="55" borderId="210" xfId="2" applyFont="1" applyFill="1" applyBorder="1" applyAlignment="1">
      <alignment horizontal="center" vertical="center"/>
    </xf>
    <xf numFmtId="0" fontId="60" fillId="3" borderId="178" xfId="2" applyFont="1" applyFill="1" applyBorder="1" applyAlignment="1">
      <alignment horizontal="center" vertical="center"/>
    </xf>
    <xf numFmtId="0" fontId="60" fillId="3" borderId="180" xfId="2" applyFont="1" applyFill="1" applyBorder="1" applyAlignment="1">
      <alignment horizontal="center" vertical="center"/>
    </xf>
    <xf numFmtId="0" fontId="8" fillId="3" borderId="20" xfId="2" applyFont="1" applyFill="1" applyBorder="1" applyAlignment="1">
      <alignment horizontal="center"/>
    </xf>
    <xf numFmtId="0" fontId="8" fillId="3" borderId="163" xfId="2" applyFont="1" applyFill="1" applyBorder="1" applyAlignment="1">
      <alignment horizontal="center"/>
    </xf>
    <xf numFmtId="0" fontId="60" fillId="3" borderId="178" xfId="2" applyFont="1" applyFill="1" applyBorder="1" applyAlignment="1">
      <alignment horizontal="center"/>
    </xf>
    <xf numFmtId="0" fontId="60" fillId="3" borderId="180" xfId="2" applyFont="1" applyFill="1" applyBorder="1" applyAlignment="1">
      <alignment horizontal="center"/>
    </xf>
    <xf numFmtId="0" fontId="62" fillId="0" borderId="236" xfId="2" applyFont="1" applyBorder="1" applyAlignment="1">
      <alignment horizontal="center"/>
    </xf>
    <xf numFmtId="0" fontId="62" fillId="0" borderId="237" xfId="2" applyFont="1" applyBorder="1" applyAlignment="1">
      <alignment horizontal="center"/>
    </xf>
    <xf numFmtId="0" fontId="54" fillId="3" borderId="1" xfId="2" applyFont="1" applyFill="1" applyBorder="1" applyAlignment="1">
      <alignment horizontal="center" wrapText="1"/>
    </xf>
    <xf numFmtId="0" fontId="54" fillId="3" borderId="3" xfId="2" applyFont="1" applyFill="1" applyBorder="1" applyAlignment="1">
      <alignment horizontal="center" wrapText="1"/>
    </xf>
    <xf numFmtId="0" fontId="54" fillId="3" borderId="20" xfId="2" applyFont="1" applyFill="1" applyBorder="1" applyAlignment="1">
      <alignment horizontal="center" wrapText="1"/>
    </xf>
    <xf numFmtId="0" fontId="54" fillId="3" borderId="163" xfId="2" applyFont="1" applyFill="1" applyBorder="1" applyAlignment="1">
      <alignment horizontal="center" wrapText="1"/>
    </xf>
    <xf numFmtId="0" fontId="5" fillId="3" borderId="20" xfId="2" applyFont="1" applyFill="1" applyBorder="1" applyAlignment="1">
      <alignment horizontal="center"/>
    </xf>
    <xf numFmtId="0" fontId="5" fillId="3" borderId="163" xfId="2" applyFont="1" applyFill="1" applyBorder="1" applyAlignment="1">
      <alignment horizontal="center"/>
    </xf>
    <xf numFmtId="0" fontId="8" fillId="3" borderId="236" xfId="2" applyFont="1" applyFill="1" applyBorder="1" applyAlignment="1">
      <alignment horizontal="center"/>
    </xf>
    <xf numFmtId="0" fontId="8" fillId="3" borderId="237" xfId="2" applyFont="1" applyFill="1" applyBorder="1" applyAlignment="1">
      <alignment horizontal="center"/>
    </xf>
    <xf numFmtId="0" fontId="60" fillId="3" borderId="1" xfId="2" applyFont="1" applyFill="1" applyBorder="1" applyAlignment="1">
      <alignment horizontal="center" vertical="center" wrapText="1"/>
    </xf>
    <xf numFmtId="0" fontId="60" fillId="3" borderId="3" xfId="2" applyFont="1" applyFill="1" applyBorder="1" applyAlignment="1">
      <alignment horizontal="center" vertical="center" wrapText="1"/>
    </xf>
    <xf numFmtId="0" fontId="60" fillId="3" borderId="20" xfId="2" applyFont="1" applyFill="1" applyBorder="1" applyAlignment="1">
      <alignment horizontal="center" vertical="center" wrapText="1"/>
    </xf>
    <xf numFmtId="0" fontId="60" fillId="3" borderId="163" xfId="2" applyFont="1" applyFill="1" applyBorder="1" applyAlignment="1">
      <alignment horizontal="center" vertical="center" wrapText="1"/>
    </xf>
    <xf numFmtId="0" fontId="443" fillId="54" borderId="20" xfId="2" applyFont="1" applyFill="1" applyBorder="1" applyAlignment="1">
      <alignment horizontal="center" vertical="center"/>
    </xf>
    <xf numFmtId="0" fontId="443" fillId="54" borderId="0" xfId="2" applyFont="1" applyFill="1" applyBorder="1" applyAlignment="1">
      <alignment horizontal="center" vertical="center"/>
    </xf>
    <xf numFmtId="0" fontId="443" fillId="54" borderId="54" xfId="2" applyFont="1" applyFill="1" applyBorder="1" applyAlignment="1">
      <alignment horizontal="center" vertical="center"/>
    </xf>
    <xf numFmtId="0" fontId="443" fillId="54" borderId="188" xfId="2" applyFont="1" applyFill="1" applyBorder="1" applyAlignment="1">
      <alignment horizontal="center" vertical="center"/>
    </xf>
    <xf numFmtId="0" fontId="78" fillId="0" borderId="0" xfId="13" applyFont="1" applyAlignment="1">
      <alignment horizontal="center" vertical="center"/>
    </xf>
    <xf numFmtId="0" fontId="41" fillId="3" borderId="1" xfId="2" applyFont="1" applyFill="1" applyBorder="1" applyAlignment="1">
      <alignment horizontal="center" vertical="center"/>
    </xf>
    <xf numFmtId="0" fontId="41" fillId="3" borderId="3" xfId="2" applyFont="1" applyFill="1" applyBorder="1" applyAlignment="1">
      <alignment horizontal="center" vertical="center"/>
    </xf>
    <xf numFmtId="0" fontId="52" fillId="3" borderId="20" xfId="2" applyFont="1" applyFill="1" applyBorder="1" applyAlignment="1">
      <alignment horizontal="center" vertical="center"/>
    </xf>
    <xf numFmtId="0" fontId="52" fillId="3" borderId="163" xfId="2" applyFont="1" applyFill="1" applyBorder="1" applyAlignment="1">
      <alignment horizontal="center" vertical="center"/>
    </xf>
    <xf numFmtId="0" fontId="60" fillId="42" borderId="0" xfId="2" applyFont="1" applyFill="1" applyBorder="1" applyAlignment="1">
      <alignment horizontal="center"/>
    </xf>
    <xf numFmtId="0" fontId="90" fillId="42" borderId="163" xfId="3" applyFont="1" applyFill="1" applyBorder="1" applyAlignment="1">
      <alignment horizontal="center" vertical="center" textRotation="90" wrapText="1"/>
    </xf>
    <xf numFmtId="0" fontId="136" fillId="3" borderId="1" xfId="3" applyFont="1" applyFill="1" applyBorder="1" applyAlignment="1" applyProtection="1">
      <alignment horizontal="center" vertical="center"/>
      <protection hidden="1"/>
    </xf>
    <xf numFmtId="0" fontId="136" fillId="3" borderId="162" xfId="3" applyFont="1" applyFill="1" applyBorder="1" applyAlignment="1" applyProtection="1">
      <alignment horizontal="center" vertical="center"/>
      <protection hidden="1"/>
    </xf>
    <xf numFmtId="0" fontId="136" fillId="3" borderId="3" xfId="3" applyFont="1" applyFill="1" applyBorder="1" applyAlignment="1" applyProtection="1">
      <alignment horizontal="center" vertical="center"/>
      <protection hidden="1"/>
    </xf>
    <xf numFmtId="0" fontId="136" fillId="3" borderId="20" xfId="3" applyFont="1" applyFill="1" applyBorder="1" applyAlignment="1" applyProtection="1">
      <alignment horizontal="center" vertical="center"/>
      <protection hidden="1"/>
    </xf>
    <xf numFmtId="0" fontId="136" fillId="3" borderId="0" xfId="3" applyFont="1" applyFill="1" applyBorder="1" applyAlignment="1" applyProtection="1">
      <alignment horizontal="center" vertical="center"/>
      <protection hidden="1"/>
    </xf>
    <xf numFmtId="0" fontId="136" fillId="3" borderId="163" xfId="3" applyFont="1" applyFill="1" applyBorder="1" applyAlignment="1" applyProtection="1">
      <alignment horizontal="center" vertical="center"/>
      <protection hidden="1"/>
    </xf>
    <xf numFmtId="0" fontId="33" fillId="3" borderId="20" xfId="9" applyNumberFormat="1" applyFont="1" applyFill="1" applyBorder="1" applyAlignment="1">
      <alignment horizontal="center" vertical="center" wrapText="1"/>
    </xf>
    <xf numFmtId="0" fontId="33" fillId="3" borderId="0" xfId="9" applyNumberFormat="1" applyFont="1" applyFill="1" applyBorder="1" applyAlignment="1">
      <alignment horizontal="center" vertical="center" wrapText="1"/>
    </xf>
    <xf numFmtId="0" fontId="33" fillId="3" borderId="163" xfId="9" applyNumberFormat="1" applyFont="1" applyFill="1" applyBorder="1" applyAlignment="1">
      <alignment horizontal="center" vertical="center" wrapText="1"/>
    </xf>
    <xf numFmtId="0" fontId="33" fillId="3" borderId="57" xfId="9" applyNumberFormat="1" applyFont="1" applyFill="1" applyBorder="1" applyAlignment="1">
      <alignment horizontal="center" vertical="center" wrapText="1"/>
    </xf>
    <xf numFmtId="0" fontId="33" fillId="3" borderId="15" xfId="9" applyNumberFormat="1" applyFont="1" applyFill="1" applyBorder="1" applyAlignment="1">
      <alignment horizontal="center" vertical="center" wrapText="1"/>
    </xf>
    <xf numFmtId="0" fontId="33" fillId="3" borderId="90" xfId="9" applyNumberFormat="1" applyFont="1" applyFill="1" applyBorder="1" applyAlignment="1">
      <alignment horizontal="center" vertical="center" wrapText="1"/>
    </xf>
    <xf numFmtId="0" fontId="54" fillId="14" borderId="20" xfId="2" applyFont="1" applyFill="1" applyBorder="1" applyAlignment="1">
      <alignment horizontal="center" vertical="center"/>
    </xf>
    <xf numFmtId="0" fontId="54" fillId="14" borderId="0" xfId="2" applyFont="1" applyFill="1" applyBorder="1" applyAlignment="1">
      <alignment horizontal="center" vertical="center"/>
    </xf>
    <xf numFmtId="0" fontId="54" fillId="14" borderId="163" xfId="2" applyFont="1" applyFill="1" applyBorder="1" applyAlignment="1">
      <alignment horizontal="center" vertical="center"/>
    </xf>
    <xf numFmtId="0" fontId="76" fillId="3" borderId="54" xfId="2" applyFont="1" applyFill="1" applyBorder="1" applyAlignment="1">
      <alignment horizontal="right" vertical="center"/>
    </xf>
    <xf numFmtId="0" fontId="76" fillId="3" borderId="188" xfId="2" applyFont="1" applyFill="1" applyBorder="1" applyAlignment="1">
      <alignment horizontal="right" vertical="center"/>
    </xf>
    <xf numFmtId="0" fontId="62" fillId="3" borderId="54" xfId="2" applyFont="1" applyFill="1" applyBorder="1" applyAlignment="1">
      <alignment horizontal="right" vertical="center"/>
    </xf>
    <xf numFmtId="0" fontId="62" fillId="3" borderId="188" xfId="2" applyFont="1" applyFill="1" applyBorder="1" applyAlignment="1">
      <alignment horizontal="right" vertical="center"/>
    </xf>
    <xf numFmtId="0" fontId="71" fillId="3" borderId="54" xfId="2" applyFont="1" applyFill="1" applyBorder="1" applyAlignment="1">
      <alignment horizontal="center" vertical="center" wrapText="1"/>
    </xf>
    <xf numFmtId="0" fontId="71" fillId="3" borderId="188" xfId="2" applyFont="1" applyFill="1" applyBorder="1" applyAlignment="1">
      <alignment horizontal="center" vertical="center" wrapText="1"/>
    </xf>
    <xf numFmtId="0" fontId="71" fillId="3" borderId="189" xfId="2" applyFont="1" applyFill="1" applyBorder="1" applyAlignment="1">
      <alignment horizontal="center" vertical="center" wrapText="1"/>
    </xf>
    <xf numFmtId="0" fontId="71" fillId="3" borderId="4" xfId="2" applyFont="1" applyFill="1" applyBorder="1" applyAlignment="1">
      <alignment horizontal="center" vertical="center" wrapText="1"/>
    </xf>
    <xf numFmtId="0" fontId="71" fillId="3" borderId="5" xfId="2" applyFont="1" applyFill="1" applyBorder="1" applyAlignment="1">
      <alignment horizontal="center" vertical="center" wrapText="1"/>
    </xf>
    <xf numFmtId="0" fontId="71" fillId="3" borderId="6" xfId="2" applyFont="1" applyFill="1" applyBorder="1" applyAlignment="1">
      <alignment horizontal="center" vertical="center" wrapText="1"/>
    </xf>
    <xf numFmtId="0" fontId="443" fillId="54" borderId="205" xfId="2" applyFont="1" applyFill="1" applyBorder="1" applyAlignment="1">
      <alignment horizontal="center" vertical="center" wrapText="1"/>
    </xf>
    <xf numFmtId="0" fontId="443" fillId="54" borderId="206" xfId="2" applyFont="1" applyFill="1" applyBorder="1" applyAlignment="1">
      <alignment horizontal="center" vertical="center" wrapText="1"/>
    </xf>
    <xf numFmtId="0" fontId="443" fillId="54" borderId="207" xfId="2" applyFont="1" applyFill="1" applyBorder="1" applyAlignment="1">
      <alignment horizontal="center" vertical="center" wrapText="1"/>
    </xf>
    <xf numFmtId="0" fontId="487" fillId="4" borderId="223" xfId="2" applyFont="1" applyFill="1" applyBorder="1" applyAlignment="1">
      <alignment horizontal="center" vertical="center"/>
    </xf>
    <xf numFmtId="0" fontId="487" fillId="4" borderId="224" xfId="2" applyFont="1" applyFill="1" applyBorder="1" applyAlignment="1">
      <alignment horizontal="center" vertical="center"/>
    </xf>
    <xf numFmtId="0" fontId="487" fillId="4" borderId="225" xfId="2" applyFont="1" applyFill="1" applyBorder="1" applyAlignment="1">
      <alignment horizontal="center" vertical="center"/>
    </xf>
    <xf numFmtId="0" fontId="487" fillId="4" borderId="226" xfId="2" applyFont="1" applyFill="1" applyBorder="1" applyAlignment="1">
      <alignment horizontal="center" vertical="center"/>
    </xf>
    <xf numFmtId="0" fontId="487" fillId="4" borderId="227" xfId="2" applyFont="1" applyFill="1" applyBorder="1" applyAlignment="1">
      <alignment horizontal="center" vertical="center"/>
    </xf>
    <xf numFmtId="0" fontId="487" fillId="4" borderId="228" xfId="2" applyFont="1" applyFill="1" applyBorder="1" applyAlignment="1">
      <alignment horizontal="center" vertical="center"/>
    </xf>
    <xf numFmtId="0" fontId="54" fillId="14" borderId="177" xfId="2" applyFont="1" applyFill="1" applyBorder="1" applyAlignment="1">
      <alignment horizontal="center" vertical="center"/>
    </xf>
    <xf numFmtId="0" fontId="54" fillId="14" borderId="188" xfId="2" applyFont="1" applyFill="1" applyBorder="1" applyAlignment="1">
      <alignment horizontal="center" vertical="center"/>
    </xf>
    <xf numFmtId="0" fontId="54" fillId="14" borderId="210" xfId="2" applyFont="1" applyFill="1" applyBorder="1" applyAlignment="1">
      <alignment horizontal="center" vertical="center"/>
    </xf>
    <xf numFmtId="0" fontId="54" fillId="71" borderId="0" xfId="2" applyFont="1" applyFill="1" applyBorder="1" applyAlignment="1">
      <alignment horizontal="center" vertical="center"/>
    </xf>
    <xf numFmtId="0" fontId="54" fillId="71" borderId="21" xfId="2" applyFont="1" applyFill="1" applyBorder="1" applyAlignment="1">
      <alignment horizontal="center" vertical="center"/>
    </xf>
    <xf numFmtId="0" fontId="62" fillId="3" borderId="0" xfId="2" applyFont="1" applyFill="1" applyBorder="1" applyAlignment="1">
      <alignment horizontal="right" vertical="center"/>
    </xf>
    <xf numFmtId="0" fontId="485" fillId="37" borderId="20" xfId="6" applyNumberFormat="1" applyFont="1" applyFill="1" applyBorder="1" applyAlignment="1">
      <alignment horizontal="center" vertical="center"/>
    </xf>
    <xf numFmtId="0" fontId="485" fillId="37" borderId="217" xfId="6" applyNumberFormat="1" applyFont="1" applyFill="1" applyBorder="1" applyAlignment="1">
      <alignment horizontal="center" vertical="center"/>
    </xf>
    <xf numFmtId="0" fontId="485" fillId="37" borderId="0" xfId="6" applyNumberFormat="1" applyFont="1" applyFill="1" applyBorder="1" applyAlignment="1">
      <alignment horizontal="center" vertical="center"/>
    </xf>
    <xf numFmtId="0" fontId="485" fillId="37" borderId="218" xfId="6" applyNumberFormat="1" applyFont="1" applyFill="1" applyBorder="1" applyAlignment="1">
      <alignment horizontal="center" vertical="center"/>
    </xf>
    <xf numFmtId="0" fontId="485" fillId="37" borderId="163" xfId="6" applyNumberFormat="1" applyFont="1" applyFill="1" applyBorder="1" applyAlignment="1">
      <alignment horizontal="center" vertical="center"/>
    </xf>
    <xf numFmtId="0" fontId="485" fillId="37" borderId="219" xfId="6" applyNumberFormat="1" applyFont="1" applyFill="1" applyBorder="1" applyAlignment="1">
      <alignment horizontal="center" vertical="center"/>
    </xf>
    <xf numFmtId="171" fontId="52" fillId="3" borderId="178" xfId="2" applyNumberFormat="1" applyFont="1" applyFill="1" applyBorder="1" applyAlignment="1">
      <alignment horizontal="center" vertical="center"/>
    </xf>
    <xf numFmtId="171" fontId="52" fillId="3" borderId="179" xfId="2" applyNumberFormat="1" applyFont="1" applyFill="1" applyBorder="1" applyAlignment="1">
      <alignment horizontal="center" vertical="center"/>
    </xf>
    <xf numFmtId="171" fontId="52" fillId="3" borderId="180" xfId="2" applyNumberFormat="1" applyFont="1" applyFill="1" applyBorder="1" applyAlignment="1">
      <alignment horizontal="center" vertical="center"/>
    </xf>
    <xf numFmtId="171" fontId="5" fillId="3" borderId="63" xfId="2" applyNumberFormat="1" applyFont="1" applyFill="1" applyBorder="1" applyAlignment="1">
      <alignment horizontal="center" vertical="center"/>
    </xf>
    <xf numFmtId="171" fontId="5" fillId="3" borderId="151" xfId="2" applyNumberFormat="1" applyFont="1" applyFill="1" applyBorder="1" applyAlignment="1">
      <alignment horizontal="center" vertical="center"/>
    </xf>
    <xf numFmtId="171" fontId="5" fillId="3" borderId="66" xfId="2" applyNumberFormat="1" applyFont="1" applyFill="1" applyBorder="1" applyAlignment="1">
      <alignment horizontal="center" vertical="center"/>
    </xf>
    <xf numFmtId="195" fontId="486" fillId="67" borderId="220" xfId="6" applyNumberFormat="1" applyFont="1" applyFill="1" applyBorder="1" applyAlignment="1">
      <alignment horizontal="right" vertical="center"/>
    </xf>
    <xf numFmtId="195" fontId="486" fillId="67" borderId="57" xfId="6" applyNumberFormat="1" applyFont="1" applyFill="1" applyBorder="1" applyAlignment="1">
      <alignment horizontal="right" vertical="center"/>
    </xf>
    <xf numFmtId="0" fontId="271" fillId="67" borderId="221" xfId="2" applyFont="1" applyFill="1" applyBorder="1" applyAlignment="1">
      <alignment horizontal="center" vertical="center"/>
    </xf>
    <xf numFmtId="0" fontId="271" fillId="67" borderId="15" xfId="2" applyFont="1" applyFill="1" applyBorder="1" applyAlignment="1">
      <alignment horizontal="center" vertical="center"/>
    </xf>
    <xf numFmtId="0" fontId="468" fillId="67" borderId="221" xfId="2" applyFont="1" applyFill="1" applyBorder="1" applyAlignment="1">
      <alignment horizontal="right" vertical="center"/>
    </xf>
    <xf numFmtId="0" fontId="468" fillId="67" borderId="15" xfId="2" applyFont="1" applyFill="1" applyBorder="1" applyAlignment="1">
      <alignment horizontal="right" vertical="center"/>
    </xf>
    <xf numFmtId="176" fontId="271" fillId="67" borderId="222" xfId="2" applyNumberFormat="1" applyFont="1" applyFill="1" applyBorder="1" applyAlignment="1">
      <alignment horizontal="center" vertical="center"/>
    </xf>
    <xf numFmtId="176" fontId="271" fillId="67" borderId="90" xfId="2" applyNumberFormat="1" applyFont="1" applyFill="1" applyBorder="1" applyAlignment="1">
      <alignment horizontal="center" vertical="center"/>
    </xf>
    <xf numFmtId="0" fontId="443" fillId="54" borderId="4" xfId="2" applyFont="1" applyFill="1" applyBorder="1" applyAlignment="1">
      <alignment horizontal="center" vertical="center"/>
    </xf>
    <xf numFmtId="0" fontId="443" fillId="54" borderId="5" xfId="2" applyFont="1" applyFill="1" applyBorder="1" applyAlignment="1">
      <alignment horizontal="center" vertical="center"/>
    </xf>
    <xf numFmtId="0" fontId="443" fillId="54" borderId="6" xfId="2" applyFont="1" applyFill="1" applyBorder="1" applyAlignment="1">
      <alignment horizontal="center" vertical="center"/>
    </xf>
    <xf numFmtId="171" fontId="8" fillId="0" borderId="163" xfId="2" applyNumberFormat="1" applyFont="1" applyBorder="1" applyAlignment="1">
      <alignment horizontal="center" vertical="center"/>
    </xf>
    <xf numFmtId="171" fontId="156" fillId="37" borderId="214" xfId="6" applyNumberFormat="1" applyFont="1" applyFill="1" applyBorder="1" applyAlignment="1">
      <alignment horizontal="center" vertical="center"/>
    </xf>
    <xf numFmtId="171" fontId="156" fillId="37" borderId="20" xfId="6" applyNumberFormat="1" applyFont="1" applyFill="1" applyBorder="1" applyAlignment="1">
      <alignment horizontal="center" vertical="center"/>
    </xf>
    <xf numFmtId="171" fontId="156" fillId="37" borderId="215" xfId="6" applyNumberFormat="1" applyFont="1" applyFill="1" applyBorder="1" applyAlignment="1">
      <alignment horizontal="center" vertical="center"/>
    </xf>
    <xf numFmtId="171" fontId="156" fillId="37" borderId="0" xfId="6" applyNumberFormat="1" applyFont="1" applyFill="1" applyBorder="1" applyAlignment="1">
      <alignment horizontal="center" vertical="center"/>
    </xf>
    <xf numFmtId="171" fontId="156" fillId="37" borderId="216" xfId="6" applyNumberFormat="1" applyFont="1" applyFill="1" applyBorder="1" applyAlignment="1">
      <alignment horizontal="center" vertical="center"/>
    </xf>
    <xf numFmtId="171" fontId="156" fillId="37" borderId="163" xfId="6" applyNumberFormat="1" applyFont="1" applyFill="1" applyBorder="1" applyAlignment="1">
      <alignment horizontal="center" vertical="center"/>
    </xf>
    <xf numFmtId="171" fontId="52" fillId="0" borderId="20" xfId="2" applyNumberFormat="1" applyFont="1" applyBorder="1" applyAlignment="1">
      <alignment horizontal="center" vertical="center"/>
    </xf>
    <xf numFmtId="171" fontId="52" fillId="0" borderId="0" xfId="2" applyNumberFormat="1" applyFont="1" applyBorder="1" applyAlignment="1">
      <alignment horizontal="center" vertical="center"/>
    </xf>
    <xf numFmtId="171" fontId="483" fillId="48" borderId="20" xfId="2" applyNumberFormat="1" applyFont="1" applyFill="1" applyBorder="1" applyAlignment="1" applyProtection="1">
      <alignment horizontal="center" vertical="center"/>
      <protection locked="0"/>
    </xf>
    <xf numFmtId="171" fontId="484" fillId="37" borderId="0" xfId="2" applyNumberFormat="1" applyFont="1" applyFill="1" applyBorder="1" applyAlignment="1" applyProtection="1">
      <alignment horizontal="center" vertical="center"/>
      <protection locked="0"/>
    </xf>
    <xf numFmtId="178" fontId="483" fillId="48" borderId="163" xfId="2" applyNumberFormat="1" applyFont="1" applyFill="1" applyBorder="1" applyAlignment="1" applyProtection="1">
      <alignment horizontal="center" vertical="center"/>
      <protection locked="0"/>
    </xf>
    <xf numFmtId="0" fontId="42" fillId="3" borderId="27" xfId="3" applyFont="1" applyFill="1" applyBorder="1" applyAlignment="1">
      <alignment horizontal="center" vertical="center" wrapText="1"/>
    </xf>
    <xf numFmtId="0" fontId="42" fillId="3" borderId="0" xfId="3" applyFont="1" applyFill="1" applyBorder="1" applyAlignment="1">
      <alignment horizontal="center" vertical="center" wrapText="1"/>
    </xf>
    <xf numFmtId="0" fontId="42" fillId="3" borderId="21" xfId="3" applyFont="1" applyFill="1" applyBorder="1" applyAlignment="1">
      <alignment horizontal="center" vertical="center" wrapText="1"/>
    </xf>
    <xf numFmtId="0" fontId="42" fillId="3" borderId="76" xfId="3" applyFont="1" applyFill="1" applyBorder="1" applyAlignment="1">
      <alignment horizontal="center" vertical="center" wrapText="1"/>
    </xf>
    <xf numFmtId="0" fontId="42" fillId="3" borderId="15" xfId="3" applyFont="1" applyFill="1" applyBorder="1" applyAlignment="1">
      <alignment horizontal="center" vertical="center" wrapText="1"/>
    </xf>
    <xf numFmtId="0" fontId="42" fillId="3" borderId="58" xfId="3" applyFont="1" applyFill="1" applyBorder="1" applyAlignment="1">
      <alignment horizontal="center" vertical="center" wrapText="1"/>
    </xf>
    <xf numFmtId="195" fontId="482" fillId="0" borderId="20" xfId="6" applyNumberFormat="1" applyFont="1" applyFill="1" applyBorder="1" applyAlignment="1">
      <alignment horizontal="center" vertical="center"/>
    </xf>
    <xf numFmtId="195" fontId="482" fillId="0" borderId="0" xfId="6" applyNumberFormat="1" applyFont="1" applyFill="1" applyBorder="1" applyAlignment="1">
      <alignment horizontal="center" vertical="center"/>
    </xf>
    <xf numFmtId="195" fontId="482" fillId="0" borderId="211" xfId="6" applyNumberFormat="1" applyFont="1" applyFill="1" applyBorder="1" applyAlignment="1">
      <alignment horizontal="center" vertical="center"/>
    </xf>
    <xf numFmtId="195" fontId="482" fillId="0" borderId="212" xfId="6" applyNumberFormat="1" applyFont="1" applyFill="1" applyBorder="1" applyAlignment="1">
      <alignment horizontal="center" vertical="center"/>
    </xf>
    <xf numFmtId="172" fontId="258" fillId="67" borderId="0" xfId="2" applyNumberFormat="1" applyFont="1" applyFill="1" applyBorder="1" applyAlignment="1" applyProtection="1">
      <alignment horizontal="right" vertical="center" wrapText="1"/>
      <protection locked="0"/>
    </xf>
    <xf numFmtId="172" fontId="258" fillId="67" borderId="212" xfId="2" applyNumberFormat="1" applyFont="1" applyFill="1" applyBorder="1" applyAlignment="1" applyProtection="1">
      <alignment horizontal="right" vertical="center" wrapText="1"/>
      <protection locked="0"/>
    </xf>
    <xf numFmtId="2" fontId="439" fillId="67" borderId="163" xfId="6" applyNumberFormat="1" applyFont="1" applyFill="1" applyBorder="1" applyAlignment="1">
      <alignment horizontal="center" vertical="center"/>
    </xf>
    <xf numFmtId="2" fontId="439" fillId="67" borderId="213" xfId="6" applyNumberFormat="1" applyFont="1" applyFill="1" applyBorder="1" applyAlignment="1">
      <alignment horizontal="center" vertical="center"/>
    </xf>
    <xf numFmtId="0" fontId="42" fillId="3" borderId="0" xfId="3" applyFont="1" applyFill="1" applyBorder="1" applyAlignment="1">
      <alignment horizontal="left" vertical="center"/>
    </xf>
    <xf numFmtId="0" fontId="42" fillId="3" borderId="21" xfId="3" applyFont="1" applyFill="1" applyBorder="1" applyAlignment="1">
      <alignment horizontal="left" vertical="center"/>
    </xf>
    <xf numFmtId="0" fontId="42" fillId="3" borderId="4" xfId="3" applyFont="1" applyFill="1" applyBorder="1" applyAlignment="1">
      <alignment horizontal="center" vertical="center"/>
    </xf>
    <xf numFmtId="0" fontId="42" fillId="3" borderId="5" xfId="3" applyFont="1" applyFill="1" applyBorder="1" applyAlignment="1">
      <alignment horizontal="center" vertical="center"/>
    </xf>
    <xf numFmtId="0" fontId="50" fillId="3" borderId="20" xfId="3" applyFont="1" applyFill="1" applyBorder="1" applyAlignment="1">
      <alignment horizontal="center" vertical="center"/>
    </xf>
    <xf numFmtId="0" fontId="50" fillId="3" borderId="0" xfId="3" applyFont="1" applyFill="1" applyBorder="1" applyAlignment="1">
      <alignment horizontal="center" vertical="center"/>
    </xf>
    <xf numFmtId="0" fontId="42" fillId="3" borderId="20" xfId="3" applyFont="1" applyFill="1" applyBorder="1" applyAlignment="1">
      <alignment horizontal="center" vertical="center"/>
    </xf>
    <xf numFmtId="0" fontId="42" fillId="3" borderId="0" xfId="3" applyFont="1" applyFill="1" applyBorder="1" applyAlignment="1">
      <alignment horizontal="center" vertical="center"/>
    </xf>
    <xf numFmtId="0" fontId="60" fillId="0" borderId="54" xfId="2" applyFont="1" applyBorder="1" applyAlignment="1">
      <alignment horizontal="center" vertical="center"/>
    </xf>
    <xf numFmtId="0" fontId="60" fillId="0" borderId="188" xfId="2" applyFont="1" applyBorder="1" applyAlignment="1">
      <alignment horizontal="center" vertical="center"/>
    </xf>
    <xf numFmtId="0" fontId="60" fillId="0" borderId="189" xfId="2" applyFont="1" applyBorder="1" applyAlignment="1">
      <alignment horizontal="center" vertical="center"/>
    </xf>
    <xf numFmtId="49" fontId="132" fillId="0" borderId="205" xfId="16" applyNumberFormat="1" applyFont="1" applyBorder="1" applyAlignment="1">
      <alignment horizontal="center" vertical="center"/>
    </xf>
    <xf numFmtId="49" fontId="132" fillId="0" borderId="206" xfId="16" applyNumberFormat="1" applyFont="1" applyBorder="1" applyAlignment="1">
      <alignment horizontal="center" vertical="center"/>
    </xf>
    <xf numFmtId="49" fontId="132" fillId="0" borderId="207" xfId="16" applyNumberFormat="1" applyFont="1" applyBorder="1" applyAlignment="1">
      <alignment horizontal="center" vertical="center"/>
    </xf>
    <xf numFmtId="0" fontId="41" fillId="55" borderId="208" xfId="19" applyFont="1" applyFill="1" applyBorder="1" applyAlignment="1" applyProtection="1">
      <alignment horizontal="center" vertical="center" wrapText="1"/>
      <protection locked="0"/>
    </xf>
    <xf numFmtId="0" fontId="41" fillId="55" borderId="196" xfId="19" applyFont="1" applyFill="1" applyBorder="1" applyAlignment="1" applyProtection="1">
      <alignment horizontal="center" vertical="center" wrapText="1"/>
      <protection locked="0"/>
    </xf>
    <xf numFmtId="0" fontId="41" fillId="55" borderId="209" xfId="19" applyFont="1" applyFill="1" applyBorder="1" applyAlignment="1" applyProtection="1">
      <alignment horizontal="center" vertical="center" wrapText="1"/>
      <protection locked="0"/>
    </xf>
    <xf numFmtId="0" fontId="50" fillId="55" borderId="177" xfId="3" applyFont="1" applyFill="1" applyBorder="1" applyAlignment="1">
      <alignment horizontal="center" vertical="center"/>
    </xf>
    <xf numFmtId="0" fontId="50" fillId="55" borderId="188" xfId="3" applyFont="1" applyFill="1" applyBorder="1" applyAlignment="1">
      <alignment horizontal="center" vertical="center"/>
    </xf>
    <xf numFmtId="0" fontId="50" fillId="55" borderId="210" xfId="3" applyFont="1" applyFill="1" applyBorder="1" applyAlignment="1">
      <alignment horizontal="center" vertical="center"/>
    </xf>
    <xf numFmtId="0" fontId="50" fillId="55" borderId="27" xfId="3" applyFont="1" applyFill="1" applyBorder="1" applyAlignment="1">
      <alignment horizontal="center" vertical="center"/>
    </xf>
    <xf numFmtId="0" fontId="50" fillId="55" borderId="0" xfId="3" applyFont="1" applyFill="1" applyBorder="1" applyAlignment="1">
      <alignment horizontal="center" vertical="center"/>
    </xf>
    <xf numFmtId="0" fontId="50" fillId="55" borderId="21" xfId="3" applyFont="1" applyFill="1" applyBorder="1" applyAlignment="1">
      <alignment horizontal="center" vertical="center"/>
    </xf>
    <xf numFmtId="0" fontId="50" fillId="55" borderId="1" xfId="3" applyFont="1" applyFill="1" applyBorder="1" applyAlignment="1">
      <alignment horizontal="center" vertical="center" wrapText="1"/>
    </xf>
    <xf numFmtId="0" fontId="50" fillId="55" borderId="162" xfId="3" applyFont="1" applyFill="1" applyBorder="1" applyAlignment="1">
      <alignment horizontal="center" vertical="center" wrapText="1"/>
    </xf>
    <xf numFmtId="0" fontId="50" fillId="55" borderId="20" xfId="3" applyFont="1" applyFill="1" applyBorder="1" applyAlignment="1">
      <alignment horizontal="center" vertical="center" wrapText="1"/>
    </xf>
    <xf numFmtId="0" fontId="50" fillId="55" borderId="0" xfId="3" applyFont="1" applyFill="1" applyBorder="1" applyAlignment="1">
      <alignment horizontal="center" vertical="center" wrapText="1"/>
    </xf>
    <xf numFmtId="0" fontId="104" fillId="55" borderId="162" xfId="3" applyFont="1" applyFill="1" applyBorder="1" applyAlignment="1">
      <alignment horizontal="center" vertical="center" wrapText="1"/>
    </xf>
    <xf numFmtId="0" fontId="104" fillId="55" borderId="0" xfId="3" applyFont="1" applyFill="1" applyBorder="1" applyAlignment="1">
      <alignment horizontal="center" vertical="center" wrapText="1"/>
    </xf>
    <xf numFmtId="0" fontId="48" fillId="55" borderId="162" xfId="3" applyFont="1" applyFill="1" applyBorder="1" applyAlignment="1">
      <alignment horizontal="center" vertical="center" wrapText="1"/>
    </xf>
    <xf numFmtId="0" fontId="48" fillId="55" borderId="0" xfId="3" applyFont="1" applyFill="1" applyBorder="1" applyAlignment="1">
      <alignment horizontal="center" vertical="center" wrapText="1"/>
    </xf>
    <xf numFmtId="0" fontId="104" fillId="55" borderId="3" xfId="3" applyFont="1" applyFill="1" applyBorder="1" applyAlignment="1">
      <alignment horizontal="center" vertical="center"/>
    </xf>
    <xf numFmtId="0" fontId="104" fillId="55" borderId="163" xfId="3" applyFont="1" applyFill="1" applyBorder="1" applyAlignment="1">
      <alignment horizontal="center" vertical="center"/>
    </xf>
    <xf numFmtId="0" fontId="57" fillId="70" borderId="1" xfId="2" applyFont="1" applyFill="1" applyBorder="1" applyAlignment="1">
      <alignment horizontal="center" vertical="center" wrapText="1"/>
    </xf>
    <xf numFmtId="0" fontId="57" fillId="70" borderId="162" xfId="2" applyFont="1" applyFill="1" applyBorder="1" applyAlignment="1">
      <alignment horizontal="center" vertical="center" wrapText="1"/>
    </xf>
    <xf numFmtId="0" fontId="57" fillId="70" borderId="3" xfId="2" applyFont="1" applyFill="1" applyBorder="1" applyAlignment="1">
      <alignment horizontal="center" vertical="center" wrapText="1"/>
    </xf>
    <xf numFmtId="0" fontId="57" fillId="70" borderId="4" xfId="2" applyFont="1" applyFill="1" applyBorder="1" applyAlignment="1">
      <alignment horizontal="center" vertical="center" wrapText="1"/>
    </xf>
    <xf numFmtId="0" fontId="57" fillId="70" borderId="5" xfId="2" applyFont="1" applyFill="1" applyBorder="1" applyAlignment="1">
      <alignment horizontal="center" vertical="center" wrapText="1"/>
    </xf>
    <xf numFmtId="0" fontId="57" fillId="70" borderId="6" xfId="2" applyFont="1" applyFill="1" applyBorder="1" applyAlignment="1">
      <alignment horizontal="center" vertical="center" wrapText="1"/>
    </xf>
    <xf numFmtId="0" fontId="54" fillId="3" borderId="20" xfId="3" applyFont="1" applyFill="1" applyBorder="1" applyAlignment="1" applyProtection="1">
      <alignment horizontal="center" vertical="center"/>
      <protection hidden="1"/>
    </xf>
    <xf numFmtId="0" fontId="54" fillId="3" borderId="0" xfId="3" applyFont="1" applyFill="1" applyBorder="1" applyAlignment="1" applyProtection="1">
      <alignment horizontal="center" vertical="center"/>
      <protection hidden="1"/>
    </xf>
    <xf numFmtId="0" fontId="54" fillId="3" borderId="163" xfId="3" applyFont="1" applyFill="1" applyBorder="1" applyAlignment="1" applyProtection="1">
      <alignment horizontal="center" vertical="center"/>
      <protection hidden="1"/>
    </xf>
    <xf numFmtId="49" fontId="8" fillId="3" borderId="190" xfId="2" applyNumberFormat="1" applyFont="1" applyFill="1" applyBorder="1" applyAlignment="1">
      <alignment horizontal="center" vertical="center"/>
    </xf>
    <xf numFmtId="49" fontId="8" fillId="3" borderId="191" xfId="2" applyNumberFormat="1" applyFont="1" applyFill="1" applyBorder="1" applyAlignment="1">
      <alignment horizontal="center" vertical="center"/>
    </xf>
    <xf numFmtId="49" fontId="8" fillId="3" borderId="192" xfId="2" applyNumberFormat="1" applyFont="1" applyFill="1" applyBorder="1" applyAlignment="1">
      <alignment horizontal="center" vertical="center"/>
    </xf>
    <xf numFmtId="49" fontId="36" fillId="0" borderId="20" xfId="2" applyNumberFormat="1" applyFont="1" applyBorder="1" applyAlignment="1">
      <alignment horizontal="center" vertical="center" wrapText="1"/>
    </xf>
    <xf numFmtId="49" fontId="36" fillId="0" borderId="198" xfId="2" applyNumberFormat="1" applyFont="1" applyBorder="1" applyAlignment="1">
      <alignment horizontal="center" vertical="center" wrapText="1"/>
    </xf>
    <xf numFmtId="49" fontId="36" fillId="0" borderId="0" xfId="2" applyNumberFormat="1" applyFont="1" applyBorder="1" applyAlignment="1">
      <alignment horizontal="center" vertical="center" wrapText="1"/>
    </xf>
    <xf numFmtId="49" fontId="36" fillId="0" borderId="199" xfId="2" applyNumberFormat="1" applyFont="1" applyBorder="1" applyAlignment="1">
      <alignment horizontal="center" vertical="center" wrapText="1"/>
    </xf>
    <xf numFmtId="49" fontId="36" fillId="0" borderId="163" xfId="2" applyNumberFormat="1" applyFont="1" applyBorder="1" applyAlignment="1">
      <alignment horizontal="center" vertical="center" wrapText="1"/>
    </xf>
    <xf numFmtId="49" fontId="36" fillId="0" borderId="200" xfId="2" applyNumberFormat="1" applyFont="1" applyBorder="1" applyAlignment="1">
      <alignment horizontal="center" vertical="center" wrapText="1"/>
    </xf>
    <xf numFmtId="0" fontId="52" fillId="3" borderId="55" xfId="3" applyFont="1" applyFill="1" applyBorder="1" applyAlignment="1" applyProtection="1">
      <alignment horizontal="center" vertical="center"/>
      <protection hidden="1"/>
    </xf>
    <xf numFmtId="0" fontId="52" fillId="3" borderId="56" xfId="3" applyFont="1" applyFill="1" applyBorder="1" applyAlignment="1" applyProtection="1">
      <alignment horizontal="center" vertical="center"/>
      <protection hidden="1"/>
    </xf>
    <xf numFmtId="0" fontId="54" fillId="3" borderId="56" xfId="3" applyFont="1" applyFill="1" applyBorder="1" applyAlignment="1" applyProtection="1">
      <alignment horizontal="center" vertical="center"/>
      <protection hidden="1"/>
    </xf>
    <xf numFmtId="0" fontId="54" fillId="3" borderId="24" xfId="3" applyFont="1" applyFill="1" applyBorder="1" applyAlignment="1" applyProtection="1">
      <alignment horizontal="center" vertical="center"/>
      <protection hidden="1"/>
    </xf>
    <xf numFmtId="190" fontId="70" fillId="7" borderId="20" xfId="3" applyNumberFormat="1" applyFont="1" applyFill="1" applyBorder="1" applyAlignment="1" applyProtection="1">
      <alignment horizontal="center" vertical="center"/>
      <protection hidden="1"/>
    </xf>
    <xf numFmtId="190" fontId="70" fillId="7" borderId="4" xfId="3" applyNumberFormat="1" applyFont="1" applyFill="1" applyBorder="1" applyAlignment="1" applyProtection="1">
      <alignment horizontal="center" vertical="center"/>
      <protection hidden="1"/>
    </xf>
    <xf numFmtId="189" fontId="41" fillId="4" borderId="0" xfId="3" applyNumberFormat="1" applyFont="1" applyFill="1" applyBorder="1" applyAlignment="1" applyProtection="1">
      <alignment horizontal="center" vertical="center"/>
      <protection hidden="1"/>
    </xf>
    <xf numFmtId="189" fontId="41" fillId="4" borderId="5" xfId="3" applyNumberFormat="1" applyFont="1" applyFill="1" applyBorder="1" applyAlignment="1" applyProtection="1">
      <alignment horizontal="center" vertical="center"/>
      <protection hidden="1"/>
    </xf>
    <xf numFmtId="193" fontId="70" fillId="7" borderId="20" xfId="3" applyNumberFormat="1" applyFont="1" applyFill="1" applyBorder="1" applyAlignment="1" applyProtection="1">
      <alignment horizontal="center" vertical="center"/>
      <protection hidden="1"/>
    </xf>
    <xf numFmtId="193" fontId="70" fillId="7" borderId="4" xfId="3" applyNumberFormat="1" applyFont="1" applyFill="1" applyBorder="1" applyAlignment="1" applyProtection="1">
      <alignment horizontal="center" vertical="center"/>
      <protection hidden="1"/>
    </xf>
    <xf numFmtId="165" fontId="52" fillId="4" borderId="163" xfId="3" applyNumberFormat="1" applyFont="1" applyFill="1" applyBorder="1" applyAlignment="1">
      <alignment horizontal="center" vertical="center"/>
    </xf>
    <xf numFmtId="0" fontId="477" fillId="3" borderId="20" xfId="2" applyFont="1" applyFill="1" applyBorder="1" applyAlignment="1">
      <alignment horizontal="center" vertical="center" wrapText="1"/>
    </xf>
    <xf numFmtId="0" fontId="477" fillId="3" borderId="0" xfId="2" applyFont="1" applyFill="1" applyBorder="1" applyAlignment="1">
      <alignment horizontal="center" vertical="center" wrapText="1"/>
    </xf>
    <xf numFmtId="0" fontId="477" fillId="3" borderId="163" xfId="2" applyFont="1" applyFill="1" applyBorder="1" applyAlignment="1">
      <alignment horizontal="center" vertical="center" wrapText="1"/>
    </xf>
    <xf numFmtId="49" fontId="57" fillId="54" borderId="1" xfId="3" applyNumberFormat="1" applyFont="1" applyFill="1" applyBorder="1" applyAlignment="1">
      <alignment horizontal="center" vertical="center"/>
    </xf>
    <xf numFmtId="49" fontId="57" fillId="54" borderId="162" xfId="3" applyNumberFormat="1" applyFont="1" applyFill="1" applyBorder="1" applyAlignment="1">
      <alignment horizontal="center" vertical="center"/>
    </xf>
    <xf numFmtId="49" fontId="57" fillId="54" borderId="3" xfId="3" applyNumberFormat="1" applyFont="1" applyFill="1" applyBorder="1" applyAlignment="1">
      <alignment horizontal="center" vertical="center"/>
    </xf>
    <xf numFmtId="0" fontId="476" fillId="3" borderId="20" xfId="2" applyFont="1" applyFill="1" applyBorder="1" applyAlignment="1">
      <alignment horizontal="center" vertical="center" wrapText="1"/>
    </xf>
    <xf numFmtId="0" fontId="476" fillId="3" borderId="0" xfId="2" applyFont="1" applyFill="1" applyBorder="1" applyAlignment="1">
      <alignment horizontal="center" vertical="center" wrapText="1"/>
    </xf>
    <xf numFmtId="0" fontId="476" fillId="3" borderId="163" xfId="2" applyFont="1" applyFill="1" applyBorder="1" applyAlignment="1">
      <alignment horizontal="center" vertical="center" wrapText="1"/>
    </xf>
    <xf numFmtId="0" fontId="476" fillId="3" borderId="20" xfId="2" applyFont="1" applyFill="1" applyBorder="1" applyAlignment="1">
      <alignment horizontal="center" wrapText="1"/>
    </xf>
    <xf numFmtId="0" fontId="476" fillId="3" borderId="0" xfId="2" applyFont="1" applyFill="1" applyBorder="1" applyAlignment="1">
      <alignment horizontal="center" wrapText="1"/>
    </xf>
    <xf numFmtId="0" fontId="476" fillId="3" borderId="163" xfId="2" applyFont="1" applyFill="1" applyBorder="1" applyAlignment="1">
      <alignment horizontal="center" wrapText="1"/>
    </xf>
    <xf numFmtId="0" fontId="476" fillId="3" borderId="20" xfId="2" applyFont="1" applyFill="1" applyBorder="1" applyAlignment="1">
      <alignment horizontal="left" wrapText="1"/>
    </xf>
    <xf numFmtId="0" fontId="476" fillId="3" borderId="0" xfId="2" applyFont="1" applyFill="1" applyBorder="1" applyAlignment="1">
      <alignment horizontal="left" wrapText="1"/>
    </xf>
    <xf numFmtId="0" fontId="476" fillId="3" borderId="163" xfId="2" applyFont="1" applyFill="1" applyBorder="1" applyAlignment="1">
      <alignment horizontal="left" wrapText="1"/>
    </xf>
    <xf numFmtId="0" fontId="52" fillId="5" borderId="20" xfId="3" applyFont="1" applyFill="1" applyBorder="1" applyAlignment="1">
      <alignment horizontal="right" vertical="center"/>
    </xf>
    <xf numFmtId="0" fontId="52" fillId="5" borderId="0" xfId="3" applyFont="1" applyFill="1" applyBorder="1" applyAlignment="1">
      <alignment horizontal="right" vertical="center"/>
    </xf>
    <xf numFmtId="0" fontId="53" fillId="5" borderId="0" xfId="3" applyFont="1" applyFill="1" applyBorder="1" applyAlignment="1">
      <alignment horizontal="center" vertical="center"/>
    </xf>
    <xf numFmtId="0" fontId="52" fillId="5" borderId="0" xfId="3" applyFont="1" applyFill="1" applyBorder="1" applyAlignment="1">
      <alignment horizontal="center" vertical="center"/>
    </xf>
    <xf numFmtId="0" fontId="52" fillId="5" borderId="0" xfId="3" quotePrefix="1" applyFont="1" applyFill="1" applyBorder="1" applyAlignment="1">
      <alignment horizontal="center" vertical="center" wrapText="1"/>
    </xf>
    <xf numFmtId="0" fontId="52" fillId="4" borderId="0" xfId="3" applyFont="1" applyFill="1" applyBorder="1" applyAlignment="1">
      <alignment horizontal="center" vertical="center"/>
    </xf>
    <xf numFmtId="0" fontId="76" fillId="3" borderId="0" xfId="3" applyFont="1" applyFill="1" applyBorder="1" applyAlignment="1">
      <alignment horizontal="center" vertical="center" wrapText="1"/>
    </xf>
    <xf numFmtId="0" fontId="76" fillId="3" borderId="56" xfId="3" applyFont="1" applyFill="1" applyBorder="1" applyAlignment="1">
      <alignment horizontal="center" vertical="center" wrapText="1"/>
    </xf>
    <xf numFmtId="0" fontId="126" fillId="3" borderId="0" xfId="2" applyFont="1" applyFill="1" applyBorder="1" applyAlignment="1">
      <alignment horizontal="left" vertical="center" wrapText="1"/>
    </xf>
    <xf numFmtId="0" fontId="71" fillId="3" borderId="184" xfId="2" applyFont="1" applyFill="1" applyBorder="1" applyAlignment="1">
      <alignment horizontal="center" vertical="center" wrapText="1"/>
    </xf>
    <xf numFmtId="0" fontId="57" fillId="54" borderId="1" xfId="3" applyFont="1" applyFill="1" applyBorder="1" applyAlignment="1">
      <alignment horizontal="center"/>
    </xf>
    <xf numFmtId="0" fontId="57" fillId="54" borderId="162" xfId="3" applyFont="1" applyFill="1" applyBorder="1" applyAlignment="1">
      <alignment horizontal="center"/>
    </xf>
    <xf numFmtId="0" fontId="57" fillId="54" borderId="3" xfId="3" applyFont="1" applyFill="1" applyBorder="1" applyAlignment="1">
      <alignment horizontal="center"/>
    </xf>
    <xf numFmtId="0" fontId="57" fillId="54" borderId="20" xfId="3" applyFont="1" applyFill="1" applyBorder="1" applyAlignment="1">
      <alignment horizontal="center"/>
    </xf>
    <xf numFmtId="0" fontId="57" fillId="54" borderId="0" xfId="3" applyFont="1" applyFill="1" applyBorder="1" applyAlignment="1">
      <alignment horizontal="center"/>
    </xf>
    <xf numFmtId="0" fontId="57" fillId="54" borderId="163" xfId="3" applyFont="1" applyFill="1" applyBorder="1" applyAlignment="1">
      <alignment horizontal="center"/>
    </xf>
    <xf numFmtId="187" fontId="117" fillId="61" borderId="0" xfId="3" applyNumberFormat="1" applyFont="1" applyFill="1" applyBorder="1" applyAlignment="1">
      <alignment horizontal="center" vertical="center"/>
    </xf>
    <xf numFmtId="177" fontId="118" fillId="13" borderId="0" xfId="3" applyNumberFormat="1" applyFont="1" applyFill="1" applyBorder="1" applyAlignment="1">
      <alignment horizontal="center" vertical="center"/>
    </xf>
    <xf numFmtId="177" fontId="35" fillId="13" borderId="0" xfId="3" applyNumberFormat="1" applyFont="1" applyFill="1" applyBorder="1" applyAlignment="1">
      <alignment horizontal="center" vertical="center"/>
    </xf>
    <xf numFmtId="0" fontId="120" fillId="4" borderId="0" xfId="3" applyFont="1" applyFill="1" applyBorder="1" applyAlignment="1">
      <alignment horizontal="center" vertical="center"/>
    </xf>
    <xf numFmtId="2" fontId="91" fillId="69" borderId="0" xfId="3" applyNumberFormat="1" applyFont="1" applyFill="1" applyBorder="1" applyAlignment="1" applyProtection="1">
      <alignment horizontal="left" vertical="center" wrapText="1"/>
      <protection locked="0"/>
    </xf>
    <xf numFmtId="0" fontId="116" fillId="3" borderId="172" xfId="3" applyFont="1" applyFill="1" applyBorder="1" applyAlignment="1">
      <alignment horizontal="center" vertical="center"/>
    </xf>
    <xf numFmtId="0" fontId="70" fillId="3" borderId="0" xfId="3" applyFont="1" applyFill="1" applyBorder="1" applyAlignment="1">
      <alignment horizontal="right" vertical="center"/>
    </xf>
    <xf numFmtId="0" fontId="117" fillId="61" borderId="0" xfId="3" applyFont="1" applyFill="1" applyBorder="1" applyAlignment="1">
      <alignment horizontal="center" vertical="center"/>
    </xf>
    <xf numFmtId="186" fontId="117" fillId="61" borderId="0" xfId="9" applyNumberFormat="1" applyFont="1" applyFill="1" applyBorder="1" applyAlignment="1">
      <alignment horizontal="center" vertical="center"/>
    </xf>
    <xf numFmtId="186" fontId="117" fillId="61" borderId="0" xfId="3" applyNumberFormat="1" applyFont="1" applyFill="1" applyBorder="1" applyAlignment="1">
      <alignment horizontal="center" vertical="center"/>
    </xf>
    <xf numFmtId="0" fontId="117" fillId="3" borderId="172" xfId="3" applyFont="1" applyFill="1" applyBorder="1" applyAlignment="1">
      <alignment horizontal="center" vertical="center"/>
    </xf>
    <xf numFmtId="2" fontId="113" fillId="69" borderId="0" xfId="3" applyNumberFormat="1" applyFont="1" applyFill="1" applyBorder="1" applyAlignment="1" applyProtection="1">
      <alignment horizontal="center" vertical="center" wrapText="1"/>
      <protection locked="0"/>
    </xf>
    <xf numFmtId="0" fontId="91" fillId="3" borderId="0" xfId="9" applyFont="1" applyFill="1" applyBorder="1" applyAlignment="1">
      <alignment horizontal="center" vertical="center" wrapText="1"/>
    </xf>
    <xf numFmtId="0" fontId="112" fillId="3" borderId="0" xfId="9" applyFont="1" applyFill="1" applyBorder="1" applyAlignment="1">
      <alignment horizontal="center" vertical="center" wrapText="1"/>
    </xf>
    <xf numFmtId="0" fontId="38" fillId="13" borderId="0" xfId="3" applyFont="1" applyFill="1" applyBorder="1" applyAlignment="1">
      <alignment horizontal="center" vertical="center"/>
    </xf>
    <xf numFmtId="186" fontId="35" fillId="13" borderId="0" xfId="9" applyNumberFormat="1" applyFont="1" applyFill="1" applyBorder="1" applyAlignment="1">
      <alignment horizontal="center" vertical="center"/>
    </xf>
    <xf numFmtId="186" fontId="35" fillId="13" borderId="0" xfId="3" applyNumberFormat="1" applyFont="1" applyFill="1" applyBorder="1" applyAlignment="1">
      <alignment horizontal="center" vertical="center"/>
    </xf>
    <xf numFmtId="187" fontId="35" fillId="13" borderId="0" xfId="3" applyNumberFormat="1" applyFont="1" applyFill="1" applyBorder="1" applyAlignment="1">
      <alignment horizontal="center" vertical="center"/>
    </xf>
    <xf numFmtId="0" fontId="111" fillId="3" borderId="0" xfId="9" applyFont="1" applyFill="1" applyBorder="1" applyAlignment="1">
      <alignment horizontal="center" vertical="center" wrapText="1"/>
    </xf>
    <xf numFmtId="0" fontId="109" fillId="3" borderId="0" xfId="9" applyFont="1" applyFill="1" applyBorder="1" applyAlignment="1">
      <alignment horizontal="center" vertical="center" wrapText="1"/>
    </xf>
    <xf numFmtId="177" fontId="40" fillId="4" borderId="0" xfId="3" applyNumberFormat="1" applyFont="1" applyFill="1" applyBorder="1" applyAlignment="1">
      <alignment horizontal="center" vertical="center"/>
    </xf>
    <xf numFmtId="177" fontId="33" fillId="4" borderId="0" xfId="3" applyNumberFormat="1" applyFont="1" applyFill="1" applyBorder="1" applyAlignment="1">
      <alignment horizontal="center" vertical="center"/>
    </xf>
    <xf numFmtId="0" fontId="71" fillId="3" borderId="20" xfId="2" applyFont="1" applyFill="1" applyBorder="1" applyAlignment="1">
      <alignment horizontal="center" vertical="center" wrapText="1"/>
    </xf>
    <xf numFmtId="0" fontId="71" fillId="3" borderId="0" xfId="2" applyFont="1" applyFill="1" applyBorder="1" applyAlignment="1">
      <alignment horizontal="center" vertical="center" wrapText="1"/>
    </xf>
    <xf numFmtId="0" fontId="71" fillId="3" borderId="163" xfId="2" applyFont="1" applyFill="1" applyBorder="1" applyAlignment="1">
      <alignment horizontal="center" vertical="center" wrapText="1"/>
    </xf>
    <xf numFmtId="0" fontId="75" fillId="54" borderId="162" xfId="2" applyFont="1" applyFill="1" applyBorder="1" applyAlignment="1">
      <alignment horizontal="center" vertical="center" wrapText="1"/>
    </xf>
    <xf numFmtId="0" fontId="75" fillId="54" borderId="3" xfId="2" applyFont="1" applyFill="1" applyBorder="1" applyAlignment="1">
      <alignment horizontal="center" vertical="center" wrapText="1"/>
    </xf>
    <xf numFmtId="0" fontId="75" fillId="54" borderId="0" xfId="2" applyFont="1" applyFill="1" applyBorder="1" applyAlignment="1">
      <alignment horizontal="center" vertical="center" wrapText="1"/>
    </xf>
    <xf numFmtId="0" fontId="75" fillId="54" borderId="163" xfId="2" applyFont="1" applyFill="1" applyBorder="1" applyAlignment="1">
      <alignment horizontal="center" vertical="center" wrapText="1"/>
    </xf>
    <xf numFmtId="0" fontId="110" fillId="3" borderId="0" xfId="2" applyFont="1" applyFill="1" applyBorder="1" applyAlignment="1">
      <alignment horizontal="center" vertical="center" wrapText="1"/>
    </xf>
    <xf numFmtId="0" fontId="38" fillId="13" borderId="0" xfId="2" applyFont="1" applyFill="1" applyBorder="1" applyAlignment="1">
      <alignment horizontal="center" vertical="center" wrapText="1"/>
    </xf>
    <xf numFmtId="0" fontId="108" fillId="3" borderId="0" xfId="2" applyFont="1" applyFill="1" applyBorder="1" applyAlignment="1">
      <alignment horizontal="center" vertical="center" wrapText="1"/>
    </xf>
    <xf numFmtId="0" fontId="108" fillId="3" borderId="175" xfId="2" applyFont="1" applyFill="1" applyBorder="1" applyAlignment="1">
      <alignment horizontal="center" vertical="center" wrapText="1"/>
    </xf>
    <xf numFmtId="0" fontId="43" fillId="3" borderId="172" xfId="3" applyFont="1" applyFill="1" applyBorder="1" applyAlignment="1">
      <alignment horizontal="center" vertical="center"/>
    </xf>
    <xf numFmtId="0" fontId="5" fillId="3" borderId="20" xfId="2" applyFont="1" applyFill="1" applyBorder="1" applyAlignment="1">
      <alignment horizontal="right" vertical="center"/>
    </xf>
    <xf numFmtId="0" fontId="5" fillId="3" borderId="0" xfId="2" applyFont="1" applyFill="1" applyBorder="1" applyAlignment="1">
      <alignment horizontal="right" vertical="center"/>
    </xf>
    <xf numFmtId="0" fontId="5" fillId="3" borderId="181" xfId="2" applyFont="1" applyFill="1" applyBorder="1" applyAlignment="1">
      <alignment horizontal="right" vertical="center"/>
    </xf>
    <xf numFmtId="0" fontId="5" fillId="3" borderId="182" xfId="2" applyFont="1" applyFill="1" applyBorder="1" applyAlignment="1">
      <alignment horizontal="right" vertical="center"/>
    </xf>
    <xf numFmtId="0" fontId="51" fillId="0" borderId="20" xfId="3" applyFont="1" applyBorder="1" applyAlignment="1">
      <alignment horizontal="center" vertical="center"/>
    </xf>
    <xf numFmtId="0" fontId="51" fillId="0" borderId="0" xfId="3" applyFont="1" applyBorder="1" applyAlignment="1">
      <alignment horizontal="center" vertical="center"/>
    </xf>
    <xf numFmtId="0" fontId="51" fillId="0" borderId="163" xfId="3" applyFont="1" applyBorder="1" applyAlignment="1">
      <alignment horizontal="center" vertical="center"/>
    </xf>
    <xf numFmtId="0" fontId="42" fillId="3" borderId="0" xfId="3" applyFont="1" applyFill="1" applyBorder="1" applyAlignment="1">
      <alignment horizontal="left" vertical="center" wrapText="1"/>
    </xf>
    <xf numFmtId="0" fontId="42" fillId="3" borderId="163" xfId="3" applyFont="1" applyFill="1" applyBorder="1" applyAlignment="1">
      <alignment horizontal="left" vertical="center" wrapText="1"/>
    </xf>
    <xf numFmtId="0" fontId="107" fillId="3" borderId="20" xfId="3" applyFont="1" applyFill="1" applyBorder="1" applyAlignment="1">
      <alignment horizontal="center" vertical="center"/>
    </xf>
    <xf numFmtId="0" fontId="41" fillId="3" borderId="0" xfId="3" applyFont="1" applyFill="1" applyBorder="1" applyAlignment="1">
      <alignment horizontal="left" vertical="center" wrapText="1"/>
    </xf>
    <xf numFmtId="0" fontId="41" fillId="3" borderId="163" xfId="3" applyFont="1" applyFill="1" applyBorder="1" applyAlignment="1">
      <alignment horizontal="left" vertical="center" wrapText="1"/>
    </xf>
    <xf numFmtId="0" fontId="71" fillId="0" borderId="20" xfId="2" applyFont="1" applyBorder="1" applyAlignment="1">
      <alignment horizontal="center" wrapText="1"/>
    </xf>
    <xf numFmtId="0" fontId="71" fillId="0" borderId="0" xfId="2" applyFont="1" applyBorder="1" applyAlignment="1">
      <alignment horizontal="center" wrapText="1"/>
    </xf>
    <xf numFmtId="0" fontId="71" fillId="0" borderId="163" xfId="2" applyFont="1" applyBorder="1" applyAlignment="1">
      <alignment horizontal="center" wrapText="1"/>
    </xf>
    <xf numFmtId="0" fontId="62" fillId="3" borderId="178" xfId="2" applyFont="1" applyFill="1" applyBorder="1" applyAlignment="1">
      <alignment horizontal="center" vertical="center"/>
    </xf>
    <xf numFmtId="0" fontId="62" fillId="3" borderId="179" xfId="2" applyFont="1" applyFill="1" applyBorder="1" applyAlignment="1">
      <alignment horizontal="center" vertical="center"/>
    </xf>
    <xf numFmtId="0" fontId="43" fillId="3" borderId="171" xfId="3" applyFont="1" applyFill="1" applyBorder="1" applyAlignment="1">
      <alignment horizontal="center" vertical="center"/>
    </xf>
    <xf numFmtId="0" fontId="43" fillId="3" borderId="173" xfId="3" applyFont="1" applyFill="1" applyBorder="1" applyAlignment="1">
      <alignment horizontal="center" vertical="center"/>
    </xf>
    <xf numFmtId="0" fontId="107" fillId="68" borderId="20" xfId="3" applyFont="1" applyFill="1" applyBorder="1" applyAlignment="1">
      <alignment horizontal="center" vertical="center"/>
    </xf>
    <xf numFmtId="0" fontId="33" fillId="68" borderId="0" xfId="3" applyFont="1" applyFill="1" applyBorder="1" applyAlignment="1">
      <alignment horizontal="center" vertical="center"/>
    </xf>
    <xf numFmtId="185" fontId="33" fillId="68" borderId="0" xfId="3" applyNumberFormat="1" applyFont="1" applyFill="1" applyBorder="1" applyAlignment="1">
      <alignment horizontal="center" vertical="center"/>
    </xf>
    <xf numFmtId="177" fontId="108" fillId="13" borderId="0" xfId="9" applyNumberFormat="1" applyFont="1" applyFill="1" applyBorder="1" applyAlignment="1">
      <alignment horizontal="center" vertical="center"/>
    </xf>
    <xf numFmtId="182" fontId="40" fillId="6" borderId="163" xfId="3" applyNumberFormat="1" applyFont="1" applyFill="1" applyBorder="1" applyAlignment="1">
      <alignment horizontal="center" vertical="center"/>
    </xf>
    <xf numFmtId="0" fontId="105" fillId="13" borderId="20" xfId="3" applyFont="1" applyFill="1" applyBorder="1" applyAlignment="1">
      <alignment horizontal="center" vertical="center"/>
    </xf>
    <xf numFmtId="185" fontId="35" fillId="13" borderId="0" xfId="3" applyNumberFormat="1" applyFont="1" applyFill="1" applyBorder="1" applyAlignment="1">
      <alignment horizontal="center" vertical="center"/>
    </xf>
    <xf numFmtId="177" fontId="33" fillId="55" borderId="0" xfId="9" applyNumberFormat="1" applyFont="1" applyFill="1" applyBorder="1" applyAlignment="1">
      <alignment horizontal="center" vertical="center"/>
    </xf>
    <xf numFmtId="182" fontId="48" fillId="6" borderId="163" xfId="3" applyNumberFormat="1" applyFont="1" applyFill="1" applyBorder="1" applyAlignment="1">
      <alignment horizontal="center" vertical="center"/>
    </xf>
    <xf numFmtId="0" fontId="102" fillId="3" borderId="20" xfId="9" applyNumberFormat="1" applyFont="1" applyFill="1" applyBorder="1" applyAlignment="1">
      <alignment horizontal="center" vertical="center"/>
    </xf>
    <xf numFmtId="0" fontId="102" fillId="3" borderId="0" xfId="9" applyNumberFormat="1" applyFont="1" applyFill="1" applyBorder="1" applyAlignment="1">
      <alignment horizontal="center" vertical="center"/>
    </xf>
    <xf numFmtId="0" fontId="102" fillId="3" borderId="163" xfId="9" applyNumberFormat="1" applyFont="1" applyFill="1" applyBorder="1" applyAlignment="1">
      <alignment horizontal="center" vertical="center"/>
    </xf>
    <xf numFmtId="0" fontId="101" fillId="3" borderId="20" xfId="3" applyFont="1" applyFill="1" applyBorder="1" applyAlignment="1">
      <alignment horizontal="center" vertical="center" wrapText="1"/>
    </xf>
    <xf numFmtId="0" fontId="101" fillId="3" borderId="0" xfId="3" applyFont="1" applyFill="1" applyBorder="1" applyAlignment="1">
      <alignment horizontal="center" vertical="center" wrapText="1"/>
    </xf>
    <xf numFmtId="0" fontId="101" fillId="3" borderId="163" xfId="3" applyFont="1" applyFill="1" applyBorder="1" applyAlignment="1">
      <alignment horizontal="center" vertical="center" wrapText="1"/>
    </xf>
    <xf numFmtId="0" fontId="101" fillId="3" borderId="4" xfId="3" applyFont="1" applyFill="1" applyBorder="1" applyAlignment="1">
      <alignment horizontal="center" vertical="center" wrapText="1"/>
    </xf>
    <xf numFmtId="0" fontId="101" fillId="3" borderId="5" xfId="3" applyFont="1" applyFill="1" applyBorder="1" applyAlignment="1">
      <alignment horizontal="center" vertical="center" wrapText="1"/>
    </xf>
    <xf numFmtId="0" fontId="101" fillId="3" borderId="6" xfId="3" applyFont="1" applyFill="1" applyBorder="1" applyAlignment="1">
      <alignment horizontal="center" vertical="center" wrapText="1"/>
    </xf>
    <xf numFmtId="0" fontId="79" fillId="54" borderId="20" xfId="9" applyNumberFormat="1" applyFont="1" applyFill="1" applyBorder="1" applyAlignment="1">
      <alignment horizontal="center" vertical="center" wrapText="1"/>
    </xf>
    <xf numFmtId="0" fontId="79" fillId="54" borderId="0" xfId="9" applyNumberFormat="1" applyFont="1" applyFill="1" applyBorder="1" applyAlignment="1">
      <alignment horizontal="center" vertical="center" wrapText="1"/>
    </xf>
    <xf numFmtId="0" fontId="43" fillId="3" borderId="20" xfId="3" applyFont="1" applyFill="1" applyBorder="1" applyAlignment="1">
      <alignment horizontal="center" vertical="center"/>
    </xf>
    <xf numFmtId="0" fontId="54" fillId="3" borderId="0" xfId="9" applyNumberFormat="1" applyFont="1" applyFill="1" applyBorder="1" applyAlignment="1">
      <alignment horizontal="center" vertical="center" wrapText="1"/>
    </xf>
    <xf numFmtId="0" fontId="91" fillId="3" borderId="163" xfId="9" applyNumberFormat="1" applyFont="1" applyFill="1" applyBorder="1" applyAlignment="1">
      <alignment horizontal="center" vertical="center" wrapText="1"/>
    </xf>
    <xf numFmtId="0" fontId="35" fillId="13" borderId="20" xfId="3" applyFont="1" applyFill="1" applyBorder="1" applyAlignment="1">
      <alignment horizontal="center" vertical="center"/>
    </xf>
    <xf numFmtId="0" fontId="103" fillId="68" borderId="0" xfId="3" applyFont="1" applyFill="1" applyBorder="1" applyAlignment="1">
      <alignment horizontal="center" vertical="center"/>
    </xf>
    <xf numFmtId="182" fontId="41" fillId="6" borderId="0" xfId="3" applyNumberFormat="1" applyFont="1" applyFill="1" applyBorder="1" applyAlignment="1">
      <alignment horizontal="center" vertical="center"/>
    </xf>
    <xf numFmtId="182" fontId="41" fillId="6" borderId="163" xfId="3" applyNumberFormat="1" applyFont="1" applyFill="1" applyBorder="1" applyAlignment="1">
      <alignment horizontal="center" vertical="center"/>
    </xf>
    <xf numFmtId="0" fontId="91" fillId="3" borderId="20" xfId="9" applyNumberFormat="1" applyFont="1" applyFill="1" applyBorder="1" applyAlignment="1">
      <alignment horizontal="center" vertical="center" wrapText="1"/>
    </xf>
    <xf numFmtId="0" fontId="91" fillId="3" borderId="0" xfId="9" applyNumberFormat="1" applyFont="1" applyFill="1" applyBorder="1" applyAlignment="1">
      <alignment horizontal="center" vertical="center" wrapText="1"/>
    </xf>
    <xf numFmtId="0" fontId="75" fillId="54" borderId="20" xfId="9" applyNumberFormat="1" applyFont="1" applyFill="1" applyBorder="1" applyAlignment="1">
      <alignment horizontal="center" vertical="center"/>
    </xf>
    <xf numFmtId="0" fontId="75" fillId="54" borderId="0" xfId="9" applyNumberFormat="1" applyFont="1" applyFill="1" applyBorder="1" applyAlignment="1">
      <alignment horizontal="center" vertical="center"/>
    </xf>
    <xf numFmtId="0" fontId="75" fillId="54" borderId="163" xfId="9" applyNumberFormat="1" applyFont="1" applyFill="1" applyBorder="1" applyAlignment="1">
      <alignment horizontal="center" vertical="center"/>
    </xf>
    <xf numFmtId="0" fontId="91" fillId="3" borderId="20" xfId="9" applyNumberFormat="1" applyFont="1" applyFill="1" applyBorder="1" applyAlignment="1">
      <alignment horizontal="center" vertical="center"/>
    </xf>
    <xf numFmtId="0" fontId="91" fillId="3" borderId="0" xfId="9" applyNumberFormat="1" applyFont="1" applyFill="1" applyBorder="1" applyAlignment="1">
      <alignment horizontal="center" vertical="center"/>
    </xf>
    <xf numFmtId="0" fontId="91" fillId="3" borderId="163" xfId="9" applyNumberFormat="1" applyFont="1" applyFill="1" applyBorder="1" applyAlignment="1">
      <alignment horizontal="center" vertical="center"/>
    </xf>
    <xf numFmtId="0" fontId="8" fillId="4" borderId="0" xfId="2" applyFont="1" applyFill="1" applyBorder="1" applyAlignment="1">
      <alignment horizontal="center"/>
    </xf>
    <xf numFmtId="0" fontId="41" fillId="3" borderId="0" xfId="9" applyNumberFormat="1" applyFont="1" applyFill="1" applyBorder="1" applyAlignment="1">
      <alignment horizontal="center" vertical="top" wrapText="1"/>
    </xf>
    <xf numFmtId="0" fontId="91" fillId="3" borderId="163" xfId="9" applyNumberFormat="1" applyFont="1" applyFill="1" applyBorder="1" applyAlignment="1">
      <alignment horizontal="center" vertical="top" wrapText="1"/>
    </xf>
    <xf numFmtId="0" fontId="71" fillId="3" borderId="20" xfId="2" applyFont="1" applyFill="1" applyBorder="1" applyAlignment="1">
      <alignment horizontal="center" vertical="center"/>
    </xf>
    <xf numFmtId="0" fontId="71" fillId="3" borderId="0" xfId="2" applyFont="1" applyFill="1" applyBorder="1" applyAlignment="1">
      <alignment horizontal="center" vertical="center"/>
    </xf>
    <xf numFmtId="0" fontId="71" fillId="3" borderId="163" xfId="2" applyFont="1" applyFill="1" applyBorder="1" applyAlignment="1">
      <alignment horizontal="center" vertical="center"/>
    </xf>
    <xf numFmtId="0" fontId="71" fillId="3" borderId="4" xfId="2" applyFont="1" applyFill="1" applyBorder="1" applyAlignment="1">
      <alignment horizontal="center" vertical="center"/>
    </xf>
    <xf numFmtId="0" fontId="71" fillId="3" borderId="5" xfId="2" applyFont="1" applyFill="1" applyBorder="1" applyAlignment="1">
      <alignment horizontal="center" vertical="center"/>
    </xf>
    <xf numFmtId="0" fontId="71" fillId="3" borderId="6" xfId="2" applyFont="1" applyFill="1" applyBorder="1" applyAlignment="1">
      <alignment horizontal="center" vertical="center"/>
    </xf>
    <xf numFmtId="0" fontId="75" fillId="54" borderId="1" xfId="9" applyNumberFormat="1" applyFont="1" applyFill="1" applyBorder="1" applyAlignment="1">
      <alignment horizontal="center" vertical="center" wrapText="1"/>
    </xf>
    <xf numFmtId="0" fontId="75" fillId="54" borderId="162" xfId="9" applyNumberFormat="1" applyFont="1" applyFill="1" applyBorder="1" applyAlignment="1">
      <alignment horizontal="center" vertical="center" wrapText="1"/>
    </xf>
    <xf numFmtId="0" fontId="75" fillId="54" borderId="3" xfId="9" applyNumberFormat="1" applyFont="1" applyFill="1" applyBorder="1" applyAlignment="1">
      <alignment horizontal="center" vertical="center" wrapText="1"/>
    </xf>
    <xf numFmtId="0" fontId="75" fillId="54" borderId="20" xfId="9" applyNumberFormat="1" applyFont="1" applyFill="1" applyBorder="1" applyAlignment="1">
      <alignment horizontal="center" vertical="center" wrapText="1"/>
    </xf>
    <xf numFmtId="0" fontId="75" fillId="54" borderId="0" xfId="9" applyNumberFormat="1" applyFont="1" applyFill="1" applyBorder="1" applyAlignment="1">
      <alignment horizontal="center" vertical="center" wrapText="1"/>
    </xf>
    <xf numFmtId="0" fontId="75" fillId="54" borderId="163" xfId="9" applyNumberFormat="1" applyFont="1" applyFill="1" applyBorder="1" applyAlignment="1">
      <alignment horizontal="center" vertical="center" wrapText="1"/>
    </xf>
    <xf numFmtId="0" fontId="475" fillId="3" borderId="20" xfId="3" applyFont="1" applyFill="1" applyBorder="1" applyAlignment="1">
      <alignment horizontal="center" vertical="center" wrapText="1"/>
    </xf>
    <xf numFmtId="0" fontId="475" fillId="3" borderId="0" xfId="3" applyFont="1" applyFill="1" applyBorder="1" applyAlignment="1">
      <alignment horizontal="center" vertical="center" wrapText="1"/>
    </xf>
    <xf numFmtId="0" fontId="475" fillId="3" borderId="4" xfId="3" applyFont="1" applyFill="1" applyBorder="1" applyAlignment="1">
      <alignment horizontal="center" vertical="center" wrapText="1"/>
    </xf>
    <xf numFmtId="0" fontId="475" fillId="3" borderId="5" xfId="3" applyFont="1" applyFill="1" applyBorder="1" applyAlignment="1">
      <alignment horizontal="center" vertical="center" wrapText="1"/>
    </xf>
    <xf numFmtId="185" fontId="42" fillId="4" borderId="0" xfId="3" applyNumberFormat="1" applyFont="1" applyFill="1" applyBorder="1" applyAlignment="1">
      <alignment horizontal="center" vertical="center"/>
    </xf>
    <xf numFmtId="182" fontId="91" fillId="4" borderId="0" xfId="3" applyNumberFormat="1" applyFont="1" applyFill="1" applyBorder="1" applyAlignment="1">
      <alignment horizontal="center" vertical="center"/>
    </xf>
    <xf numFmtId="2" fontId="99" fillId="4" borderId="163" xfId="3" applyNumberFormat="1" applyFont="1" applyFill="1" applyBorder="1" applyAlignment="1">
      <alignment horizontal="center" vertical="center"/>
    </xf>
    <xf numFmtId="0" fontId="98" fillId="3" borderId="20" xfId="14" applyFont="1" applyFill="1" applyBorder="1" applyAlignment="1">
      <alignment horizontal="center" vertical="center" wrapText="1"/>
    </xf>
    <xf numFmtId="0" fontId="98" fillId="3" borderId="0" xfId="14" applyFont="1" applyFill="1" applyBorder="1" applyAlignment="1">
      <alignment horizontal="center" vertical="center" wrapText="1"/>
    </xf>
    <xf numFmtId="0" fontId="98" fillId="3" borderId="163" xfId="14" applyFont="1" applyFill="1" applyBorder="1" applyAlignment="1">
      <alignment horizontal="center" vertical="center" wrapText="1"/>
    </xf>
    <xf numFmtId="0" fontId="33" fillId="3" borderId="20" xfId="9" applyNumberFormat="1" applyFont="1" applyFill="1" applyBorder="1" applyAlignment="1">
      <alignment horizontal="center" vertical="center"/>
    </xf>
    <xf numFmtId="0" fontId="33" fillId="3" borderId="0" xfId="9" applyNumberFormat="1" applyFont="1" applyFill="1" applyBorder="1" applyAlignment="1">
      <alignment horizontal="center" vertical="center"/>
    </xf>
    <xf numFmtId="0" fontId="33" fillId="3" borderId="163" xfId="9" applyNumberFormat="1" applyFont="1" applyFill="1" applyBorder="1" applyAlignment="1">
      <alignment horizontal="center" vertical="center"/>
    </xf>
    <xf numFmtId="177" fontId="41" fillId="4" borderId="0" xfId="9" applyNumberFormat="1" applyFont="1" applyFill="1" applyBorder="1" applyAlignment="1">
      <alignment horizontal="center" vertical="center"/>
    </xf>
    <xf numFmtId="0" fontId="90" fillId="42" borderId="163" xfId="3" applyFont="1" applyFill="1" applyBorder="1" applyAlignment="1">
      <alignment horizontal="center" vertical="center" textRotation="90"/>
    </xf>
    <xf numFmtId="0" fontId="91" fillId="4" borderId="0" xfId="3" applyFont="1" applyFill="1" applyBorder="1" applyAlignment="1">
      <alignment horizontal="center" vertical="center"/>
    </xf>
    <xf numFmtId="177" fontId="35" fillId="13" borderId="0" xfId="9" applyNumberFormat="1" applyFont="1" applyFill="1" applyBorder="1" applyAlignment="1">
      <alignment horizontal="center" vertical="center"/>
    </xf>
    <xf numFmtId="0" fontId="91" fillId="3" borderId="20" xfId="9" applyNumberFormat="1" applyFont="1" applyFill="1" applyBorder="1" applyAlignment="1">
      <alignment horizontal="center" vertical="top" wrapText="1"/>
    </xf>
    <xf numFmtId="0" fontId="91" fillId="3" borderId="0" xfId="9" applyNumberFormat="1" applyFont="1" applyFill="1" applyBorder="1" applyAlignment="1">
      <alignment horizontal="center" vertical="top" wrapText="1"/>
    </xf>
    <xf numFmtId="0" fontId="54" fillId="3" borderId="0" xfId="3" applyFont="1" applyFill="1" applyBorder="1" applyAlignment="1">
      <alignment horizontal="center" vertical="top" wrapText="1"/>
    </xf>
    <xf numFmtId="2" fontId="41" fillId="4" borderId="0" xfId="3" applyNumberFormat="1" applyFont="1" applyFill="1" applyBorder="1" applyAlignment="1">
      <alignment horizontal="center" vertical="center"/>
    </xf>
    <xf numFmtId="3" fontId="93" fillId="13" borderId="174" xfId="9" applyNumberFormat="1" applyFont="1" applyFill="1" applyBorder="1" applyAlignment="1">
      <alignment horizontal="center" vertical="center"/>
    </xf>
    <xf numFmtId="3" fontId="93" fillId="13" borderId="175" xfId="9" applyNumberFormat="1" applyFont="1" applyFill="1" applyBorder="1" applyAlignment="1">
      <alignment horizontal="center" vertical="center"/>
    </xf>
    <xf numFmtId="3" fontId="93" fillId="13" borderId="176" xfId="9" applyNumberFormat="1" applyFont="1" applyFill="1" applyBorder="1" applyAlignment="1">
      <alignment horizontal="center" vertical="center"/>
    </xf>
    <xf numFmtId="0" fontId="53" fillId="3" borderId="0" xfId="3" applyFont="1" applyFill="1" applyBorder="1" applyAlignment="1">
      <alignment horizontal="center" vertical="center" wrapText="1"/>
    </xf>
    <xf numFmtId="0" fontId="41" fillId="3" borderId="0" xfId="3" applyFont="1" applyFill="1" applyBorder="1" applyAlignment="1">
      <alignment horizontal="center" vertical="center" wrapText="1"/>
    </xf>
    <xf numFmtId="0" fontId="474" fillId="3" borderId="1" xfId="3" applyFont="1" applyFill="1" applyBorder="1" applyAlignment="1">
      <alignment horizontal="center" vertical="center"/>
    </xf>
    <xf numFmtId="0" fontId="474" fillId="3" borderId="162" xfId="3" applyFont="1" applyFill="1" applyBorder="1" applyAlignment="1">
      <alignment horizontal="center" vertical="center"/>
    </xf>
    <xf numFmtId="0" fontId="474" fillId="3" borderId="3" xfId="3" applyFont="1" applyFill="1" applyBorder="1" applyAlignment="1">
      <alignment horizontal="center" vertical="center"/>
    </xf>
    <xf numFmtId="0" fontId="434" fillId="42" borderId="163" xfId="3" applyFont="1" applyFill="1" applyBorder="1" applyAlignment="1">
      <alignment horizontal="center" vertical="center" textRotation="90"/>
    </xf>
    <xf numFmtId="0" fontId="33" fillId="3" borderId="20" xfId="3" applyFont="1" applyFill="1" applyBorder="1" applyAlignment="1">
      <alignment horizontal="center" vertical="center" wrapText="1"/>
    </xf>
    <xf numFmtId="0" fontId="33" fillId="3" borderId="0" xfId="3" applyFont="1" applyFill="1" applyBorder="1" applyAlignment="1">
      <alignment horizontal="center" vertical="center" wrapText="1"/>
    </xf>
    <xf numFmtId="0" fontId="33" fillId="3" borderId="163" xfId="3" applyFont="1" applyFill="1" applyBorder="1" applyAlignment="1">
      <alignment horizontal="center" vertical="center" wrapText="1"/>
    </xf>
    <xf numFmtId="0" fontId="79" fillId="54" borderId="1" xfId="3" applyFont="1" applyFill="1" applyBorder="1" applyAlignment="1" applyProtection="1">
      <alignment horizontal="center" vertical="center"/>
      <protection hidden="1"/>
    </xf>
    <xf numFmtId="0" fontId="79" fillId="54" borderId="162" xfId="3" applyFont="1" applyFill="1" applyBorder="1" applyAlignment="1" applyProtection="1">
      <alignment horizontal="center" vertical="center"/>
      <protection hidden="1"/>
    </xf>
    <xf numFmtId="0" fontId="79" fillId="54" borderId="3" xfId="3" applyFont="1" applyFill="1" applyBorder="1" applyAlignment="1" applyProtection="1">
      <alignment horizontal="center" vertical="center"/>
      <protection hidden="1"/>
    </xf>
    <xf numFmtId="0" fontId="33" fillId="4" borderId="20" xfId="9" applyFont="1" applyFill="1" applyBorder="1" applyAlignment="1">
      <alignment horizontal="center" vertical="center" wrapText="1"/>
    </xf>
    <xf numFmtId="177" fontId="89" fillId="13" borderId="0" xfId="9" applyNumberFormat="1" applyFont="1" applyFill="1" applyBorder="1" applyAlignment="1">
      <alignment horizontal="center" vertical="center"/>
    </xf>
    <xf numFmtId="166" fontId="33" fillId="4" borderId="0" xfId="9" applyNumberFormat="1" applyFont="1" applyFill="1" applyBorder="1" applyAlignment="1">
      <alignment horizontal="right" vertical="center"/>
    </xf>
    <xf numFmtId="3" fontId="64" fillId="4" borderId="0" xfId="9" applyNumberFormat="1" applyFont="1" applyFill="1" applyBorder="1" applyAlignment="1">
      <alignment horizontal="center" vertical="center"/>
    </xf>
    <xf numFmtId="0" fontId="33" fillId="4" borderId="163" xfId="9" applyFont="1" applyFill="1" applyBorder="1" applyAlignment="1">
      <alignment horizontal="center" vertical="center"/>
    </xf>
    <xf numFmtId="0" fontId="90" fillId="3" borderId="16" xfId="3" applyFont="1" applyFill="1" applyBorder="1" applyAlignment="1">
      <alignment horizontal="center" vertical="center"/>
    </xf>
    <xf numFmtId="0" fontId="90" fillId="3" borderId="19" xfId="3" applyFont="1" applyFill="1" applyBorder="1" applyAlignment="1">
      <alignment horizontal="center" vertical="center"/>
    </xf>
    <xf numFmtId="0" fontId="5" fillId="3" borderId="20" xfId="2" applyFont="1" applyFill="1" applyBorder="1" applyAlignment="1">
      <alignment horizontal="center" vertical="center" wrapText="1"/>
    </xf>
    <xf numFmtId="0" fontId="5" fillId="3" borderId="0" xfId="2" applyFont="1" applyFill="1" applyBorder="1" applyAlignment="1">
      <alignment horizontal="center" vertical="center" wrapText="1"/>
    </xf>
    <xf numFmtId="0" fontId="5" fillId="3" borderId="16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3" borderId="6" xfId="2" applyFont="1" applyFill="1" applyBorder="1" applyAlignment="1">
      <alignment horizontal="center" vertical="center" wrapText="1"/>
    </xf>
    <xf numFmtId="0" fontId="36" fillId="13" borderId="20" xfId="3" applyFont="1" applyFill="1" applyBorder="1" applyAlignment="1">
      <alignment horizontal="center" vertical="center"/>
    </xf>
    <xf numFmtId="0" fontId="36" fillId="13" borderId="174" xfId="3" applyFont="1" applyFill="1" applyBorder="1" applyAlignment="1">
      <alignment horizontal="center" vertical="center"/>
    </xf>
    <xf numFmtId="185" fontId="36" fillId="13" borderId="0" xfId="3" applyNumberFormat="1" applyFont="1" applyFill="1" applyBorder="1" applyAlignment="1">
      <alignment horizontal="center" vertical="center"/>
    </xf>
    <xf numFmtId="185" fontId="36" fillId="13" borderId="175" xfId="3" applyNumberFormat="1" applyFont="1" applyFill="1" applyBorder="1" applyAlignment="1">
      <alignment horizontal="center" vertical="center"/>
    </xf>
    <xf numFmtId="0" fontId="91" fillId="4" borderId="175" xfId="3" applyFont="1" applyFill="1" applyBorder="1" applyAlignment="1">
      <alignment horizontal="center" vertical="center"/>
    </xf>
    <xf numFmtId="2" fontId="41" fillId="4" borderId="175" xfId="3" applyNumberFormat="1" applyFont="1" applyFill="1" applyBorder="1" applyAlignment="1">
      <alignment horizontal="center" vertical="center"/>
    </xf>
    <xf numFmtId="0" fontId="95" fillId="3" borderId="171" xfId="3" applyFont="1" applyFill="1" applyBorder="1" applyAlignment="1">
      <alignment horizontal="center" vertical="center" wrapText="1"/>
    </xf>
    <xf numFmtId="0" fontId="95" fillId="3" borderId="172" xfId="3" applyFont="1" applyFill="1" applyBorder="1" applyAlignment="1">
      <alignment horizontal="center" vertical="center" wrapText="1"/>
    </xf>
    <xf numFmtId="0" fontId="95" fillId="3" borderId="173" xfId="3" applyFont="1" applyFill="1" applyBorder="1" applyAlignment="1">
      <alignment horizontal="center" vertical="center" wrapText="1"/>
    </xf>
    <xf numFmtId="0" fontId="79" fillId="54" borderId="1" xfId="9" applyNumberFormat="1" applyFont="1" applyFill="1" applyBorder="1" applyAlignment="1">
      <alignment horizontal="center" vertical="center"/>
    </xf>
    <xf numFmtId="0" fontId="79" fillId="54" borderId="162" xfId="9" applyNumberFormat="1" applyFont="1" applyFill="1" applyBorder="1" applyAlignment="1">
      <alignment horizontal="center" vertical="center"/>
    </xf>
    <xf numFmtId="0" fontId="79" fillId="54" borderId="3" xfId="9" applyNumberFormat="1" applyFont="1" applyFill="1" applyBorder="1" applyAlignment="1">
      <alignment horizontal="center" vertical="center"/>
    </xf>
    <xf numFmtId="0" fontId="79" fillId="54" borderId="20" xfId="9" applyNumberFormat="1" applyFont="1" applyFill="1" applyBorder="1" applyAlignment="1">
      <alignment horizontal="center" vertical="center"/>
    </xf>
    <xf numFmtId="0" fontId="79" fillId="54" borderId="0" xfId="9" applyNumberFormat="1" applyFont="1" applyFill="1" applyBorder="1" applyAlignment="1">
      <alignment horizontal="center" vertical="center"/>
    </xf>
    <xf numFmtId="0" fontId="79" fillId="54" borderId="163" xfId="9" applyNumberFormat="1" applyFont="1" applyFill="1" applyBorder="1" applyAlignment="1">
      <alignment horizontal="center" vertical="center"/>
    </xf>
    <xf numFmtId="2" fontId="90" fillId="3" borderId="15" xfId="3" applyNumberFormat="1" applyFont="1" applyFill="1" applyBorder="1" applyAlignment="1">
      <alignment horizontal="center" vertical="center"/>
    </xf>
    <xf numFmtId="2" fontId="90" fillId="3" borderId="90" xfId="3" applyNumberFormat="1" applyFont="1" applyFill="1" applyBorder="1" applyAlignment="1">
      <alignment horizontal="center" vertical="center"/>
    </xf>
    <xf numFmtId="0" fontId="33" fillId="4" borderId="0" xfId="9" applyFont="1" applyFill="1" applyBorder="1" applyAlignment="1">
      <alignment horizontal="right" vertical="center"/>
    </xf>
    <xf numFmtId="3" fontId="89" fillId="13" borderId="0" xfId="9" applyNumberFormat="1" applyFont="1" applyFill="1" applyBorder="1" applyAlignment="1">
      <alignment horizontal="center" vertical="center"/>
    </xf>
    <xf numFmtId="177" fontId="64" fillId="4" borderId="0" xfId="9" applyNumberFormat="1" applyFont="1" applyFill="1" applyBorder="1" applyAlignment="1">
      <alignment horizontal="center" vertical="center"/>
    </xf>
    <xf numFmtId="0" fontId="80" fillId="3" borderId="0" xfId="13" applyFont="1" applyFill="1" applyAlignment="1">
      <alignment horizontal="center" vertical="center"/>
    </xf>
    <xf numFmtId="0" fontId="80" fillId="3" borderId="0" xfId="13" applyFont="1" applyFill="1" applyAlignment="1">
      <alignment horizontal="center" vertical="center" wrapText="1"/>
    </xf>
    <xf numFmtId="0" fontId="80" fillId="3" borderId="0" xfId="13" applyFont="1" applyFill="1" applyBorder="1" applyAlignment="1">
      <alignment horizontal="center" vertical="center" wrapText="1"/>
    </xf>
    <xf numFmtId="0" fontId="68" fillId="3" borderId="0" xfId="13" applyFont="1" applyFill="1" applyBorder="1" applyAlignment="1">
      <alignment horizontal="center" vertical="center" wrapText="1"/>
    </xf>
    <xf numFmtId="0" fontId="64" fillId="6" borderId="0" xfId="2" applyFont="1" applyFill="1" applyBorder="1" applyAlignment="1">
      <alignment horizontal="center" vertical="center"/>
    </xf>
    <xf numFmtId="0" fontId="191" fillId="54" borderId="1" xfId="3" applyFont="1" applyFill="1" applyBorder="1" applyAlignment="1">
      <alignment horizontal="center"/>
    </xf>
    <xf numFmtId="0" fontId="191" fillId="54" borderId="162" xfId="3" applyFont="1" applyFill="1" applyBorder="1" applyAlignment="1">
      <alignment horizontal="center"/>
    </xf>
    <xf numFmtId="0" fontId="191" fillId="54" borderId="3" xfId="3" applyFont="1" applyFill="1" applyBorder="1" applyAlignment="1">
      <alignment horizontal="center"/>
    </xf>
    <xf numFmtId="0" fontId="58" fillId="3" borderId="0" xfId="14" applyFont="1" applyFill="1" applyAlignment="1">
      <alignment horizontal="center" vertical="center"/>
    </xf>
    <xf numFmtId="0" fontId="58" fillId="3" borderId="0" xfId="14" applyFont="1" applyFill="1" applyAlignment="1">
      <alignment horizontal="center" vertical="center" wrapText="1"/>
    </xf>
    <xf numFmtId="0" fontId="471" fillId="3" borderId="0" xfId="2" applyFont="1" applyFill="1" applyAlignment="1">
      <alignment horizontal="center" vertical="center" wrapText="1"/>
    </xf>
    <xf numFmtId="0" fontId="469" fillId="3" borderId="0" xfId="14" applyFont="1" applyFill="1" applyAlignment="1">
      <alignment horizontal="center" vertical="center" wrapText="1"/>
    </xf>
    <xf numFmtId="2" fontId="77" fillId="66" borderId="0" xfId="3" applyNumberFormat="1" applyFont="1" applyFill="1" applyBorder="1" applyAlignment="1" applyProtection="1">
      <alignment horizontal="center" vertical="center"/>
      <protection locked="0"/>
    </xf>
    <xf numFmtId="0" fontId="79" fillId="67" borderId="0" xfId="2" applyFont="1" applyFill="1" applyBorder="1" applyAlignment="1">
      <alignment horizontal="center" vertical="center"/>
    </xf>
    <xf numFmtId="0" fontId="33" fillId="6" borderId="0" xfId="9" applyNumberFormat="1" applyFont="1" applyFill="1" applyBorder="1" applyAlignment="1">
      <alignment horizontal="center" vertical="center" wrapText="1"/>
    </xf>
    <xf numFmtId="0" fontId="65" fillId="3" borderId="0" xfId="13" applyFont="1" applyFill="1" applyAlignment="1">
      <alignment horizontal="left" vertical="center"/>
    </xf>
    <xf numFmtId="0" fontId="67" fillId="3" borderId="0" xfId="16" applyFont="1" applyFill="1" applyAlignment="1">
      <alignment horizontal="left" vertical="center"/>
    </xf>
    <xf numFmtId="0" fontId="388" fillId="3" borderId="0" xfId="16" applyFont="1" applyFill="1" applyAlignment="1">
      <alignment horizontal="left" vertical="center"/>
    </xf>
    <xf numFmtId="0" fontId="80" fillId="0" borderId="0" xfId="13" applyFont="1" applyAlignment="1">
      <alignment horizontal="left" vertical="center"/>
    </xf>
    <xf numFmtId="0" fontId="80" fillId="3" borderId="0" xfId="13" applyFont="1" applyFill="1" applyBorder="1" applyAlignment="1">
      <alignment horizontal="left" vertical="center"/>
    </xf>
    <xf numFmtId="0" fontId="78" fillId="3" borderId="0" xfId="13" applyFont="1" applyFill="1" applyAlignment="1">
      <alignment horizontal="left" vertical="center"/>
    </xf>
    <xf numFmtId="0" fontId="465" fillId="61" borderId="54" xfId="3" applyFont="1" applyFill="1" applyBorder="1" applyAlignment="1">
      <alignment horizontal="center" vertical="center"/>
    </xf>
    <xf numFmtId="0" fontId="465" fillId="61" borderId="20" xfId="3" applyFont="1" applyFill="1" applyBorder="1" applyAlignment="1">
      <alignment horizontal="center" vertical="center"/>
    </xf>
    <xf numFmtId="0" fontId="465" fillId="61" borderId="57" xfId="3" applyFont="1" applyFill="1" applyBorder="1" applyAlignment="1">
      <alignment horizontal="center" vertical="center"/>
    </xf>
    <xf numFmtId="0" fontId="464" fillId="61" borderId="16" xfId="3" applyNumberFormat="1" applyFont="1" applyFill="1" applyBorder="1" applyAlignment="1">
      <alignment horizontal="left" vertical="top" wrapText="1"/>
    </xf>
    <xf numFmtId="0" fontId="464" fillId="61" borderId="19" xfId="3" applyNumberFormat="1" applyFont="1" applyFill="1" applyBorder="1" applyAlignment="1">
      <alignment horizontal="left" vertical="top" wrapText="1"/>
    </xf>
    <xf numFmtId="0" fontId="464" fillId="61" borderId="0" xfId="3" applyNumberFormat="1" applyFont="1" applyFill="1" applyBorder="1" applyAlignment="1">
      <alignment horizontal="left" vertical="top" wrapText="1"/>
    </xf>
    <xf numFmtId="0" fontId="464" fillId="61" borderId="163" xfId="3" applyNumberFormat="1" applyFont="1" applyFill="1" applyBorder="1" applyAlignment="1">
      <alignment horizontal="left" vertical="top" wrapText="1"/>
    </xf>
    <xf numFmtId="0" fontId="464" fillId="61" borderId="15" xfId="3" applyNumberFormat="1" applyFont="1" applyFill="1" applyBorder="1" applyAlignment="1">
      <alignment horizontal="left" vertical="top" wrapText="1"/>
    </xf>
    <xf numFmtId="0" fontId="464" fillId="61" borderId="90" xfId="3" applyNumberFormat="1" applyFont="1" applyFill="1" applyBorder="1" applyAlignment="1">
      <alignment horizontal="left" vertical="top" wrapText="1"/>
    </xf>
    <xf numFmtId="0" fontId="465" fillId="61" borderId="4" xfId="3" applyFont="1" applyFill="1" applyBorder="1" applyAlignment="1">
      <alignment horizontal="center" vertical="center"/>
    </xf>
    <xf numFmtId="0" fontId="467" fillId="61" borderId="0" xfId="3" applyNumberFormat="1" applyFont="1" applyFill="1" applyBorder="1" applyAlignment="1">
      <alignment horizontal="left" vertical="top" wrapText="1"/>
    </xf>
    <xf numFmtId="0" fontId="467" fillId="61" borderId="163" xfId="3" applyNumberFormat="1" applyFont="1" applyFill="1" applyBorder="1" applyAlignment="1">
      <alignment horizontal="left" vertical="top" wrapText="1"/>
    </xf>
    <xf numFmtId="0" fontId="467" fillId="61" borderId="5" xfId="3" applyNumberFormat="1" applyFont="1" applyFill="1" applyBorder="1" applyAlignment="1">
      <alignment horizontal="left" vertical="top" wrapText="1"/>
    </xf>
    <xf numFmtId="0" fontId="467" fillId="61" borderId="6" xfId="3" applyNumberFormat="1" applyFont="1" applyFill="1" applyBorder="1" applyAlignment="1">
      <alignment horizontal="left" vertical="top" wrapText="1"/>
    </xf>
    <xf numFmtId="0" fontId="272" fillId="55" borderId="162" xfId="3" applyFont="1" applyFill="1" applyBorder="1" applyAlignment="1">
      <alignment horizontal="center" vertical="center"/>
    </xf>
    <xf numFmtId="0" fontId="272" fillId="55" borderId="3" xfId="3" applyFont="1" applyFill="1" applyBorder="1" applyAlignment="1">
      <alignment horizontal="center" vertical="center"/>
    </xf>
    <xf numFmtId="0" fontId="77" fillId="3" borderId="0" xfId="3" applyFont="1" applyFill="1" applyBorder="1" applyAlignment="1">
      <alignment horizontal="center" vertical="center"/>
    </xf>
    <xf numFmtId="0" fontId="77" fillId="3" borderId="163" xfId="3" applyFont="1" applyFill="1" applyBorder="1" applyAlignment="1">
      <alignment horizontal="center" vertical="center"/>
    </xf>
    <xf numFmtId="0" fontId="417" fillId="58" borderId="0" xfId="3" applyFont="1" applyFill="1" applyBorder="1" applyAlignment="1">
      <alignment horizontal="left" vertical="center"/>
    </xf>
    <xf numFmtId="0" fontId="417" fillId="58" borderId="163" xfId="3" applyFont="1" applyFill="1" applyBorder="1" applyAlignment="1">
      <alignment horizontal="left" vertical="center"/>
    </xf>
    <xf numFmtId="0" fontId="64" fillId="0" borderId="0" xfId="3" applyFont="1" applyBorder="1" applyAlignment="1">
      <alignment horizontal="center" vertical="center"/>
    </xf>
    <xf numFmtId="0" fontId="64" fillId="0" borderId="163" xfId="3" applyFont="1" applyBorder="1" applyAlignment="1">
      <alignment horizontal="center" vertical="center"/>
    </xf>
    <xf numFmtId="0" fontId="79" fillId="59" borderId="20" xfId="3" applyFont="1" applyFill="1" applyBorder="1" applyAlignment="1">
      <alignment horizontal="center" vertical="center"/>
    </xf>
    <xf numFmtId="0" fontId="466" fillId="60" borderId="0" xfId="3" applyNumberFormat="1" applyFont="1" applyFill="1" applyBorder="1" applyAlignment="1">
      <alignment horizontal="left" vertical="top" wrapText="1"/>
    </xf>
    <xf numFmtId="0" fontId="466" fillId="60" borderId="163" xfId="3" applyNumberFormat="1" applyFont="1" applyFill="1" applyBorder="1" applyAlignment="1">
      <alignment horizontal="left" vertical="top" wrapText="1"/>
    </xf>
    <xf numFmtId="0" fontId="36" fillId="53" borderId="27" xfId="2" applyFont="1" applyFill="1" applyBorder="1" applyAlignment="1">
      <alignment horizontal="center" vertical="center" wrapText="1"/>
    </xf>
    <xf numFmtId="0" fontId="36" fillId="53" borderId="0" xfId="2" applyFont="1" applyFill="1" applyBorder="1" applyAlignment="1">
      <alignment horizontal="center" vertical="center" wrapText="1"/>
    </xf>
    <xf numFmtId="0" fontId="36" fillId="53" borderId="21" xfId="2" applyFont="1" applyFill="1" applyBorder="1" applyAlignment="1">
      <alignment horizontal="center" vertical="center" wrapText="1"/>
    </xf>
    <xf numFmtId="0" fontId="65" fillId="42" borderId="0" xfId="13" applyFont="1" applyFill="1" applyAlignment="1">
      <alignment horizontal="left" vertical="center"/>
    </xf>
    <xf numFmtId="0" fontId="65" fillId="5" borderId="0" xfId="13" applyFont="1" applyFill="1" applyAlignment="1" applyProtection="1">
      <alignment horizontal="left" vertical="center"/>
      <protection hidden="1"/>
    </xf>
    <xf numFmtId="0" fontId="70" fillId="7" borderId="27" xfId="2" applyFont="1" applyFill="1" applyBorder="1" applyAlignment="1">
      <alignment horizontal="center" vertical="center" wrapText="1"/>
    </xf>
    <xf numFmtId="0" fontId="70" fillId="7" borderId="0" xfId="2" applyFont="1" applyFill="1" applyBorder="1" applyAlignment="1">
      <alignment horizontal="center" vertical="center" wrapText="1"/>
    </xf>
    <xf numFmtId="0" fontId="70" fillId="7" borderId="21" xfId="2" applyFont="1" applyFill="1" applyBorder="1" applyAlignment="1">
      <alignment horizontal="center" vertical="center" wrapText="1"/>
    </xf>
    <xf numFmtId="0" fontId="70" fillId="7" borderId="76" xfId="2" applyFont="1" applyFill="1" applyBorder="1" applyAlignment="1">
      <alignment horizontal="center" vertical="center" wrapText="1"/>
    </xf>
    <xf numFmtId="0" fontId="70" fillId="7" borderId="15" xfId="2" applyFont="1" applyFill="1" applyBorder="1" applyAlignment="1">
      <alignment horizontal="center" vertical="center" wrapText="1"/>
    </xf>
    <xf numFmtId="0" fontId="70" fillId="7" borderId="58" xfId="2" applyFont="1" applyFill="1" applyBorder="1" applyAlignment="1">
      <alignment horizontal="center" vertical="center" wrapText="1"/>
    </xf>
    <xf numFmtId="0" fontId="79" fillId="54" borderId="1" xfId="3" applyFont="1" applyFill="1" applyBorder="1" applyAlignment="1">
      <alignment horizontal="center" vertical="center"/>
    </xf>
    <xf numFmtId="0" fontId="79" fillId="54" borderId="162" xfId="3" applyFont="1" applyFill="1" applyBorder="1" applyAlignment="1">
      <alignment horizontal="center" vertical="center"/>
    </xf>
    <xf numFmtId="0" fontId="79" fillId="54" borderId="3" xfId="3" applyFont="1" applyFill="1" applyBorder="1" applyAlignment="1">
      <alignment horizontal="center" vertical="center"/>
    </xf>
    <xf numFmtId="0" fontId="72" fillId="3" borderId="0" xfId="3" applyFont="1" applyFill="1" applyBorder="1" applyAlignment="1">
      <alignment horizontal="center" vertical="center" wrapText="1"/>
    </xf>
    <xf numFmtId="0" fontId="72" fillId="3" borderId="163" xfId="3" applyFont="1" applyFill="1" applyBorder="1" applyAlignment="1">
      <alignment horizontal="center" vertical="center" wrapText="1"/>
    </xf>
    <xf numFmtId="0" fontId="41" fillId="3" borderId="27" xfId="2" applyFont="1" applyFill="1" applyBorder="1" applyAlignment="1">
      <alignment horizontal="center" vertical="center" wrapText="1"/>
    </xf>
    <xf numFmtId="0" fontId="41" fillId="3" borderId="0" xfId="2" applyFont="1" applyFill="1" applyBorder="1" applyAlignment="1">
      <alignment horizontal="center" vertical="center" wrapText="1"/>
    </xf>
    <xf numFmtId="0" fontId="41" fillId="3" borderId="21" xfId="2" applyFont="1" applyFill="1" applyBorder="1" applyAlignment="1">
      <alignment horizontal="center" vertical="center" wrapText="1"/>
    </xf>
    <xf numFmtId="0" fontId="65" fillId="0" borderId="0" xfId="13" applyFont="1" applyAlignment="1">
      <alignment horizontal="left" vertical="center"/>
    </xf>
    <xf numFmtId="0" fontId="36" fillId="3" borderId="164" xfId="3" applyFont="1" applyFill="1" applyBorder="1" applyAlignment="1" applyProtection="1">
      <alignment horizontal="center" vertical="center"/>
      <protection hidden="1"/>
    </xf>
    <xf numFmtId="0" fontId="36" fillId="3" borderId="165" xfId="3" applyFont="1" applyFill="1" applyBorder="1" applyAlignment="1" applyProtection="1">
      <alignment horizontal="center" vertical="center"/>
      <protection hidden="1"/>
    </xf>
    <xf numFmtId="0" fontId="36" fillId="3" borderId="166" xfId="3" applyFont="1" applyFill="1" applyBorder="1" applyAlignment="1" applyProtection="1">
      <alignment horizontal="center" vertical="center"/>
      <protection hidden="1"/>
    </xf>
    <xf numFmtId="0" fontId="61" fillId="3" borderId="18" xfId="2" applyFont="1" applyFill="1" applyBorder="1" applyAlignment="1">
      <alignment horizontal="center" vertical="center" wrapText="1"/>
    </xf>
    <xf numFmtId="0" fontId="61" fillId="3" borderId="16" xfId="2" applyFont="1" applyFill="1" applyBorder="1" applyAlignment="1">
      <alignment horizontal="center" vertical="center" wrapText="1"/>
    </xf>
    <xf numFmtId="0" fontId="61" fillId="3" borderId="17" xfId="2" applyFont="1" applyFill="1" applyBorder="1" applyAlignment="1">
      <alignment horizontal="center" vertical="center" wrapText="1"/>
    </xf>
    <xf numFmtId="0" fontId="61" fillId="3" borderId="27" xfId="2" applyFont="1" applyFill="1" applyBorder="1" applyAlignment="1">
      <alignment horizontal="center" vertical="center" wrapText="1"/>
    </xf>
    <xf numFmtId="0" fontId="61" fillId="3" borderId="21" xfId="2" applyFont="1" applyFill="1" applyBorder="1" applyAlignment="1">
      <alignment horizontal="center" vertical="center" wrapText="1"/>
    </xf>
    <xf numFmtId="0" fontId="61" fillId="3" borderId="76" xfId="2" applyFont="1" applyFill="1" applyBorder="1" applyAlignment="1">
      <alignment horizontal="center" vertical="center" wrapText="1"/>
    </xf>
    <xf numFmtId="0" fontId="61" fillId="3" borderId="15" xfId="2" applyFont="1" applyFill="1" applyBorder="1" applyAlignment="1">
      <alignment horizontal="center" vertical="center" wrapText="1"/>
    </xf>
    <xf numFmtId="0" fontId="61" fillId="3" borderId="58" xfId="2" applyFont="1" applyFill="1" applyBorder="1" applyAlignment="1">
      <alignment horizontal="center" vertical="center" wrapText="1"/>
    </xf>
    <xf numFmtId="0" fontId="62" fillId="5" borderId="18" xfId="2" applyFont="1" applyFill="1" applyBorder="1" applyAlignment="1">
      <alignment horizontal="center" vertical="center" wrapText="1"/>
    </xf>
    <xf numFmtId="0" fontId="62" fillId="5" borderId="16" xfId="2" applyFont="1" applyFill="1" applyBorder="1" applyAlignment="1">
      <alignment horizontal="center" vertical="center" wrapText="1"/>
    </xf>
    <xf numFmtId="0" fontId="62" fillId="5" borderId="17" xfId="2" applyFont="1" applyFill="1" applyBorder="1" applyAlignment="1">
      <alignment horizontal="center" vertical="center" wrapText="1"/>
    </xf>
    <xf numFmtId="0" fontId="62" fillId="5" borderId="27" xfId="2" applyFont="1" applyFill="1" applyBorder="1" applyAlignment="1">
      <alignment horizontal="center" vertical="center" wrapText="1"/>
    </xf>
    <xf numFmtId="0" fontId="62" fillId="5" borderId="0" xfId="2" applyFont="1" applyFill="1" applyBorder="1" applyAlignment="1">
      <alignment horizontal="center" vertical="center" wrapText="1"/>
    </xf>
    <xf numFmtId="0" fontId="62" fillId="5" borderId="21" xfId="2" applyFont="1" applyFill="1" applyBorder="1" applyAlignment="1">
      <alignment horizontal="center" vertical="center" wrapText="1"/>
    </xf>
    <xf numFmtId="0" fontId="62" fillId="5" borderId="76" xfId="2" applyFont="1" applyFill="1" applyBorder="1" applyAlignment="1">
      <alignment horizontal="center" vertical="center" wrapText="1"/>
    </xf>
    <xf numFmtId="0" fontId="62" fillId="5" borderId="15" xfId="2" applyFont="1" applyFill="1" applyBorder="1" applyAlignment="1">
      <alignment horizontal="center" vertical="center" wrapText="1"/>
    </xf>
    <xf numFmtId="0" fontId="62" fillId="5" borderId="58" xfId="2" applyFont="1" applyFill="1" applyBorder="1" applyAlignment="1">
      <alignment horizontal="center" vertical="center" wrapText="1"/>
    </xf>
    <xf numFmtId="0" fontId="35" fillId="3" borderId="18" xfId="2" applyFont="1" applyFill="1" applyBorder="1" applyAlignment="1">
      <alignment horizontal="center" vertical="center" wrapText="1"/>
    </xf>
    <xf numFmtId="0" fontId="35" fillId="3" borderId="16" xfId="2" applyFont="1" applyFill="1" applyBorder="1" applyAlignment="1">
      <alignment horizontal="center" vertical="center" wrapText="1"/>
    </xf>
    <xf numFmtId="0" fontId="35" fillId="3" borderId="17" xfId="2" applyFont="1" applyFill="1" applyBorder="1" applyAlignment="1">
      <alignment horizontal="center" vertical="center" wrapText="1"/>
    </xf>
    <xf numFmtId="0" fontId="35" fillId="3" borderId="27" xfId="2" applyFont="1" applyFill="1" applyBorder="1" applyAlignment="1">
      <alignment horizontal="center" vertical="center" wrapText="1"/>
    </xf>
    <xf numFmtId="0" fontId="35" fillId="3" borderId="0" xfId="2" applyFont="1" applyFill="1" applyBorder="1" applyAlignment="1">
      <alignment horizontal="center" vertical="center" wrapText="1"/>
    </xf>
    <xf numFmtId="0" fontId="35" fillId="3" borderId="21" xfId="2" applyFont="1" applyFill="1" applyBorder="1" applyAlignment="1">
      <alignment horizontal="center" vertical="center" wrapText="1"/>
    </xf>
    <xf numFmtId="0" fontId="67" fillId="3" borderId="0" xfId="15" applyFont="1" applyFill="1" applyAlignment="1" applyProtection="1">
      <alignment horizontal="left" vertical="center"/>
    </xf>
    <xf numFmtId="0" fontId="33" fillId="3" borderId="27" xfId="2" applyFont="1" applyFill="1" applyBorder="1" applyAlignment="1">
      <alignment horizontal="center" vertical="center" wrapText="1"/>
    </xf>
    <xf numFmtId="0" fontId="33" fillId="3" borderId="0" xfId="2" applyFont="1" applyFill="1" applyBorder="1" applyAlignment="1">
      <alignment horizontal="center" vertical="center" wrapText="1"/>
    </xf>
    <xf numFmtId="0" fontId="33" fillId="3" borderId="21" xfId="2" applyFont="1" applyFill="1" applyBorder="1" applyAlignment="1">
      <alignment horizontal="center" vertical="center" wrapText="1"/>
    </xf>
    <xf numFmtId="0" fontId="33" fillId="3" borderId="76" xfId="2" applyFont="1" applyFill="1" applyBorder="1" applyAlignment="1">
      <alignment horizontal="center" vertical="center" wrapText="1"/>
    </xf>
    <xf numFmtId="0" fontId="33" fillId="3" borderId="15" xfId="2" applyFont="1" applyFill="1" applyBorder="1" applyAlignment="1">
      <alignment horizontal="center" vertical="center" wrapText="1"/>
    </xf>
    <xf numFmtId="0" fontId="33" fillId="3" borderId="58" xfId="2" applyFont="1" applyFill="1" applyBorder="1" applyAlignment="1">
      <alignment horizontal="center" vertical="center" wrapText="1"/>
    </xf>
    <xf numFmtId="0" fontId="65" fillId="3" borderId="0" xfId="14" applyFont="1" applyFill="1" applyAlignment="1" applyProtection="1">
      <alignment horizontal="left" vertical="center"/>
    </xf>
    <xf numFmtId="0" fontId="171" fillId="51" borderId="1" xfId="3" applyFont="1" applyFill="1" applyBorder="1" applyAlignment="1" applyProtection="1">
      <alignment horizontal="center" vertical="center"/>
      <protection hidden="1"/>
    </xf>
    <xf numFmtId="0" fontId="171" fillId="51" borderId="162" xfId="3" applyFont="1" applyFill="1" applyBorder="1" applyAlignment="1" applyProtection="1">
      <alignment horizontal="center" vertical="center"/>
      <protection hidden="1"/>
    </xf>
    <xf numFmtId="0" fontId="171" fillId="51" borderId="3" xfId="3" applyFont="1" applyFill="1" applyBorder="1" applyAlignment="1" applyProtection="1">
      <alignment horizontal="center" vertical="center"/>
      <protection hidden="1"/>
    </xf>
    <xf numFmtId="0" fontId="41" fillId="3" borderId="20" xfId="3" applyFont="1" applyFill="1" applyBorder="1" applyAlignment="1" applyProtection="1">
      <alignment horizontal="center" vertical="center"/>
      <protection hidden="1"/>
    </xf>
    <xf numFmtId="0" fontId="41" fillId="3" borderId="0" xfId="3" applyFont="1" applyFill="1" applyBorder="1" applyAlignment="1" applyProtection="1">
      <alignment horizontal="center" vertical="center"/>
      <protection hidden="1"/>
    </xf>
    <xf numFmtId="0" fontId="41" fillId="3" borderId="163" xfId="3" applyFont="1" applyFill="1" applyBorder="1" applyAlignment="1" applyProtection="1">
      <alignment horizontal="center" vertical="center"/>
      <protection hidden="1"/>
    </xf>
    <xf numFmtId="0" fontId="59" fillId="3" borderId="5" xfId="13" applyFont="1" applyFill="1" applyBorder="1" applyAlignment="1" applyProtection="1">
      <alignment horizontal="center" vertical="center"/>
      <protection hidden="1"/>
    </xf>
    <xf numFmtId="0" fontId="59" fillId="3" borderId="6" xfId="13" applyFont="1" applyFill="1" applyBorder="1" applyAlignment="1" applyProtection="1">
      <alignment horizontal="center" vertical="center"/>
      <protection hidden="1"/>
    </xf>
    <xf numFmtId="0" fontId="171" fillId="5" borderId="0" xfId="12" applyFont="1" applyFill="1" applyAlignment="1" applyProtection="1">
      <alignment horizontal="center" vertical="center" wrapText="1"/>
      <protection hidden="1"/>
    </xf>
    <xf numFmtId="0" fontId="65" fillId="3" borderId="0" xfId="13" applyFont="1" applyFill="1" applyAlignment="1">
      <alignment horizontal="left"/>
    </xf>
    <xf numFmtId="0" fontId="57" fillId="52" borderId="27" xfId="2" applyFont="1" applyFill="1" applyBorder="1" applyAlignment="1">
      <alignment horizontal="center" vertical="center"/>
    </xf>
    <xf numFmtId="0" fontId="57" fillId="52" borderId="0" xfId="2" applyFont="1" applyFill="1" applyBorder="1" applyAlignment="1">
      <alignment horizontal="center" vertical="center"/>
    </xf>
    <xf numFmtId="0" fontId="57" fillId="52" borderId="21" xfId="2" applyFont="1" applyFill="1" applyBorder="1" applyAlignment="1">
      <alignment horizontal="center" vertical="center"/>
    </xf>
    <xf numFmtId="0" fontId="560" fillId="5" borderId="0" xfId="3" applyFont="1" applyFill="1" applyAlignment="1">
      <alignment horizontal="center" vertical="center"/>
    </xf>
    <xf numFmtId="0" fontId="54" fillId="0" borderId="513" xfId="30" applyFont="1" applyBorder="1" applyAlignment="1">
      <alignment horizontal="center" vertical="center" wrapText="1"/>
    </xf>
    <xf numFmtId="0" fontId="54" fillId="0" borderId="514" xfId="30" applyFont="1" applyBorder="1" applyAlignment="1">
      <alignment horizontal="center" vertical="center" wrapText="1"/>
    </xf>
    <xf numFmtId="0" fontId="54" fillId="0" borderId="515" xfId="30" applyFont="1" applyBorder="1" applyAlignment="1">
      <alignment horizontal="center" vertical="center" wrapText="1"/>
    </xf>
    <xf numFmtId="0" fontId="54" fillId="0" borderId="516" xfId="30" applyFont="1" applyBorder="1" applyAlignment="1">
      <alignment horizontal="center" vertical="center" wrapText="1"/>
    </xf>
    <xf numFmtId="0" fontId="54" fillId="0" borderId="517" xfId="30" applyFont="1" applyBorder="1" applyAlignment="1">
      <alignment horizontal="center" vertical="center" wrapText="1"/>
    </xf>
    <xf numFmtId="0" fontId="54" fillId="0" borderId="518" xfId="30" applyFont="1" applyBorder="1" applyAlignment="1">
      <alignment horizontal="center" vertical="center" wrapText="1"/>
    </xf>
    <xf numFmtId="0" fontId="7" fillId="4" borderId="0" xfId="30" applyFill="1" applyAlignment="1">
      <alignment horizontal="center"/>
    </xf>
    <xf numFmtId="0" fontId="41" fillId="0" borderId="16" xfId="2" applyFont="1" applyFill="1" applyBorder="1" applyAlignment="1">
      <alignment horizontal="center" vertical="center"/>
    </xf>
    <xf numFmtId="0" fontId="41" fillId="0" borderId="19" xfId="2" applyFont="1" applyFill="1" applyBorder="1" applyAlignment="1">
      <alignment horizontal="center" vertical="center"/>
    </xf>
    <xf numFmtId="0" fontId="41" fillId="0" borderId="0" xfId="2" applyFont="1" applyFill="1" applyBorder="1" applyAlignment="1">
      <alignment horizontal="center" vertical="center"/>
    </xf>
    <xf numFmtId="0" fontId="41" fillId="0" borderId="51" xfId="2" applyFont="1" applyFill="1" applyBorder="1" applyAlignment="1">
      <alignment horizontal="center" vertical="center"/>
    </xf>
    <xf numFmtId="0" fontId="41" fillId="0" borderId="18" xfId="2" applyFont="1" applyFill="1" applyBorder="1" applyAlignment="1">
      <alignment horizontal="center" vertical="center" wrapText="1"/>
    </xf>
    <xf numFmtId="0" fontId="41" fillId="0" borderId="16" xfId="2" applyFont="1" applyFill="1" applyBorder="1" applyAlignment="1">
      <alignment horizontal="center" vertical="center" wrapText="1"/>
    </xf>
    <xf numFmtId="0" fontId="41" fillId="0" borderId="19" xfId="2" applyFont="1" applyFill="1" applyBorder="1" applyAlignment="1">
      <alignment horizontal="center" vertical="center" wrapText="1"/>
    </xf>
    <xf numFmtId="0" fontId="41" fillId="0" borderId="22" xfId="2" applyFont="1" applyFill="1" applyBorder="1" applyAlignment="1">
      <alignment horizontal="center" vertical="center" wrapText="1"/>
    </xf>
    <xf numFmtId="0" fontId="41" fillId="0" borderId="56" xfId="2" applyFont="1" applyFill="1" applyBorder="1" applyAlignment="1">
      <alignment horizontal="center" vertical="center" wrapText="1"/>
    </xf>
    <xf numFmtId="0" fontId="41" fillId="0" borderId="24" xfId="2" applyFont="1" applyFill="1" applyBorder="1" applyAlignment="1">
      <alignment horizontal="center" vertical="center" wrapText="1"/>
    </xf>
    <xf numFmtId="0" fontId="535" fillId="0" borderId="136" xfId="2" applyFont="1" applyFill="1" applyBorder="1" applyAlignment="1">
      <alignment horizontal="center" vertical="center"/>
    </xf>
    <xf numFmtId="0" fontId="535" fillId="0" borderId="151" xfId="2" applyFont="1" applyFill="1" applyBorder="1" applyAlignment="1">
      <alignment horizontal="center" vertical="center"/>
    </xf>
    <xf numFmtId="0" fontId="535" fillId="0" borderId="152" xfId="2" applyFont="1" applyFill="1" applyBorder="1" applyAlignment="1">
      <alignment horizontal="center" vertical="center"/>
    </xf>
    <xf numFmtId="0" fontId="48" fillId="0" borderId="136" xfId="2" applyFont="1" applyFill="1" applyBorder="1" applyAlignment="1">
      <alignment horizontal="center" vertical="center" wrapText="1"/>
    </xf>
    <xf numFmtId="0" fontId="48" fillId="0" borderId="151" xfId="2" applyFont="1" applyFill="1" applyBorder="1" applyAlignment="1">
      <alignment horizontal="center" vertical="center" wrapText="1"/>
    </xf>
    <xf numFmtId="0" fontId="48" fillId="0" borderId="152" xfId="2" applyFont="1" applyFill="1" applyBorder="1" applyAlignment="1">
      <alignment horizontal="center" vertical="center" wrapText="1"/>
    </xf>
    <xf numFmtId="0" fontId="48" fillId="0" borderId="138" xfId="2" applyFont="1" applyFill="1" applyBorder="1" applyAlignment="1">
      <alignment horizontal="center" vertical="center" wrapText="1"/>
    </xf>
    <xf numFmtId="0" fontId="48" fillId="0" borderId="37" xfId="2" applyFont="1" applyFill="1" applyBorder="1" applyAlignment="1">
      <alignment horizontal="center" vertical="center" wrapText="1"/>
    </xf>
    <xf numFmtId="0" fontId="48" fillId="0" borderId="140" xfId="2" applyFont="1" applyFill="1" applyBorder="1" applyAlignment="1">
      <alignment horizontal="center" vertical="center" wrapText="1"/>
    </xf>
    <xf numFmtId="0" fontId="50" fillId="0" borderId="146" xfId="2" applyFont="1" applyBorder="1" applyAlignment="1">
      <alignment horizontal="center" vertical="center" wrapText="1"/>
    </xf>
    <xf numFmtId="0" fontId="50" fillId="0" borderId="51" xfId="2" applyFont="1" applyBorder="1" applyAlignment="1">
      <alignment horizontal="center" vertical="center" wrapText="1"/>
    </xf>
    <xf numFmtId="0" fontId="50" fillId="0" borderId="90" xfId="2" applyFont="1" applyBorder="1" applyAlignment="1">
      <alignment horizontal="center" vertical="center" wrapText="1"/>
    </xf>
    <xf numFmtId="0" fontId="41" fillId="0" borderId="64" xfId="2" applyFont="1" applyFill="1" applyBorder="1" applyAlignment="1">
      <alignment horizontal="right" vertical="center" wrapText="1"/>
    </xf>
    <xf numFmtId="0" fontId="41" fillId="0" borderId="26" xfId="2" applyFont="1" applyFill="1" applyBorder="1" applyAlignment="1">
      <alignment horizontal="right" vertical="center" wrapText="1"/>
    </xf>
    <xf numFmtId="0" fontId="41" fillId="0" borderId="144" xfId="2" applyFont="1" applyFill="1" applyBorder="1" applyAlignment="1">
      <alignment horizontal="right" vertical="center" wrapText="1"/>
    </xf>
    <xf numFmtId="0" fontId="41" fillId="0" borderId="20" xfId="2" applyFont="1" applyFill="1" applyBorder="1" applyAlignment="1">
      <alignment horizontal="right" vertical="center" wrapText="1"/>
    </xf>
    <xf numFmtId="0" fontId="41" fillId="0" borderId="0" xfId="2" applyFont="1" applyFill="1" applyBorder="1" applyAlignment="1">
      <alignment horizontal="right" vertical="center" wrapText="1"/>
    </xf>
    <xf numFmtId="0" fontId="41" fillId="0" borderId="36" xfId="2" applyFont="1" applyFill="1" applyBorder="1" applyAlignment="1">
      <alignment horizontal="right" vertical="center" wrapText="1"/>
    </xf>
    <xf numFmtId="0" fontId="41" fillId="0" borderId="57" xfId="2" applyFont="1" applyFill="1" applyBorder="1" applyAlignment="1">
      <alignment horizontal="right" vertical="center" wrapText="1"/>
    </xf>
    <xf numFmtId="0" fontId="41" fillId="0" borderId="15" xfId="2" applyFont="1" applyFill="1" applyBorder="1" applyAlignment="1">
      <alignment horizontal="right" vertical="center" wrapText="1"/>
    </xf>
    <xf numFmtId="0" fontId="41" fillId="0" borderId="141" xfId="2" applyFont="1" applyFill="1" applyBorder="1" applyAlignment="1">
      <alignment horizontal="right" vertical="center" wrapText="1"/>
    </xf>
    <xf numFmtId="0" fontId="534" fillId="0" borderId="136" xfId="2" applyFont="1" applyFill="1" applyBorder="1" applyAlignment="1">
      <alignment horizontal="center" vertical="center" wrapText="1"/>
    </xf>
    <xf numFmtId="0" fontId="534" fillId="0" borderId="151" xfId="2" applyFont="1" applyFill="1" applyBorder="1" applyAlignment="1">
      <alignment horizontal="center" vertical="center" wrapText="1"/>
    </xf>
    <xf numFmtId="0" fontId="534" fillId="0" borderId="152" xfId="2" applyFont="1" applyFill="1" applyBorder="1" applyAlignment="1">
      <alignment horizontal="center" vertical="center" wrapText="1"/>
    </xf>
    <xf numFmtId="0" fontId="533" fillId="16" borderId="37" xfId="2" applyFont="1" applyFill="1" applyBorder="1" applyAlignment="1">
      <alignment horizontal="center" vertical="center" wrapText="1"/>
    </xf>
    <xf numFmtId="0" fontId="533" fillId="16" borderId="0" xfId="2" applyFont="1" applyFill="1" applyBorder="1" applyAlignment="1">
      <alignment horizontal="center" vertical="center" wrapText="1"/>
    </xf>
    <xf numFmtId="0" fontId="405" fillId="0" borderId="146" xfId="2" applyFont="1" applyBorder="1" applyAlignment="1">
      <alignment horizontal="center" vertical="center" wrapText="1"/>
    </xf>
    <xf numFmtId="0" fontId="405" fillId="0" borderId="51" xfId="2" applyFont="1" applyBorder="1" applyAlignment="1">
      <alignment horizontal="center" vertical="center" wrapText="1"/>
    </xf>
    <xf numFmtId="0" fontId="405" fillId="0" borderId="90" xfId="2" applyFont="1" applyBorder="1" applyAlignment="1">
      <alignment horizontal="center" vertical="center" wrapText="1"/>
    </xf>
    <xf numFmtId="176" fontId="434" fillId="4" borderId="26" xfId="2" applyNumberFormat="1" applyFont="1" applyFill="1" applyBorder="1" applyAlignment="1">
      <alignment horizontal="center" vertical="center"/>
    </xf>
    <xf numFmtId="176" fontId="434" fillId="4" borderId="0" xfId="2" applyNumberFormat="1" applyFont="1" applyFill="1" applyBorder="1" applyAlignment="1">
      <alignment horizontal="center" vertical="center"/>
    </xf>
    <xf numFmtId="181" fontId="434" fillId="4" borderId="26" xfId="7" applyNumberFormat="1" applyFont="1" applyFill="1" applyBorder="1" applyAlignment="1" applyProtection="1">
      <alignment horizontal="center" vertical="center"/>
      <protection locked="0"/>
    </xf>
    <xf numFmtId="181" fontId="434" fillId="4" borderId="0" xfId="7" applyNumberFormat="1" applyFont="1" applyFill="1" applyBorder="1" applyAlignment="1" applyProtection="1">
      <alignment horizontal="center" vertical="center"/>
      <protection locked="0"/>
    </xf>
    <xf numFmtId="174" fontId="434" fillId="4" borderId="26" xfId="2" applyNumberFormat="1" applyFont="1" applyFill="1" applyBorder="1" applyAlignment="1" applyProtection="1">
      <alignment horizontal="center" vertical="center"/>
    </xf>
    <xf numFmtId="174" fontId="434" fillId="4" borderId="0" xfId="2" applyNumberFormat="1" applyFont="1" applyFill="1" applyBorder="1" applyAlignment="1" applyProtection="1">
      <alignment horizontal="center" vertical="center"/>
    </xf>
    <xf numFmtId="1" fontId="104" fillId="4" borderId="146" xfId="7" applyNumberFormat="1" applyFont="1" applyFill="1" applyBorder="1" applyAlignment="1" applyProtection="1">
      <alignment horizontal="center" vertical="center"/>
      <protection locked="0"/>
    </xf>
    <xf numFmtId="1" fontId="104" fillId="4" borderId="51" xfId="7" applyNumberFormat="1" applyFont="1" applyFill="1" applyBorder="1" applyAlignment="1" applyProtection="1">
      <alignment horizontal="center" vertical="center"/>
      <protection locked="0"/>
    </xf>
    <xf numFmtId="0" fontId="43" fillId="5" borderId="20" xfId="2" applyFont="1" applyFill="1" applyBorder="1" applyAlignment="1">
      <alignment horizontal="center" vertical="center"/>
    </xf>
    <xf numFmtId="0" fontId="43" fillId="5" borderId="0" xfId="2" applyFont="1" applyFill="1" applyBorder="1" applyAlignment="1">
      <alignment horizontal="center" vertical="center"/>
    </xf>
    <xf numFmtId="0" fontId="43" fillId="5" borderId="51" xfId="2" applyFont="1" applyFill="1" applyBorder="1" applyAlignment="1">
      <alignment horizontal="center" vertical="center"/>
    </xf>
    <xf numFmtId="0" fontId="41" fillId="45" borderId="54" xfId="3" applyFont="1" applyFill="1" applyBorder="1" applyAlignment="1">
      <alignment horizontal="center" vertical="center"/>
    </xf>
    <xf numFmtId="0" fontId="41" fillId="45" borderId="16" xfId="3" applyFont="1" applyFill="1" applyBorder="1" applyAlignment="1">
      <alignment horizontal="center" vertical="center"/>
    </xf>
    <xf numFmtId="0" fontId="43" fillId="3" borderId="0" xfId="2" applyFont="1" applyFill="1" applyBorder="1" applyAlignment="1">
      <alignment horizontal="center" vertical="center"/>
    </xf>
    <xf numFmtId="0" fontId="526" fillId="4" borderId="64" xfId="2" applyFont="1" applyFill="1" applyBorder="1" applyAlignment="1">
      <alignment horizontal="center" vertical="center"/>
    </xf>
    <xf numFmtId="0" fontId="526" fillId="4" borderId="20" xfId="2" applyFont="1" applyFill="1" applyBorder="1" applyAlignment="1">
      <alignment horizontal="center" vertical="center"/>
    </xf>
    <xf numFmtId="1" fontId="434" fillId="4" borderId="26" xfId="2" applyNumberFormat="1" applyFont="1" applyFill="1" applyBorder="1" applyAlignment="1">
      <alignment horizontal="center" vertical="center"/>
    </xf>
    <xf numFmtId="1" fontId="434" fillId="4" borderId="0" xfId="2" applyNumberFormat="1" applyFont="1" applyFill="1" applyBorder="1" applyAlignment="1">
      <alignment horizontal="center" vertical="center"/>
    </xf>
    <xf numFmtId="1" fontId="434" fillId="4" borderId="26" xfId="7" applyNumberFormat="1" applyFont="1" applyFill="1" applyBorder="1" applyAlignment="1" applyProtection="1">
      <alignment horizontal="center" vertical="center"/>
      <protection locked="0"/>
    </xf>
    <xf numFmtId="1" fontId="434" fillId="4" borderId="0" xfId="7" applyNumberFormat="1" applyFont="1" applyFill="1" applyBorder="1" applyAlignment="1" applyProtection="1">
      <alignment horizontal="center" vertical="center"/>
      <protection locked="0"/>
    </xf>
    <xf numFmtId="0" fontId="33" fillId="44" borderId="122" xfId="2" applyFont="1" applyFill="1" applyBorder="1" applyAlignment="1">
      <alignment horizontal="center" vertical="center"/>
    </xf>
    <xf numFmtId="0" fontId="33" fillId="44" borderId="62" xfId="2" applyFont="1" applyFill="1" applyBorder="1" applyAlignment="1">
      <alignment horizontal="center" vertical="center"/>
    </xf>
    <xf numFmtId="0" fontId="64" fillId="45" borderId="54" xfId="2" applyFont="1" applyFill="1" applyBorder="1" applyAlignment="1">
      <alignment horizontal="center" vertical="center"/>
    </xf>
    <xf numFmtId="0" fontId="64" fillId="45" borderId="16" xfId="2" applyFont="1" applyFill="1" applyBorder="1" applyAlignment="1">
      <alignment horizontal="center" vertical="center"/>
    </xf>
    <xf numFmtId="0" fontId="64" fillId="45" borderId="19" xfId="2" applyFont="1" applyFill="1" applyBorder="1" applyAlignment="1">
      <alignment horizontal="center" vertical="center"/>
    </xf>
    <xf numFmtId="0" fontId="64" fillId="45" borderId="20" xfId="2" applyFont="1" applyFill="1" applyBorder="1" applyAlignment="1">
      <alignment horizontal="center" vertical="center"/>
    </xf>
    <xf numFmtId="0" fontId="64" fillId="45" borderId="0" xfId="2" applyFont="1" applyFill="1" applyBorder="1" applyAlignment="1">
      <alignment horizontal="center" vertical="center"/>
    </xf>
    <xf numFmtId="0" fontId="64" fillId="45" borderId="51" xfId="2" applyFont="1" applyFill="1" applyBorder="1" applyAlignment="1">
      <alignment horizontal="center" vertical="center"/>
    </xf>
    <xf numFmtId="0" fontId="532" fillId="0" borderId="20" xfId="2" applyFont="1" applyBorder="1" applyAlignment="1">
      <alignment horizontal="center" vertical="center" wrapText="1"/>
    </xf>
    <xf numFmtId="0" fontId="48" fillId="0" borderId="26" xfId="2" applyFont="1" applyBorder="1" applyAlignment="1">
      <alignment horizontal="center" vertical="center" textRotation="45"/>
    </xf>
    <xf numFmtId="0" fontId="48" fillId="0" borderId="0" xfId="2" applyFont="1" applyBorder="1" applyAlignment="1">
      <alignment horizontal="center" vertical="center" textRotation="45"/>
    </xf>
    <xf numFmtId="0" fontId="48" fillId="0" borderId="56" xfId="2" applyFont="1" applyBorder="1" applyAlignment="1">
      <alignment horizontal="center" vertical="center" textRotation="45"/>
    </xf>
    <xf numFmtId="180" fontId="48" fillId="0" borderId="0" xfId="2" applyNumberFormat="1" applyFont="1" applyBorder="1" applyAlignment="1">
      <alignment horizontal="center" vertical="center" wrapText="1"/>
    </xf>
    <xf numFmtId="180" fontId="48" fillId="0" borderId="56" xfId="2" applyNumberFormat="1" applyFont="1" applyBorder="1" applyAlignment="1">
      <alignment horizontal="center" vertical="center" wrapText="1"/>
    </xf>
    <xf numFmtId="0" fontId="527" fillId="0" borderId="0" xfId="7" applyFont="1" applyFill="1" applyBorder="1" applyAlignment="1" applyProtection="1">
      <alignment horizontal="center" vertical="center" wrapText="1"/>
      <protection locked="0"/>
    </xf>
    <xf numFmtId="0" fontId="527" fillId="0" borderId="56" xfId="7" applyFont="1" applyFill="1" applyBorder="1" applyAlignment="1" applyProtection="1">
      <alignment horizontal="center" vertical="center" wrapText="1"/>
      <protection locked="0"/>
    </xf>
    <xf numFmtId="0" fontId="48" fillId="0" borderId="0" xfId="7" applyFont="1" applyFill="1" applyBorder="1" applyAlignment="1" applyProtection="1">
      <alignment horizontal="center" vertical="center" wrapText="1"/>
      <protection locked="0"/>
    </xf>
    <xf numFmtId="0" fontId="48" fillId="0" borderId="56" xfId="7" applyFont="1" applyFill="1" applyBorder="1" applyAlignment="1" applyProtection="1">
      <alignment horizontal="center" vertical="center" wrapText="1"/>
      <protection locked="0"/>
    </xf>
    <xf numFmtId="0" fontId="104" fillId="0" borderId="36" xfId="2" applyFont="1" applyBorder="1" applyAlignment="1">
      <alignment horizontal="center" vertical="center" wrapText="1"/>
    </xf>
    <xf numFmtId="0" fontId="104" fillId="0" borderId="119" xfId="2" applyFont="1" applyBorder="1" applyAlignment="1">
      <alignment horizontal="center" vertical="center" wrapText="1"/>
    </xf>
    <xf numFmtId="0" fontId="528" fillId="0" borderId="37" xfId="7" applyFont="1" applyFill="1" applyBorder="1" applyAlignment="1" applyProtection="1">
      <alignment horizontal="center" vertical="center" wrapText="1"/>
      <protection locked="0"/>
    </xf>
    <xf numFmtId="0" fontId="528" fillId="0" borderId="0" xfId="7" applyFont="1" applyFill="1" applyBorder="1" applyAlignment="1" applyProtection="1">
      <alignment horizontal="center" vertical="center" wrapText="1"/>
      <protection locked="0"/>
    </xf>
    <xf numFmtId="0" fontId="528" fillId="0" borderId="118" xfId="7" applyFont="1" applyFill="1" applyBorder="1" applyAlignment="1" applyProtection="1">
      <alignment horizontal="center" vertical="center" wrapText="1"/>
      <protection locked="0"/>
    </xf>
    <xf numFmtId="0" fontId="528" fillId="0" borderId="56" xfId="7" applyFont="1" applyFill="1" applyBorder="1" applyAlignment="1" applyProtection="1">
      <alignment horizontal="center" vertical="center" wrapText="1"/>
      <protection locked="0"/>
    </xf>
    <xf numFmtId="0" fontId="527" fillId="0" borderId="18" xfId="7" applyFont="1" applyFill="1" applyBorder="1" applyAlignment="1" applyProtection="1">
      <alignment horizontal="center" vertical="center" wrapText="1"/>
      <protection locked="0"/>
    </xf>
    <xf numFmtId="0" fontId="527" fillId="0" borderId="27" xfId="7" applyFont="1" applyFill="1" applyBorder="1" applyAlignment="1" applyProtection="1">
      <alignment horizontal="center" vertical="center" wrapText="1"/>
      <protection locked="0"/>
    </xf>
    <xf numFmtId="0" fontId="527" fillId="0" borderId="22" xfId="7" applyFont="1" applyFill="1" applyBorder="1" applyAlignment="1" applyProtection="1">
      <alignment horizontal="center" vertical="center" wrapText="1"/>
      <protection locked="0"/>
    </xf>
    <xf numFmtId="0" fontId="48" fillId="0" borderId="145" xfId="2" applyFont="1" applyBorder="1" applyAlignment="1">
      <alignment horizontal="center" vertical="center" wrapText="1"/>
    </xf>
    <xf numFmtId="0" fontId="48" fillId="0" borderId="36" xfId="2" applyFont="1" applyBorder="1" applyAlignment="1">
      <alignment horizontal="center" vertical="center" wrapText="1"/>
    </xf>
    <xf numFmtId="0" fontId="48" fillId="0" borderId="119" xfId="2" applyFont="1" applyBorder="1" applyAlignment="1">
      <alignment horizontal="center" vertical="center" wrapText="1"/>
    </xf>
    <xf numFmtId="0" fontId="528" fillId="0" borderId="70" xfId="7" applyFont="1" applyFill="1" applyBorder="1" applyAlignment="1" applyProtection="1">
      <alignment horizontal="center" vertical="center" wrapText="1"/>
      <protection locked="0"/>
    </xf>
    <xf numFmtId="0" fontId="528" fillId="0" borderId="16" xfId="7" applyFont="1" applyFill="1" applyBorder="1" applyAlignment="1" applyProtection="1">
      <alignment horizontal="center" vertical="center" wrapText="1"/>
      <protection locked="0"/>
    </xf>
    <xf numFmtId="0" fontId="528" fillId="0" borderId="19" xfId="7" applyFont="1" applyFill="1" applyBorder="1" applyAlignment="1" applyProtection="1">
      <alignment horizontal="center" vertical="center" wrapText="1"/>
      <protection locked="0"/>
    </xf>
    <xf numFmtId="0" fontId="528" fillId="0" borderId="51" xfId="7" applyFont="1" applyFill="1" applyBorder="1" applyAlignment="1" applyProtection="1">
      <alignment horizontal="center" vertical="center" wrapText="1"/>
      <protection locked="0"/>
    </xf>
    <xf numFmtId="0" fontId="528" fillId="0" borderId="24" xfId="7" applyFont="1" applyFill="1" applyBorder="1" applyAlignment="1" applyProtection="1">
      <alignment horizontal="center" vertical="center" wrapText="1"/>
      <protection locked="0"/>
    </xf>
    <xf numFmtId="165" fontId="42" fillId="0" borderId="122" xfId="2" applyNumberFormat="1" applyFont="1" applyFill="1" applyBorder="1" applyAlignment="1">
      <alignment horizontal="center" vertical="center"/>
    </xf>
    <xf numFmtId="165" fontId="42" fillId="0" borderId="123" xfId="2" applyNumberFormat="1" applyFont="1" applyFill="1" applyBorder="1" applyAlignment="1">
      <alignment horizontal="center" vertical="center"/>
    </xf>
    <xf numFmtId="165" fontId="50" fillId="0" borderId="121" xfId="2" applyNumberFormat="1" applyFont="1" applyFill="1" applyBorder="1" applyAlignment="1">
      <alignment horizontal="center" vertical="center"/>
    </xf>
    <xf numFmtId="0" fontId="90" fillId="16" borderId="26" xfId="2" applyFont="1" applyFill="1" applyBorder="1" applyAlignment="1">
      <alignment horizontal="center" vertical="center" wrapText="1"/>
    </xf>
    <xf numFmtId="0" fontId="90" fillId="16" borderId="0" xfId="2" applyFont="1" applyFill="1" applyBorder="1" applyAlignment="1">
      <alignment horizontal="center" vertical="center" wrapText="1"/>
    </xf>
    <xf numFmtId="0" fontId="90" fillId="16" borderId="144" xfId="2" applyFont="1" applyFill="1" applyBorder="1" applyAlignment="1">
      <alignment horizontal="center" vertical="center" wrapText="1"/>
    </xf>
    <xf numFmtId="0" fontId="90" fillId="16" borderId="56" xfId="2" applyFont="1" applyFill="1" applyBorder="1" applyAlignment="1">
      <alignment horizontal="center" vertical="center" wrapText="1"/>
    </xf>
    <xf numFmtId="0" fontId="90" fillId="16" borderId="119" xfId="2" applyFont="1" applyFill="1" applyBorder="1" applyAlignment="1">
      <alignment horizontal="center" vertical="center" wrapText="1"/>
    </xf>
    <xf numFmtId="0" fontId="525" fillId="0" borderId="37" xfId="2" applyFont="1" applyBorder="1" applyAlignment="1">
      <alignment horizontal="center" vertical="top" wrapText="1"/>
    </xf>
    <xf numFmtId="0" fontId="525" fillId="0" borderId="0" xfId="2" applyFont="1" applyBorder="1" applyAlignment="1">
      <alignment horizontal="center" vertical="top" wrapText="1"/>
    </xf>
    <xf numFmtId="0" fontId="525" fillId="0" borderId="51" xfId="2" applyFont="1" applyBorder="1" applyAlignment="1">
      <alignment horizontal="center" vertical="top" wrapText="1"/>
    </xf>
    <xf numFmtId="2" fontId="434" fillId="4" borderId="26" xfId="2" applyNumberFormat="1" applyFont="1" applyFill="1" applyBorder="1" applyAlignment="1">
      <alignment horizontal="center" vertical="center"/>
    </xf>
    <xf numFmtId="165" fontId="434" fillId="4" borderId="26" xfId="2" applyNumberFormat="1" applyFont="1" applyFill="1" applyBorder="1" applyAlignment="1">
      <alignment horizontal="center" vertical="center"/>
    </xf>
    <xf numFmtId="165" fontId="434" fillId="4" borderId="144" xfId="2" applyNumberFormat="1" applyFont="1" applyFill="1" applyBorder="1" applyAlignment="1">
      <alignment horizontal="center" vertical="center"/>
    </xf>
    <xf numFmtId="1" fontId="42" fillId="4" borderId="146" xfId="7" applyNumberFormat="1" applyFont="1" applyFill="1" applyBorder="1" applyAlignment="1" applyProtection="1">
      <alignment horizontal="left" vertical="center"/>
      <protection locked="0"/>
    </xf>
    <xf numFmtId="1" fontId="42" fillId="4" borderId="51" xfId="7" applyNumberFormat="1" applyFont="1" applyFill="1" applyBorder="1" applyAlignment="1" applyProtection="1">
      <alignment horizontal="left" vertical="center"/>
      <protection locked="0"/>
    </xf>
    <xf numFmtId="0" fontId="64" fillId="45" borderId="54" xfId="2" applyFont="1" applyFill="1" applyBorder="1" applyAlignment="1">
      <alignment horizontal="center" vertical="center" wrapText="1"/>
    </xf>
    <xf numFmtId="0" fontId="64" fillId="45" borderId="16" xfId="2" applyFont="1" applyFill="1" applyBorder="1" applyAlignment="1">
      <alignment horizontal="center" vertical="center" wrapText="1"/>
    </xf>
    <xf numFmtId="0" fontId="64" fillId="45" borderId="19" xfId="2" applyFont="1" applyFill="1" applyBorder="1" applyAlignment="1">
      <alignment horizontal="center" vertical="center" wrapText="1"/>
    </xf>
    <xf numFmtId="0" fontId="64" fillId="45" borderId="55" xfId="2" applyFont="1" applyFill="1" applyBorder="1" applyAlignment="1">
      <alignment horizontal="center" vertical="center" wrapText="1"/>
    </xf>
    <xf numFmtId="0" fontId="64" fillId="45" borderId="56" xfId="2" applyFont="1" applyFill="1" applyBorder="1" applyAlignment="1">
      <alignment horizontal="center" vertical="center" wrapText="1"/>
    </xf>
    <xf numFmtId="0" fontId="64" fillId="45" borderId="24" xfId="2" applyFont="1" applyFill="1" applyBorder="1" applyAlignment="1">
      <alignment horizontal="center" vertical="center" wrapText="1"/>
    </xf>
    <xf numFmtId="0" fontId="90" fillId="16" borderId="64" xfId="2" applyFont="1" applyFill="1" applyBorder="1" applyAlignment="1">
      <alignment horizontal="center" vertical="center" wrapText="1"/>
    </xf>
    <xf numFmtId="0" fontId="90" fillId="16" borderId="55" xfId="2" applyFont="1" applyFill="1" applyBorder="1" applyAlignment="1">
      <alignment horizontal="center" vertical="center" wrapText="1"/>
    </xf>
    <xf numFmtId="0" fontId="48" fillId="0" borderId="26" xfId="2" applyFont="1" applyBorder="1" applyAlignment="1">
      <alignment horizontal="center" vertical="center" textRotation="90"/>
    </xf>
    <xf numFmtId="0" fontId="48" fillId="0" borderId="0" xfId="2" applyFont="1" applyBorder="1" applyAlignment="1">
      <alignment horizontal="center" vertical="center" textRotation="90"/>
    </xf>
    <xf numFmtId="0" fontId="531" fillId="16" borderId="26" xfId="2" applyFont="1" applyFill="1" applyBorder="1" applyAlignment="1">
      <alignment horizontal="center" vertical="center" wrapText="1"/>
    </xf>
    <xf numFmtId="0" fontId="531" fillId="16" borderId="0" xfId="2" applyFont="1" applyFill="1" applyBorder="1" applyAlignment="1">
      <alignment horizontal="center" vertical="center" wrapText="1"/>
    </xf>
    <xf numFmtId="0" fontId="154" fillId="16" borderId="26" xfId="2" applyFont="1" applyFill="1" applyBorder="1" applyAlignment="1">
      <alignment horizontal="center" vertical="center" wrapText="1"/>
    </xf>
    <xf numFmtId="0" fontId="154" fillId="16" borderId="0" xfId="2" applyFont="1" applyFill="1" applyBorder="1" applyAlignment="1">
      <alignment horizontal="center" vertical="center" wrapText="1"/>
    </xf>
    <xf numFmtId="0" fontId="488" fillId="16" borderId="26" xfId="2" applyFont="1" applyFill="1" applyBorder="1" applyAlignment="1">
      <alignment horizontal="center" vertical="center" wrapText="1"/>
    </xf>
    <xf numFmtId="0" fontId="488" fillId="16" borderId="0" xfId="2" applyFont="1" applyFill="1" applyBorder="1" applyAlignment="1">
      <alignment horizontal="center" vertical="center" wrapText="1"/>
    </xf>
    <xf numFmtId="1" fontId="90" fillId="4" borderId="26" xfId="7" applyNumberFormat="1" applyFont="1" applyFill="1" applyBorder="1" applyAlignment="1" applyProtection="1">
      <alignment horizontal="left" vertical="center"/>
      <protection locked="0"/>
    </xf>
    <xf numFmtId="1" fontId="90" fillId="4" borderId="0" xfId="7" applyNumberFormat="1" applyFont="1" applyFill="1" applyBorder="1" applyAlignment="1" applyProtection="1">
      <alignment horizontal="left" vertical="center"/>
      <protection locked="0"/>
    </xf>
    <xf numFmtId="0" fontId="104" fillId="0" borderId="145" xfId="2" applyFont="1" applyBorder="1" applyAlignment="1">
      <alignment horizontal="center" vertical="center" wrapText="1"/>
    </xf>
    <xf numFmtId="0" fontId="525" fillId="0" borderId="118" xfId="2" applyFont="1" applyBorder="1" applyAlignment="1">
      <alignment horizontal="center" vertical="top" wrapText="1"/>
    </xf>
    <xf numFmtId="0" fontId="525" fillId="0" borderId="56" xfId="2" applyFont="1" applyBorder="1" applyAlignment="1">
      <alignment horizontal="center" vertical="top" wrapText="1"/>
    </xf>
    <xf numFmtId="0" fontId="525" fillId="0" borderId="24" xfId="2" applyFont="1" applyBorder="1" applyAlignment="1">
      <alignment horizontal="center" vertical="top" wrapText="1"/>
    </xf>
    <xf numFmtId="0" fontId="532" fillId="0" borderId="54" xfId="2" applyFont="1" applyBorder="1" applyAlignment="1">
      <alignment horizontal="center" vertical="center" wrapText="1"/>
    </xf>
    <xf numFmtId="0" fontId="532" fillId="0" borderId="55" xfId="2" applyFont="1" applyBorder="1" applyAlignment="1">
      <alignment horizontal="center" vertical="center" wrapText="1"/>
    </xf>
    <xf numFmtId="0" fontId="48" fillId="0" borderId="16" xfId="2" applyFont="1" applyBorder="1" applyAlignment="1">
      <alignment horizontal="center" vertical="center" textRotation="45"/>
    </xf>
    <xf numFmtId="180" fontId="48" fillId="0" borderId="16" xfId="2" applyNumberFormat="1" applyFont="1" applyBorder="1" applyAlignment="1">
      <alignment horizontal="center" vertical="center" wrapText="1"/>
    </xf>
    <xf numFmtId="0" fontId="527" fillId="0" borderId="16" xfId="7" applyFont="1" applyFill="1" applyBorder="1" applyAlignment="1" applyProtection="1">
      <alignment horizontal="center" vertical="center" wrapText="1"/>
      <protection locked="0"/>
    </xf>
    <xf numFmtId="0" fontId="48" fillId="0" borderId="16" xfId="7" applyFont="1" applyFill="1" applyBorder="1" applyAlignment="1" applyProtection="1">
      <alignment horizontal="center" vertical="center" wrapText="1"/>
      <protection locked="0"/>
    </xf>
    <xf numFmtId="0" fontId="531" fillId="16" borderId="56" xfId="2" applyFont="1" applyFill="1" applyBorder="1" applyAlignment="1">
      <alignment horizontal="center" vertical="center" wrapText="1"/>
    </xf>
    <xf numFmtId="1" fontId="42" fillId="4" borderId="51" xfId="7" applyNumberFormat="1" applyFont="1" applyFill="1" applyBorder="1" applyAlignment="1" applyProtection="1">
      <alignment horizontal="center" vertical="center"/>
      <protection locked="0"/>
    </xf>
    <xf numFmtId="0" fontId="77" fillId="45" borderId="64" xfId="2" applyFont="1" applyFill="1" applyBorder="1" applyAlignment="1">
      <alignment horizontal="center" vertical="center" wrapText="1"/>
    </xf>
    <xf numFmtId="0" fontId="77" fillId="45" borderId="26" xfId="2" applyFont="1" applyFill="1" applyBorder="1" applyAlignment="1">
      <alignment horizontal="center" vertical="center" wrapText="1"/>
    </xf>
    <xf numFmtId="0" fontId="77" fillId="45" borderId="55" xfId="2" applyFont="1" applyFill="1" applyBorder="1" applyAlignment="1">
      <alignment horizontal="center" vertical="center" wrapText="1"/>
    </xf>
    <xf numFmtId="0" fontId="77" fillId="45" borderId="56" xfId="2" applyFont="1" applyFill="1" applyBorder="1" applyAlignment="1">
      <alignment horizontal="center" vertical="center" wrapText="1"/>
    </xf>
    <xf numFmtId="0" fontId="530" fillId="16" borderId="26" xfId="2" applyFont="1" applyFill="1" applyBorder="1" applyAlignment="1">
      <alignment horizontal="right" vertical="center" wrapText="1"/>
    </xf>
    <xf numFmtId="0" fontId="530" fillId="16" borderId="56" xfId="2" applyFont="1" applyFill="1" applyBorder="1" applyAlignment="1">
      <alignment horizontal="right" vertical="center" wrapText="1"/>
    </xf>
    <xf numFmtId="165" fontId="39" fillId="37" borderId="26" xfId="2" applyNumberFormat="1" applyFont="1" applyFill="1" applyBorder="1" applyAlignment="1">
      <alignment horizontal="center" vertical="center" wrapText="1"/>
    </xf>
    <xf numFmtId="165" fontId="39" fillId="37" borderId="56" xfId="2" applyNumberFormat="1" applyFont="1" applyFill="1" applyBorder="1" applyAlignment="1">
      <alignment horizontal="center" vertical="center" wrapText="1"/>
    </xf>
    <xf numFmtId="0" fontId="54" fillId="4" borderId="64" xfId="2" applyFont="1" applyFill="1" applyBorder="1" applyAlignment="1">
      <alignment horizontal="center" vertical="center"/>
    </xf>
    <xf numFmtId="0" fontId="54" fillId="4" borderId="26" xfId="2" applyFont="1" applyFill="1" applyBorder="1" applyAlignment="1">
      <alignment horizontal="center" vertical="center"/>
    </xf>
    <xf numFmtId="0" fontId="54" fillId="4" borderId="146" xfId="2" applyFont="1" applyFill="1" applyBorder="1" applyAlignment="1">
      <alignment horizontal="center" vertical="center"/>
    </xf>
    <xf numFmtId="176" fontId="434" fillId="4" borderId="0" xfId="2" applyNumberFormat="1" applyFont="1" applyFill="1" applyBorder="1" applyAlignment="1">
      <alignment horizontal="right" vertical="center"/>
    </xf>
    <xf numFmtId="176" fontId="434" fillId="4" borderId="0" xfId="2" applyNumberFormat="1" applyFont="1" applyFill="1" applyBorder="1" applyAlignment="1">
      <alignment horizontal="left" vertical="center"/>
    </xf>
    <xf numFmtId="0" fontId="527" fillId="0" borderId="20" xfId="2" applyFont="1" applyBorder="1" applyAlignment="1">
      <alignment horizontal="center" vertical="center" wrapText="1"/>
    </xf>
    <xf numFmtId="0" fontId="48" fillId="0" borderId="0" xfId="2" applyFont="1" applyBorder="1" applyAlignment="1">
      <alignment horizontal="center" vertical="top" wrapText="1"/>
    </xf>
    <xf numFmtId="0" fontId="48" fillId="0" borderId="51" xfId="2" applyFont="1" applyBorder="1" applyAlignment="1">
      <alignment horizontal="center" vertical="top" wrapText="1"/>
    </xf>
    <xf numFmtId="0" fontId="526" fillId="4" borderId="57" xfId="2" applyFont="1" applyFill="1" applyBorder="1" applyAlignment="1">
      <alignment horizontal="center" vertical="center"/>
    </xf>
    <xf numFmtId="1" fontId="434" fillId="4" borderId="15" xfId="2" applyNumberFormat="1" applyFont="1" applyFill="1" applyBorder="1" applyAlignment="1">
      <alignment horizontal="center" vertical="center"/>
    </xf>
    <xf numFmtId="2" fontId="50" fillId="4" borderId="0" xfId="2" applyNumberFormat="1" applyFont="1" applyFill="1" applyBorder="1" applyAlignment="1">
      <alignment horizontal="right" vertical="center"/>
    </xf>
    <xf numFmtId="2" fontId="50" fillId="4" borderId="15" xfId="2" applyNumberFormat="1" applyFont="1" applyFill="1" applyBorder="1" applyAlignment="1">
      <alignment horizontal="right" vertical="center"/>
    </xf>
    <xf numFmtId="2" fontId="50" fillId="4" borderId="0" xfId="2" applyNumberFormat="1" applyFont="1" applyFill="1" applyBorder="1" applyAlignment="1">
      <alignment horizontal="left" vertical="center"/>
    </xf>
    <xf numFmtId="2" fontId="50" fillId="4" borderId="15" xfId="2" applyNumberFormat="1" applyFont="1" applyFill="1" applyBorder="1" applyAlignment="1">
      <alignment horizontal="left" vertical="center"/>
    </xf>
    <xf numFmtId="0" fontId="402" fillId="7" borderId="20" xfId="2" applyFont="1" applyFill="1" applyBorder="1" applyAlignment="1">
      <alignment horizontal="center" vertical="center" wrapText="1"/>
    </xf>
    <xf numFmtId="0" fontId="402" fillId="7" borderId="0" xfId="2" applyFont="1" applyFill="1" applyBorder="1" applyAlignment="1">
      <alignment horizontal="center" vertical="center" wrapText="1"/>
    </xf>
    <xf numFmtId="0" fontId="402" fillId="7" borderId="51" xfId="2" applyFont="1" applyFill="1" applyBorder="1" applyAlignment="1">
      <alignment horizontal="center" vertical="center" wrapText="1"/>
    </xf>
    <xf numFmtId="0" fontId="402" fillId="7" borderId="55" xfId="2" applyFont="1" applyFill="1" applyBorder="1" applyAlignment="1">
      <alignment horizontal="center" vertical="center" wrapText="1"/>
    </xf>
    <xf numFmtId="0" fontId="402" fillId="7" borderId="56" xfId="2" applyFont="1" applyFill="1" applyBorder="1" applyAlignment="1">
      <alignment horizontal="center" vertical="center" wrapText="1"/>
    </xf>
    <xf numFmtId="0" fontId="402" fillId="7" borderId="24" xfId="2" applyFont="1" applyFill="1" applyBorder="1" applyAlignment="1">
      <alignment horizontal="center" vertical="center" wrapText="1"/>
    </xf>
    <xf numFmtId="0" fontId="90" fillId="16" borderId="20" xfId="2" applyFont="1" applyFill="1" applyBorder="1" applyAlignment="1">
      <alignment horizontal="center" vertical="center" wrapText="1"/>
    </xf>
    <xf numFmtId="0" fontId="48" fillId="16" borderId="26" xfId="2" applyFont="1" applyFill="1" applyBorder="1" applyAlignment="1">
      <alignment horizontal="center" vertical="center" wrapText="1"/>
    </xf>
    <xf numFmtId="0" fontId="48" fillId="16" borderId="0" xfId="2" applyFont="1" applyFill="1" applyBorder="1" applyAlignment="1">
      <alignment horizontal="center" vertical="center" wrapText="1"/>
    </xf>
    <xf numFmtId="0" fontId="8" fillId="0" borderId="0" xfId="2" applyFont="1" applyBorder="1" applyAlignment="1">
      <alignment horizontal="center" vertical="center" wrapText="1"/>
    </xf>
    <xf numFmtId="0" fontId="8" fillId="0" borderId="51" xfId="2" applyFont="1" applyBorder="1" applyAlignment="1">
      <alignment horizontal="center" vertical="center" wrapText="1"/>
    </xf>
    <xf numFmtId="0" fontId="31" fillId="39" borderId="76" xfId="7" applyFont="1" applyFill="1" applyBorder="1" applyAlignment="1" applyProtection="1">
      <alignment horizontal="center" vertical="center" wrapText="1"/>
      <protection locked="0"/>
    </xf>
    <xf numFmtId="0" fontId="31" fillId="39" borderId="15" xfId="7" applyFont="1" applyFill="1" applyBorder="1" applyAlignment="1" applyProtection="1">
      <alignment horizontal="center" vertical="center" wrapText="1"/>
      <protection locked="0"/>
    </xf>
    <xf numFmtId="0" fontId="35" fillId="39" borderId="140" xfId="7" applyNumberFormat="1" applyFont="1" applyFill="1" applyBorder="1" applyAlignment="1" applyProtection="1">
      <alignment horizontal="center" vertical="center"/>
      <protection locked="0"/>
    </xf>
    <xf numFmtId="0" fontId="35" fillId="39" borderId="15" xfId="7" applyNumberFormat="1" applyFont="1" applyFill="1" applyBorder="1" applyAlignment="1" applyProtection="1">
      <alignment horizontal="center" vertical="center"/>
      <protection locked="0"/>
    </xf>
    <xf numFmtId="165" fontId="33" fillId="3" borderId="142" xfId="7" applyNumberFormat="1" applyFont="1" applyFill="1" applyBorder="1" applyAlignment="1" applyProtection="1">
      <alignment horizontal="center" vertical="center"/>
      <protection locked="0"/>
    </xf>
    <xf numFmtId="165" fontId="33" fillId="3" borderId="141" xfId="7" applyNumberFormat="1" applyFont="1" applyFill="1" applyBorder="1" applyAlignment="1" applyProtection="1">
      <alignment horizontal="center" vertical="center"/>
      <protection locked="0"/>
    </xf>
    <xf numFmtId="0" fontId="521" fillId="43" borderId="0" xfId="2" applyFont="1" applyFill="1" applyAlignment="1">
      <alignment horizontal="center" vertical="center"/>
    </xf>
    <xf numFmtId="0" fontId="50" fillId="44" borderId="1" xfId="2" applyFont="1" applyFill="1" applyBorder="1" applyAlignment="1">
      <alignment horizontal="center" vertical="center"/>
    </xf>
    <xf numFmtId="0" fontId="50" fillId="44" borderId="20" xfId="2" applyFont="1" applyFill="1" applyBorder="1" applyAlignment="1">
      <alignment horizontal="center" vertical="center"/>
    </xf>
    <xf numFmtId="14" fontId="8" fillId="0" borderId="2" xfId="2" applyNumberFormat="1" applyFont="1" applyBorder="1" applyAlignment="1">
      <alignment horizontal="center" vertical="center"/>
    </xf>
    <xf numFmtId="14" fontId="8" fillId="0" borderId="0" xfId="2" applyNumberFormat="1" applyFont="1" applyBorder="1" applyAlignment="1">
      <alignment horizontal="center" vertical="center"/>
    </xf>
    <xf numFmtId="0" fontId="64" fillId="45" borderId="2" xfId="2" applyFont="1" applyFill="1" applyBorder="1" applyAlignment="1">
      <alignment horizontal="center" vertical="center"/>
    </xf>
    <xf numFmtId="0" fontId="50" fillId="44" borderId="2" xfId="2" applyFont="1" applyFill="1" applyBorder="1" applyAlignment="1">
      <alignment horizontal="center" vertical="center"/>
    </xf>
    <xf numFmtId="0" fontId="50" fillId="44" borderId="0" xfId="2" applyFont="1" applyFill="1" applyBorder="1" applyAlignment="1">
      <alignment horizontal="center" vertical="center"/>
    </xf>
    <xf numFmtId="0" fontId="171" fillId="16" borderId="2" xfId="2" applyFont="1" applyFill="1" applyBorder="1" applyAlignment="1">
      <alignment horizontal="center" vertical="center"/>
    </xf>
    <xf numFmtId="0" fontId="171" fillId="16" borderId="0" xfId="2" applyFont="1" applyFill="1" applyBorder="1" applyAlignment="1">
      <alignment horizontal="center" vertical="center"/>
    </xf>
    <xf numFmtId="0" fontId="171" fillId="16" borderId="3" xfId="2" applyFont="1" applyFill="1" applyBorder="1" applyAlignment="1">
      <alignment horizontal="center" vertical="center"/>
    </xf>
    <xf numFmtId="0" fontId="171" fillId="16" borderId="51" xfId="2" applyFont="1" applyFill="1" applyBorder="1" applyAlignment="1">
      <alignment horizontal="center" vertical="center"/>
    </xf>
    <xf numFmtId="0" fontId="274" fillId="37" borderId="27" xfId="7" applyFont="1" applyFill="1" applyBorder="1" applyAlignment="1">
      <alignment horizontal="center" vertical="center"/>
    </xf>
    <xf numFmtId="0" fontId="274" fillId="37" borderId="0" xfId="7" applyFont="1" applyFill="1" applyBorder="1" applyAlignment="1">
      <alignment horizontal="center" vertical="center"/>
    </xf>
    <xf numFmtId="0" fontId="33" fillId="16" borderId="142" xfId="7" applyFont="1" applyFill="1" applyBorder="1" applyAlignment="1">
      <alignment horizontal="center" vertical="center"/>
    </xf>
    <xf numFmtId="0" fontId="33" fillId="16" borderId="15" xfId="7" applyFont="1" applyFill="1" applyBorder="1" applyAlignment="1">
      <alignment horizontal="center" vertical="center"/>
    </xf>
    <xf numFmtId="0" fontId="33" fillId="16" borderId="58" xfId="7" applyFont="1" applyFill="1" applyBorder="1" applyAlignment="1">
      <alignment horizontal="center" vertical="center"/>
    </xf>
    <xf numFmtId="0" fontId="518" fillId="0" borderId="143" xfId="7" applyFont="1" applyFill="1" applyBorder="1" applyAlignment="1" applyProtection="1">
      <alignment horizontal="center" vertical="center"/>
      <protection locked="0"/>
    </xf>
    <xf numFmtId="0" fontId="518" fillId="0" borderId="26" xfId="7" applyFont="1" applyFill="1" applyBorder="1" applyAlignment="1" applyProtection="1">
      <alignment horizontal="center" vertical="center"/>
      <protection locked="0"/>
    </xf>
    <xf numFmtId="0" fontId="518" fillId="0" borderId="144" xfId="7" applyFont="1" applyFill="1" applyBorder="1" applyAlignment="1" applyProtection="1">
      <alignment horizontal="center" vertical="center"/>
      <protection locked="0"/>
    </xf>
    <xf numFmtId="0" fontId="102" fillId="0" borderId="136" xfId="7" applyFont="1" applyFill="1" applyBorder="1" applyAlignment="1" applyProtection="1">
      <alignment horizontal="center" vertical="center" wrapText="1"/>
      <protection locked="0"/>
    </xf>
    <xf numFmtId="0" fontId="42" fillId="0" borderId="16" xfId="7" applyFont="1" applyFill="1" applyBorder="1" applyAlignment="1" applyProtection="1">
      <alignment horizontal="center" vertical="center" wrapText="1"/>
      <protection locked="0"/>
    </xf>
    <xf numFmtId="0" fontId="42" fillId="0" borderId="145" xfId="7" applyFont="1" applyFill="1" applyBorder="1" applyAlignment="1" applyProtection="1">
      <alignment horizontal="center" vertical="center" wrapText="1"/>
      <protection locked="0"/>
    </xf>
    <xf numFmtId="0" fontId="41" fillId="0" borderId="70" xfId="7" applyFont="1" applyFill="1" applyBorder="1" applyAlignment="1" applyProtection="1">
      <alignment horizontal="center" vertical="center"/>
      <protection locked="0"/>
    </xf>
    <xf numFmtId="0" fontId="41" fillId="0" borderId="16" xfId="7" applyFont="1" applyFill="1" applyBorder="1" applyAlignment="1" applyProtection="1">
      <alignment horizontal="center" vertical="center"/>
      <protection locked="0"/>
    </xf>
    <xf numFmtId="0" fontId="518" fillId="0" borderId="135" xfId="7" applyFont="1" applyFill="1" applyBorder="1" applyAlignment="1" applyProtection="1">
      <alignment horizontal="center" vertical="center"/>
      <protection locked="0"/>
    </xf>
    <xf numFmtId="0" fontId="518" fillId="0" borderId="136" xfId="7" applyFont="1" applyFill="1" applyBorder="1" applyAlignment="1" applyProtection="1">
      <alignment horizontal="center" vertical="center"/>
      <protection locked="0"/>
    </xf>
    <xf numFmtId="0" fontId="50" fillId="0" borderId="136" xfId="7" applyFont="1" applyFill="1" applyBorder="1" applyAlignment="1" applyProtection="1">
      <alignment horizontal="center" vertical="center" wrapText="1"/>
      <protection locked="0"/>
    </xf>
    <xf numFmtId="0" fontId="41" fillId="3" borderId="138" xfId="7" applyFont="1" applyFill="1" applyBorder="1" applyAlignment="1" applyProtection="1">
      <alignment horizontal="center" vertical="center"/>
      <protection locked="0"/>
    </xf>
    <xf numFmtId="0" fontId="41" fillId="3" borderId="26" xfId="7" applyFont="1" applyFill="1" applyBorder="1" applyAlignment="1" applyProtection="1">
      <alignment horizontal="center" vertical="center"/>
      <protection locked="0"/>
    </xf>
    <xf numFmtId="0" fontId="31" fillId="39" borderId="15" xfId="7" applyFont="1" applyFill="1" applyBorder="1" applyAlignment="1" applyProtection="1">
      <alignment horizontal="left" vertical="center"/>
      <protection locked="0"/>
    </xf>
    <xf numFmtId="0" fontId="33" fillId="3" borderId="15" xfId="7" applyNumberFormat="1" applyFont="1" applyFill="1" applyBorder="1" applyAlignment="1" applyProtection="1">
      <alignment horizontal="left" vertical="center"/>
      <protection locked="0"/>
    </xf>
    <xf numFmtId="0" fontId="31" fillId="38" borderId="129" xfId="7" applyFont="1" applyFill="1" applyBorder="1" applyAlignment="1" applyProtection="1">
      <alignment horizontal="right" vertical="center" wrapText="1"/>
      <protection locked="0"/>
    </xf>
    <xf numFmtId="0" fontId="31" fillId="38" borderId="116" xfId="7" applyFont="1" applyFill="1" applyBorder="1" applyAlignment="1" applyProtection="1">
      <alignment horizontal="right" vertical="center" wrapText="1"/>
      <protection locked="0"/>
    </xf>
    <xf numFmtId="0" fontId="33" fillId="3" borderId="62" xfId="7" applyNumberFormat="1" applyFont="1" applyFill="1" applyBorder="1" applyAlignment="1" applyProtection="1">
      <alignment horizontal="left" vertical="center"/>
      <protection locked="0"/>
    </xf>
    <xf numFmtId="0" fontId="31" fillId="38" borderId="131" xfId="7" applyFont="1" applyFill="1" applyBorder="1" applyAlignment="1" applyProtection="1">
      <alignment horizontal="right" vertical="center" wrapText="1"/>
      <protection locked="0"/>
    </xf>
    <xf numFmtId="0" fontId="31" fillId="38" borderId="132" xfId="7" applyFont="1" applyFill="1" applyBorder="1" applyAlignment="1" applyProtection="1">
      <alignment horizontal="right" vertical="center" wrapText="1"/>
      <protection locked="0"/>
    </xf>
    <xf numFmtId="0" fontId="33" fillId="3" borderId="126" xfId="7" applyNumberFormat="1" applyFont="1" applyFill="1" applyBorder="1" applyAlignment="1" applyProtection="1">
      <alignment horizontal="left" vertical="center"/>
      <protection locked="0"/>
    </xf>
    <xf numFmtId="0" fontId="426" fillId="36" borderId="1" xfId="7" applyFont="1" applyFill="1" applyBorder="1" applyAlignment="1">
      <alignment horizontal="center" vertical="center"/>
    </xf>
    <xf numFmtId="0" fontId="426" fillId="36" borderId="2" xfId="7" applyFont="1" applyFill="1" applyBorder="1" applyAlignment="1">
      <alignment horizontal="center" vertical="center"/>
    </xf>
    <xf numFmtId="0" fontId="274" fillId="37" borderId="108" xfId="7" applyFont="1" applyFill="1" applyBorder="1" applyAlignment="1">
      <alignment horizontal="center" vertical="center"/>
    </xf>
    <xf numFmtId="0" fontId="33" fillId="16" borderId="104" xfId="7" applyFont="1" applyFill="1" applyBorder="1" applyAlignment="1">
      <alignment horizontal="center" vertical="center"/>
    </xf>
    <xf numFmtId="0" fontId="33" fillId="16" borderId="0" xfId="7" applyFont="1" applyFill="1" applyBorder="1" applyAlignment="1">
      <alignment horizontal="center" vertical="center"/>
    </xf>
    <xf numFmtId="0" fontId="33" fillId="16" borderId="21" xfId="7" applyFont="1" applyFill="1" applyBorder="1" applyAlignment="1">
      <alignment horizontal="center" vertical="center"/>
    </xf>
    <xf numFmtId="0" fontId="31" fillId="38" borderId="115" xfId="7" applyFont="1" applyFill="1" applyBorder="1" applyAlignment="1" applyProtection="1">
      <alignment horizontal="right" vertical="center" wrapText="1"/>
      <protection locked="0"/>
    </xf>
    <xf numFmtId="0" fontId="33" fillId="3" borderId="113" xfId="6" applyNumberFormat="1" applyFont="1" applyFill="1" applyBorder="1" applyAlignment="1">
      <alignment horizontal="center" vertical="center"/>
    </xf>
    <xf numFmtId="0" fontId="33" fillId="3" borderId="114" xfId="6" applyNumberFormat="1" applyFont="1" applyFill="1" applyBorder="1" applyAlignment="1">
      <alignment horizontal="center" vertical="center"/>
    </xf>
    <xf numFmtId="0" fontId="33" fillId="3" borderId="116" xfId="7" applyNumberFormat="1" applyFont="1" applyFill="1" applyBorder="1" applyAlignment="1" applyProtection="1">
      <alignment horizontal="left" vertical="center"/>
      <protection locked="0"/>
    </xf>
    <xf numFmtId="0" fontId="274" fillId="37" borderId="93" xfId="7" applyFont="1" applyFill="1" applyBorder="1" applyAlignment="1">
      <alignment horizontal="center" vertical="center"/>
    </xf>
    <xf numFmtId="0" fontId="274" fillId="37" borderId="94" xfId="2" applyFont="1" applyFill="1" applyBorder="1" applyAlignment="1">
      <alignment horizontal="center" vertical="center"/>
    </xf>
    <xf numFmtId="0" fontId="33" fillId="16" borderId="93" xfId="7" applyFont="1" applyFill="1" applyBorder="1" applyAlignment="1">
      <alignment horizontal="center" vertical="center"/>
    </xf>
    <xf numFmtId="0" fontId="33" fillId="16" borderId="94" xfId="2" applyFont="1" applyFill="1" applyBorder="1" applyAlignment="1">
      <alignment horizontal="center" vertical="center"/>
    </xf>
    <xf numFmtId="0" fontId="33" fillId="16" borderId="95" xfId="2" applyFont="1" applyFill="1" applyBorder="1" applyAlignment="1">
      <alignment horizontal="center" vertical="center"/>
    </xf>
    <xf numFmtId="0" fontId="518" fillId="0" borderId="96" xfId="7" applyFont="1" applyFill="1" applyBorder="1" applyAlignment="1" applyProtection="1">
      <alignment horizontal="center" vertical="center"/>
      <protection locked="0"/>
    </xf>
    <xf numFmtId="0" fontId="518" fillId="0" borderId="97" xfId="7" applyFont="1" applyFill="1" applyBorder="1" applyAlignment="1" applyProtection="1">
      <alignment horizontal="center" vertical="center"/>
      <protection locked="0"/>
    </xf>
    <xf numFmtId="0" fontId="518" fillId="0" borderId="104" xfId="7" applyFont="1" applyFill="1" applyBorder="1" applyAlignment="1" applyProtection="1">
      <alignment horizontal="center" vertical="center"/>
      <protection locked="0"/>
    </xf>
    <xf numFmtId="0" fontId="518" fillId="0" borderId="0" xfId="7" applyFont="1" applyFill="1" applyBorder="1" applyAlignment="1" applyProtection="1">
      <alignment horizontal="center" vertical="center"/>
      <protection locked="0"/>
    </xf>
    <xf numFmtId="0" fontId="518" fillId="0" borderId="109" xfId="7" applyFont="1" applyFill="1" applyBorder="1" applyAlignment="1" applyProtection="1">
      <alignment horizontal="center" vertical="center"/>
      <protection locked="0"/>
    </xf>
    <xf numFmtId="0" fontId="518" fillId="0" borderId="110" xfId="7" applyFont="1" applyFill="1" applyBorder="1" applyAlignment="1" applyProtection="1">
      <alignment horizontal="center" vertical="center"/>
      <protection locked="0"/>
    </xf>
    <xf numFmtId="0" fontId="42" fillId="0" borderId="97" xfId="7" applyFont="1" applyFill="1" applyBorder="1" applyAlignment="1" applyProtection="1">
      <alignment horizontal="center" vertical="center" wrapText="1"/>
      <protection locked="0"/>
    </xf>
    <xf numFmtId="0" fontId="42" fillId="0" borderId="0" xfId="7" applyFont="1" applyFill="1" applyBorder="1" applyAlignment="1" applyProtection="1">
      <alignment horizontal="center" vertical="center" wrapText="1"/>
      <protection locked="0"/>
    </xf>
    <xf numFmtId="0" fontId="42" fillId="0" borderId="110" xfId="7" applyFont="1" applyFill="1" applyBorder="1" applyAlignment="1" applyProtection="1">
      <alignment horizontal="center" vertical="center" wrapText="1"/>
      <protection locked="0"/>
    </xf>
    <xf numFmtId="0" fontId="50" fillId="0" borderId="98" xfId="7" applyFont="1" applyFill="1" applyBorder="1" applyAlignment="1" applyProtection="1">
      <alignment horizontal="center" vertical="center" wrapText="1"/>
      <protection locked="0"/>
    </xf>
    <xf numFmtId="0" fontId="50" fillId="0" borderId="105" xfId="7" applyFont="1" applyFill="1" applyBorder="1" applyAlignment="1" applyProtection="1">
      <alignment horizontal="center" vertical="center" wrapText="1"/>
      <protection locked="0"/>
    </xf>
    <xf numFmtId="0" fontId="50" fillId="0" borderId="111" xfId="7" applyFont="1" applyFill="1" applyBorder="1" applyAlignment="1" applyProtection="1">
      <alignment horizontal="center" vertical="center" wrapText="1"/>
      <protection locked="0"/>
    </xf>
    <xf numFmtId="0" fontId="109" fillId="3" borderId="99" xfId="7" applyFont="1" applyFill="1" applyBorder="1" applyAlignment="1" applyProtection="1">
      <alignment horizontal="center" vertical="center" wrapText="1"/>
      <protection locked="0"/>
    </xf>
    <xf numFmtId="0" fontId="109" fillId="3" borderId="100" xfId="7" applyFont="1" applyFill="1" applyBorder="1" applyAlignment="1" applyProtection="1">
      <alignment horizontal="center" vertical="center" wrapText="1"/>
      <protection locked="0"/>
    </xf>
    <xf numFmtId="0" fontId="109" fillId="3" borderId="101" xfId="7" applyFont="1" applyFill="1" applyBorder="1" applyAlignment="1" applyProtection="1">
      <alignment horizontal="center" vertical="center" wrapText="1"/>
      <protection locked="0"/>
    </xf>
    <xf numFmtId="0" fontId="41" fillId="0" borderId="102" xfId="7" applyFont="1" applyFill="1" applyBorder="1" applyAlignment="1" applyProtection="1">
      <alignment horizontal="center" vertical="center"/>
      <protection locked="0"/>
    </xf>
    <xf numFmtId="0" fontId="41" fillId="0" borderId="103" xfId="7" applyFont="1" applyFill="1" applyBorder="1" applyAlignment="1" applyProtection="1">
      <alignment horizontal="center" vertical="center"/>
      <protection locked="0"/>
    </xf>
    <xf numFmtId="0" fontId="41" fillId="0" borderId="107" xfId="7" applyFont="1" applyFill="1" applyBorder="1" applyAlignment="1" applyProtection="1">
      <alignment horizontal="center" vertical="center"/>
      <protection locked="0"/>
    </xf>
    <xf numFmtId="0" fontId="41" fillId="0" borderId="108" xfId="7" applyFont="1" applyFill="1" applyBorder="1" applyAlignment="1" applyProtection="1">
      <alignment horizontal="center" vertical="center"/>
      <protection locked="0"/>
    </xf>
    <xf numFmtId="0" fontId="519" fillId="0" borderId="102" xfId="7" applyFont="1" applyFill="1" applyBorder="1" applyAlignment="1" applyProtection="1">
      <alignment horizontal="center" vertical="center"/>
      <protection locked="0"/>
    </xf>
    <xf numFmtId="0" fontId="519" fillId="0" borderId="97" xfId="7" applyFont="1" applyFill="1" applyBorder="1" applyAlignment="1" applyProtection="1">
      <alignment horizontal="center" vertical="center"/>
      <protection locked="0"/>
    </xf>
    <xf numFmtId="0" fontId="519" fillId="0" borderId="103" xfId="7" applyFont="1" applyFill="1" applyBorder="1" applyAlignment="1" applyProtection="1">
      <alignment horizontal="center" vertical="center"/>
      <protection locked="0"/>
    </xf>
    <xf numFmtId="0" fontId="519" fillId="0" borderId="107" xfId="7" applyFont="1" applyFill="1" applyBorder="1" applyAlignment="1" applyProtection="1">
      <alignment horizontal="center" vertical="center"/>
      <protection locked="0"/>
    </xf>
    <xf numFmtId="0" fontId="519" fillId="0" borderId="0" xfId="7" applyFont="1" applyFill="1" applyBorder="1" applyAlignment="1" applyProtection="1">
      <alignment horizontal="center" vertical="center"/>
      <protection locked="0"/>
    </xf>
    <xf numFmtId="0" fontId="519" fillId="0" borderId="108" xfId="7" applyFont="1" applyFill="1" applyBorder="1" applyAlignment="1" applyProtection="1">
      <alignment horizontal="center" vertical="center"/>
      <protection locked="0"/>
    </xf>
    <xf numFmtId="0" fontId="519" fillId="0" borderId="113" xfId="7" applyFont="1" applyFill="1" applyBorder="1" applyAlignment="1" applyProtection="1">
      <alignment horizontal="center" vertical="center"/>
      <protection locked="0"/>
    </xf>
    <xf numFmtId="0" fontId="519" fillId="0" borderId="110" xfId="7" applyFont="1" applyFill="1" applyBorder="1" applyAlignment="1" applyProtection="1">
      <alignment horizontal="center" vertical="center"/>
      <protection locked="0"/>
    </xf>
    <xf numFmtId="0" fontId="519" fillId="0" borderId="114" xfId="7" applyFont="1" applyFill="1" applyBorder="1" applyAlignment="1" applyProtection="1">
      <alignment horizontal="center" vertical="center"/>
      <protection locked="0"/>
    </xf>
    <xf numFmtId="2" fontId="50" fillId="3" borderId="107" xfId="6" applyNumberFormat="1" applyFont="1" applyFill="1" applyBorder="1" applyAlignment="1">
      <alignment horizontal="center" vertical="center"/>
    </xf>
    <xf numFmtId="2" fontId="50" fillId="3" borderId="108" xfId="6" applyNumberFormat="1" applyFont="1" applyFill="1" applyBorder="1" applyAlignment="1">
      <alignment horizontal="center" vertical="center"/>
    </xf>
    <xf numFmtId="0" fontId="109" fillId="0" borderId="112" xfId="7" applyFont="1" applyFill="1" applyBorder="1" applyAlignment="1" applyProtection="1">
      <alignment horizontal="center" vertical="center" wrapText="1"/>
      <protection locked="0"/>
    </xf>
    <xf numFmtId="2" fontId="23" fillId="125" borderId="0" xfId="30" applyNumberFormat="1" applyFont="1" applyFill="1" applyAlignment="1" applyProtection="1">
      <alignment horizontal="center" vertical="center"/>
      <protection locked="0"/>
    </xf>
    <xf numFmtId="2" fontId="55" fillId="131" borderId="0" xfId="30" applyNumberFormat="1" applyFont="1" applyFill="1" applyAlignment="1" applyProtection="1">
      <alignment horizontal="center" vertical="center"/>
      <protection locked="0"/>
    </xf>
    <xf numFmtId="0" fontId="134" fillId="131" borderId="0" xfId="30" applyFont="1" applyFill="1" applyAlignment="1">
      <alignment horizontal="center"/>
    </xf>
    <xf numFmtId="2" fontId="23" fillId="14" borderId="0" xfId="30" applyNumberFormat="1" applyFont="1" applyFill="1" applyAlignment="1" applyProtection="1">
      <alignment horizontal="center" vertical="center"/>
      <protection locked="0"/>
    </xf>
    <xf numFmtId="0" fontId="280" fillId="0" borderId="0" xfId="32" applyFont="1" applyAlignment="1" applyProtection="1">
      <alignment horizontal="center" vertical="center" wrapText="1"/>
    </xf>
    <xf numFmtId="0" fontId="280" fillId="0" borderId="491" xfId="32" applyFont="1" applyBorder="1" applyAlignment="1" applyProtection="1">
      <alignment horizontal="center" vertical="center" wrapText="1"/>
    </xf>
    <xf numFmtId="49" fontId="23" fillId="78" borderId="0" xfId="30" applyNumberFormat="1" applyFont="1" applyFill="1" applyAlignment="1" applyProtection="1">
      <alignment horizontal="center" vertical="center"/>
      <protection locked="0"/>
    </xf>
    <xf numFmtId="0" fontId="281" fillId="16" borderId="492" xfId="31" applyFont="1" applyFill="1" applyBorder="1" applyAlignment="1">
      <alignment horizontal="center" vertical="center"/>
    </xf>
    <xf numFmtId="0" fontId="281" fillId="16" borderId="493" xfId="31" applyFont="1" applyFill="1" applyBorder="1" applyAlignment="1">
      <alignment horizontal="center" vertical="center"/>
    </xf>
    <xf numFmtId="0" fontId="281" fillId="16" borderId="494" xfId="31" applyFont="1" applyFill="1" applyBorder="1" applyAlignment="1">
      <alignment horizontal="center" vertical="center"/>
    </xf>
    <xf numFmtId="0" fontId="7" fillId="78" borderId="0" xfId="30" applyFill="1" applyAlignment="1">
      <alignment horizontal="center"/>
    </xf>
    <xf numFmtId="0" fontId="134" fillId="127" borderId="0" xfId="30" applyFont="1" applyFill="1" applyAlignment="1">
      <alignment horizontal="center"/>
    </xf>
    <xf numFmtId="0" fontId="134" fillId="63" borderId="0" xfId="30" applyFont="1" applyFill="1" applyAlignment="1">
      <alignment horizontal="center"/>
    </xf>
    <xf numFmtId="0" fontId="7" fillId="0" borderId="316" xfId="30" applyBorder="1" applyAlignment="1">
      <alignment horizontal="center" vertical="center" wrapText="1"/>
    </xf>
    <xf numFmtId="0" fontId="7" fillId="0" borderId="0" xfId="30" applyAlignment="1">
      <alignment horizontal="center" vertical="center" wrapText="1"/>
    </xf>
    <xf numFmtId="0" fontId="7" fillId="0" borderId="318" xfId="30" applyBorder="1" applyAlignment="1">
      <alignment horizontal="center" vertical="center" wrapText="1"/>
    </xf>
    <xf numFmtId="0" fontId="7" fillId="0" borderId="500" xfId="30" applyBorder="1" applyAlignment="1">
      <alignment horizontal="center" vertical="center" wrapText="1"/>
    </xf>
    <xf numFmtId="0" fontId="7" fillId="0" borderId="491" xfId="30" applyBorder="1" applyAlignment="1">
      <alignment horizontal="center" vertical="center" wrapText="1"/>
    </xf>
    <xf numFmtId="0" fontId="7" fillId="0" borderId="496" xfId="30" applyBorder="1" applyAlignment="1">
      <alignment horizontal="center" vertical="center" wrapText="1"/>
    </xf>
    <xf numFmtId="0" fontId="11" fillId="16" borderId="497" xfId="32" applyFill="1" applyBorder="1" applyAlignment="1" applyProtection="1">
      <alignment horizontal="center" vertical="center" wrapText="1"/>
    </xf>
    <xf numFmtId="0" fontId="11" fillId="16" borderId="498" xfId="32" applyFill="1" applyBorder="1" applyAlignment="1" applyProtection="1">
      <alignment horizontal="center" vertical="center" wrapText="1"/>
    </xf>
    <xf numFmtId="0" fontId="11" fillId="16" borderId="499" xfId="32" applyFill="1" applyBorder="1" applyAlignment="1" applyProtection="1">
      <alignment horizontal="center" vertical="center" wrapText="1"/>
    </xf>
    <xf numFmtId="0" fontId="11" fillId="16" borderId="316" xfId="32" applyFill="1" applyBorder="1" applyAlignment="1" applyProtection="1">
      <alignment horizontal="center" vertical="center" wrapText="1"/>
    </xf>
    <xf numFmtId="0" fontId="11" fillId="16" borderId="0" xfId="32" applyFill="1" applyBorder="1" applyAlignment="1" applyProtection="1">
      <alignment horizontal="center" vertical="center" wrapText="1"/>
    </xf>
    <xf numFmtId="0" fontId="11" fillId="16" borderId="318" xfId="32" applyFill="1" applyBorder="1" applyAlignment="1" applyProtection="1">
      <alignment horizontal="center" vertical="center" wrapText="1"/>
    </xf>
    <xf numFmtId="0" fontId="381" fillId="5" borderId="0" xfId="0" applyFont="1" applyFill="1" applyAlignment="1">
      <alignment horizontal="left" vertical="center"/>
    </xf>
    <xf numFmtId="0" fontId="1" fillId="2" borderId="0" xfId="49" applyFill="1"/>
    <xf numFmtId="0" fontId="578" fillId="2" borderId="0" xfId="12" applyFont="1" applyFill="1" applyAlignment="1">
      <alignment horizontal="left" vertical="center"/>
    </xf>
    <xf numFmtId="0" fontId="449" fillId="2" borderId="0" xfId="49" applyFont="1" applyFill="1" applyAlignment="1">
      <alignment vertical="center"/>
    </xf>
    <xf numFmtId="0" fontId="52" fillId="5" borderId="0" xfId="49" applyFont="1" applyFill="1"/>
    <xf numFmtId="0" fontId="375" fillId="5" borderId="0" xfId="49" applyFont="1" applyFill="1" applyAlignment="1">
      <alignment horizontal="right" vertical="center"/>
    </xf>
    <xf numFmtId="0" fontId="1" fillId="61" borderId="0" xfId="49" applyFill="1"/>
    <xf numFmtId="0" fontId="585" fillId="5" borderId="0" xfId="49" applyFont="1" applyFill="1" applyAlignment="1">
      <alignment horizontal="center" vertical="center" wrapText="1"/>
    </xf>
    <xf numFmtId="0" fontId="1" fillId="2" borderId="0" xfId="50" applyFill="1"/>
    <xf numFmtId="0" fontId="587" fillId="2" borderId="0" xfId="49" applyFont="1" applyFill="1" applyAlignment="1">
      <alignment vertical="center"/>
    </xf>
    <xf numFmtId="0" fontId="588" fillId="2" borderId="0" xfId="50" applyFont="1" applyFill="1" applyAlignment="1">
      <alignment vertical="center"/>
    </xf>
    <xf numFmtId="0" fontId="78" fillId="5" borderId="0" xfId="51" applyFont="1" applyFill="1" applyBorder="1" applyAlignment="1">
      <alignment horizontal="left" vertical="center"/>
    </xf>
    <xf numFmtId="49" fontId="624" fillId="148" borderId="162" xfId="3" applyNumberFormat="1" applyFont="1" applyFill="1" applyBorder="1" applyAlignment="1">
      <alignment horizontal="center" vertical="center"/>
    </xf>
    <xf numFmtId="49" fontId="624" fillId="148" borderId="0" xfId="3" applyNumberFormat="1" applyFont="1" applyFill="1" applyAlignment="1">
      <alignment horizontal="center" vertical="center"/>
    </xf>
    <xf numFmtId="0" fontId="64" fillId="5" borderId="0" xfId="49" applyFont="1" applyFill="1" applyAlignment="1">
      <alignment vertical="center"/>
    </xf>
    <xf numFmtId="0" fontId="500" fillId="2" borderId="0" xfId="49" applyFont="1" applyFill="1" applyAlignment="1">
      <alignment vertical="center"/>
    </xf>
    <xf numFmtId="49" fontId="125" fillId="16" borderId="553" xfId="49" applyNumberFormat="1" applyFont="1" applyFill="1" applyBorder="1" applyAlignment="1">
      <alignment horizontal="center" vertical="center"/>
    </xf>
    <xf numFmtId="49" fontId="125" fillId="16" borderId="554" xfId="49" applyNumberFormat="1" applyFont="1" applyFill="1" applyBorder="1" applyAlignment="1">
      <alignment horizontal="center" vertical="center"/>
    </xf>
    <xf numFmtId="49" fontId="125" fillId="3" borderId="357" xfId="49" applyNumberFormat="1" applyFont="1" applyFill="1" applyBorder="1" applyAlignment="1">
      <alignment horizontal="center" vertical="center"/>
    </xf>
    <xf numFmtId="49" fontId="125" fillId="3" borderId="0" xfId="49" applyNumberFormat="1" applyFont="1" applyFill="1" applyAlignment="1">
      <alignment horizontal="center" vertical="center"/>
    </xf>
    <xf numFmtId="49" fontId="166" fillId="16" borderId="504" xfId="50" applyNumberFormat="1" applyFont="1" applyFill="1" applyBorder="1" applyAlignment="1">
      <alignment horizontal="center" vertical="center"/>
    </xf>
    <xf numFmtId="49" fontId="166" fillId="16" borderId="503" xfId="50" applyNumberFormat="1" applyFont="1" applyFill="1" applyBorder="1" applyAlignment="1">
      <alignment horizontal="center" vertical="center"/>
    </xf>
    <xf numFmtId="49" fontId="166" fillId="16" borderId="505" xfId="50" applyNumberFormat="1" applyFont="1" applyFill="1" applyBorder="1" applyAlignment="1">
      <alignment horizontal="center" vertical="center"/>
    </xf>
    <xf numFmtId="0" fontId="79" fillId="2" borderId="0" xfId="49" applyFont="1" applyFill="1" applyAlignment="1">
      <alignment vertical="center"/>
    </xf>
    <xf numFmtId="0" fontId="79" fillId="2" borderId="528" xfId="49" applyFont="1" applyFill="1" applyBorder="1" applyAlignment="1">
      <alignment vertical="center"/>
    </xf>
    <xf numFmtId="49" fontId="625" fillId="0" borderId="171" xfId="49" applyNumberFormat="1" applyFont="1" applyBorder="1" applyAlignment="1">
      <alignment horizontal="center" vertical="center" wrapText="1"/>
    </xf>
    <xf numFmtId="49" fontId="625" fillId="0" borderId="172" xfId="49" applyNumberFormat="1" applyFont="1" applyBorder="1" applyAlignment="1">
      <alignment horizontal="center" vertical="center" wrapText="1"/>
    </xf>
    <xf numFmtId="49" fontId="625" fillId="3" borderId="357" xfId="49" applyNumberFormat="1" applyFont="1" applyFill="1" applyBorder="1" applyAlignment="1">
      <alignment horizontal="center" vertical="center" wrapText="1"/>
    </xf>
    <xf numFmtId="49" fontId="625" fillId="3" borderId="0" xfId="49" applyNumberFormat="1" applyFont="1" applyFill="1" applyAlignment="1">
      <alignment horizontal="center" vertical="center" wrapText="1"/>
    </xf>
    <xf numFmtId="49" fontId="166" fillId="16" borderId="555" xfId="50" applyNumberFormat="1" applyFont="1" applyFill="1" applyBorder="1" applyAlignment="1">
      <alignment horizontal="center" vertical="center"/>
    </xf>
    <xf numFmtId="49" fontId="166" fillId="16" borderId="556" xfId="50" applyNumberFormat="1" applyFont="1" applyFill="1" applyBorder="1" applyAlignment="1">
      <alignment horizontal="center" vertical="center"/>
    </xf>
    <xf numFmtId="49" fontId="166" fillId="16" borderId="557" xfId="50" applyNumberFormat="1" applyFont="1" applyFill="1" applyBorder="1" applyAlignment="1">
      <alignment horizontal="center" vertical="center"/>
    </xf>
    <xf numFmtId="49" fontId="625" fillId="0" borderId="357" xfId="49" applyNumberFormat="1" applyFont="1" applyBorder="1" applyAlignment="1">
      <alignment horizontal="center" vertical="center" wrapText="1"/>
    </xf>
    <xf numFmtId="49" fontId="625" fillId="0" borderId="0" xfId="49" applyNumberFormat="1" applyFont="1" applyAlignment="1">
      <alignment horizontal="center" vertical="center" wrapText="1"/>
    </xf>
    <xf numFmtId="49" fontId="76" fillId="3" borderId="357" xfId="49" applyNumberFormat="1" applyFont="1" applyFill="1" applyBorder="1" applyAlignment="1">
      <alignment horizontal="center" vertical="center"/>
    </xf>
    <xf numFmtId="49" fontId="76" fillId="3" borderId="0" xfId="49" applyNumberFormat="1" applyFont="1" applyFill="1" applyAlignment="1">
      <alignment horizontal="center" vertical="center"/>
    </xf>
    <xf numFmtId="49" fontId="626" fillId="16" borderId="357" xfId="50" applyNumberFormat="1" applyFont="1" applyFill="1" applyBorder="1" applyAlignment="1">
      <alignment horizontal="center" vertical="center"/>
    </xf>
    <xf numFmtId="49" fontId="626" fillId="16" borderId="349" xfId="50" applyNumberFormat="1" applyFont="1" applyFill="1" applyBorder="1" applyAlignment="1">
      <alignment horizontal="center" vertical="center"/>
    </xf>
    <xf numFmtId="49" fontId="626" fillId="16" borderId="163" xfId="50" applyNumberFormat="1" applyFont="1" applyFill="1" applyBorder="1" applyAlignment="1">
      <alignment horizontal="center" vertical="center"/>
    </xf>
    <xf numFmtId="49" fontId="166" fillId="16" borderId="558" xfId="49" applyNumberFormat="1" applyFont="1" applyFill="1" applyBorder="1" applyAlignment="1">
      <alignment horizontal="center" vertical="center"/>
    </xf>
    <xf numFmtId="49" fontId="125" fillId="16" borderId="559" xfId="49" applyNumberFormat="1" applyFont="1" applyFill="1" applyBorder="1" applyAlignment="1">
      <alignment horizontal="center" vertical="center"/>
    </xf>
    <xf numFmtId="49" fontId="125" fillId="16" borderId="558" xfId="49" applyNumberFormat="1" applyFont="1" applyFill="1" applyBorder="1" applyAlignment="1">
      <alignment horizontal="center" vertical="center"/>
    </xf>
    <xf numFmtId="49" fontId="626" fillId="3" borderId="560" xfId="50" quotePrefix="1" applyNumberFormat="1" applyFont="1" applyFill="1" applyBorder="1" applyAlignment="1">
      <alignment horizontal="center" vertical="center"/>
    </xf>
    <xf numFmtId="49" fontId="626" fillId="3" borderId="561" xfId="50" applyNumberFormat="1" applyFont="1" applyFill="1" applyBorder="1" applyAlignment="1">
      <alignment horizontal="center" vertical="center"/>
    </xf>
    <xf numFmtId="49" fontId="626" fillId="3" borderId="562" xfId="50" applyNumberFormat="1" applyFont="1" applyFill="1" applyBorder="1" applyAlignment="1">
      <alignment horizontal="center" vertical="center"/>
    </xf>
    <xf numFmtId="49" fontId="166" fillId="16" borderId="357" xfId="49" applyNumberFormat="1" applyFont="1" applyFill="1" applyBorder="1" applyAlignment="1">
      <alignment horizontal="center" vertical="center"/>
    </xf>
    <xf numFmtId="49" fontId="125" fillId="16" borderId="0" xfId="49" applyNumberFormat="1" applyFont="1" applyFill="1" applyAlignment="1">
      <alignment horizontal="center" vertical="center"/>
    </xf>
    <xf numFmtId="49" fontId="125" fillId="16" borderId="357" xfId="49" applyNumberFormat="1" applyFont="1" applyFill="1" applyBorder="1" applyAlignment="1">
      <alignment horizontal="center" vertical="center"/>
    </xf>
    <xf numFmtId="49" fontId="626" fillId="3" borderId="563" xfId="50" quotePrefix="1" applyNumberFormat="1" applyFont="1" applyFill="1" applyBorder="1" applyAlignment="1">
      <alignment horizontal="center" vertical="center"/>
    </xf>
    <xf numFmtId="49" fontId="626" fillId="3" borderId="564" xfId="50" applyNumberFormat="1" applyFont="1" applyFill="1" applyBorder="1" applyAlignment="1">
      <alignment horizontal="center" vertical="center"/>
    </xf>
    <xf numFmtId="49" fontId="626" fillId="3" borderId="565" xfId="50" applyNumberFormat="1" applyFont="1" applyFill="1" applyBorder="1" applyAlignment="1">
      <alignment horizontal="center" vertical="center"/>
    </xf>
    <xf numFmtId="0" fontId="500" fillId="61" borderId="0" xfId="49" applyFont="1" applyFill="1" applyAlignment="1">
      <alignment vertical="center"/>
    </xf>
    <xf numFmtId="49" fontId="125" fillId="3" borderId="558" xfId="49" applyNumberFormat="1" applyFont="1" applyFill="1" applyBorder="1" applyAlignment="1">
      <alignment horizontal="center" vertical="center"/>
    </xf>
    <xf numFmtId="49" fontId="125" fillId="3" borderId="559" xfId="49" applyNumberFormat="1" applyFont="1" applyFill="1" applyBorder="1" applyAlignment="1">
      <alignment horizontal="center" vertical="center"/>
    </xf>
    <xf numFmtId="49" fontId="627" fillId="3" borderId="560" xfId="50" quotePrefix="1" applyNumberFormat="1" applyFont="1" applyFill="1" applyBorder="1" applyAlignment="1">
      <alignment horizontal="center" vertical="center"/>
    </xf>
    <xf numFmtId="49" fontId="626" fillId="3" borderId="561" xfId="50" quotePrefix="1" applyNumberFormat="1" applyFont="1" applyFill="1" applyBorder="1" applyAlignment="1">
      <alignment horizontal="center" vertical="center"/>
    </xf>
    <xf numFmtId="49" fontId="626" fillId="3" borderId="562" xfId="50" quotePrefix="1" applyNumberFormat="1" applyFont="1" applyFill="1" applyBorder="1" applyAlignment="1">
      <alignment horizontal="center" vertical="center"/>
    </xf>
    <xf numFmtId="49" fontId="166" fillId="16" borderId="566" xfId="49" applyNumberFormat="1" applyFont="1" applyFill="1" applyBorder="1" applyAlignment="1">
      <alignment horizontal="center" vertical="center"/>
    </xf>
    <xf numFmtId="49" fontId="125" fillId="16" borderId="567" xfId="49" applyNumberFormat="1" applyFont="1" applyFill="1" applyBorder="1" applyAlignment="1">
      <alignment horizontal="center" vertical="center"/>
    </xf>
    <xf numFmtId="49" fontId="125" fillId="3" borderId="566" xfId="49" applyNumberFormat="1" applyFont="1" applyFill="1" applyBorder="1" applyAlignment="1">
      <alignment horizontal="center" vertical="center"/>
    </xf>
    <xf numFmtId="49" fontId="125" fillId="3" borderId="567" xfId="49" applyNumberFormat="1" applyFont="1" applyFill="1" applyBorder="1" applyAlignment="1">
      <alignment horizontal="center" vertical="center"/>
    </xf>
    <xf numFmtId="49" fontId="627" fillId="3" borderId="563" xfId="50" quotePrefix="1" applyNumberFormat="1" applyFont="1" applyFill="1" applyBorder="1" applyAlignment="1">
      <alignment horizontal="center" vertical="center"/>
    </xf>
    <xf numFmtId="49" fontId="626" fillId="3" borderId="564" xfId="50" quotePrefix="1" applyNumberFormat="1" applyFont="1" applyFill="1" applyBorder="1" applyAlignment="1">
      <alignment horizontal="center" vertical="center"/>
    </xf>
    <xf numFmtId="49" fontId="626" fillId="3" borderId="565" xfId="50" quotePrefix="1" applyNumberFormat="1" applyFont="1" applyFill="1" applyBorder="1" applyAlignment="1">
      <alignment horizontal="center" vertical="center"/>
    </xf>
    <xf numFmtId="49" fontId="627" fillId="3" borderId="561" xfId="50" quotePrefix="1" applyNumberFormat="1" applyFont="1" applyFill="1" applyBorder="1" applyAlignment="1">
      <alignment horizontal="center" vertical="center"/>
    </xf>
    <xf numFmtId="49" fontId="627" fillId="3" borderId="564" xfId="50" quotePrefix="1" applyNumberFormat="1" applyFont="1" applyFill="1" applyBorder="1" applyAlignment="1">
      <alignment horizontal="center" vertical="center"/>
    </xf>
    <xf numFmtId="0" fontId="83" fillId="52" borderId="558" xfId="49" applyFont="1" applyFill="1" applyBorder="1" applyAlignment="1">
      <alignment horizontal="right" vertical="center"/>
    </xf>
    <xf numFmtId="49" fontId="628" fillId="0" borderId="559" xfId="16" applyNumberFormat="1" applyFont="1" applyBorder="1" applyAlignment="1">
      <alignment horizontal="left" vertical="center"/>
    </xf>
    <xf numFmtId="49" fontId="628" fillId="0" borderId="568" xfId="16" applyNumberFormat="1" applyFont="1" applyBorder="1" applyAlignment="1">
      <alignment horizontal="left" vertical="center"/>
    </xf>
    <xf numFmtId="0" fontId="83" fillId="52" borderId="357" xfId="49" applyFont="1" applyFill="1" applyBorder="1" applyAlignment="1">
      <alignment horizontal="right" vertical="center"/>
    </xf>
    <xf numFmtId="49" fontId="628" fillId="0" borderId="0" xfId="16" applyNumberFormat="1" applyFont="1" applyBorder="1" applyAlignment="1">
      <alignment horizontal="left" vertical="center"/>
    </xf>
    <xf numFmtId="49" fontId="628" fillId="0" borderId="163" xfId="16" applyNumberFormat="1" applyFont="1" applyBorder="1" applyAlignment="1">
      <alignment horizontal="left" vertical="center"/>
    </xf>
    <xf numFmtId="0" fontId="24" fillId="16" borderId="569" xfId="3" applyFont="1" applyFill="1" applyBorder="1" applyProtection="1">
      <protection hidden="1"/>
    </xf>
    <xf numFmtId="0" fontId="24" fillId="16" borderId="126" xfId="3" applyFont="1" applyFill="1" applyBorder="1" applyProtection="1">
      <protection hidden="1"/>
    </xf>
    <xf numFmtId="0" fontId="24" fillId="0" borderId="134" xfId="3" applyFont="1" applyBorder="1" applyProtection="1">
      <protection hidden="1"/>
    </xf>
    <xf numFmtId="0" fontId="500" fillId="3" borderId="0" xfId="49" applyFont="1" applyFill="1" applyAlignment="1">
      <alignment vertical="center"/>
    </xf>
    <xf numFmtId="0" fontId="69" fillId="5" borderId="0" xfId="49" applyFont="1" applyFill="1" applyAlignment="1">
      <alignment vertical="center"/>
    </xf>
    <xf numFmtId="0" fontId="69" fillId="184" borderId="0" xfId="49" applyFont="1" applyFill="1" applyAlignment="1">
      <alignment vertical="center"/>
    </xf>
    <xf numFmtId="0" fontId="79" fillId="2" borderId="532" xfId="49" applyFont="1" applyFill="1" applyBorder="1" applyAlignment="1">
      <alignment vertical="center"/>
    </xf>
    <xf numFmtId="0" fontId="79" fillId="2" borderId="530" xfId="49" applyFont="1" applyFill="1" applyBorder="1" applyAlignment="1">
      <alignment vertical="center"/>
    </xf>
    <xf numFmtId="0" fontId="596" fillId="2" borderId="0" xfId="50" applyFont="1" applyFill="1" applyAlignment="1">
      <alignment vertical="center"/>
    </xf>
    <xf numFmtId="0" fontId="500" fillId="2" borderId="539" xfId="50" applyFont="1" applyFill="1" applyBorder="1" applyAlignment="1">
      <alignment vertical="center"/>
    </xf>
    <xf numFmtId="0" fontId="500" fillId="2" borderId="540" xfId="50" applyFont="1" applyFill="1" applyBorder="1"/>
    <xf numFmtId="0" fontId="64" fillId="5" borderId="540" xfId="49" applyFont="1" applyFill="1" applyBorder="1" applyAlignment="1">
      <alignment vertical="center"/>
    </xf>
    <xf numFmtId="0" fontId="500" fillId="61" borderId="541" xfId="49" applyFont="1" applyFill="1" applyBorder="1" applyAlignment="1">
      <alignment vertical="center"/>
    </xf>
    <xf numFmtId="0" fontId="416" fillId="5" borderId="0" xfId="49" applyFont="1" applyFill="1" applyAlignment="1">
      <alignment horizontal="center" vertical="center"/>
    </xf>
    <xf numFmtId="0" fontId="79" fillId="2" borderId="0" xfId="50" applyFont="1" applyFill="1" applyAlignment="1">
      <alignment vertical="center"/>
    </xf>
    <xf numFmtId="0" fontId="89" fillId="61" borderId="0" xfId="50" applyFont="1" applyFill="1" applyAlignment="1">
      <alignment vertical="center"/>
    </xf>
    <xf numFmtId="222" fontId="133" fillId="184" borderId="0" xfId="49" applyNumberFormat="1" applyFont="1" applyFill="1" applyAlignment="1">
      <alignment horizontal="center" vertical="center"/>
    </xf>
    <xf numFmtId="224" fontId="133" fillId="185" borderId="0" xfId="50" applyNumberFormat="1" applyFont="1" applyFill="1" applyAlignment="1">
      <alignment horizontal="center" vertical="center"/>
    </xf>
    <xf numFmtId="225" fontId="133" fillId="184" borderId="0" xfId="49" applyNumberFormat="1" applyFont="1" applyFill="1" applyAlignment="1">
      <alignment horizontal="center" vertical="center"/>
    </xf>
    <xf numFmtId="0" fontId="500" fillId="2" borderId="0" xfId="50" applyFont="1" applyFill="1"/>
    <xf numFmtId="14" fontId="133" fillId="184" borderId="0" xfId="49" applyNumberFormat="1" applyFont="1" applyFill="1" applyAlignment="1">
      <alignment horizontal="center" vertical="center"/>
    </xf>
    <xf numFmtId="0" fontId="593" fillId="2" borderId="0" xfId="49" applyFont="1" applyFill="1" applyAlignment="1">
      <alignment vertical="center"/>
    </xf>
    <xf numFmtId="0" fontId="597" fillId="51" borderId="0" xfId="49" applyFont="1" applyFill="1" applyAlignment="1">
      <alignment horizontal="center" vertical="center"/>
    </xf>
    <xf numFmtId="0" fontId="79" fillId="2" borderId="0" xfId="49" applyFont="1" applyFill="1" applyAlignment="1">
      <alignment horizontal="left" vertical="center"/>
    </xf>
    <xf numFmtId="226" fontId="597" fillId="51" borderId="0" xfId="49" applyNumberFormat="1" applyFont="1" applyFill="1" applyAlignment="1">
      <alignment horizontal="center" vertical="center"/>
    </xf>
    <xf numFmtId="14" fontId="69" fillId="184" borderId="0" xfId="50" applyNumberFormat="1" applyFont="1" applyFill="1" applyAlignment="1">
      <alignment horizontal="center" vertical="center"/>
    </xf>
    <xf numFmtId="14" fontId="79" fillId="2" borderId="0" xfId="50" applyNumberFormat="1" applyFont="1" applyFill="1" applyAlignment="1">
      <alignment horizontal="center" vertical="center"/>
    </xf>
    <xf numFmtId="222" fontId="69" fillId="184" borderId="0" xfId="50" applyNumberFormat="1" applyFont="1" applyFill="1" applyAlignment="1">
      <alignment horizontal="center" vertical="center"/>
    </xf>
    <xf numFmtId="0" fontId="585" fillId="184" borderId="0" xfId="50" applyFont="1" applyFill="1" applyAlignment="1">
      <alignment horizontal="center" vertical="center"/>
    </xf>
    <xf numFmtId="222" fontId="585" fillId="184" borderId="0" xfId="50" applyNumberFormat="1" applyFont="1" applyFill="1" applyAlignment="1">
      <alignment horizontal="left" vertical="center"/>
    </xf>
    <xf numFmtId="0" fontId="593" fillId="2" borderId="530" xfId="49" applyFont="1" applyFill="1" applyBorder="1" applyAlignment="1">
      <alignment vertical="center"/>
    </xf>
    <xf numFmtId="0" fontId="75" fillId="2" borderId="0" xfId="50" applyFont="1" applyFill="1" applyAlignment="1">
      <alignment vertical="center"/>
    </xf>
    <xf numFmtId="225" fontId="125" fillId="2" borderId="0" xfId="49" applyNumberFormat="1" applyFont="1" applyFill="1" applyAlignment="1">
      <alignment horizontal="center" vertical="center"/>
    </xf>
    <xf numFmtId="0" fontId="1" fillId="0" borderId="0" xfId="49" applyAlignment="1">
      <alignment horizontal="center" vertical="center"/>
    </xf>
    <xf numFmtId="0" fontId="1" fillId="0" borderId="0" xfId="49"/>
    <xf numFmtId="0" fontId="7" fillId="3" borderId="0" xfId="3" applyFill="1" applyProtection="1">
      <protection hidden="1"/>
    </xf>
    <xf numFmtId="0" fontId="22" fillId="51" borderId="381" xfId="3" applyFont="1" applyFill="1" applyBorder="1" applyAlignment="1" applyProtection="1">
      <alignment horizontal="center" vertical="center"/>
      <protection hidden="1"/>
    </xf>
    <xf numFmtId="0" fontId="22" fillId="51" borderId="162" xfId="3" applyFont="1" applyFill="1" applyBorder="1" applyAlignment="1" applyProtection="1">
      <alignment horizontal="center" vertical="center"/>
      <protection hidden="1"/>
    </xf>
    <xf numFmtId="0" fontId="22" fillId="51" borderId="379" xfId="3" applyFont="1" applyFill="1" applyBorder="1" applyAlignment="1" applyProtection="1">
      <alignment horizontal="center" vertical="center"/>
      <protection hidden="1"/>
    </xf>
    <xf numFmtId="0" fontId="23" fillId="3" borderId="357" xfId="3" applyFont="1" applyFill="1" applyBorder="1" applyAlignment="1" applyProtection="1">
      <alignment horizontal="center" vertical="center"/>
      <protection hidden="1"/>
    </xf>
    <xf numFmtId="0" fontId="23" fillId="3" borderId="0" xfId="3" applyFont="1" applyFill="1" applyAlignment="1" applyProtection="1">
      <alignment horizontal="center" vertical="center"/>
      <protection hidden="1"/>
    </xf>
    <xf numFmtId="0" fontId="23" fillId="3" borderId="163" xfId="3" applyFont="1" applyFill="1" applyBorder="1" applyAlignment="1" applyProtection="1">
      <alignment horizontal="center" vertical="center"/>
      <protection hidden="1"/>
    </xf>
    <xf numFmtId="0" fontId="57" fillId="52" borderId="440" xfId="12" applyFont="1" applyFill="1" applyBorder="1" applyAlignment="1" applyProtection="1">
      <alignment horizontal="center" vertical="center"/>
      <protection hidden="1"/>
    </xf>
    <xf numFmtId="0" fontId="59" fillId="3" borderId="354" xfId="13" applyFont="1" applyFill="1" applyBorder="1" applyAlignment="1" applyProtection="1">
      <alignment horizontal="center" vertical="center"/>
      <protection hidden="1"/>
    </xf>
    <xf numFmtId="0" fontId="59" fillId="3" borderId="356" xfId="13" applyFont="1" applyFill="1" applyBorder="1" applyAlignment="1" applyProtection="1">
      <alignment horizontal="center" vertical="center"/>
      <protection hidden="1"/>
    </xf>
    <xf numFmtId="0" fontId="1" fillId="3" borderId="0" xfId="49" applyFill="1"/>
    <xf numFmtId="0" fontId="23" fillId="3" borderId="0" xfId="3" applyFont="1" applyFill="1" applyAlignment="1" applyProtection="1">
      <alignment horizontal="left"/>
      <protection hidden="1"/>
    </xf>
    <xf numFmtId="0" fontId="22" fillId="5" borderId="0" xfId="12" applyFont="1" applyFill="1" applyAlignment="1" applyProtection="1">
      <alignment horizontal="center" vertical="center" wrapText="1"/>
      <protection hidden="1"/>
    </xf>
    <xf numFmtId="0" fontId="29" fillId="3" borderId="0" xfId="3" applyFont="1" applyFill="1" applyAlignment="1" applyProtection="1">
      <alignment horizontal="left"/>
      <protection hidden="1"/>
    </xf>
    <xf numFmtId="0" fontId="30" fillId="3" borderId="164" xfId="3" applyFont="1" applyFill="1" applyBorder="1" applyAlignment="1" applyProtection="1">
      <alignment horizontal="center" vertical="center"/>
      <protection hidden="1"/>
    </xf>
    <xf numFmtId="0" fontId="30" fillId="3" borderId="165" xfId="3" applyFont="1" applyFill="1" applyBorder="1" applyAlignment="1" applyProtection="1">
      <alignment horizontal="center" vertical="center"/>
      <protection hidden="1"/>
    </xf>
    <xf numFmtId="0" fontId="30" fillId="3" borderId="166" xfId="3" applyFont="1" applyFill="1" applyBorder="1" applyAlignment="1" applyProtection="1">
      <alignment horizontal="center" vertical="center"/>
      <protection hidden="1"/>
    </xf>
    <xf numFmtId="0" fontId="629" fillId="3" borderId="0" xfId="3" applyFont="1" applyFill="1" applyProtection="1">
      <protection hidden="1"/>
    </xf>
    <xf numFmtId="0" fontId="29" fillId="3" borderId="0" xfId="3" applyFont="1" applyFill="1" applyProtection="1">
      <protection hidden="1"/>
    </xf>
    <xf numFmtId="0" fontId="630" fillId="187" borderId="22" xfId="3" applyFont="1" applyFill="1" applyBorder="1" applyAlignment="1" applyProtection="1">
      <alignment horizontal="center" vertical="center"/>
      <protection hidden="1"/>
    </xf>
    <xf numFmtId="0" fontId="630" fillId="187" borderId="476" xfId="3" applyFont="1" applyFill="1" applyBorder="1" applyAlignment="1" applyProtection="1">
      <alignment horizontal="center" vertical="center" wrapText="1"/>
      <protection hidden="1"/>
    </xf>
    <xf numFmtId="0" fontId="207" fillId="187" borderId="476" xfId="3" applyFont="1" applyFill="1" applyBorder="1" applyAlignment="1" applyProtection="1">
      <alignment horizontal="center" vertical="center"/>
      <protection hidden="1"/>
    </xf>
    <xf numFmtId="0" fontId="60" fillId="3" borderId="0" xfId="49" applyFont="1" applyFill="1"/>
    <xf numFmtId="0" fontId="631" fillId="3" borderId="0" xfId="49" applyFont="1" applyFill="1"/>
    <xf numFmtId="0" fontId="25" fillId="3" borderId="0" xfId="3" applyFont="1" applyFill="1" applyProtection="1">
      <protection hidden="1"/>
    </xf>
    <xf numFmtId="0" fontId="632" fillId="16" borderId="345" xfId="3" applyFont="1" applyFill="1" applyBorder="1" applyAlignment="1">
      <alignment horizontal="left" vertical="center"/>
    </xf>
    <xf numFmtId="0" fontId="213" fillId="14" borderId="148" xfId="49" applyFont="1" applyFill="1" applyBorder="1" applyAlignment="1" applyProtection="1">
      <alignment horizontal="center" vertical="center"/>
      <protection locked="0"/>
    </xf>
    <xf numFmtId="165" fontId="633" fillId="14" borderId="62" xfId="49" applyNumberFormat="1" applyFont="1" applyFill="1" applyBorder="1" applyAlignment="1">
      <alignment horizontal="center" vertical="center" wrapText="1"/>
    </xf>
    <xf numFmtId="196" fontId="213" fillId="14" borderId="62" xfId="37" applyNumberFormat="1" applyFont="1" applyFill="1" applyBorder="1" applyAlignment="1">
      <alignment horizontal="center" vertical="center"/>
    </xf>
    <xf numFmtId="0" fontId="634" fillId="3" borderId="0" xfId="49" applyFont="1" applyFill="1" applyAlignment="1">
      <alignment horizontal="left" vertical="center"/>
    </xf>
    <xf numFmtId="0" fontId="0" fillId="3" borderId="0" xfId="49" applyFont="1" applyFill="1"/>
    <xf numFmtId="0" fontId="91" fillId="3" borderId="0" xfId="3" applyFont="1" applyFill="1" applyAlignment="1" applyProtection="1">
      <alignment vertical="center"/>
      <protection hidden="1"/>
    </xf>
    <xf numFmtId="0" fontId="635" fillId="3" borderId="0" xfId="49" applyFont="1" applyFill="1"/>
    <xf numFmtId="0" fontId="25" fillId="3" borderId="0" xfId="3" applyFont="1" applyFill="1" applyAlignment="1" applyProtection="1">
      <alignment vertical="center"/>
      <protection hidden="1"/>
    </xf>
    <xf numFmtId="0" fontId="7" fillId="3" borderId="0" xfId="3" applyFill="1" applyAlignment="1" applyProtection="1">
      <alignment vertical="center"/>
      <protection hidden="1"/>
    </xf>
    <xf numFmtId="165" fontId="633" fillId="86" borderId="62" xfId="49" applyNumberFormat="1" applyFont="1" applyFill="1" applyBorder="1" applyAlignment="1">
      <alignment horizontal="center" vertical="center" wrapText="1"/>
    </xf>
    <xf numFmtId="0" fontId="634" fillId="16" borderId="0" xfId="49" applyFont="1" applyFill="1" applyAlignment="1">
      <alignment horizontal="left" vertical="center"/>
    </xf>
    <xf numFmtId="0" fontId="29" fillId="3" borderId="0" xfId="3" applyFont="1" applyFill="1" applyAlignment="1" applyProtection="1">
      <alignment vertical="center"/>
      <protection hidden="1"/>
    </xf>
    <xf numFmtId="0" fontId="313" fillId="3" borderId="0" xfId="3" applyFont="1" applyFill="1" applyProtection="1">
      <protection hidden="1"/>
    </xf>
    <xf numFmtId="0" fontId="223" fillId="53" borderId="148" xfId="49" applyFont="1" applyFill="1" applyBorder="1" applyAlignment="1" applyProtection="1">
      <alignment horizontal="center" vertical="center"/>
      <protection locked="0"/>
    </xf>
    <xf numFmtId="165" fontId="230" fillId="53" borderId="62" xfId="49" applyNumberFormat="1" applyFont="1" applyFill="1" applyBorder="1" applyAlignment="1">
      <alignment horizontal="left" vertical="center" wrapText="1"/>
    </xf>
    <xf numFmtId="177" fontId="223" fillId="53" borderId="62" xfId="37" applyNumberFormat="1" applyFont="1" applyFill="1" applyBorder="1" applyAlignment="1">
      <alignment horizontal="center" vertical="center"/>
    </xf>
    <xf numFmtId="0" fontId="3" fillId="68" borderId="357" xfId="49" applyFont="1" applyFill="1" applyBorder="1" applyAlignment="1" applyProtection="1">
      <alignment horizontal="center" vertical="center"/>
      <protection locked="0"/>
    </xf>
    <xf numFmtId="0" fontId="3" fillId="68" borderId="0" xfId="49" applyFont="1" applyFill="1" applyAlignment="1" applyProtection="1">
      <alignment horizontal="left" vertical="center"/>
      <protection locked="0"/>
    </xf>
    <xf numFmtId="177" fontId="636" fillId="188" borderId="0" xfId="37" applyNumberFormat="1" applyFont="1" applyFill="1" applyAlignment="1">
      <alignment horizontal="center" vertical="center"/>
    </xf>
    <xf numFmtId="0" fontId="41" fillId="3" borderId="0" xfId="3" applyFont="1" applyFill="1" applyAlignment="1" applyProtection="1">
      <alignment vertical="center"/>
      <protection hidden="1"/>
    </xf>
    <xf numFmtId="0" fontId="213" fillId="14" borderId="22" xfId="49" applyFont="1" applyFill="1" applyBorder="1" applyAlignment="1" applyProtection="1">
      <alignment horizontal="center" vertical="center"/>
      <protection locked="0"/>
    </xf>
    <xf numFmtId="165" fontId="633" fillId="14" borderId="476" xfId="49" applyNumberFormat="1" applyFont="1" applyFill="1" applyBorder="1" applyAlignment="1">
      <alignment horizontal="center" vertical="center" wrapText="1"/>
    </xf>
    <xf numFmtId="196" fontId="213" fillId="14" borderId="476" xfId="37" applyNumberFormat="1" applyFont="1" applyFill="1" applyBorder="1" applyAlignment="1">
      <alignment horizontal="center" vertical="center"/>
    </xf>
    <xf numFmtId="2" fontId="637" fillId="3" borderId="0" xfId="49" applyNumberFormat="1" applyFont="1" applyFill="1" applyAlignment="1">
      <alignment horizontal="right" vertical="center"/>
    </xf>
    <xf numFmtId="2" fontId="637" fillId="3" borderId="0" xfId="49" applyNumberFormat="1" applyFont="1" applyFill="1" applyAlignment="1">
      <alignment horizontal="center" vertical="center"/>
    </xf>
    <xf numFmtId="0" fontId="638" fillId="3" borderId="0" xfId="3" applyFont="1" applyFill="1" applyAlignment="1" applyProtection="1">
      <alignment horizontal="center"/>
      <protection hidden="1"/>
    </xf>
    <xf numFmtId="0" fontId="638" fillId="3" borderId="0" xfId="49" applyFont="1" applyFill="1" applyAlignment="1">
      <alignment horizontal="center"/>
    </xf>
    <xf numFmtId="0" fontId="61" fillId="3" borderId="510" xfId="49" applyFont="1" applyFill="1" applyBorder="1" applyAlignment="1">
      <alignment horizontal="center" vertical="center" wrapText="1"/>
    </xf>
    <xf numFmtId="0" fontId="61" fillId="3" borderId="188" xfId="49" applyFont="1" applyFill="1" applyBorder="1" applyAlignment="1">
      <alignment horizontal="center" vertical="center" wrapText="1"/>
    </xf>
    <xf numFmtId="0" fontId="61" fillId="3" borderId="509" xfId="49" applyFont="1" applyFill="1" applyBorder="1" applyAlignment="1">
      <alignment horizontal="center" vertical="center" wrapText="1"/>
    </xf>
    <xf numFmtId="0" fontId="61" fillId="3" borderId="345" xfId="49" applyFont="1" applyFill="1" applyBorder="1" applyAlignment="1">
      <alignment horizontal="center" vertical="center" wrapText="1"/>
    </xf>
    <xf numFmtId="0" fontId="61" fillId="3" borderId="0" xfId="49" applyFont="1" applyFill="1" applyAlignment="1">
      <alignment horizontal="center" vertical="center" wrapText="1"/>
    </xf>
    <xf numFmtId="0" fontId="61" fillId="3" borderId="348" xfId="49" applyFont="1" applyFill="1" applyBorder="1" applyAlignment="1">
      <alignment horizontal="center" vertical="center" wrapText="1"/>
    </xf>
    <xf numFmtId="0" fontId="61" fillId="3" borderId="447" xfId="49" applyFont="1" applyFill="1" applyBorder="1" applyAlignment="1">
      <alignment horizontal="center" vertical="center" wrapText="1"/>
    </xf>
    <xf numFmtId="0" fontId="61" fillId="3" borderId="507" xfId="49" applyFont="1" applyFill="1" applyBorder="1" applyAlignment="1">
      <alignment horizontal="center" vertical="center" wrapText="1"/>
    </xf>
    <xf numFmtId="0" fontId="61" fillId="3" borderId="508" xfId="49" applyFont="1" applyFill="1" applyBorder="1" applyAlignment="1">
      <alignment horizontal="center" vertical="center" wrapText="1"/>
    </xf>
    <xf numFmtId="0" fontId="62" fillId="5" borderId="510" xfId="49" applyFont="1" applyFill="1" applyBorder="1" applyAlignment="1">
      <alignment horizontal="center" vertical="center" wrapText="1"/>
    </xf>
    <xf numFmtId="0" fontId="62" fillId="5" borderId="188" xfId="49" applyFont="1" applyFill="1" applyBorder="1" applyAlignment="1">
      <alignment horizontal="center" vertical="center" wrapText="1"/>
    </xf>
    <xf numFmtId="0" fontId="62" fillId="5" borderId="509" xfId="49" applyFont="1" applyFill="1" applyBorder="1" applyAlignment="1">
      <alignment horizontal="center" vertical="center" wrapText="1"/>
    </xf>
    <xf numFmtId="0" fontId="62" fillId="5" borderId="345" xfId="49" applyFont="1" applyFill="1" applyBorder="1" applyAlignment="1">
      <alignment horizontal="center" vertical="center" wrapText="1"/>
    </xf>
    <xf numFmtId="0" fontId="62" fillId="5" borderId="0" xfId="49" applyFont="1" applyFill="1" applyAlignment="1">
      <alignment horizontal="center" vertical="center" wrapText="1"/>
    </xf>
    <xf numFmtId="0" fontId="62" fillId="5" borderId="348" xfId="49" applyFont="1" applyFill="1" applyBorder="1" applyAlignment="1">
      <alignment horizontal="center" vertical="center" wrapText="1"/>
    </xf>
    <xf numFmtId="0" fontId="62" fillId="5" borderId="447" xfId="49" applyFont="1" applyFill="1" applyBorder="1" applyAlignment="1">
      <alignment horizontal="center" vertical="center" wrapText="1"/>
    </xf>
    <xf numFmtId="0" fontId="62" fillId="5" borderId="507" xfId="49" applyFont="1" applyFill="1" applyBorder="1" applyAlignment="1">
      <alignment horizontal="center" vertical="center" wrapText="1"/>
    </xf>
    <xf numFmtId="0" fontId="62" fillId="5" borderId="508" xfId="49" applyFont="1" applyFill="1" applyBorder="1" applyAlignment="1">
      <alignment horizontal="center" vertical="center" wrapText="1"/>
    </xf>
    <xf numFmtId="0" fontId="1" fillId="6" borderId="0" xfId="49" applyFill="1"/>
    <xf numFmtId="0" fontId="7" fillId="6" borderId="0" xfId="3" applyFill="1" applyProtection="1">
      <protection hidden="1"/>
    </xf>
    <xf numFmtId="0" fontId="25" fillId="6" borderId="0" xfId="3" applyFont="1" applyFill="1" applyAlignment="1" applyProtection="1">
      <alignment vertical="center"/>
      <protection hidden="1"/>
    </xf>
    <xf numFmtId="0" fontId="35" fillId="3" borderId="510" xfId="49" applyFont="1" applyFill="1" applyBorder="1" applyAlignment="1">
      <alignment horizontal="center" vertical="center" wrapText="1"/>
    </xf>
    <xf numFmtId="0" fontId="35" fillId="3" borderId="188" xfId="49" applyFont="1" applyFill="1" applyBorder="1" applyAlignment="1">
      <alignment horizontal="center" vertical="center" wrapText="1"/>
    </xf>
    <xf numFmtId="0" fontId="35" fillId="3" borderId="509" xfId="49" applyFont="1" applyFill="1" applyBorder="1" applyAlignment="1">
      <alignment horizontal="center" vertical="center" wrapText="1"/>
    </xf>
    <xf numFmtId="0" fontId="35" fillId="3" borderId="345" xfId="49" applyFont="1" applyFill="1" applyBorder="1" applyAlignment="1">
      <alignment horizontal="center" vertical="center" wrapText="1"/>
    </xf>
    <xf numFmtId="0" fontId="35" fillId="3" borderId="0" xfId="49" applyFont="1" applyFill="1" applyAlignment="1">
      <alignment horizontal="center" vertical="center" wrapText="1"/>
    </xf>
    <xf numFmtId="0" fontId="35" fillId="3" borderId="348" xfId="49" applyFont="1" applyFill="1" applyBorder="1" applyAlignment="1">
      <alignment horizontal="center" vertical="center" wrapText="1"/>
    </xf>
    <xf numFmtId="0" fontId="33" fillId="3" borderId="345" xfId="49" applyFont="1" applyFill="1" applyBorder="1" applyAlignment="1">
      <alignment horizontal="center" vertical="center" wrapText="1"/>
    </xf>
    <xf numFmtId="0" fontId="33" fillId="3" borderId="0" xfId="49" applyFont="1" applyFill="1" applyAlignment="1">
      <alignment horizontal="center" vertical="center" wrapText="1"/>
    </xf>
    <xf numFmtId="0" fontId="33" fillId="3" borderId="348" xfId="49" applyFont="1" applyFill="1" applyBorder="1" applyAlignment="1">
      <alignment horizontal="center" vertical="center" wrapText="1"/>
    </xf>
    <xf numFmtId="0" fontId="33" fillId="3" borderId="447" xfId="49" applyFont="1" applyFill="1" applyBorder="1" applyAlignment="1">
      <alignment horizontal="center" vertical="center" wrapText="1"/>
    </xf>
    <xf numFmtId="0" fontId="33" fillId="3" borderId="507" xfId="49" applyFont="1" applyFill="1" applyBorder="1" applyAlignment="1">
      <alignment horizontal="center" vertical="center" wrapText="1"/>
    </xf>
    <xf numFmtId="0" fontId="33" fillId="3" borderId="508" xfId="49" applyFont="1" applyFill="1" applyBorder="1" applyAlignment="1">
      <alignment horizontal="center" vertical="center" wrapText="1"/>
    </xf>
    <xf numFmtId="0" fontId="57" fillId="52" borderId="345" xfId="49" applyFont="1" applyFill="1" applyBorder="1" applyAlignment="1">
      <alignment horizontal="center" vertical="center"/>
    </xf>
    <xf numFmtId="0" fontId="57" fillId="52" borderId="0" xfId="49" applyFont="1" applyFill="1" applyAlignment="1">
      <alignment horizontal="center" vertical="center"/>
    </xf>
    <xf numFmtId="0" fontId="57" fillId="52" borderId="348" xfId="49" applyFont="1" applyFill="1" applyBorder="1" applyAlignment="1">
      <alignment horizontal="center" vertical="center"/>
    </xf>
    <xf numFmtId="0" fontId="69" fillId="0" borderId="0" xfId="49" applyFont="1"/>
    <xf numFmtId="0" fontId="41" fillId="3" borderId="345" xfId="49" applyFont="1" applyFill="1" applyBorder="1" applyAlignment="1">
      <alignment horizontal="center" vertical="center" wrapText="1"/>
    </xf>
    <xf numFmtId="0" fontId="41" fillId="3" borderId="0" xfId="49" applyFont="1" applyFill="1" applyAlignment="1">
      <alignment horizontal="center" vertical="center" wrapText="1"/>
    </xf>
    <xf numFmtId="0" fontId="41" fillId="3" borderId="348" xfId="49" applyFont="1" applyFill="1" applyBorder="1" applyAlignment="1">
      <alignment horizontal="center" vertical="center" wrapText="1"/>
    </xf>
    <xf numFmtId="0" fontId="36" fillId="53" borderId="345" xfId="49" applyFont="1" applyFill="1" applyBorder="1" applyAlignment="1">
      <alignment horizontal="center" vertical="center" wrapText="1"/>
    </xf>
    <xf numFmtId="0" fontId="36" fillId="53" borderId="0" xfId="49" applyFont="1" applyFill="1" applyAlignment="1">
      <alignment horizontal="center" vertical="center" wrapText="1"/>
    </xf>
    <xf numFmtId="0" fontId="36" fillId="53" borderId="348" xfId="49" applyFont="1" applyFill="1" applyBorder="1" applyAlignment="1">
      <alignment horizontal="center" vertical="center" wrapText="1"/>
    </xf>
    <xf numFmtId="0" fontId="70" fillId="7" borderId="345" xfId="49" applyFont="1" applyFill="1" applyBorder="1" applyAlignment="1">
      <alignment horizontal="center" vertical="center" wrapText="1"/>
    </xf>
    <xf numFmtId="0" fontId="70" fillId="7" borderId="0" xfId="49" applyFont="1" applyFill="1" applyAlignment="1">
      <alignment horizontal="center" vertical="center" wrapText="1"/>
    </xf>
    <xf numFmtId="0" fontId="70" fillId="7" borderId="348" xfId="49" applyFont="1" applyFill="1" applyBorder="1" applyAlignment="1">
      <alignment horizontal="center" vertical="center" wrapText="1"/>
    </xf>
    <xf numFmtId="0" fontId="70" fillId="7" borderId="447" xfId="49" applyFont="1" applyFill="1" applyBorder="1" applyAlignment="1">
      <alignment horizontal="center" vertical="center" wrapText="1"/>
    </xf>
    <xf numFmtId="0" fontId="70" fillId="7" borderId="507" xfId="49" applyFont="1" applyFill="1" applyBorder="1" applyAlignment="1">
      <alignment horizontal="center" vertical="center" wrapText="1"/>
    </xf>
    <xf numFmtId="0" fontId="70" fillId="7" borderId="508" xfId="49" applyFont="1" applyFill="1" applyBorder="1" applyAlignment="1">
      <alignment horizontal="center" vertical="center" wrapText="1"/>
    </xf>
    <xf numFmtId="0" fontId="69" fillId="3" borderId="0" xfId="3" applyFont="1" applyFill="1" applyAlignment="1" applyProtection="1">
      <alignment horizontal="left" vertical="center"/>
      <protection locked="0"/>
    </xf>
    <xf numFmtId="0" fontId="71" fillId="3" borderId="0" xfId="3" applyFont="1" applyFill="1" applyAlignment="1" applyProtection="1">
      <alignment horizontal="left" vertical="center"/>
      <protection locked="0"/>
    </xf>
    <xf numFmtId="0" fontId="594" fillId="0" borderId="0" xfId="3" applyFont="1" applyAlignment="1">
      <alignment vertical="center"/>
    </xf>
    <xf numFmtId="0" fontId="639" fillId="54" borderId="381" xfId="3" applyFont="1" applyFill="1" applyBorder="1" applyAlignment="1">
      <alignment horizontal="center" vertical="center"/>
    </xf>
    <xf numFmtId="0" fontId="639" fillId="54" borderId="162" xfId="3" applyFont="1" applyFill="1" applyBorder="1" applyAlignment="1">
      <alignment horizontal="center" vertical="center"/>
    </xf>
    <xf numFmtId="0" fontId="639" fillId="54" borderId="379" xfId="3" applyFont="1" applyFill="1" applyBorder="1" applyAlignment="1">
      <alignment horizontal="center" vertical="center"/>
    </xf>
    <xf numFmtId="0" fontId="639" fillId="3" borderId="357" xfId="3" applyFont="1" applyFill="1" applyBorder="1" applyAlignment="1">
      <alignment horizontal="center" vertical="center"/>
    </xf>
    <xf numFmtId="0" fontId="639" fillId="3" borderId="0" xfId="3" applyFont="1" applyFill="1" applyAlignment="1">
      <alignment horizontal="center" vertical="center"/>
    </xf>
    <xf numFmtId="0" fontId="639" fillId="3" borderId="163" xfId="3" applyFont="1" applyFill="1" applyBorder="1" applyAlignment="1">
      <alignment horizontal="center" vertical="center"/>
    </xf>
    <xf numFmtId="0" fontId="640" fillId="3" borderId="357" xfId="3" applyFont="1" applyFill="1" applyBorder="1" applyAlignment="1">
      <alignment vertical="center"/>
    </xf>
    <xf numFmtId="182" fontId="641" fillId="5" borderId="0" xfId="3" applyNumberFormat="1" applyFont="1" applyFill="1" applyAlignment="1">
      <alignment vertical="center"/>
    </xf>
    <xf numFmtId="0" fontId="7" fillId="3" borderId="0" xfId="3" applyFill="1"/>
    <xf numFmtId="0" fontId="72" fillId="3" borderId="0" xfId="3" applyFont="1" applyFill="1" applyAlignment="1">
      <alignment horizontal="center" vertical="center" wrapText="1"/>
    </xf>
    <xf numFmtId="182" fontId="641" fillId="3" borderId="0" xfId="3" applyNumberFormat="1" applyFont="1" applyFill="1" applyAlignment="1">
      <alignment vertical="center"/>
    </xf>
    <xf numFmtId="0" fontId="594" fillId="3" borderId="0" xfId="3" applyFont="1" applyFill="1"/>
    <xf numFmtId="0" fontId="72" fillId="3" borderId="0" xfId="3" applyFont="1" applyFill="1" applyAlignment="1">
      <alignment horizontal="center" vertical="center" wrapText="1"/>
    </xf>
    <xf numFmtId="0" fontId="642" fillId="3" borderId="357" xfId="3" applyFont="1" applyFill="1" applyBorder="1"/>
    <xf numFmtId="0" fontId="72" fillId="3" borderId="0" xfId="3" applyFont="1" applyFill="1" applyAlignment="1">
      <alignment vertical="center" wrapText="1"/>
    </xf>
    <xf numFmtId="0" fontId="640" fillId="3" borderId="0" xfId="3" applyFont="1" applyFill="1" applyAlignment="1">
      <alignment horizontal="right" vertical="center"/>
    </xf>
    <xf numFmtId="0" fontId="64" fillId="3" borderId="0" xfId="3" applyFont="1" applyFill="1" applyAlignment="1">
      <alignment horizontal="center" vertical="center"/>
    </xf>
    <xf numFmtId="0" fontId="73" fillId="3" borderId="0" xfId="3" applyFont="1" applyFill="1" applyAlignment="1">
      <alignment horizontal="center" vertical="center"/>
    </xf>
    <xf numFmtId="0" fontId="643" fillId="42" borderId="0" xfId="3" applyFont="1" applyFill="1" applyAlignment="1">
      <alignment horizontal="center" vertical="center"/>
    </xf>
    <xf numFmtId="0" fontId="644" fillId="55" borderId="163" xfId="3" applyFont="1" applyFill="1" applyBorder="1" applyAlignment="1">
      <alignment horizontal="center" vertical="center"/>
    </xf>
    <xf numFmtId="0" fontId="74" fillId="3" borderId="0" xfId="3" applyFont="1" applyFill="1" applyAlignment="1">
      <alignment horizontal="center" vertical="center"/>
    </xf>
    <xf numFmtId="0" fontId="643" fillId="3" borderId="0" xfId="3" applyFont="1" applyFill="1" applyAlignment="1">
      <alignment horizontal="center" vertical="center"/>
    </xf>
    <xf numFmtId="0" fontId="644" fillId="3" borderId="163" xfId="3" applyFont="1" applyFill="1" applyBorder="1" applyAlignment="1">
      <alignment horizontal="center" vertical="center"/>
    </xf>
    <xf numFmtId="0" fontId="73" fillId="3" borderId="357" xfId="3" applyFont="1" applyFill="1" applyBorder="1" applyAlignment="1">
      <alignment horizontal="center" vertical="center"/>
    </xf>
    <xf numFmtId="0" fontId="74" fillId="3" borderId="357" xfId="3" applyFont="1" applyFill="1" applyBorder="1" applyAlignment="1">
      <alignment horizontal="center" vertical="center"/>
    </xf>
    <xf numFmtId="0" fontId="24" fillId="3" borderId="0" xfId="3" applyFont="1" applyFill="1"/>
    <xf numFmtId="0" fontId="24" fillId="3" borderId="0" xfId="37" applyFont="1" applyFill="1" applyAlignment="1">
      <alignment horizontal="right" vertical="center"/>
    </xf>
    <xf numFmtId="183" fontId="645" fillId="31" borderId="0" xfId="37" applyNumberFormat="1" applyFont="1" applyFill="1" applyAlignment="1">
      <alignment horizontal="center" vertical="center"/>
    </xf>
    <xf numFmtId="0" fontId="75" fillId="56" borderId="0" xfId="49" applyFont="1" applyFill="1" applyAlignment="1">
      <alignment horizontal="center" vertical="center"/>
    </xf>
    <xf numFmtId="0" fontId="644" fillId="55" borderId="0" xfId="3" applyFont="1" applyFill="1" applyAlignment="1">
      <alignment horizontal="center" vertical="center"/>
    </xf>
    <xf numFmtId="183" fontId="645" fillId="3" borderId="0" xfId="37" applyNumberFormat="1" applyFont="1" applyFill="1" applyAlignment="1">
      <alignment horizontal="center" vertical="center"/>
    </xf>
    <xf numFmtId="0" fontId="644" fillId="3" borderId="0" xfId="3" applyFont="1" applyFill="1" applyAlignment="1">
      <alignment horizontal="center" vertical="center"/>
    </xf>
    <xf numFmtId="0" fontId="76" fillId="5" borderId="0" xfId="49" applyFont="1" applyFill="1" applyAlignment="1">
      <alignment horizontal="center" vertical="center"/>
    </xf>
    <xf numFmtId="0" fontId="75" fillId="52" borderId="0" xfId="49" applyFont="1" applyFill="1" applyAlignment="1">
      <alignment horizontal="center" vertical="center"/>
    </xf>
    <xf numFmtId="0" fontId="646" fillId="3" borderId="0" xfId="3" applyFont="1" applyFill="1" applyAlignment="1">
      <alignment vertical="center"/>
    </xf>
    <xf numFmtId="0" fontId="24" fillId="3" borderId="163" xfId="3" applyFont="1" applyFill="1" applyBorder="1"/>
    <xf numFmtId="0" fontId="33" fillId="3" borderId="0" xfId="3" applyFont="1" applyFill="1" applyAlignment="1">
      <alignment horizontal="right" vertical="center"/>
    </xf>
    <xf numFmtId="0" fontId="33" fillId="57" borderId="0" xfId="3" applyFont="1" applyFill="1" applyAlignment="1">
      <alignment horizontal="left" vertical="center"/>
    </xf>
    <xf numFmtId="0" fontId="7" fillId="3" borderId="356" xfId="3" applyFill="1" applyBorder="1"/>
    <xf numFmtId="0" fontId="647" fillId="55" borderId="381" xfId="3" applyFont="1" applyFill="1" applyBorder="1" applyAlignment="1">
      <alignment horizontal="center" vertical="center"/>
    </xf>
    <xf numFmtId="0" fontId="648" fillId="55" borderId="162" xfId="3" applyFont="1" applyFill="1" applyBorder="1" applyAlignment="1">
      <alignment horizontal="center" vertical="center"/>
    </xf>
    <xf numFmtId="0" fontId="648" fillId="55" borderId="379" xfId="3" applyFont="1" applyFill="1" applyBorder="1" applyAlignment="1">
      <alignment horizontal="center" vertical="center"/>
    </xf>
    <xf numFmtId="0" fontId="649" fillId="4" borderId="357" xfId="3" applyFont="1" applyFill="1" applyBorder="1" applyAlignment="1">
      <alignment horizontal="center" vertical="center"/>
    </xf>
    <xf numFmtId="0" fontId="77" fillId="3" borderId="0" xfId="3" applyFont="1" applyFill="1" applyAlignment="1">
      <alignment horizontal="center" vertical="center"/>
    </xf>
    <xf numFmtId="0" fontId="650" fillId="4" borderId="357" xfId="3" applyFont="1" applyFill="1" applyBorder="1" applyAlignment="1">
      <alignment horizontal="center" vertical="center"/>
    </xf>
    <xf numFmtId="0" fontId="651" fillId="58" borderId="0" xfId="3" applyFont="1" applyFill="1" applyAlignment="1">
      <alignment horizontal="left" vertical="center"/>
    </xf>
    <xf numFmtId="0" fontId="651" fillId="58" borderId="163" xfId="3" applyFont="1" applyFill="1" applyBorder="1" applyAlignment="1">
      <alignment horizontal="left" vertical="center"/>
    </xf>
    <xf numFmtId="0" fontId="20" fillId="4" borderId="357" xfId="3" applyFont="1" applyFill="1" applyBorder="1" applyAlignment="1">
      <alignment horizontal="center" vertical="center"/>
    </xf>
    <xf numFmtId="0" fontId="64" fillId="0" borderId="0" xfId="3" applyFont="1" applyAlignment="1">
      <alignment horizontal="center" vertical="center"/>
    </xf>
    <xf numFmtId="0" fontId="639" fillId="59" borderId="357" xfId="3" applyFont="1" applyFill="1" applyBorder="1" applyAlignment="1">
      <alignment horizontal="center" vertical="center"/>
    </xf>
    <xf numFmtId="0" fontId="652" fillId="60" borderId="0" xfId="3" applyFont="1" applyFill="1" applyAlignment="1">
      <alignment horizontal="left" vertical="top" wrapText="1"/>
    </xf>
    <xf numFmtId="0" fontId="652" fillId="60" borderId="163" xfId="3" applyFont="1" applyFill="1" applyBorder="1" applyAlignment="1">
      <alignment horizontal="left" vertical="top" wrapText="1"/>
    </xf>
    <xf numFmtId="0" fontId="649" fillId="61" borderId="570" xfId="3" applyFont="1" applyFill="1" applyBorder="1" applyAlignment="1">
      <alignment horizontal="center" vertical="center"/>
    </xf>
    <xf numFmtId="0" fontId="653" fillId="61" borderId="188" xfId="3" applyFont="1" applyFill="1" applyBorder="1" applyAlignment="1">
      <alignment horizontal="left" vertical="top" wrapText="1"/>
    </xf>
    <xf numFmtId="0" fontId="653" fillId="61" borderId="512" xfId="3" applyFont="1" applyFill="1" applyBorder="1" applyAlignment="1">
      <alignment horizontal="left" vertical="top" wrapText="1"/>
    </xf>
    <xf numFmtId="0" fontId="649" fillId="61" borderId="357" xfId="3" applyFont="1" applyFill="1" applyBorder="1" applyAlignment="1">
      <alignment horizontal="center" vertical="center"/>
    </xf>
    <xf numFmtId="0" fontId="653" fillId="61" borderId="0" xfId="3" applyFont="1" applyFill="1" applyAlignment="1">
      <alignment horizontal="left" vertical="top" wrapText="1"/>
    </xf>
    <xf numFmtId="0" fontId="653" fillId="61" borderId="163" xfId="3" applyFont="1" applyFill="1" applyBorder="1" applyAlignment="1">
      <alignment horizontal="left" vertical="top" wrapText="1"/>
    </xf>
    <xf numFmtId="0" fontId="649" fillId="61" borderId="335" xfId="3" applyFont="1" applyFill="1" applyBorder="1" applyAlignment="1">
      <alignment horizontal="center" vertical="center"/>
    </xf>
    <xf numFmtId="0" fontId="653" fillId="61" borderId="507" xfId="3" applyFont="1" applyFill="1" applyBorder="1" applyAlignment="1">
      <alignment horizontal="left" vertical="top" wrapText="1"/>
    </xf>
    <xf numFmtId="0" fontId="653" fillId="61" borderId="571" xfId="3" applyFont="1" applyFill="1" applyBorder="1" applyAlignment="1">
      <alignment horizontal="left" vertical="top" wrapText="1"/>
    </xf>
    <xf numFmtId="0" fontId="654" fillId="61" borderId="0" xfId="3" applyFont="1" applyFill="1" applyAlignment="1">
      <alignment horizontal="left" vertical="top" wrapText="1"/>
    </xf>
    <xf numFmtId="0" fontId="654" fillId="61" borderId="163" xfId="3" applyFont="1" applyFill="1" applyBorder="1" applyAlignment="1">
      <alignment horizontal="left" vertical="top" wrapText="1"/>
    </xf>
    <xf numFmtId="0" fontId="649" fillId="61" borderId="440" xfId="3" applyFont="1" applyFill="1" applyBorder="1" applyAlignment="1">
      <alignment horizontal="center" vertical="center"/>
    </xf>
    <xf numFmtId="0" fontId="654" fillId="61" borderId="354" xfId="3" applyFont="1" applyFill="1" applyBorder="1" applyAlignment="1">
      <alignment horizontal="left" vertical="top" wrapText="1"/>
    </xf>
    <xf numFmtId="0" fontId="654" fillId="61" borderId="356" xfId="3" applyFont="1" applyFill="1" applyBorder="1" applyAlignment="1">
      <alignment horizontal="left" vertical="top" wrapText="1"/>
    </xf>
    <xf numFmtId="0" fontId="594" fillId="3" borderId="0" xfId="3" applyFont="1" applyFill="1" applyAlignment="1">
      <alignment vertical="center"/>
    </xf>
    <xf numFmtId="0" fontId="655" fillId="3" borderId="0" xfId="16" applyFont="1" applyFill="1" applyAlignment="1">
      <alignment horizontal="left" vertical="center"/>
    </xf>
    <xf numFmtId="0" fontId="648" fillId="3" borderId="0" xfId="3" applyFont="1" applyFill="1" applyAlignment="1">
      <alignment vertical="center"/>
    </xf>
    <xf numFmtId="0" fontId="602" fillId="3" borderId="0" xfId="16" applyFont="1" applyFill="1" applyAlignment="1">
      <alignment horizontal="left" vertical="center"/>
    </xf>
    <xf numFmtId="0" fontId="602" fillId="3" borderId="0" xfId="16" applyFont="1" applyFill="1" applyAlignment="1">
      <alignment horizontal="left" vertical="center"/>
    </xf>
    <xf numFmtId="0" fontId="656" fillId="3" borderId="0" xfId="3" applyFont="1" applyFill="1" applyAlignment="1">
      <alignment vertical="center"/>
    </xf>
    <xf numFmtId="0" fontId="76" fillId="3" borderId="0" xfId="49" applyFont="1" applyFill="1"/>
    <xf numFmtId="0" fontId="7" fillId="3" borderId="0" xfId="3" applyFill="1" applyAlignment="1">
      <alignment horizontal="center" vertical="center" wrapText="1"/>
    </xf>
    <xf numFmtId="0" fontId="7" fillId="3" borderId="0" xfId="3" applyFill="1" applyAlignment="1">
      <alignment horizontal="center" vertical="center"/>
    </xf>
    <xf numFmtId="0" fontId="657" fillId="3" borderId="0" xfId="49" applyFont="1" applyFill="1"/>
    <xf numFmtId="0" fontId="7" fillId="3" borderId="0" xfId="3" applyFill="1" applyAlignment="1">
      <alignment horizontal="centerContinuous" vertical="center"/>
    </xf>
    <xf numFmtId="0" fontId="19" fillId="3" borderId="0" xfId="3" applyFont="1" applyFill="1" applyAlignment="1">
      <alignment horizontal="center" vertical="center" wrapText="1"/>
    </xf>
    <xf numFmtId="0" fontId="658" fillId="5" borderId="0" xfId="49" applyFont="1" applyFill="1" applyAlignment="1">
      <alignment horizontal="centerContinuous" vertical="center"/>
    </xf>
    <xf numFmtId="0" fontId="1" fillId="5" borderId="0" xfId="49" applyFill="1" applyAlignment="1">
      <alignment horizontal="centerContinuous" vertical="center"/>
    </xf>
    <xf numFmtId="0" fontId="81" fillId="5" borderId="0" xfId="49" applyFont="1" applyFill="1" applyAlignment="1">
      <alignment horizontal="centerContinuous" vertical="center"/>
    </xf>
    <xf numFmtId="0" fontId="23" fillId="5" borderId="0" xfId="49" applyFont="1" applyFill="1" applyAlignment="1">
      <alignment horizontal="left" vertical="center"/>
    </xf>
    <xf numFmtId="0" fontId="30" fillId="5" borderId="0" xfId="49" applyFont="1" applyFill="1" applyAlignment="1">
      <alignment horizontal="left" vertical="center"/>
    </xf>
    <xf numFmtId="49" fontId="24" fillId="5" borderId="0" xfId="49" applyNumberFormat="1" applyFont="1" applyFill="1" applyAlignment="1">
      <alignment horizontal="left" vertical="center"/>
    </xf>
    <xf numFmtId="0" fontId="19" fillId="5" borderId="0" xfId="49" applyFont="1" applyFill="1" applyAlignment="1">
      <alignment horizontal="left" vertical="center"/>
    </xf>
    <xf numFmtId="0" fontId="19" fillId="62" borderId="0" xfId="17" applyFont="1" applyFill="1" applyAlignment="1">
      <alignment vertical="top"/>
    </xf>
    <xf numFmtId="0" fontId="1" fillId="62" borderId="0" xfId="49" applyFill="1"/>
    <xf numFmtId="0" fontId="81" fillId="62" borderId="0" xfId="49" applyFont="1" applyFill="1" applyAlignment="1">
      <alignment horizontal="left" vertical="center"/>
    </xf>
    <xf numFmtId="0" fontId="1" fillId="62" borderId="168" xfId="49" applyFill="1" applyBorder="1"/>
    <xf numFmtId="0" fontId="19" fillId="62" borderId="0" xfId="17" applyFont="1" applyFill="1" applyAlignment="1">
      <alignment horizontal="right" vertical="top"/>
    </xf>
    <xf numFmtId="0" fontId="659" fillId="63" borderId="0" xfId="18" applyFont="1" applyFill="1" applyAlignment="1">
      <alignment horizontal="right" vertical="center"/>
    </xf>
    <xf numFmtId="0" fontId="660" fillId="63" borderId="0" xfId="18" applyFont="1" applyFill="1" applyAlignment="1">
      <alignment horizontal="left" vertical="center" wrapText="1"/>
    </xf>
    <xf numFmtId="49" fontId="24" fillId="3" borderId="349" xfId="49" applyNumberFormat="1" applyFont="1" applyFill="1" applyBorder="1" applyAlignment="1">
      <alignment horizontal="left" vertical="center"/>
    </xf>
    <xf numFmtId="0" fontId="1" fillId="62" borderId="170" xfId="49" applyFill="1" applyBorder="1"/>
    <xf numFmtId="0" fontId="29" fillId="36" borderId="0" xfId="17" applyFont="1" applyFill="1" applyAlignment="1">
      <alignment vertical="center" wrapText="1"/>
    </xf>
    <xf numFmtId="0" fontId="661" fillId="64" borderId="0" xfId="49" applyFont="1" applyFill="1" applyAlignment="1">
      <alignment horizontal="left" vertical="center"/>
    </xf>
    <xf numFmtId="0" fontId="29" fillId="36" borderId="0" xfId="17" applyFont="1" applyFill="1" applyAlignment="1">
      <alignment vertical="center"/>
    </xf>
    <xf numFmtId="0" fontId="23" fillId="62" borderId="0" xfId="17" applyFont="1" applyFill="1" applyAlignment="1">
      <alignment horizontal="right" vertical="top"/>
    </xf>
    <xf numFmtId="0" fontId="23" fillId="62" borderId="0" xfId="17" applyFont="1" applyFill="1" applyAlignment="1">
      <alignment vertical="top"/>
    </xf>
    <xf numFmtId="0" fontId="76" fillId="0" borderId="0" xfId="49" applyFont="1"/>
    <xf numFmtId="0" fontId="58" fillId="3" borderId="0" xfId="13" applyFill="1"/>
    <xf numFmtId="0" fontId="60" fillId="3" borderId="0" xfId="49" applyFont="1" applyFill="1" applyAlignment="1">
      <alignment horizontal="left" vertical="center"/>
    </xf>
    <xf numFmtId="0" fontId="60" fillId="0" borderId="0" xfId="49" applyFont="1" applyAlignment="1">
      <alignment horizontal="center" vertical="center"/>
    </xf>
    <xf numFmtId="0" fontId="58" fillId="3" borderId="0" xfId="13" applyFill="1" applyAlignment="1">
      <alignment horizontal="left" vertical="center"/>
    </xf>
    <xf numFmtId="14" fontId="1" fillId="3" borderId="0" xfId="49" applyNumberFormat="1" applyFill="1" applyAlignment="1">
      <alignment horizontal="center" vertical="center"/>
    </xf>
    <xf numFmtId="0" fontId="1" fillId="3" borderId="0" xfId="49" applyFill="1" applyAlignment="1">
      <alignment horizontal="right" vertical="center"/>
    </xf>
    <xf numFmtId="0" fontId="1" fillId="3" borderId="0" xfId="49" applyFill="1" applyAlignment="1">
      <alignment horizontal="left" vertical="center"/>
    </xf>
    <xf numFmtId="0" fontId="76" fillId="3" borderId="0" xfId="49" applyFont="1" applyFill="1" applyAlignment="1">
      <alignment vertical="center"/>
    </xf>
    <xf numFmtId="1" fontId="83" fillId="65" borderId="0" xfId="3" applyNumberFormat="1" applyFont="1" applyFill="1" applyAlignment="1" applyProtection="1">
      <alignment horizontal="center" vertical="center"/>
      <protection locked="0"/>
    </xf>
    <xf numFmtId="2" fontId="77" fillId="66" borderId="0" xfId="3" applyNumberFormat="1" applyFont="1" applyFill="1" applyAlignment="1" applyProtection="1">
      <alignment horizontal="center" vertical="center"/>
      <protection locked="0"/>
    </xf>
    <xf numFmtId="0" fontId="44" fillId="0" borderId="0" xfId="37" applyFont="1" applyAlignment="1" applyProtection="1">
      <alignment vertical="center"/>
      <protection locked="0"/>
    </xf>
    <xf numFmtId="0" fontId="44" fillId="0" borderId="0" xfId="37" applyFont="1" applyAlignment="1">
      <alignment vertical="center"/>
    </xf>
    <xf numFmtId="0" fontId="84" fillId="6" borderId="0" xfId="3" applyFont="1" applyFill="1"/>
    <xf numFmtId="0" fontId="79" fillId="67" borderId="0" xfId="49" applyFont="1" applyFill="1" applyAlignment="1">
      <alignment horizontal="center" vertical="center"/>
    </xf>
    <xf numFmtId="0" fontId="33" fillId="6" borderId="0" xfId="37" applyFont="1" applyFill="1" applyAlignment="1">
      <alignment horizontal="center" vertical="center" wrapText="1"/>
    </xf>
    <xf numFmtId="0" fontId="662" fillId="3" borderId="0" xfId="14" applyFont="1" applyFill="1" applyAlignment="1">
      <alignment horizontal="center" vertical="center"/>
    </xf>
    <xf numFmtId="0" fontId="663" fillId="4" borderId="0" xfId="3" applyFont="1" applyFill="1" applyAlignment="1">
      <alignment vertical="center"/>
    </xf>
    <xf numFmtId="0" fontId="662" fillId="4" borderId="0" xfId="14" applyFont="1" applyFill="1" applyAlignment="1">
      <alignment vertical="center"/>
    </xf>
    <xf numFmtId="0" fontId="589" fillId="3" borderId="0" xfId="14" applyFont="1" applyFill="1" applyAlignment="1">
      <alignment horizontal="center" vertical="center" wrapText="1"/>
    </xf>
    <xf numFmtId="0" fontId="662" fillId="3" borderId="0" xfId="14" applyFont="1" applyFill="1" applyAlignment="1">
      <alignment horizontal="center" vertical="center" wrapText="1"/>
    </xf>
    <xf numFmtId="0" fontId="25" fillId="3" borderId="0" xfId="37" applyFont="1" applyFill="1" applyAlignment="1">
      <alignment vertical="center"/>
    </xf>
    <xf numFmtId="0" fontId="79" fillId="3" borderId="0" xfId="49" applyFont="1" applyFill="1" applyAlignment="1">
      <alignment horizontal="center" vertical="center"/>
    </xf>
    <xf numFmtId="0" fontId="25" fillId="4" borderId="0" xfId="37" applyFont="1" applyFill="1" applyAlignment="1">
      <alignment vertical="center"/>
    </xf>
    <xf numFmtId="0" fontId="33" fillId="6" borderId="0" xfId="37" applyFont="1" applyFill="1" applyAlignment="1">
      <alignment horizontal="center" vertical="center"/>
    </xf>
    <xf numFmtId="0" fontId="33" fillId="6" borderId="0" xfId="37" applyFont="1" applyFill="1" applyAlignment="1">
      <alignment vertical="center" wrapText="1"/>
    </xf>
    <xf numFmtId="0" fontId="664" fillId="6" borderId="0" xfId="14" applyFont="1" applyFill="1" applyAlignment="1">
      <alignment vertical="center"/>
    </xf>
    <xf numFmtId="0" fontId="25" fillId="6" borderId="0" xfId="37" applyFont="1" applyFill="1" applyAlignment="1">
      <alignment vertical="center"/>
    </xf>
    <xf numFmtId="0" fontId="75" fillId="3" borderId="0" xfId="37" applyFont="1" applyFill="1" applyAlignment="1">
      <alignment horizontal="center" vertical="center" wrapText="1"/>
    </xf>
    <xf numFmtId="0" fontId="662" fillId="3" borderId="0" xfId="14" applyFont="1" applyFill="1" applyAlignment="1">
      <alignment vertical="center"/>
    </xf>
    <xf numFmtId="0" fontId="665" fillId="3" borderId="0" xfId="49" applyFont="1" applyFill="1" applyAlignment="1">
      <alignment horizontal="center" vertical="center" wrapText="1"/>
    </xf>
    <xf numFmtId="0" fontId="666" fillId="3" borderId="0" xfId="49" applyFont="1" applyFill="1" applyAlignment="1">
      <alignment vertical="center" wrapText="1"/>
    </xf>
    <xf numFmtId="0" fontId="79" fillId="6" borderId="0" xfId="49" applyFont="1" applyFill="1" applyAlignment="1">
      <alignment horizontal="center" vertical="center"/>
    </xf>
    <xf numFmtId="0" fontId="64" fillId="6" borderId="0" xfId="49" applyFont="1" applyFill="1" applyAlignment="1">
      <alignment horizontal="center" vertical="center"/>
    </xf>
    <xf numFmtId="0" fontId="41" fillId="3" borderId="0" xfId="49" applyFont="1" applyFill="1" applyAlignment="1">
      <alignment vertical="center"/>
    </xf>
    <xf numFmtId="0" fontId="41" fillId="3" borderId="0" xfId="49" applyFont="1" applyFill="1"/>
    <xf numFmtId="0" fontId="667" fillId="54" borderId="510" xfId="3" applyFont="1" applyFill="1" applyBorder="1" applyAlignment="1">
      <alignment horizontal="center" vertical="center"/>
    </xf>
    <xf numFmtId="0" fontId="75" fillId="54" borderId="381" xfId="37" applyFont="1" applyFill="1" applyBorder="1" applyAlignment="1">
      <alignment horizontal="center" vertical="center" wrapText="1"/>
    </xf>
    <xf numFmtId="0" fontId="75" fillId="54" borderId="162" xfId="37" applyFont="1" applyFill="1" applyBorder="1" applyAlignment="1">
      <alignment horizontal="center" vertical="center" wrapText="1"/>
    </xf>
    <xf numFmtId="0" fontId="75" fillId="54" borderId="379" xfId="37" applyFont="1" applyFill="1" applyBorder="1" applyAlignment="1">
      <alignment horizontal="center" vertical="center" wrapText="1"/>
    </xf>
    <xf numFmtId="0" fontId="668" fillId="54" borderId="381" xfId="3" applyFont="1" applyFill="1" applyBorder="1" applyAlignment="1">
      <alignment horizontal="center"/>
    </xf>
    <xf numFmtId="0" fontId="668" fillId="54" borderId="162" xfId="3" applyFont="1" applyFill="1" applyBorder="1" applyAlignment="1">
      <alignment horizontal="center"/>
    </xf>
    <xf numFmtId="0" fontId="668" fillId="54" borderId="379" xfId="3" applyFont="1" applyFill="1" applyBorder="1" applyAlignment="1">
      <alignment horizontal="center"/>
    </xf>
    <xf numFmtId="0" fontId="669" fillId="42" borderId="163" xfId="3" applyFont="1" applyFill="1" applyBorder="1" applyAlignment="1">
      <alignment horizontal="center" vertical="center" textRotation="90"/>
    </xf>
    <xf numFmtId="0" fontId="75" fillId="54" borderId="357" xfId="37" applyFont="1" applyFill="1" applyBorder="1" applyAlignment="1">
      <alignment horizontal="center" vertical="center" wrapText="1"/>
    </xf>
    <xf numFmtId="0" fontId="75" fillId="54" borderId="0" xfId="37" applyFont="1" applyFill="1" applyAlignment="1">
      <alignment horizontal="center" vertical="center" wrapText="1"/>
    </xf>
    <xf numFmtId="0" fontId="75" fillId="54" borderId="163" xfId="37" applyFont="1" applyFill="1" applyBorder="1" applyAlignment="1">
      <alignment horizontal="center" vertical="center" wrapText="1"/>
    </xf>
    <xf numFmtId="0" fontId="670" fillId="3" borderId="357" xfId="49" applyFont="1" applyFill="1" applyBorder="1"/>
    <xf numFmtId="0" fontId="670" fillId="3" borderId="0" xfId="49" applyFont="1" applyFill="1"/>
    <xf numFmtId="0" fontId="57" fillId="3" borderId="357" xfId="37" applyFont="1" applyFill="1" applyBorder="1" applyAlignment="1">
      <alignment horizontal="center" vertical="center" wrapText="1"/>
    </xf>
    <xf numFmtId="0" fontId="57" fillId="3" borderId="0" xfId="37" applyFont="1" applyFill="1" applyAlignment="1">
      <alignment horizontal="center" vertical="center" wrapText="1"/>
    </xf>
    <xf numFmtId="0" fontId="57" fillId="3" borderId="163" xfId="37" applyFont="1" applyFill="1" applyBorder="1" applyAlignment="1">
      <alignment horizontal="center" vertical="center" wrapText="1"/>
    </xf>
    <xf numFmtId="0" fontId="86" fillId="3" borderId="357" xfId="37" applyFont="1" applyFill="1" applyBorder="1" applyAlignment="1">
      <alignment horizontal="center" vertical="center"/>
    </xf>
    <xf numFmtId="0" fontId="41" fillId="3" borderId="0" xfId="3" applyFont="1" applyFill="1" applyAlignment="1">
      <alignment vertical="center"/>
    </xf>
    <xf numFmtId="0" fontId="87" fillId="3" borderId="357" xfId="37" applyFont="1" applyFill="1" applyBorder="1" applyAlignment="1">
      <alignment horizontal="center" vertical="center"/>
    </xf>
    <xf numFmtId="0" fontId="88" fillId="3" borderId="357" xfId="3" applyFont="1" applyFill="1" applyBorder="1" applyAlignment="1">
      <alignment horizontal="center" vertical="center"/>
    </xf>
    <xf numFmtId="0" fontId="7" fillId="3" borderId="171" xfId="3" applyFill="1" applyBorder="1"/>
    <xf numFmtId="0" fontId="7" fillId="0" borderId="172" xfId="3" applyBorder="1"/>
    <xf numFmtId="0" fontId="7" fillId="3" borderId="172" xfId="3" applyFill="1" applyBorder="1"/>
    <xf numFmtId="0" fontId="7" fillId="3" borderId="173" xfId="3" applyFill="1" applyBorder="1"/>
    <xf numFmtId="0" fontId="33" fillId="3" borderId="357" xfId="3" applyFont="1" applyFill="1" applyBorder="1" applyAlignment="1">
      <alignment horizontal="center" vertical="center" wrapText="1"/>
    </xf>
    <xf numFmtId="0" fontId="33" fillId="3" borderId="0" xfId="3" applyFont="1" applyFill="1" applyAlignment="1">
      <alignment horizontal="center" vertical="center" wrapText="1"/>
    </xf>
    <xf numFmtId="0" fontId="41" fillId="3" borderId="357" xfId="3" applyFont="1" applyFill="1" applyBorder="1" applyAlignment="1">
      <alignment vertical="center" wrapText="1"/>
    </xf>
    <xf numFmtId="0" fontId="41" fillId="3" borderId="0" xfId="3" applyFont="1" applyFill="1" applyAlignment="1">
      <alignment vertical="center" wrapText="1"/>
    </xf>
    <xf numFmtId="184" fontId="48" fillId="6" borderId="0" xfId="3" applyNumberFormat="1" applyFont="1" applyFill="1" applyAlignment="1">
      <alignment horizontal="center" vertical="center"/>
    </xf>
    <xf numFmtId="184" fontId="48" fillId="4" borderId="0" xfId="3" applyNumberFormat="1" applyFont="1" applyFill="1" applyAlignment="1">
      <alignment horizontal="center" vertical="center"/>
    </xf>
    <xf numFmtId="182" fontId="48" fillId="6" borderId="0" xfId="3" applyNumberFormat="1" applyFont="1" applyFill="1" applyAlignment="1">
      <alignment vertical="center"/>
    </xf>
    <xf numFmtId="0" fontId="79" fillId="54" borderId="381" xfId="3" applyFont="1" applyFill="1" applyBorder="1" applyAlignment="1" applyProtection="1">
      <alignment horizontal="center" vertical="center"/>
      <protection hidden="1"/>
    </xf>
    <xf numFmtId="0" fontId="79" fillId="54" borderId="379" xfId="3" applyFont="1" applyFill="1" applyBorder="1" applyAlignment="1" applyProtection="1">
      <alignment horizontal="center" vertical="center"/>
      <protection hidden="1"/>
    </xf>
    <xf numFmtId="0" fontId="33" fillId="4" borderId="357" xfId="37" applyFont="1" applyFill="1" applyBorder="1" applyAlignment="1">
      <alignment horizontal="center" vertical="center" wrapText="1"/>
    </xf>
    <xf numFmtId="177" fontId="89" fillId="13" borderId="0" xfId="37" applyNumberFormat="1" applyFont="1" applyFill="1" applyAlignment="1">
      <alignment horizontal="center" vertical="center"/>
    </xf>
    <xf numFmtId="166" fontId="33" fillId="4" borderId="0" xfId="37" applyNumberFormat="1" applyFont="1" applyFill="1" applyAlignment="1">
      <alignment horizontal="right" vertical="center"/>
    </xf>
    <xf numFmtId="3" fontId="64" fillId="4" borderId="0" xfId="37" applyNumberFormat="1" applyFont="1" applyFill="1" applyAlignment="1">
      <alignment horizontal="center" vertical="center"/>
    </xf>
    <xf numFmtId="0" fontId="33" fillId="4" borderId="163" xfId="37" applyFont="1" applyFill="1" applyBorder="1" applyAlignment="1">
      <alignment horizontal="center" vertical="center"/>
    </xf>
    <xf numFmtId="0" fontId="52" fillId="3" borderId="570" xfId="3" applyFont="1" applyFill="1" applyBorder="1" applyAlignment="1">
      <alignment vertical="center"/>
    </xf>
    <xf numFmtId="0" fontId="7" fillId="0" borderId="188" xfId="3" applyBorder="1"/>
    <xf numFmtId="0" fontId="48" fillId="3" borderId="188" xfId="3" applyFont="1" applyFill="1" applyBorder="1" applyAlignment="1">
      <alignment vertical="center"/>
    </xf>
    <xf numFmtId="0" fontId="90" fillId="3" borderId="188" xfId="3" applyFont="1" applyFill="1" applyBorder="1" applyAlignment="1">
      <alignment horizontal="center" vertical="center"/>
    </xf>
    <xf numFmtId="0" fontId="90" fillId="3" borderId="512" xfId="3" applyFont="1" applyFill="1" applyBorder="1" applyAlignment="1">
      <alignment horizontal="center" vertical="center"/>
    </xf>
    <xf numFmtId="0" fontId="52" fillId="3" borderId="335" xfId="3" applyFont="1" applyFill="1" applyBorder="1" applyAlignment="1">
      <alignment vertical="center"/>
    </xf>
    <xf numFmtId="0" fontId="7" fillId="0" borderId="507" xfId="3" applyBorder="1"/>
    <xf numFmtId="0" fontId="48" fillId="3" borderId="507" xfId="3" applyFont="1" applyFill="1" applyBorder="1" applyAlignment="1">
      <alignment vertical="center"/>
    </xf>
    <xf numFmtId="2" fontId="90" fillId="3" borderId="507" xfId="3" applyNumberFormat="1" applyFont="1" applyFill="1" applyBorder="1" applyAlignment="1">
      <alignment horizontal="center" vertical="center"/>
    </xf>
    <xf numFmtId="2" fontId="90" fillId="3" borderId="571" xfId="3" applyNumberFormat="1" applyFont="1" applyFill="1" applyBorder="1" applyAlignment="1">
      <alignment horizontal="center" vertical="center"/>
    </xf>
    <xf numFmtId="0" fontId="33" fillId="4" borderId="0" xfId="37" applyFont="1" applyFill="1" applyAlignment="1">
      <alignment horizontal="right" vertical="center"/>
    </xf>
    <xf numFmtId="3" fontId="89" fillId="13" borderId="0" xfId="37" applyNumberFormat="1" applyFont="1" applyFill="1" applyAlignment="1">
      <alignment horizontal="center" vertical="center"/>
    </xf>
    <xf numFmtId="177" fontId="64" fillId="4" borderId="0" xfId="37" applyNumberFormat="1" applyFont="1" applyFill="1" applyAlignment="1">
      <alignment horizontal="center" vertical="center"/>
    </xf>
    <xf numFmtId="0" fontId="7" fillId="0" borderId="570" xfId="3" applyBorder="1"/>
    <xf numFmtId="0" fontId="52" fillId="3" borderId="0" xfId="37" applyFont="1" applyFill="1" applyAlignment="1">
      <alignment horizontal="center" vertical="center" wrapText="1"/>
    </xf>
    <xf numFmtId="0" fontId="52" fillId="3" borderId="0" xfId="37" applyFont="1" applyFill="1" applyAlignment="1">
      <alignment horizontal="center" vertical="center"/>
    </xf>
    <xf numFmtId="0" fontId="1" fillId="0" borderId="163" xfId="49" applyBorder="1"/>
    <xf numFmtId="0" fontId="36" fillId="13" borderId="357" xfId="3" applyFont="1" applyFill="1" applyBorder="1" applyAlignment="1">
      <alignment horizontal="center" vertical="center"/>
    </xf>
    <xf numFmtId="185" fontId="36" fillId="13" borderId="0" xfId="3" applyNumberFormat="1" applyFont="1" applyFill="1" applyAlignment="1">
      <alignment horizontal="center" vertical="center"/>
    </xf>
    <xf numFmtId="0" fontId="91" fillId="4" borderId="0" xfId="3" applyFont="1" applyFill="1" applyAlignment="1">
      <alignment horizontal="center" vertical="center"/>
    </xf>
    <xf numFmtId="2" fontId="41" fillId="4" borderId="0" xfId="3" applyNumberFormat="1" applyFont="1" applyFill="1" applyAlignment="1">
      <alignment horizontal="center" vertical="center"/>
    </xf>
    <xf numFmtId="0" fontId="1" fillId="3" borderId="163" xfId="49" applyFill="1" applyBorder="1"/>
    <xf numFmtId="3" fontId="92" fillId="6" borderId="357" xfId="37" applyNumberFormat="1" applyFont="1" applyFill="1" applyBorder="1" applyAlignment="1">
      <alignment horizontal="center" vertical="center"/>
    </xf>
    <xf numFmtId="0" fontId="1" fillId="4" borderId="0" xfId="49" applyFill="1"/>
    <xf numFmtId="0" fontId="1" fillId="4" borderId="163" xfId="49" applyFill="1" applyBorder="1"/>
    <xf numFmtId="3" fontId="93" fillId="13" borderId="174" xfId="37" applyNumberFormat="1" applyFont="1" applyFill="1" applyBorder="1" applyAlignment="1">
      <alignment horizontal="center" vertical="center"/>
    </xf>
    <xf numFmtId="3" fontId="93" fillId="13" borderId="175" xfId="37" applyNumberFormat="1" applyFont="1" applyFill="1" applyBorder="1" applyAlignment="1">
      <alignment horizontal="center" vertical="center"/>
    </xf>
    <xf numFmtId="3" fontId="93" fillId="13" borderId="176" xfId="37" applyNumberFormat="1" applyFont="1" applyFill="1" applyBorder="1" applyAlignment="1">
      <alignment horizontal="center" vertical="center"/>
    </xf>
    <xf numFmtId="0" fontId="604" fillId="3" borderId="357" xfId="3" applyFont="1" applyFill="1" applyBorder="1"/>
    <xf numFmtId="185" fontId="36" fillId="3" borderId="0" xfId="3" applyNumberFormat="1" applyFont="1" applyFill="1" applyAlignment="1">
      <alignment horizontal="center" vertical="center"/>
    </xf>
    <xf numFmtId="0" fontId="91" fillId="3" borderId="0" xfId="3" applyFont="1" applyFill="1" applyAlignment="1">
      <alignment horizontal="center" vertical="center"/>
    </xf>
    <xf numFmtId="2" fontId="41" fillId="3" borderId="0" xfId="3" applyNumberFormat="1" applyFont="1" applyFill="1" applyAlignment="1">
      <alignment horizontal="center" vertical="center"/>
    </xf>
    <xf numFmtId="0" fontId="3" fillId="3" borderId="357" xfId="49" applyFont="1" applyFill="1" applyBorder="1" applyAlignment="1">
      <alignment horizontal="center" vertical="center" wrapText="1"/>
    </xf>
    <xf numFmtId="0" fontId="3" fillId="3" borderId="0" xfId="49" applyFont="1" applyFill="1" applyAlignment="1">
      <alignment horizontal="center" vertical="center" wrapText="1"/>
    </xf>
    <xf numFmtId="0" fontId="3" fillId="3" borderId="163" xfId="49" applyFont="1" applyFill="1" applyBorder="1" applyAlignment="1">
      <alignment horizontal="center" vertical="center" wrapText="1"/>
    </xf>
    <xf numFmtId="0" fontId="3" fillId="3" borderId="440" xfId="49" applyFont="1" applyFill="1" applyBorder="1" applyAlignment="1">
      <alignment horizontal="center" vertical="center" wrapText="1"/>
    </xf>
    <xf numFmtId="0" fontId="3" fillId="3" borderId="354" xfId="49" applyFont="1" applyFill="1" applyBorder="1" applyAlignment="1">
      <alignment horizontal="center" vertical="center" wrapText="1"/>
    </xf>
    <xf numFmtId="0" fontId="3" fillId="3" borderId="356" xfId="49" applyFont="1" applyFill="1" applyBorder="1" applyAlignment="1">
      <alignment horizontal="center" vertical="center" wrapText="1"/>
    </xf>
    <xf numFmtId="0" fontId="79" fillId="54" borderId="381" xfId="37" applyFont="1" applyFill="1" applyBorder="1" applyAlignment="1">
      <alignment horizontal="center" vertical="center"/>
    </xf>
    <xf numFmtId="0" fontId="79" fillId="54" borderId="162" xfId="37" applyFont="1" applyFill="1" applyBorder="1" applyAlignment="1">
      <alignment horizontal="center" vertical="center"/>
    </xf>
    <xf numFmtId="0" fontId="79" fillId="54" borderId="379" xfId="37" applyFont="1" applyFill="1" applyBorder="1" applyAlignment="1">
      <alignment horizontal="center" vertical="center"/>
    </xf>
    <xf numFmtId="0" fontId="95" fillId="3" borderId="357" xfId="3" applyFont="1" applyFill="1" applyBorder="1" applyAlignment="1">
      <alignment horizontal="left" vertical="center"/>
    </xf>
    <xf numFmtId="0" fontId="96" fillId="3" borderId="0" xfId="49" applyFont="1" applyFill="1" applyAlignment="1">
      <alignment wrapText="1"/>
    </xf>
    <xf numFmtId="0" fontId="79" fillId="54" borderId="357" xfId="37" applyFont="1" applyFill="1" applyBorder="1" applyAlignment="1">
      <alignment horizontal="center" vertical="center"/>
    </xf>
    <xf numFmtId="0" fontId="79" fillId="54" borderId="0" xfId="37" applyFont="1" applyFill="1" applyAlignment="1">
      <alignment horizontal="center" vertical="center"/>
    </xf>
    <xf numFmtId="0" fontId="79" fillId="54" borderId="163" xfId="37" applyFont="1" applyFill="1" applyBorder="1" applyAlignment="1">
      <alignment horizontal="center" vertical="center"/>
    </xf>
    <xf numFmtId="0" fontId="71" fillId="3" borderId="357" xfId="49" applyFont="1" applyFill="1" applyBorder="1" applyAlignment="1">
      <alignment horizontal="center" vertical="center" wrapText="1"/>
    </xf>
    <xf numFmtId="0" fontId="71" fillId="3" borderId="0" xfId="49" applyFont="1" applyFill="1" applyAlignment="1">
      <alignment horizontal="center" vertical="center" wrapText="1"/>
    </xf>
    <xf numFmtId="0" fontId="71" fillId="3" borderId="163" xfId="49" applyFont="1" applyFill="1" applyBorder="1" applyAlignment="1">
      <alignment horizontal="center" vertical="center" wrapText="1"/>
    </xf>
    <xf numFmtId="0" fontId="33" fillId="3" borderId="357" xfId="37" applyFont="1" applyFill="1" applyBorder="1" applyAlignment="1">
      <alignment horizontal="center" vertical="center"/>
    </xf>
    <xf numFmtId="0" fontId="33" fillId="3" borderId="0" xfId="37" applyFont="1" applyFill="1" applyAlignment="1">
      <alignment horizontal="center" vertical="center"/>
    </xf>
    <xf numFmtId="0" fontId="33" fillId="3" borderId="163" xfId="37" applyFont="1" applyFill="1" applyBorder="1" applyAlignment="1">
      <alignment horizontal="center" vertical="center"/>
    </xf>
    <xf numFmtId="0" fontId="71" fillId="3" borderId="440" xfId="49" applyFont="1" applyFill="1" applyBorder="1" applyAlignment="1">
      <alignment horizontal="center" vertical="center" wrapText="1"/>
    </xf>
    <xf numFmtId="0" fontId="71" fillId="3" borderId="354" xfId="49" applyFont="1" applyFill="1" applyBorder="1" applyAlignment="1">
      <alignment horizontal="center" vertical="center" wrapText="1"/>
    </xf>
    <xf numFmtId="0" fontId="71" fillId="3" borderId="356" xfId="49" applyFont="1" applyFill="1" applyBorder="1" applyAlignment="1">
      <alignment horizontal="center" vertical="center" wrapText="1"/>
    </xf>
    <xf numFmtId="0" fontId="91" fillId="3" borderId="357" xfId="37" applyFont="1" applyFill="1" applyBorder="1" applyAlignment="1">
      <alignment horizontal="center" vertical="center" wrapText="1"/>
    </xf>
    <xf numFmtId="0" fontId="91" fillId="3" borderId="0" xfId="37" applyFont="1" applyFill="1" applyAlignment="1">
      <alignment horizontal="center" vertical="center" wrapText="1"/>
    </xf>
    <xf numFmtId="0" fontId="53" fillId="3" borderId="0" xfId="3" applyFont="1" applyFill="1" applyAlignment="1">
      <alignment horizontal="center" vertical="center" wrapText="1"/>
    </xf>
    <xf numFmtId="0" fontId="41" fillId="3" borderId="0" xfId="3" applyFont="1" applyFill="1" applyAlignment="1">
      <alignment horizontal="center" vertical="center" wrapText="1"/>
    </xf>
    <xf numFmtId="0" fontId="91" fillId="3" borderId="163" xfId="37" applyFont="1" applyFill="1" applyBorder="1" applyAlignment="1">
      <alignment horizontal="center" vertical="center" wrapText="1"/>
    </xf>
    <xf numFmtId="0" fontId="671" fillId="3" borderId="381" xfId="3" applyFont="1" applyFill="1" applyBorder="1" applyAlignment="1">
      <alignment horizontal="center" vertical="center"/>
    </xf>
    <xf numFmtId="0" fontId="671" fillId="3" borderId="162" xfId="3" applyFont="1" applyFill="1" applyBorder="1" applyAlignment="1">
      <alignment horizontal="center" vertical="center"/>
    </xf>
    <xf numFmtId="0" fontId="671" fillId="3" borderId="379" xfId="3" applyFont="1" applyFill="1" applyBorder="1" applyAlignment="1">
      <alignment horizontal="center" vertical="center"/>
    </xf>
    <xf numFmtId="0" fontId="98" fillId="3" borderId="357" xfId="14" applyFont="1" applyFill="1" applyBorder="1" applyAlignment="1">
      <alignment horizontal="center" vertical="center" wrapText="1"/>
    </xf>
    <xf numFmtId="0" fontId="35" fillId="13" borderId="357" xfId="3" applyFont="1" applyFill="1" applyBorder="1" applyAlignment="1">
      <alignment horizontal="center" vertical="center"/>
    </xf>
    <xf numFmtId="185" fontId="35" fillId="13" borderId="0" xfId="3" applyNumberFormat="1" applyFont="1" applyFill="1" applyAlignment="1">
      <alignment horizontal="center" vertical="center"/>
    </xf>
    <xf numFmtId="177" fontId="35" fillId="13" borderId="0" xfId="37" applyNumberFormat="1" applyFont="1" applyFill="1" applyAlignment="1">
      <alignment horizontal="center" vertical="center"/>
    </xf>
    <xf numFmtId="182" fontId="91" fillId="4" borderId="0" xfId="3" applyNumberFormat="1" applyFont="1" applyFill="1" applyAlignment="1">
      <alignment horizontal="center" vertical="center"/>
    </xf>
    <xf numFmtId="177" fontId="41" fillId="4" borderId="0" xfId="37" applyNumberFormat="1" applyFont="1" applyFill="1" applyAlignment="1">
      <alignment horizontal="center" vertical="center"/>
    </xf>
    <xf numFmtId="0" fontId="58" fillId="3" borderId="357" xfId="14" applyFill="1" applyBorder="1" applyAlignment="1">
      <alignment vertical="center" wrapText="1"/>
    </xf>
    <xf numFmtId="0" fontId="58" fillId="3" borderId="0" xfId="14" applyFill="1" applyBorder="1" applyAlignment="1">
      <alignment vertical="center" wrapText="1"/>
    </xf>
    <xf numFmtId="0" fontId="91" fillId="3" borderId="357" xfId="37" applyFont="1" applyFill="1" applyBorder="1" applyAlignment="1">
      <alignment horizontal="center" vertical="top" wrapText="1"/>
    </xf>
    <xf numFmtId="0" fontId="91" fillId="3" borderId="0" xfId="37" applyFont="1" applyFill="1" applyAlignment="1">
      <alignment horizontal="center" vertical="top" wrapText="1"/>
    </xf>
    <xf numFmtId="0" fontId="54" fillId="3" borderId="0" xfId="3" applyFont="1" applyFill="1" applyAlignment="1">
      <alignment horizontal="center" vertical="top" wrapText="1"/>
    </xf>
    <xf numFmtId="0" fontId="41" fillId="3" borderId="0" xfId="37" applyFont="1" applyFill="1" applyAlignment="1">
      <alignment horizontal="center" vertical="top" wrapText="1"/>
    </xf>
    <xf numFmtId="0" fontId="91" fillId="3" borderId="163" xfId="37" applyFont="1" applyFill="1" applyBorder="1" applyAlignment="1">
      <alignment horizontal="center" vertical="top" wrapText="1"/>
    </xf>
    <xf numFmtId="0" fontId="35" fillId="3" borderId="174" xfId="37" applyFont="1" applyFill="1" applyBorder="1" applyAlignment="1">
      <alignment vertical="center"/>
    </xf>
    <xf numFmtId="0" fontId="35" fillId="3" borderId="175" xfId="37" applyFont="1" applyFill="1" applyBorder="1" applyAlignment="1">
      <alignment vertical="center"/>
    </xf>
    <xf numFmtId="0" fontId="35" fillId="3" borderId="176" xfId="37" applyFont="1" applyFill="1" applyBorder="1" applyAlignment="1">
      <alignment vertical="center"/>
    </xf>
    <xf numFmtId="0" fontId="662" fillId="3" borderId="0" xfId="14" applyFont="1" applyFill="1" applyBorder="1" applyAlignment="1">
      <alignment vertical="center"/>
    </xf>
    <xf numFmtId="0" fontId="71" fillId="3" borderId="357" xfId="49" applyFont="1" applyFill="1" applyBorder="1" applyAlignment="1">
      <alignment horizontal="center" vertical="center"/>
    </xf>
    <xf numFmtId="0" fontId="71" fillId="3" borderId="0" xfId="49" applyFont="1" applyFill="1" applyAlignment="1">
      <alignment horizontal="center" vertical="center"/>
    </xf>
    <xf numFmtId="0" fontId="71" fillId="3" borderId="163" xfId="49" applyFont="1" applyFill="1" applyBorder="1" applyAlignment="1">
      <alignment horizontal="center" vertical="center"/>
    </xf>
    <xf numFmtId="0" fontId="71" fillId="3" borderId="440" xfId="49" applyFont="1" applyFill="1" applyBorder="1" applyAlignment="1">
      <alignment horizontal="center" vertical="center"/>
    </xf>
    <xf numFmtId="0" fontId="71" fillId="3" borderId="354" xfId="49" applyFont="1" applyFill="1" applyBorder="1" applyAlignment="1">
      <alignment horizontal="center" vertical="center"/>
    </xf>
    <xf numFmtId="0" fontId="71" fillId="3" borderId="356" xfId="49" applyFont="1" applyFill="1" applyBorder="1" applyAlignment="1">
      <alignment horizontal="center" vertical="center"/>
    </xf>
    <xf numFmtId="0" fontId="672" fillId="3" borderId="357" xfId="3" applyFont="1" applyFill="1" applyBorder="1" applyAlignment="1">
      <alignment horizontal="center" vertical="center" wrapText="1"/>
    </xf>
    <xf numFmtId="0" fontId="672" fillId="3" borderId="0" xfId="3" applyFont="1" applyFill="1" applyAlignment="1">
      <alignment horizontal="center" vertical="center" wrapText="1"/>
    </xf>
    <xf numFmtId="0" fontId="672" fillId="3" borderId="440" xfId="3" applyFont="1" applyFill="1" applyBorder="1" applyAlignment="1">
      <alignment horizontal="center" vertical="center" wrapText="1"/>
    </xf>
    <xf numFmtId="0" fontId="672" fillId="3" borderId="354" xfId="3" applyFont="1" applyFill="1" applyBorder="1" applyAlignment="1">
      <alignment horizontal="center" vertical="center" wrapText="1"/>
    </xf>
    <xf numFmtId="0" fontId="1" fillId="3" borderId="356" xfId="49" applyFill="1" applyBorder="1"/>
    <xf numFmtId="186" fontId="35" fillId="13" borderId="0" xfId="3" applyNumberFormat="1" applyFont="1" applyFill="1" applyAlignment="1">
      <alignment horizontal="center" vertical="center"/>
    </xf>
    <xf numFmtId="185" fontId="42" fillId="4" borderId="0" xfId="3" applyNumberFormat="1" applyFont="1" applyFill="1" applyAlignment="1">
      <alignment horizontal="center" vertical="center"/>
    </xf>
    <xf numFmtId="0" fontId="75" fillId="54" borderId="357" xfId="37" applyFont="1" applyFill="1" applyBorder="1" applyAlignment="1">
      <alignment horizontal="center" vertical="center"/>
    </xf>
    <xf numFmtId="0" fontId="75" fillId="54" borderId="0" xfId="37" applyFont="1" applyFill="1" applyAlignment="1">
      <alignment horizontal="center" vertical="center"/>
    </xf>
    <xf numFmtId="0" fontId="75" fillId="54" borderId="163" xfId="37" applyFont="1" applyFill="1" applyBorder="1" applyAlignment="1">
      <alignment horizontal="center" vertical="center"/>
    </xf>
    <xf numFmtId="0" fontId="91" fillId="3" borderId="357" xfId="37" applyFont="1" applyFill="1" applyBorder="1" applyAlignment="1">
      <alignment horizontal="center" vertical="center"/>
    </xf>
    <xf numFmtId="0" fontId="91" fillId="3" borderId="0" xfId="37" applyFont="1" applyFill="1" applyAlignment="1">
      <alignment horizontal="center" vertical="center"/>
    </xf>
    <xf numFmtId="0" fontId="91" fillId="3" borderId="163" xfId="37" applyFont="1" applyFill="1" applyBorder="1" applyAlignment="1">
      <alignment horizontal="center" vertical="center"/>
    </xf>
    <xf numFmtId="0" fontId="1" fillId="4" borderId="0" xfId="49" applyFill="1" applyAlignment="1">
      <alignment horizontal="center"/>
    </xf>
    <xf numFmtId="182" fontId="41" fillId="6" borderId="0" xfId="3" applyNumberFormat="1" applyFont="1" applyFill="1" applyAlignment="1">
      <alignment horizontal="center" vertical="center"/>
    </xf>
    <xf numFmtId="0" fontId="102" fillId="3" borderId="357" xfId="37" applyFont="1" applyFill="1" applyBorder="1" applyAlignment="1">
      <alignment horizontal="center" vertical="center"/>
    </xf>
    <xf numFmtId="0" fontId="102" fillId="3" borderId="0" xfId="37" applyFont="1" applyFill="1" applyAlignment="1">
      <alignment horizontal="center" vertical="center"/>
    </xf>
    <xf numFmtId="0" fontId="102" fillId="3" borderId="163" xfId="37" applyFont="1" applyFill="1" applyBorder="1" applyAlignment="1">
      <alignment horizontal="center" vertical="center"/>
    </xf>
    <xf numFmtId="0" fontId="103" fillId="68" borderId="0" xfId="3" applyFont="1" applyFill="1" applyAlignment="1">
      <alignment horizontal="center" vertical="center"/>
    </xf>
    <xf numFmtId="0" fontId="101" fillId="3" borderId="357" xfId="3" applyFont="1" applyFill="1" applyBorder="1" applyAlignment="1">
      <alignment vertical="center"/>
    </xf>
    <xf numFmtId="0" fontId="101" fillId="3" borderId="0" xfId="3" applyFont="1" applyFill="1" applyAlignment="1">
      <alignment vertical="center"/>
    </xf>
    <xf numFmtId="0" fontId="101" fillId="3" borderId="440" xfId="3" applyFont="1" applyFill="1" applyBorder="1" applyAlignment="1">
      <alignment vertical="center"/>
    </xf>
    <xf numFmtId="0" fontId="101" fillId="3" borderId="354" xfId="3" applyFont="1" applyFill="1" applyBorder="1" applyAlignment="1">
      <alignment vertical="center"/>
    </xf>
    <xf numFmtId="0" fontId="101" fillId="3" borderId="356" xfId="3" applyFont="1" applyFill="1" applyBorder="1" applyAlignment="1">
      <alignment vertical="center"/>
    </xf>
    <xf numFmtId="0" fontId="101" fillId="3" borderId="357" xfId="3" applyFont="1" applyFill="1" applyBorder="1" applyAlignment="1">
      <alignment horizontal="center" vertical="center" wrapText="1"/>
    </xf>
    <xf numFmtId="0" fontId="101" fillId="3" borderId="0" xfId="3" applyFont="1" applyFill="1" applyAlignment="1">
      <alignment horizontal="center" vertical="center" wrapText="1"/>
    </xf>
    <xf numFmtId="0" fontId="101" fillId="3" borderId="440" xfId="3" applyFont="1" applyFill="1" applyBorder="1" applyAlignment="1">
      <alignment horizontal="center" vertical="center" wrapText="1"/>
    </xf>
    <xf numFmtId="0" fontId="101" fillId="3" borderId="354" xfId="3" applyFont="1" applyFill="1" applyBorder="1" applyAlignment="1">
      <alignment horizontal="center" vertical="center" wrapText="1"/>
    </xf>
    <xf numFmtId="0" fontId="101" fillId="3" borderId="356" xfId="3" applyFont="1" applyFill="1" applyBorder="1" applyAlignment="1">
      <alignment horizontal="center" vertical="center" wrapText="1"/>
    </xf>
    <xf numFmtId="0" fontId="79" fillId="54" borderId="357" xfId="37" applyFont="1" applyFill="1" applyBorder="1" applyAlignment="1">
      <alignment horizontal="center" vertical="center" wrapText="1"/>
    </xf>
    <xf numFmtId="0" fontId="79" fillId="54" borderId="0" xfId="37" applyFont="1" applyFill="1" applyAlignment="1">
      <alignment horizontal="center" vertical="center" wrapText="1"/>
    </xf>
    <xf numFmtId="0" fontId="43" fillId="3" borderId="0" xfId="3" applyFont="1" applyFill="1" applyAlignment="1">
      <alignment horizontal="center" vertical="center"/>
    </xf>
    <xf numFmtId="0" fontId="1" fillId="0" borderId="357" xfId="49" applyBorder="1"/>
    <xf numFmtId="0" fontId="54" fillId="3" borderId="0" xfId="37" applyFont="1" applyFill="1" applyAlignment="1">
      <alignment horizontal="center" vertical="center" wrapText="1"/>
    </xf>
    <xf numFmtId="0" fontId="104" fillId="55" borderId="0" xfId="3" applyFont="1" applyFill="1" applyAlignment="1">
      <alignment horizontal="center" vertical="center" wrapText="1"/>
    </xf>
    <xf numFmtId="0" fontId="90" fillId="3" borderId="163" xfId="37" applyFont="1" applyFill="1" applyBorder="1" applyAlignment="1">
      <alignment horizontal="center" vertical="center" wrapText="1"/>
    </xf>
    <xf numFmtId="0" fontId="105" fillId="13" borderId="357" xfId="3" applyFont="1" applyFill="1" applyBorder="1" applyAlignment="1">
      <alignment horizontal="center" vertical="center"/>
    </xf>
    <xf numFmtId="0" fontId="38" fillId="13" borderId="0" xfId="3" applyFont="1" applyFill="1" applyAlignment="1">
      <alignment horizontal="center" vertical="center"/>
    </xf>
    <xf numFmtId="177" fontId="33" fillId="55" borderId="0" xfId="37" applyNumberFormat="1" applyFont="1" applyFill="1" applyAlignment="1">
      <alignment horizontal="center" vertical="center"/>
    </xf>
    <xf numFmtId="0" fontId="48" fillId="3" borderId="0" xfId="37" applyFont="1" applyFill="1" applyAlignment="1">
      <alignment horizontal="center" vertical="center" wrapText="1"/>
    </xf>
    <xf numFmtId="0" fontId="90" fillId="3" borderId="0" xfId="37" applyFont="1" applyFill="1" applyAlignment="1">
      <alignment horizontal="center" vertical="center" wrapText="1"/>
    </xf>
    <xf numFmtId="0" fontId="106" fillId="3" borderId="0" xfId="3" applyFont="1" applyFill="1" applyAlignment="1">
      <alignment horizontal="center" vertical="center" wrapText="1"/>
    </xf>
    <xf numFmtId="0" fontId="107" fillId="68" borderId="357" xfId="3" applyFont="1" applyFill="1" applyBorder="1" applyAlignment="1">
      <alignment horizontal="center" vertical="center"/>
    </xf>
    <xf numFmtId="0" fontId="33" fillId="68" borderId="0" xfId="3" applyFont="1" applyFill="1" applyAlignment="1">
      <alignment horizontal="center" vertical="center"/>
    </xf>
    <xf numFmtId="185" fontId="33" fillId="68" borderId="0" xfId="3" applyNumberFormat="1" applyFont="1" applyFill="1" applyAlignment="1">
      <alignment horizontal="center" vertical="center"/>
    </xf>
    <xf numFmtId="177" fontId="108" fillId="13" borderId="0" xfId="37" applyNumberFormat="1" applyFont="1" applyFill="1" applyAlignment="1">
      <alignment horizontal="center" vertical="center"/>
    </xf>
    <xf numFmtId="0" fontId="51" fillId="0" borderId="357" xfId="3" applyFont="1" applyBorder="1" applyAlignment="1">
      <alignment horizontal="center" vertical="center"/>
    </xf>
    <xf numFmtId="0" fontId="51" fillId="0" borderId="0" xfId="3" applyFont="1" applyAlignment="1">
      <alignment horizontal="center" vertical="center"/>
    </xf>
    <xf numFmtId="0" fontId="105" fillId="3" borderId="357" xfId="3" applyFont="1" applyFill="1" applyBorder="1" applyAlignment="1">
      <alignment horizontal="center" vertical="center"/>
    </xf>
    <xf numFmtId="0" fontId="42" fillId="3" borderId="0" xfId="3" applyFont="1" applyFill="1" applyAlignment="1">
      <alignment horizontal="left" vertical="center" wrapText="1"/>
    </xf>
    <xf numFmtId="0" fontId="107" fillId="3" borderId="357" xfId="3" applyFont="1" applyFill="1" applyBorder="1" applyAlignment="1">
      <alignment horizontal="center" vertical="center"/>
    </xf>
    <xf numFmtId="0" fontId="41" fillId="3" borderId="0" xfId="3" applyFont="1" applyFill="1" applyAlignment="1">
      <alignment horizontal="left" vertical="center" wrapText="1"/>
    </xf>
    <xf numFmtId="0" fontId="71" fillId="0" borderId="357" xfId="49" applyFont="1" applyBorder="1" applyAlignment="1">
      <alignment horizontal="center" wrapText="1"/>
    </xf>
    <xf numFmtId="0" fontId="71" fillId="0" borderId="0" xfId="49" applyFont="1" applyAlignment="1">
      <alignment horizontal="center" wrapText="1"/>
    </xf>
    <xf numFmtId="0" fontId="71" fillId="0" borderId="163" xfId="49" applyFont="1" applyBorder="1" applyAlignment="1">
      <alignment horizontal="center" wrapText="1"/>
    </xf>
    <xf numFmtId="0" fontId="62" fillId="3" borderId="178" xfId="49" applyFont="1" applyFill="1" applyBorder="1" applyAlignment="1">
      <alignment horizontal="center" vertical="center"/>
    </xf>
    <xf numFmtId="0" fontId="62" fillId="3" borderId="179" xfId="49" applyFont="1" applyFill="1" applyBorder="1" applyAlignment="1">
      <alignment horizontal="center" vertical="center"/>
    </xf>
    <xf numFmtId="0" fontId="604" fillId="3" borderId="179" xfId="3" applyFont="1" applyFill="1" applyBorder="1" applyAlignment="1">
      <alignment vertical="center"/>
    </xf>
    <xf numFmtId="0" fontId="62" fillId="3" borderId="179" xfId="49" applyFont="1" applyFill="1" applyBorder="1" applyAlignment="1">
      <alignment horizontal="center" vertical="center"/>
    </xf>
    <xf numFmtId="177" fontId="70" fillId="3" borderId="179" xfId="37" applyNumberFormat="1" applyFont="1" applyFill="1" applyBorder="1" applyAlignment="1">
      <alignment horizontal="center" vertical="center"/>
    </xf>
    <xf numFmtId="0" fontId="604" fillId="3" borderId="180" xfId="3" applyFont="1" applyFill="1" applyBorder="1" applyAlignment="1">
      <alignment vertical="center"/>
    </xf>
    <xf numFmtId="0" fontId="3" fillId="3" borderId="357" xfId="49" applyFont="1" applyFill="1" applyBorder="1" applyAlignment="1">
      <alignment horizontal="right" vertical="center"/>
    </xf>
    <xf numFmtId="0" fontId="3" fillId="3" borderId="0" xfId="49" applyFont="1" applyFill="1" applyAlignment="1">
      <alignment horizontal="right" vertical="center"/>
    </xf>
    <xf numFmtId="177" fontId="109" fillId="3" borderId="0" xfId="37" applyNumberFormat="1" applyFont="1" applyFill="1" applyAlignment="1">
      <alignment horizontal="left" vertical="center"/>
    </xf>
    <xf numFmtId="0" fontId="604" fillId="3" borderId="163" xfId="3" applyFont="1" applyFill="1" applyBorder="1" applyAlignment="1">
      <alignment vertical="center"/>
    </xf>
    <xf numFmtId="0" fontId="3" fillId="3" borderId="181" xfId="49" applyFont="1" applyFill="1" applyBorder="1" applyAlignment="1">
      <alignment horizontal="right" vertical="center"/>
    </xf>
    <xf numFmtId="0" fontId="3" fillId="3" borderId="182" xfId="49" applyFont="1" applyFill="1" applyBorder="1" applyAlignment="1">
      <alignment horizontal="right" vertical="center"/>
    </xf>
    <xf numFmtId="177" fontId="109" fillId="3" borderId="182" xfId="37" applyNumberFormat="1" applyFont="1" applyFill="1" applyBorder="1" applyAlignment="1">
      <alignment horizontal="left" vertical="center"/>
    </xf>
    <xf numFmtId="0" fontId="604" fillId="3" borderId="183" xfId="3" applyFont="1" applyFill="1" applyBorder="1" applyAlignment="1">
      <alignment vertical="center"/>
    </xf>
    <xf numFmtId="0" fontId="75" fillId="54" borderId="162" xfId="49" applyFont="1" applyFill="1" applyBorder="1" applyAlignment="1">
      <alignment horizontal="center" vertical="center" wrapText="1"/>
    </xf>
    <xf numFmtId="0" fontId="75" fillId="54" borderId="379" xfId="49" applyFont="1" applyFill="1" applyBorder="1" applyAlignment="1">
      <alignment horizontal="center" vertical="center" wrapText="1"/>
    </xf>
    <xf numFmtId="0" fontId="75" fillId="54" borderId="0" xfId="49" applyFont="1" applyFill="1" applyAlignment="1">
      <alignment horizontal="center" vertical="center" wrapText="1"/>
    </xf>
    <xf numFmtId="0" fontId="75" fillId="54" borderId="163" xfId="49" applyFont="1" applyFill="1" applyBorder="1" applyAlignment="1">
      <alignment horizontal="center" vertical="center" wrapText="1"/>
    </xf>
    <xf numFmtId="0" fontId="1" fillId="3" borderId="357" xfId="49" applyFill="1" applyBorder="1" applyAlignment="1">
      <alignment horizontal="center" vertical="center" textRotation="90"/>
    </xf>
    <xf numFmtId="0" fontId="110" fillId="3" borderId="0" xfId="49" applyFont="1" applyFill="1" applyAlignment="1">
      <alignment horizontal="center" vertical="center" wrapText="1"/>
    </xf>
    <xf numFmtId="0" fontId="38" fillId="13" borderId="0" xfId="49" applyFont="1" applyFill="1" applyAlignment="1">
      <alignment horizontal="center" vertical="center" wrapText="1"/>
    </xf>
    <xf numFmtId="0" fontId="108" fillId="3" borderId="0" xfId="49" applyFont="1" applyFill="1" applyAlignment="1">
      <alignment horizontal="center" vertical="center" wrapText="1"/>
    </xf>
    <xf numFmtId="0" fontId="108" fillId="3" borderId="175" xfId="49" applyFont="1" applyFill="1" applyBorder="1" applyAlignment="1">
      <alignment horizontal="center" vertical="center" wrapText="1"/>
    </xf>
    <xf numFmtId="0" fontId="111" fillId="3" borderId="0" xfId="37" applyFont="1" applyFill="1" applyAlignment="1">
      <alignment horizontal="center" vertical="center" wrapText="1"/>
    </xf>
    <xf numFmtId="0" fontId="109" fillId="3" borderId="0" xfId="37" applyFont="1" applyFill="1" applyAlignment="1">
      <alignment horizontal="center" vertical="center" wrapText="1"/>
    </xf>
    <xf numFmtId="0" fontId="112" fillId="3" borderId="0" xfId="37" applyFont="1" applyFill="1" applyAlignment="1">
      <alignment horizontal="center" vertical="center" wrapText="1"/>
    </xf>
    <xf numFmtId="2" fontId="113" fillId="69" borderId="0" xfId="3" applyNumberFormat="1" applyFont="1" applyFill="1" applyAlignment="1" applyProtection="1">
      <alignment horizontal="center" vertical="center" wrapText="1"/>
      <protection locked="0"/>
    </xf>
    <xf numFmtId="2" fontId="113" fillId="69" borderId="0" xfId="3" applyNumberFormat="1" applyFont="1" applyFill="1" applyAlignment="1" applyProtection="1">
      <alignment horizontal="center" vertical="center" wrapText="1"/>
      <protection locked="0"/>
    </xf>
    <xf numFmtId="0" fontId="673" fillId="3" borderId="0" xfId="3" applyFont="1" applyFill="1" applyAlignment="1" applyProtection="1">
      <alignment horizontal="center"/>
      <protection hidden="1"/>
    </xf>
    <xf numFmtId="0" fontId="114" fillId="3" borderId="0" xfId="37" applyFont="1" applyFill="1" applyAlignment="1">
      <alignment horizontal="center" vertical="center" wrapText="1"/>
    </xf>
    <xf numFmtId="186" fontId="35" fillId="13" borderId="0" xfId="37" applyNumberFormat="1" applyFont="1" applyFill="1" applyAlignment="1">
      <alignment horizontal="center" vertical="center"/>
    </xf>
    <xf numFmtId="187" fontId="35" fillId="13" borderId="0" xfId="3" applyNumberFormat="1" applyFont="1" applyFill="1" applyAlignment="1">
      <alignment horizontal="center" vertical="center"/>
    </xf>
    <xf numFmtId="187" fontId="35" fillId="4" borderId="0" xfId="3" applyNumberFormat="1" applyFont="1" applyFill="1" applyAlignment="1">
      <alignment horizontal="center" vertical="center"/>
    </xf>
    <xf numFmtId="177" fontId="40" fillId="4" borderId="0" xfId="3" applyNumberFormat="1" applyFont="1" applyFill="1" applyAlignment="1">
      <alignment horizontal="center" vertical="center"/>
    </xf>
    <xf numFmtId="177" fontId="33" fillId="4" borderId="0" xfId="3" applyNumberFormat="1" applyFont="1" applyFill="1" applyAlignment="1">
      <alignment horizontal="center" vertical="center"/>
    </xf>
    <xf numFmtId="0" fontId="115" fillId="4" borderId="0" xfId="3" applyFont="1" applyFill="1" applyAlignment="1">
      <alignment horizontal="center" vertical="center"/>
    </xf>
    <xf numFmtId="176" fontId="99" fillId="4" borderId="0" xfId="3" applyNumberFormat="1" applyFont="1" applyFill="1" applyAlignment="1">
      <alignment horizontal="center" vertical="center"/>
    </xf>
    <xf numFmtId="188" fontId="99" fillId="4" borderId="0" xfId="3" applyNumberFormat="1" applyFont="1" applyFill="1" applyAlignment="1">
      <alignment horizontal="center" vertical="center"/>
    </xf>
    <xf numFmtId="189" fontId="41" fillId="4" borderId="0" xfId="3" applyNumberFormat="1" applyFont="1" applyFill="1" applyAlignment="1">
      <alignment horizontal="left" vertical="center"/>
    </xf>
    <xf numFmtId="0" fontId="70" fillId="3" borderId="0" xfId="3" applyFont="1" applyFill="1" applyAlignment="1">
      <alignment horizontal="right" vertical="center"/>
    </xf>
    <xf numFmtId="0" fontId="674" fillId="55" borderId="0" xfId="3" applyFont="1" applyFill="1" applyAlignment="1">
      <alignment horizontal="center" vertical="center"/>
    </xf>
    <xf numFmtId="0" fontId="117" fillId="61" borderId="0" xfId="3" applyFont="1" applyFill="1" applyAlignment="1">
      <alignment horizontal="center" vertical="center"/>
    </xf>
    <xf numFmtId="186" fontId="117" fillId="61" borderId="0" xfId="37" applyNumberFormat="1" applyFont="1" applyFill="1" applyAlignment="1">
      <alignment horizontal="center" vertical="center"/>
    </xf>
    <xf numFmtId="186" fontId="117" fillId="61" borderId="0" xfId="3" applyNumberFormat="1" applyFont="1" applyFill="1" applyAlignment="1">
      <alignment horizontal="center" vertical="center"/>
    </xf>
    <xf numFmtId="187" fontId="117" fillId="61" borderId="0" xfId="3" applyNumberFormat="1" applyFont="1" applyFill="1" applyAlignment="1">
      <alignment horizontal="center" vertical="center"/>
    </xf>
    <xf numFmtId="187" fontId="117" fillId="61" borderId="0" xfId="3" applyNumberFormat="1" applyFont="1" applyFill="1" applyAlignment="1">
      <alignment horizontal="center" vertical="center"/>
    </xf>
    <xf numFmtId="177" fontId="118" fillId="13" borderId="0" xfId="3" applyNumberFormat="1" applyFont="1" applyFill="1" applyAlignment="1">
      <alignment horizontal="center" vertical="center"/>
    </xf>
    <xf numFmtId="177" fontId="35" fillId="13" borderId="0" xfId="3" applyNumberFormat="1" applyFont="1" applyFill="1" applyAlignment="1">
      <alignment horizontal="center" vertical="center"/>
    </xf>
    <xf numFmtId="0" fontId="119" fillId="4" borderId="0" xfId="37" applyFont="1" applyFill="1" applyAlignment="1">
      <alignment horizontal="center" vertical="center"/>
    </xf>
    <xf numFmtId="0" fontId="120" fillId="4" borderId="0" xfId="3" applyFont="1" applyFill="1" applyAlignment="1">
      <alignment horizontal="center" vertical="center"/>
    </xf>
    <xf numFmtId="0" fontId="120" fillId="4" borderId="0" xfId="3" applyFont="1" applyFill="1" applyAlignment="1">
      <alignment horizontal="center" vertical="center"/>
    </xf>
    <xf numFmtId="0" fontId="3" fillId="4" borderId="0" xfId="49" applyFont="1" applyFill="1"/>
    <xf numFmtId="177" fontId="113" fillId="4" borderId="0" xfId="3" applyNumberFormat="1" applyFont="1" applyFill="1" applyAlignment="1">
      <alignment horizontal="center" vertical="center"/>
    </xf>
    <xf numFmtId="0" fontId="121" fillId="4" borderId="0" xfId="3" applyFont="1" applyFill="1" applyAlignment="1">
      <alignment horizontal="center" vertical="center"/>
    </xf>
    <xf numFmtId="176" fontId="99" fillId="4" borderId="0" xfId="3" applyNumberFormat="1" applyFont="1" applyFill="1" applyAlignment="1">
      <alignment horizontal="right" vertical="center"/>
    </xf>
    <xf numFmtId="182" fontId="91" fillId="4" borderId="0" xfId="3" applyNumberFormat="1" applyFont="1" applyFill="1" applyAlignment="1">
      <alignment horizontal="left" vertical="center"/>
    </xf>
    <xf numFmtId="0" fontId="1" fillId="3" borderId="172" xfId="49" applyFill="1" applyBorder="1"/>
    <xf numFmtId="0" fontId="124" fillId="3" borderId="0" xfId="3" applyFont="1" applyFill="1" applyAlignment="1">
      <alignment horizontal="center" vertical="center"/>
    </xf>
    <xf numFmtId="2" fontId="91" fillId="69" borderId="0" xfId="3" applyNumberFormat="1" applyFont="1" applyFill="1" applyAlignment="1" applyProtection="1">
      <alignment vertical="center"/>
      <protection locked="0"/>
    </xf>
    <xf numFmtId="0" fontId="91" fillId="3" borderId="0" xfId="37" applyFont="1" applyFill="1" applyAlignment="1">
      <alignment vertical="center"/>
    </xf>
    <xf numFmtId="0" fontId="604" fillId="3" borderId="0" xfId="3" applyFont="1" applyFill="1"/>
    <xf numFmtId="2" fontId="91" fillId="69" borderId="0" xfId="3" applyNumberFormat="1" applyFont="1" applyFill="1" applyAlignment="1" applyProtection="1">
      <alignment horizontal="left" vertical="center" wrapText="1"/>
      <protection locked="0"/>
    </xf>
    <xf numFmtId="0" fontId="604" fillId="0" borderId="0" xfId="3" applyFont="1"/>
    <xf numFmtId="182" fontId="91" fillId="3" borderId="0" xfId="3" applyNumberFormat="1" applyFont="1" applyFill="1" applyAlignment="1">
      <alignment horizontal="left" vertical="center"/>
    </xf>
    <xf numFmtId="176" fontId="99" fillId="3" borderId="0" xfId="3" applyNumberFormat="1" applyFont="1" applyFill="1" applyAlignment="1">
      <alignment horizontal="right" vertical="center"/>
    </xf>
    <xf numFmtId="0" fontId="76" fillId="3" borderId="0" xfId="3" applyFont="1" applyFill="1" applyAlignment="1">
      <alignment horizontal="center" vertical="center" wrapText="1"/>
    </xf>
    <xf numFmtId="0" fontId="76" fillId="3" borderId="476" xfId="3" applyFont="1" applyFill="1" applyBorder="1" applyAlignment="1">
      <alignment horizontal="center" vertical="center" wrapText="1"/>
    </xf>
    <xf numFmtId="0" fontId="76" fillId="3" borderId="0" xfId="3" applyFont="1" applyFill="1" applyAlignment="1">
      <alignment horizontal="center" vertical="center" wrapText="1"/>
    </xf>
    <xf numFmtId="0" fontId="76" fillId="3" borderId="489" xfId="3" applyFont="1" applyFill="1" applyBorder="1" applyAlignment="1">
      <alignment horizontal="right" vertical="center" wrapText="1"/>
    </xf>
    <xf numFmtId="177" fontId="76" fillId="3" borderId="0" xfId="3" applyNumberFormat="1" applyFont="1" applyFill="1" applyAlignment="1">
      <alignment horizontal="center" vertical="center" wrapText="1"/>
    </xf>
    <xf numFmtId="0" fontId="125" fillId="3" borderId="0" xfId="3" applyFont="1" applyFill="1" applyAlignment="1">
      <alignment horizontal="right" vertical="center"/>
    </xf>
    <xf numFmtId="177" fontId="40" fillId="3" borderId="0" xfId="3" applyNumberFormat="1" applyFont="1" applyFill="1" applyAlignment="1">
      <alignment vertical="center"/>
    </xf>
    <xf numFmtId="0" fontId="125" fillId="3" borderId="0" xfId="3" applyFont="1" applyFill="1" applyAlignment="1">
      <alignment horizontal="center" vertical="center" wrapText="1"/>
    </xf>
    <xf numFmtId="0" fontId="125" fillId="3" borderId="0" xfId="3" applyFont="1" applyFill="1" applyAlignment="1">
      <alignment horizontal="right" vertical="center" wrapText="1"/>
    </xf>
    <xf numFmtId="0" fontId="126" fillId="3" borderId="0" xfId="49" applyFont="1" applyFill="1" applyAlignment="1">
      <alignment vertical="center"/>
    </xf>
    <xf numFmtId="0" fontId="126" fillId="3" borderId="0" xfId="49" applyFont="1" applyFill="1" applyAlignment="1">
      <alignment horizontal="left" vertical="center" wrapText="1"/>
    </xf>
    <xf numFmtId="0" fontId="127" fillId="3" borderId="0" xfId="49" applyFont="1" applyFill="1" applyAlignment="1">
      <alignment vertical="center"/>
    </xf>
    <xf numFmtId="0" fontId="126" fillId="3" borderId="0" xfId="49" applyFont="1" applyFill="1" applyAlignment="1">
      <alignment horizontal="left" vertical="center"/>
    </xf>
    <xf numFmtId="0" fontId="71" fillId="3" borderId="489" xfId="49" applyFont="1" applyFill="1" applyBorder="1" applyAlignment="1">
      <alignment horizontal="center" vertical="center" wrapText="1"/>
    </xf>
    <xf numFmtId="0" fontId="1" fillId="3" borderId="440" xfId="49" applyFill="1" applyBorder="1" applyAlignment="1">
      <alignment horizontal="center" vertical="center" textRotation="90"/>
    </xf>
    <xf numFmtId="0" fontId="129" fillId="54" borderId="381" xfId="3" applyFont="1" applyFill="1" applyBorder="1" applyAlignment="1">
      <alignment horizontal="center"/>
    </xf>
    <xf numFmtId="0" fontId="129" fillId="54" borderId="162" xfId="3" applyFont="1" applyFill="1" applyBorder="1" applyAlignment="1">
      <alignment horizontal="center"/>
    </xf>
    <xf numFmtId="0" fontId="129" fillId="54" borderId="379" xfId="3" applyFont="1" applyFill="1" applyBorder="1" applyAlignment="1">
      <alignment horizontal="center"/>
    </xf>
    <xf numFmtId="0" fontId="129" fillId="54" borderId="357" xfId="3" applyFont="1" applyFill="1" applyBorder="1" applyAlignment="1">
      <alignment horizontal="center"/>
    </xf>
    <xf numFmtId="0" fontId="129" fillId="54" borderId="0" xfId="3" applyFont="1" applyFill="1" applyAlignment="1">
      <alignment horizontal="center"/>
    </xf>
    <xf numFmtId="0" fontId="129" fillId="54" borderId="163" xfId="3" applyFont="1" applyFill="1" applyBorder="1" applyAlignment="1">
      <alignment horizontal="center"/>
    </xf>
    <xf numFmtId="0" fontId="675" fillId="3" borderId="357" xfId="49" applyFont="1" applyFill="1" applyBorder="1" applyAlignment="1">
      <alignment horizontal="center" vertical="center" wrapText="1"/>
    </xf>
    <xf numFmtId="0" fontId="675" fillId="3" borderId="0" xfId="49" applyFont="1" applyFill="1" applyAlignment="1">
      <alignment horizontal="center" vertical="center" wrapText="1"/>
    </xf>
    <xf numFmtId="0" fontId="675" fillId="3" borderId="163" xfId="49" applyFont="1" applyFill="1" applyBorder="1" applyAlignment="1">
      <alignment horizontal="center" vertical="center" wrapText="1"/>
    </xf>
    <xf numFmtId="0" fontId="675" fillId="3" borderId="357" xfId="49" applyFont="1" applyFill="1" applyBorder="1"/>
    <xf numFmtId="0" fontId="25" fillId="3" borderId="0" xfId="3" applyFont="1" applyFill="1"/>
    <xf numFmtId="0" fontId="25" fillId="3" borderId="163" xfId="3" applyFont="1" applyFill="1" applyBorder="1"/>
    <xf numFmtId="0" fontId="676" fillId="5" borderId="0" xfId="49" applyFont="1" applyFill="1" applyAlignment="1">
      <alignment horizontal="center"/>
    </xf>
    <xf numFmtId="0" fontId="675" fillId="3" borderId="357" xfId="49" applyFont="1" applyFill="1" applyBorder="1" applyAlignment="1">
      <alignment horizontal="center" wrapText="1"/>
    </xf>
    <xf numFmtId="0" fontId="675" fillId="3" borderId="0" xfId="49" applyFont="1" applyFill="1" applyAlignment="1">
      <alignment horizontal="center" wrapText="1"/>
    </xf>
    <xf numFmtId="0" fontId="675" fillId="3" borderId="163" xfId="49" applyFont="1" applyFill="1" applyBorder="1" applyAlignment="1">
      <alignment horizontal="center" wrapText="1"/>
    </xf>
    <xf numFmtId="0" fontId="675" fillId="3" borderId="357" xfId="49" applyFont="1" applyFill="1" applyBorder="1" applyAlignment="1">
      <alignment horizontal="left" wrapText="1"/>
    </xf>
    <xf numFmtId="0" fontId="675" fillId="3" borderId="0" xfId="49" applyFont="1" applyFill="1" applyAlignment="1">
      <alignment horizontal="left" wrapText="1"/>
    </xf>
    <xf numFmtId="0" fontId="675" fillId="3" borderId="163" xfId="49" applyFont="1" applyFill="1" applyBorder="1" applyAlignment="1">
      <alignment horizontal="left" wrapText="1"/>
    </xf>
    <xf numFmtId="0" fontId="25" fillId="5" borderId="357" xfId="3" applyFont="1" applyFill="1" applyBorder="1" applyAlignment="1">
      <alignment horizontal="right" vertical="center"/>
    </xf>
    <xf numFmtId="0" fontId="25" fillId="5" borderId="0" xfId="3" applyFont="1" applyFill="1" applyAlignment="1">
      <alignment horizontal="right" vertical="center"/>
    </xf>
    <xf numFmtId="0" fontId="130" fillId="5" borderId="0" xfId="3" applyFont="1" applyFill="1" applyAlignment="1">
      <alignment horizontal="center" vertical="center"/>
    </xf>
    <xf numFmtId="0" fontId="25" fillId="5" borderId="0" xfId="3" applyFont="1" applyFill="1" applyAlignment="1">
      <alignment horizontal="center" vertical="center"/>
    </xf>
    <xf numFmtId="0" fontId="25" fillId="5" borderId="0" xfId="3" quotePrefix="1" applyFont="1" applyFill="1" applyAlignment="1">
      <alignment horizontal="center" vertical="center" wrapText="1"/>
    </xf>
    <xf numFmtId="0" fontId="25" fillId="4" borderId="0" xfId="3" applyFont="1" applyFill="1" applyAlignment="1">
      <alignment horizontal="center" vertical="center"/>
    </xf>
    <xf numFmtId="165" fontId="25" fillId="4" borderId="163" xfId="3" applyNumberFormat="1" applyFont="1" applyFill="1" applyBorder="1" applyAlignment="1">
      <alignment horizontal="center" vertical="center"/>
    </xf>
    <xf numFmtId="0" fontId="677" fillId="3" borderId="357" xfId="49" applyFont="1" applyFill="1" applyBorder="1"/>
    <xf numFmtId="0" fontId="677" fillId="3" borderId="0" xfId="49" applyFont="1" applyFill="1"/>
    <xf numFmtId="0" fontId="604" fillId="3" borderId="163" xfId="3" applyFont="1" applyFill="1" applyBorder="1"/>
    <xf numFmtId="0" fontId="677" fillId="3" borderId="357" xfId="49" applyFont="1" applyFill="1" applyBorder="1" applyAlignment="1">
      <alignment horizontal="center" vertical="center" wrapText="1"/>
    </xf>
    <xf numFmtId="0" fontId="677" fillId="3" borderId="0" xfId="49" applyFont="1" applyFill="1" applyAlignment="1">
      <alignment horizontal="center" vertical="center" wrapText="1"/>
    </xf>
    <xf numFmtId="0" fontId="677" fillId="3" borderId="163" xfId="49" applyFont="1" applyFill="1" applyBorder="1" applyAlignment="1">
      <alignment horizontal="center" vertical="center" wrapText="1"/>
    </xf>
    <xf numFmtId="0" fontId="3" fillId="3" borderId="357" xfId="49" applyFont="1" applyFill="1" applyBorder="1"/>
    <xf numFmtId="0" fontId="3" fillId="3" borderId="0" xfId="49" applyFont="1" applyFill="1"/>
    <xf numFmtId="0" fontId="678" fillId="3" borderId="357" xfId="14" applyFont="1" applyFill="1" applyBorder="1"/>
    <xf numFmtId="0" fontId="25" fillId="3" borderId="476" xfId="3" applyFont="1" applyFill="1" applyBorder="1" applyAlignment="1" applyProtection="1">
      <alignment horizontal="center" vertical="center"/>
      <protection hidden="1"/>
    </xf>
    <xf numFmtId="0" fontId="60" fillId="3" borderId="476" xfId="49" applyFont="1" applyFill="1" applyBorder="1" applyAlignment="1">
      <alignment horizontal="center"/>
    </xf>
    <xf numFmtId="0" fontId="25" fillId="3" borderId="476" xfId="3" applyFont="1" applyFill="1" applyBorder="1" applyAlignment="1" applyProtection="1">
      <alignment horizontal="center" vertical="center"/>
      <protection hidden="1"/>
    </xf>
    <xf numFmtId="0" fontId="29" fillId="3" borderId="476" xfId="3" applyFont="1" applyFill="1" applyBorder="1" applyAlignment="1" applyProtection="1">
      <alignment horizontal="center" vertical="center"/>
      <protection hidden="1"/>
    </xf>
    <xf numFmtId="0" fontId="29" fillId="3" borderId="547" xfId="3" applyFont="1" applyFill="1" applyBorder="1" applyAlignment="1" applyProtection="1">
      <alignment horizontal="center" vertical="center"/>
      <protection hidden="1"/>
    </xf>
    <xf numFmtId="189" fontId="23" fillId="4" borderId="0" xfId="3" applyNumberFormat="1" applyFont="1" applyFill="1" applyAlignment="1" applyProtection="1">
      <alignment horizontal="center" vertical="center"/>
      <protection hidden="1"/>
    </xf>
    <xf numFmtId="0" fontId="60" fillId="3" borderId="0" xfId="49" applyFont="1" applyFill="1" applyAlignment="1">
      <alignment horizontal="left"/>
    </xf>
    <xf numFmtId="191" fontId="44" fillId="3" borderId="0" xfId="3" applyNumberFormat="1" applyFont="1" applyFill="1" applyAlignment="1" applyProtection="1">
      <alignment horizontal="center" vertical="center"/>
      <protection hidden="1"/>
    </xf>
    <xf numFmtId="192" fontId="29" fillId="3" borderId="0" xfId="3" applyNumberFormat="1" applyFont="1" applyFill="1" applyAlignment="1" applyProtection="1">
      <alignment horizontal="center" vertical="center"/>
      <protection hidden="1"/>
    </xf>
    <xf numFmtId="177" fontId="25" fillId="61" borderId="163" xfId="37" applyNumberFormat="1" applyFont="1" applyFill="1" applyBorder="1" applyAlignment="1">
      <alignment horizontal="center" vertical="center"/>
    </xf>
    <xf numFmtId="0" fontId="60" fillId="3" borderId="354" xfId="49" applyFont="1" applyFill="1" applyBorder="1" applyAlignment="1">
      <alignment horizontal="left"/>
    </xf>
    <xf numFmtId="177" fontId="25" fillId="61" borderId="356" xfId="37" applyNumberFormat="1" applyFont="1" applyFill="1" applyBorder="1" applyAlignment="1">
      <alignment horizontal="center" vertical="center"/>
    </xf>
    <xf numFmtId="0" fontId="57" fillId="70" borderId="381" xfId="49" applyFont="1" applyFill="1" applyBorder="1" applyAlignment="1">
      <alignment horizontal="center" vertical="center" wrapText="1"/>
    </xf>
    <xf numFmtId="0" fontId="57" fillId="70" borderId="162" xfId="49" applyFont="1" applyFill="1" applyBorder="1" applyAlignment="1">
      <alignment horizontal="center" vertical="center" wrapText="1"/>
    </xf>
    <xf numFmtId="0" fontId="57" fillId="70" borderId="379" xfId="49" applyFont="1" applyFill="1" applyBorder="1" applyAlignment="1">
      <alignment horizontal="center" vertical="center" wrapText="1"/>
    </xf>
    <xf numFmtId="0" fontId="57" fillId="70" borderId="440" xfId="49" applyFont="1" applyFill="1" applyBorder="1" applyAlignment="1">
      <alignment horizontal="center" vertical="center" wrapText="1"/>
    </xf>
    <xf numFmtId="0" fontId="57" fillId="70" borderId="354" xfId="49" applyFont="1" applyFill="1" applyBorder="1" applyAlignment="1">
      <alignment horizontal="center" vertical="center" wrapText="1"/>
    </xf>
    <xf numFmtId="0" fontId="57" fillId="70" borderId="356" xfId="49" applyFont="1" applyFill="1" applyBorder="1" applyAlignment="1">
      <alignment horizontal="center" vertical="center" wrapText="1"/>
    </xf>
    <xf numFmtId="0" fontId="60" fillId="0" borderId="570" xfId="49" applyFont="1" applyBorder="1" applyAlignment="1">
      <alignment horizontal="center" vertical="center"/>
    </xf>
    <xf numFmtId="0" fontId="60" fillId="0" borderId="188" xfId="49" applyFont="1" applyBorder="1" applyAlignment="1">
      <alignment horizontal="center" vertical="center"/>
    </xf>
    <xf numFmtId="0" fontId="60" fillId="0" borderId="512" xfId="49" applyFont="1" applyBorder="1" applyAlignment="1">
      <alignment horizontal="center" vertical="center"/>
    </xf>
    <xf numFmtId="0" fontId="29" fillId="3" borderId="357" xfId="3" applyFont="1" applyFill="1" applyBorder="1" applyAlignment="1" applyProtection="1">
      <alignment horizontal="center" vertical="center"/>
      <protection hidden="1"/>
    </xf>
    <xf numFmtId="0" fontId="29" fillId="3" borderId="0" xfId="3" applyFont="1" applyFill="1" applyAlignment="1" applyProtection="1">
      <alignment horizontal="center" vertical="center"/>
      <protection hidden="1"/>
    </xf>
    <xf numFmtId="0" fontId="29" fillId="3" borderId="163" xfId="3" applyFont="1" applyFill="1" applyBorder="1" applyAlignment="1" applyProtection="1">
      <alignment horizontal="center" vertical="center"/>
      <protection hidden="1"/>
    </xf>
    <xf numFmtId="49" fontId="1" fillId="3" borderId="190" xfId="49" applyNumberFormat="1" applyFill="1" applyBorder="1" applyAlignment="1">
      <alignment horizontal="center" vertical="center"/>
    </xf>
    <xf numFmtId="49" fontId="1" fillId="3" borderId="191" xfId="49" applyNumberFormat="1" applyFill="1" applyBorder="1" applyAlignment="1">
      <alignment horizontal="center" vertical="center"/>
    </xf>
    <xf numFmtId="49" fontId="1" fillId="3" borderId="192" xfId="49" applyNumberFormat="1" applyFill="1" applyBorder="1" applyAlignment="1">
      <alignment horizontal="center" vertical="center"/>
    </xf>
    <xf numFmtId="0" fontId="30" fillId="3" borderId="351" xfId="3" applyFont="1" applyFill="1" applyBorder="1" applyAlignment="1">
      <alignment horizontal="center" vertical="center"/>
    </xf>
    <xf numFmtId="0" fontId="30" fillId="3" borderId="352" xfId="3" applyFont="1" applyFill="1" applyBorder="1" applyAlignment="1">
      <alignment horizontal="center" vertical="center"/>
    </xf>
    <xf numFmtId="49" fontId="36" fillId="0" borderId="357" xfId="49" applyNumberFormat="1" applyFont="1" applyBorder="1" applyAlignment="1">
      <alignment horizontal="center" vertical="center" wrapText="1"/>
    </xf>
    <xf numFmtId="49" fontId="36" fillId="0" borderId="0" xfId="49" applyNumberFormat="1" applyFont="1" applyAlignment="1">
      <alignment horizontal="center" vertical="center" wrapText="1"/>
    </xf>
    <xf numFmtId="49" fontId="36" fillId="0" borderId="163" xfId="49" applyNumberFormat="1" applyFont="1" applyBorder="1" applyAlignment="1">
      <alignment horizontal="center" vertical="center" wrapText="1"/>
    </xf>
    <xf numFmtId="0" fontId="36" fillId="5" borderId="572" xfId="3" applyFont="1" applyFill="1" applyBorder="1" applyAlignment="1">
      <alignment horizontal="center" vertical="center"/>
    </xf>
    <xf numFmtId="0" fontId="41" fillId="3" borderId="341" xfId="3" applyFont="1" applyFill="1" applyBorder="1" applyAlignment="1">
      <alignment horizontal="center" vertical="center"/>
    </xf>
    <xf numFmtId="0" fontId="41" fillId="3" borderId="343" xfId="3" applyFont="1" applyFill="1" applyBorder="1" applyAlignment="1">
      <alignment horizontal="center" vertical="center"/>
    </xf>
    <xf numFmtId="49" fontId="36" fillId="0" borderId="198" xfId="49" applyNumberFormat="1" applyFont="1" applyBorder="1" applyAlignment="1">
      <alignment horizontal="center" vertical="center" wrapText="1"/>
    </xf>
    <xf numFmtId="49" fontId="36" fillId="0" borderId="199" xfId="49" applyNumberFormat="1" applyFont="1" applyBorder="1" applyAlignment="1">
      <alignment horizontal="center" vertical="center" wrapText="1"/>
    </xf>
    <xf numFmtId="49" fontId="36" fillId="0" borderId="200" xfId="49" applyNumberFormat="1" applyFont="1" applyBorder="1" applyAlignment="1">
      <alignment horizontal="center" vertical="center" wrapText="1"/>
    </xf>
    <xf numFmtId="0" fontId="41" fillId="3" borderId="572" xfId="3" applyFont="1" applyFill="1" applyBorder="1" applyAlignment="1">
      <alignment horizontal="center" vertical="center"/>
    </xf>
    <xf numFmtId="0" fontId="36" fillId="5" borderId="341" xfId="3" applyFont="1" applyFill="1" applyBorder="1" applyAlignment="1">
      <alignment horizontal="center" vertical="center"/>
    </xf>
    <xf numFmtId="49" fontId="41" fillId="3" borderId="202" xfId="49" applyNumberFormat="1" applyFont="1" applyFill="1" applyBorder="1" applyAlignment="1">
      <alignment horizontal="right" vertical="center"/>
    </xf>
    <xf numFmtId="49" fontId="1" fillId="3" borderId="203" xfId="49" applyNumberFormat="1" applyFill="1" applyBorder="1" applyAlignment="1">
      <alignment horizontal="center" vertical="center"/>
    </xf>
    <xf numFmtId="49" fontId="1" fillId="3" borderId="204" xfId="49" applyNumberFormat="1" applyFill="1" applyBorder="1" applyAlignment="1">
      <alignment horizontal="center" vertical="center"/>
    </xf>
    <xf numFmtId="0" fontId="41" fillId="3" borderId="570" xfId="3" applyFont="1" applyFill="1" applyBorder="1" applyAlignment="1">
      <alignment horizontal="center" vertical="center"/>
    </xf>
    <xf numFmtId="0" fontId="36" fillId="5" borderId="512" xfId="3" applyFont="1" applyFill="1" applyBorder="1" applyAlignment="1">
      <alignment horizontal="center" vertical="center"/>
    </xf>
    <xf numFmtId="49" fontId="41" fillId="3" borderId="357" xfId="49" applyNumberFormat="1" applyFont="1" applyFill="1" applyBorder="1" applyAlignment="1">
      <alignment horizontal="right" vertical="center"/>
    </xf>
    <xf numFmtId="49" fontId="1" fillId="3" borderId="0" xfId="49" applyNumberFormat="1" applyFill="1" applyAlignment="1">
      <alignment horizontal="center" vertical="center"/>
    </xf>
    <xf numFmtId="49" fontId="1" fillId="3" borderId="163" xfId="49" applyNumberFormat="1" applyFill="1" applyBorder="1" applyAlignment="1">
      <alignment horizontal="center" vertical="center"/>
    </xf>
    <xf numFmtId="49" fontId="132" fillId="0" borderId="550" xfId="16" applyNumberFormat="1" applyFont="1" applyBorder="1" applyAlignment="1">
      <alignment horizontal="center" vertical="center"/>
    </xf>
    <xf numFmtId="0" fontId="679" fillId="55" borderId="338" xfId="19" applyFont="1" applyFill="1" applyBorder="1" applyAlignment="1" applyProtection="1">
      <alignment horizontal="center" vertical="center" wrapText="1"/>
      <protection locked="0"/>
    </xf>
    <xf numFmtId="0" fontId="679" fillId="55" borderId="341" xfId="19" applyFont="1" applyFill="1" applyBorder="1" applyAlignment="1" applyProtection="1">
      <alignment horizontal="center" vertical="center" wrapText="1"/>
      <protection locked="0"/>
    </xf>
    <xf numFmtId="0" fontId="679" fillId="55" borderId="342" xfId="19" applyFont="1" applyFill="1" applyBorder="1" applyAlignment="1" applyProtection="1">
      <alignment horizontal="center" vertical="center" wrapText="1"/>
      <protection locked="0"/>
    </xf>
    <xf numFmtId="0" fontId="680" fillId="48" borderId="510" xfId="19" applyFont="1" applyFill="1" applyBorder="1" applyAlignment="1">
      <alignment horizontal="center" vertical="center"/>
    </xf>
    <xf numFmtId="0" fontId="681" fillId="48" borderId="188" xfId="19" applyFont="1" applyFill="1" applyBorder="1" applyAlignment="1" applyProtection="1">
      <alignment horizontal="center" vertical="center"/>
      <protection locked="0"/>
    </xf>
    <xf numFmtId="0" fontId="681" fillId="48" borderId="509" xfId="19" applyFont="1" applyFill="1" applyBorder="1" applyAlignment="1" applyProtection="1">
      <alignment horizontal="center" vertical="center"/>
      <protection locked="0"/>
    </xf>
    <xf numFmtId="0" fontId="133" fillId="3" borderId="0" xfId="49" applyFont="1" applyFill="1"/>
    <xf numFmtId="194" fontId="682" fillId="25" borderId="345" xfId="19" applyNumberFormat="1" applyFont="1" applyFill="1" applyBorder="1" applyAlignment="1" applyProtection="1">
      <alignment horizontal="center" vertical="center"/>
      <protection locked="0"/>
    </xf>
    <xf numFmtId="0" fontId="682" fillId="25" borderId="0" xfId="19" applyFont="1" applyFill="1" applyAlignment="1" applyProtection="1">
      <alignment horizontal="center" vertical="center"/>
      <protection locked="0"/>
    </xf>
    <xf numFmtId="0" fontId="682" fillId="25" borderId="348" xfId="19" applyFont="1" applyFill="1" applyBorder="1" applyAlignment="1" applyProtection="1">
      <alignment horizontal="center" vertical="center"/>
      <protection locked="0"/>
    </xf>
    <xf numFmtId="194" fontId="683" fillId="48" borderId="345" xfId="19" applyNumberFormat="1" applyFont="1" applyFill="1" applyBorder="1" applyAlignment="1" applyProtection="1">
      <alignment horizontal="center" vertical="center"/>
      <protection locked="0"/>
    </xf>
    <xf numFmtId="0" fontId="23" fillId="0" borderId="0" xfId="19" applyFont="1" applyAlignment="1">
      <alignment horizontal="center" vertical="center"/>
    </xf>
    <xf numFmtId="1" fontId="23" fillId="0" borderId="348" xfId="19" applyNumberFormat="1" applyFont="1" applyBorder="1" applyAlignment="1">
      <alignment horizontal="center" vertical="center"/>
    </xf>
    <xf numFmtId="194" fontId="23" fillId="0" borderId="345" xfId="19" applyNumberFormat="1" applyFont="1" applyBorder="1" applyAlignment="1" applyProtection="1">
      <alignment horizontal="center" vertical="center"/>
      <protection locked="0"/>
    </xf>
    <xf numFmtId="0" fontId="684" fillId="48" borderId="0" xfId="19" applyFont="1" applyFill="1" applyAlignment="1">
      <alignment horizontal="center" vertical="center"/>
    </xf>
    <xf numFmtId="0" fontId="23" fillId="0" borderId="348" xfId="19" applyFont="1" applyBorder="1" applyAlignment="1">
      <alignment horizontal="center" vertical="center"/>
    </xf>
    <xf numFmtId="194" fontId="23" fillId="0" borderId="447" xfId="19" applyNumberFormat="1" applyFont="1" applyBorder="1" applyAlignment="1" applyProtection="1">
      <alignment horizontal="center" vertical="center"/>
      <protection locked="0"/>
    </xf>
    <xf numFmtId="0" fontId="23" fillId="0" borderId="507" xfId="19" applyFont="1" applyBorder="1" applyAlignment="1">
      <alignment horizontal="center" vertical="center"/>
    </xf>
    <xf numFmtId="0" fontId="684" fillId="48" borderId="508" xfId="19" applyFont="1" applyFill="1" applyBorder="1" applyAlignment="1">
      <alignment horizontal="center" vertical="center"/>
    </xf>
    <xf numFmtId="0" fontId="685" fillId="55" borderId="510" xfId="3" applyFont="1" applyFill="1" applyBorder="1" applyAlignment="1">
      <alignment horizontal="center" vertical="center"/>
    </xf>
    <xf numFmtId="0" fontId="685" fillId="55" borderId="188" xfId="3" applyFont="1" applyFill="1" applyBorder="1" applyAlignment="1">
      <alignment horizontal="center" vertical="center"/>
    </xf>
    <xf numFmtId="0" fontId="685" fillId="55" borderId="509" xfId="3" applyFont="1" applyFill="1" applyBorder="1" applyAlignment="1">
      <alignment horizontal="center" vertical="center"/>
    </xf>
    <xf numFmtId="0" fontId="685" fillId="55" borderId="381" xfId="3" applyFont="1" applyFill="1" applyBorder="1" applyAlignment="1">
      <alignment horizontal="center" vertical="center" wrapText="1"/>
    </xf>
    <xf numFmtId="0" fontId="685" fillId="55" borderId="162" xfId="3" applyFont="1" applyFill="1" applyBorder="1" applyAlignment="1">
      <alignment horizontal="center" vertical="center" wrapText="1"/>
    </xf>
    <xf numFmtId="0" fontId="686" fillId="55" borderId="162" xfId="3" applyFont="1" applyFill="1" applyBorder="1" applyAlignment="1">
      <alignment horizontal="center" vertical="center" wrapText="1"/>
    </xf>
    <xf numFmtId="0" fontId="26" fillId="55" borderId="162" xfId="3" applyFont="1" applyFill="1" applyBorder="1" applyAlignment="1">
      <alignment horizontal="center" vertical="center" wrapText="1"/>
    </xf>
    <xf numFmtId="0" fontId="686" fillId="55" borderId="379" xfId="3" applyFont="1" applyFill="1" applyBorder="1" applyAlignment="1">
      <alignment horizontal="center" vertical="center"/>
    </xf>
    <xf numFmtId="0" fontId="685" fillId="55" borderId="345" xfId="3" applyFont="1" applyFill="1" applyBorder="1" applyAlignment="1">
      <alignment horizontal="center" vertical="center"/>
    </xf>
    <xf numFmtId="0" fontId="685" fillId="55" borderId="0" xfId="3" applyFont="1" applyFill="1" applyAlignment="1">
      <alignment horizontal="center" vertical="center"/>
    </xf>
    <xf numFmtId="0" fontId="685" fillId="55" borderId="348" xfId="3" applyFont="1" applyFill="1" applyBorder="1" applyAlignment="1">
      <alignment horizontal="center" vertical="center"/>
    </xf>
    <xf numFmtId="0" fontId="685" fillId="55" borderId="357" xfId="3" applyFont="1" applyFill="1" applyBorder="1" applyAlignment="1">
      <alignment horizontal="center" vertical="center" wrapText="1"/>
    </xf>
    <xf numFmtId="0" fontId="685" fillId="55" borderId="0" xfId="3" applyFont="1" applyFill="1" applyAlignment="1">
      <alignment horizontal="center" vertical="center" wrapText="1"/>
    </xf>
    <xf numFmtId="0" fontId="686" fillId="55" borderId="0" xfId="3" applyFont="1" applyFill="1" applyAlignment="1">
      <alignment horizontal="center" vertical="center" wrapText="1"/>
    </xf>
    <xf numFmtId="0" fontId="26" fillId="55" borderId="0" xfId="3" applyFont="1" applyFill="1" applyAlignment="1">
      <alignment horizontal="center" vertical="center" wrapText="1"/>
    </xf>
    <xf numFmtId="0" fontId="686" fillId="55" borderId="163" xfId="3" applyFont="1" applyFill="1" applyBorder="1" applyAlignment="1">
      <alignment horizontal="center" vertical="center"/>
    </xf>
    <xf numFmtId="0" fontId="7" fillId="3" borderId="345" xfId="3" applyFill="1" applyBorder="1" applyAlignment="1">
      <alignment horizontal="center" vertical="center" wrapText="1"/>
    </xf>
    <xf numFmtId="0" fontId="7" fillId="3" borderId="0" xfId="3" applyFill="1" applyAlignment="1">
      <alignment horizontal="center" vertical="center" wrapText="1"/>
    </xf>
    <xf numFmtId="0" fontId="7" fillId="3" borderId="348" xfId="3" applyFill="1" applyBorder="1" applyAlignment="1">
      <alignment horizontal="center" vertical="center" wrapText="1"/>
    </xf>
    <xf numFmtId="0" fontId="685" fillId="3" borderId="357" xfId="3" applyFont="1" applyFill="1" applyBorder="1" applyAlignment="1">
      <alignment horizontal="center" vertical="center"/>
    </xf>
    <xf numFmtId="0" fontId="685" fillId="3" borderId="0" xfId="3" applyFont="1" applyFill="1" applyAlignment="1">
      <alignment horizontal="center" vertical="center"/>
    </xf>
    <xf numFmtId="0" fontId="685" fillId="3" borderId="0" xfId="3" applyFont="1" applyFill="1" applyAlignment="1">
      <alignment horizontal="centerContinuous" vertical="center"/>
    </xf>
    <xf numFmtId="0" fontId="7" fillId="1" borderId="0" xfId="3" applyFill="1" applyAlignment="1">
      <alignment vertical="center"/>
    </xf>
    <xf numFmtId="0" fontId="7" fillId="1" borderId="163" xfId="3" applyFill="1" applyBorder="1" applyAlignment="1">
      <alignment vertical="center"/>
    </xf>
    <xf numFmtId="0" fontId="7" fillId="3" borderId="357" xfId="3" applyFill="1" applyBorder="1" applyAlignment="1">
      <alignment horizontal="center" vertical="center"/>
    </xf>
    <xf numFmtId="0" fontId="7" fillId="3" borderId="0" xfId="3" applyFill="1" applyAlignment="1">
      <alignment horizontal="center" vertical="center"/>
    </xf>
    <xf numFmtId="0" fontId="7" fillId="3" borderId="163" xfId="3" applyFill="1" applyBorder="1" applyAlignment="1">
      <alignment horizontal="center" vertical="center"/>
    </xf>
    <xf numFmtId="0" fontId="7" fillId="3" borderId="345" xfId="3" applyFill="1" applyBorder="1" applyAlignment="1">
      <alignment horizontal="center" vertical="center" wrapText="1"/>
    </xf>
    <xf numFmtId="0" fontId="7" fillId="3" borderId="0" xfId="3" applyFill="1" applyAlignment="1">
      <alignment horizontal="left" vertical="center"/>
    </xf>
    <xf numFmtId="0" fontId="7" fillId="3" borderId="348" xfId="3" applyFill="1" applyBorder="1" applyAlignment="1">
      <alignment horizontal="left" vertical="center"/>
    </xf>
    <xf numFmtId="0" fontId="7" fillId="3" borderId="440" xfId="3" applyFill="1" applyBorder="1" applyAlignment="1">
      <alignment horizontal="center" vertical="center"/>
    </xf>
    <xf numFmtId="0" fontId="7" fillId="3" borderId="354" xfId="3" applyFill="1" applyBorder="1" applyAlignment="1">
      <alignment horizontal="center" vertical="center"/>
    </xf>
    <xf numFmtId="0" fontId="7" fillId="3" borderId="354" xfId="3" applyFill="1" applyBorder="1" applyAlignment="1">
      <alignment horizontal="centerContinuous" vertical="center"/>
    </xf>
    <xf numFmtId="0" fontId="7" fillId="3" borderId="354" xfId="3" applyFill="1" applyBorder="1" applyAlignment="1">
      <alignment horizontal="center" vertical="center"/>
    </xf>
    <xf numFmtId="0" fontId="7" fillId="3" borderId="356" xfId="3" applyFill="1" applyBorder="1" applyAlignment="1">
      <alignment horizontal="center" vertical="center"/>
    </xf>
    <xf numFmtId="0" fontId="7" fillId="3" borderId="447" xfId="3" applyFill="1" applyBorder="1" applyAlignment="1">
      <alignment horizontal="center" vertical="center" wrapText="1"/>
    </xf>
    <xf numFmtId="0" fontId="7" fillId="3" borderId="507" xfId="3" applyFill="1" applyBorder="1" applyAlignment="1">
      <alignment horizontal="center" vertical="center" wrapText="1"/>
    </xf>
    <xf numFmtId="0" fontId="7" fillId="3" borderId="508" xfId="3" applyFill="1" applyBorder="1" applyAlignment="1">
      <alignment horizontal="center" vertical="center" wrapText="1"/>
    </xf>
    <xf numFmtId="1" fontId="23" fillId="14" borderId="381" xfId="49" applyNumberFormat="1" applyFont="1" applyFill="1" applyBorder="1" applyAlignment="1">
      <alignment horizontal="centerContinuous" vertical="center" wrapText="1"/>
    </xf>
    <xf numFmtId="0" fontId="7" fillId="14" borderId="162" xfId="49" applyFont="1" applyFill="1" applyBorder="1" applyAlignment="1">
      <alignment horizontal="centerContinuous" vertical="center" wrapText="1"/>
    </xf>
    <xf numFmtId="0" fontId="7" fillId="14" borderId="379" xfId="49" applyFont="1" applyFill="1" applyBorder="1" applyAlignment="1">
      <alignment horizontal="centerContinuous" vertical="center" wrapText="1"/>
    </xf>
    <xf numFmtId="0" fontId="23" fillId="14" borderId="381" xfId="49" applyFont="1" applyFill="1" applyBorder="1" applyAlignment="1">
      <alignment horizontal="centerContinuous" vertical="center"/>
    </xf>
    <xf numFmtId="0" fontId="23" fillId="14" borderId="162" xfId="49" applyFont="1" applyFill="1" applyBorder="1" applyAlignment="1">
      <alignment horizontal="centerContinuous" vertical="center"/>
    </xf>
    <xf numFmtId="0" fontId="1" fillId="14" borderId="162" xfId="49" applyFill="1" applyBorder="1" applyAlignment="1">
      <alignment horizontal="centerContinuous" vertical="center"/>
    </xf>
    <xf numFmtId="0" fontId="1" fillId="14" borderId="379" xfId="49" applyFill="1" applyBorder="1" applyAlignment="1">
      <alignment horizontal="centerContinuous" vertical="center"/>
    </xf>
    <xf numFmtId="195" fontId="687" fillId="0" borderId="357" xfId="6" applyNumberFormat="1" applyFont="1" applyBorder="1" applyAlignment="1">
      <alignment horizontal="center" vertical="center"/>
    </xf>
    <xf numFmtId="195" fontId="687" fillId="0" borderId="0" xfId="6" applyNumberFormat="1" applyFont="1" applyAlignment="1">
      <alignment horizontal="center" vertical="center"/>
    </xf>
    <xf numFmtId="172" fontId="134" fillId="67" borderId="0" xfId="49" applyNumberFormat="1" applyFont="1" applyFill="1" applyAlignment="1" applyProtection="1">
      <alignment horizontal="right" vertical="center" wrapText="1"/>
      <protection locked="0"/>
    </xf>
    <xf numFmtId="2" fontId="135" fillId="67" borderId="163" xfId="6" applyNumberFormat="1" applyFont="1" applyFill="1" applyBorder="1" applyAlignment="1">
      <alignment horizontal="center" vertical="center"/>
    </xf>
    <xf numFmtId="171" fontId="7" fillId="0" borderId="357" xfId="49" applyNumberFormat="1" applyFont="1" applyBorder="1" applyAlignment="1" applyProtection="1">
      <alignment horizontal="center" vertical="center" wrapText="1"/>
      <protection locked="0"/>
    </xf>
    <xf numFmtId="171" fontId="7" fillId="0" borderId="0" xfId="49" applyNumberFormat="1" applyFont="1" applyAlignment="1" applyProtection="1">
      <alignment horizontal="center" vertical="center" wrapText="1"/>
      <protection locked="0"/>
    </xf>
    <xf numFmtId="171" fontId="7" fillId="0" borderId="163" xfId="49" applyNumberFormat="1" applyFont="1" applyBorder="1" applyAlignment="1" applyProtection="1">
      <alignment horizontal="center" vertical="center" wrapText="1"/>
      <protection locked="0"/>
    </xf>
    <xf numFmtId="195" fontId="687" fillId="0" borderId="211" xfId="6" applyNumberFormat="1" applyFont="1" applyBorder="1" applyAlignment="1">
      <alignment horizontal="center" vertical="center"/>
    </xf>
    <xf numFmtId="195" fontId="687" fillId="0" borderId="212" xfId="6" applyNumberFormat="1" applyFont="1" applyBorder="1" applyAlignment="1">
      <alignment horizontal="center" vertical="center"/>
    </xf>
    <xf numFmtId="172" fontId="134" fillId="67" borderId="212" xfId="49" applyNumberFormat="1" applyFont="1" applyFill="1" applyBorder="1" applyAlignment="1" applyProtection="1">
      <alignment horizontal="right" vertical="center" wrapText="1"/>
      <protection locked="0"/>
    </xf>
    <xf numFmtId="2" fontId="135" fillId="67" borderId="213" xfId="6" applyNumberFormat="1" applyFont="1" applyFill="1" applyBorder="1" applyAlignment="1">
      <alignment horizontal="center" vertical="center"/>
    </xf>
    <xf numFmtId="171" fontId="688" fillId="48" borderId="357" xfId="49" applyNumberFormat="1" applyFont="1" applyFill="1" applyBorder="1" applyAlignment="1" applyProtection="1">
      <alignment horizontal="center" vertical="center"/>
      <protection locked="0"/>
    </xf>
    <xf numFmtId="171" fontId="689" fillId="37" borderId="0" xfId="49" applyNumberFormat="1" applyFont="1" applyFill="1" applyAlignment="1" applyProtection="1">
      <alignment horizontal="center" vertical="center"/>
      <protection locked="0"/>
    </xf>
    <xf numFmtId="171" fontId="1" fillId="0" borderId="163" xfId="49" applyNumberFormat="1" applyBorder="1" applyAlignment="1">
      <alignment horizontal="center" vertical="center"/>
    </xf>
    <xf numFmtId="171" fontId="690" fillId="37" borderId="573" xfId="6" applyNumberFormat="1" applyFont="1" applyFill="1" applyBorder="1" applyAlignment="1">
      <alignment horizontal="center" vertical="center"/>
    </xf>
    <xf numFmtId="171" fontId="690" fillId="37" borderId="574" xfId="6" applyNumberFormat="1" applyFont="1" applyFill="1" applyBorder="1" applyAlignment="1">
      <alignment horizontal="center" vertical="center"/>
    </xf>
    <xf numFmtId="171" fontId="690" fillId="37" borderId="575" xfId="6" applyNumberFormat="1" applyFont="1" applyFill="1" applyBorder="1" applyAlignment="1">
      <alignment horizontal="center" vertical="center"/>
    </xf>
    <xf numFmtId="171" fontId="690" fillId="37" borderId="357" xfId="6" applyNumberFormat="1" applyFont="1" applyFill="1" applyBorder="1" applyAlignment="1">
      <alignment horizontal="center" vertical="center"/>
    </xf>
    <xf numFmtId="171" fontId="690" fillId="37" borderId="0" xfId="6" applyNumberFormat="1" applyFont="1" applyFill="1" applyAlignment="1">
      <alignment horizontal="center" vertical="center"/>
    </xf>
    <xf numFmtId="171" fontId="690" fillId="37" borderId="163" xfId="6" applyNumberFormat="1" applyFont="1" applyFill="1" applyBorder="1" applyAlignment="1">
      <alignment horizontal="center" vertical="center"/>
    </xf>
    <xf numFmtId="171" fontId="25" fillId="0" borderId="357" xfId="49" applyNumberFormat="1" applyFont="1" applyBorder="1" applyAlignment="1">
      <alignment horizontal="center" vertical="center"/>
    </xf>
    <xf numFmtId="171" fontId="25" fillId="0" borderId="0" xfId="49" applyNumberFormat="1" applyFont="1" applyAlignment="1">
      <alignment horizontal="center" vertical="center"/>
    </xf>
    <xf numFmtId="178" fontId="688" fillId="48" borderId="163" xfId="49" applyNumberFormat="1" applyFont="1" applyFill="1" applyBorder="1" applyAlignment="1" applyProtection="1">
      <alignment horizontal="center" vertical="center"/>
      <protection locked="0"/>
    </xf>
    <xf numFmtId="195" fontId="7" fillId="0" borderId="357" xfId="6" applyNumberFormat="1" applyFont="1" applyBorder="1" applyAlignment="1">
      <alignment horizontal="center" vertical="center"/>
    </xf>
    <xf numFmtId="195" fontId="7" fillId="0" borderId="0" xfId="6" applyNumberFormat="1" applyFont="1" applyAlignment="1">
      <alignment horizontal="center" vertical="center"/>
    </xf>
    <xf numFmtId="195" fontId="7" fillId="0" borderId="163" xfId="6" applyNumberFormat="1" applyFont="1" applyBorder="1" applyAlignment="1">
      <alignment horizontal="center" vertical="center"/>
    </xf>
    <xf numFmtId="0" fontId="691" fillId="37" borderId="357" xfId="6" applyFont="1" applyFill="1" applyBorder="1" applyAlignment="1">
      <alignment horizontal="center" vertical="center"/>
    </xf>
    <xf numFmtId="0" fontId="691" fillId="37" borderId="0" xfId="6" applyFont="1" applyFill="1" applyAlignment="1">
      <alignment horizontal="center" vertical="center"/>
    </xf>
    <xf numFmtId="0" fontId="691" fillId="37" borderId="163" xfId="6" applyFont="1" applyFill="1" applyBorder="1" applyAlignment="1">
      <alignment horizontal="center" vertical="center"/>
    </xf>
    <xf numFmtId="171" fontId="25" fillId="3" borderId="178" xfId="49" applyNumberFormat="1" applyFont="1" applyFill="1" applyBorder="1" applyAlignment="1">
      <alignment horizontal="center" vertical="center"/>
    </xf>
    <xf numFmtId="171" fontId="25" fillId="3" borderId="179" xfId="49" applyNumberFormat="1" applyFont="1" applyFill="1" applyBorder="1" applyAlignment="1">
      <alignment horizontal="center" vertical="center"/>
    </xf>
    <xf numFmtId="171" fontId="25" fillId="3" borderId="180" xfId="49" applyNumberFormat="1" applyFont="1" applyFill="1" applyBorder="1" applyAlignment="1">
      <alignment horizontal="center" vertical="center"/>
    </xf>
    <xf numFmtId="0" fontId="691" fillId="37" borderId="217" xfId="6" applyFont="1" applyFill="1" applyBorder="1" applyAlignment="1">
      <alignment horizontal="center" vertical="center"/>
    </xf>
    <xf numFmtId="0" fontId="691" fillId="37" borderId="218" xfId="6" applyFont="1" applyFill="1" applyBorder="1" applyAlignment="1">
      <alignment horizontal="center" vertical="center"/>
    </xf>
    <xf numFmtId="0" fontId="691" fillId="37" borderId="219" xfId="6" applyFont="1" applyFill="1" applyBorder="1" applyAlignment="1">
      <alignment horizontal="center" vertical="center"/>
    </xf>
    <xf numFmtId="171" fontId="3" fillId="3" borderId="63" xfId="49" applyNumberFormat="1" applyFont="1" applyFill="1" applyBorder="1" applyAlignment="1">
      <alignment horizontal="center" vertical="center"/>
    </xf>
    <xf numFmtId="171" fontId="3" fillId="3" borderId="151" xfId="49" applyNumberFormat="1" applyFont="1" applyFill="1" applyBorder="1" applyAlignment="1">
      <alignment horizontal="center" vertical="center"/>
    </xf>
    <xf numFmtId="171" fontId="3" fillId="3" borderId="66" xfId="49" applyNumberFormat="1" applyFont="1" applyFill="1" applyBorder="1" applyAlignment="1">
      <alignment horizontal="center" vertical="center"/>
    </xf>
    <xf numFmtId="195" fontId="692" fillId="67" borderId="576" xfId="6" applyNumberFormat="1" applyFont="1" applyFill="1" applyBorder="1" applyAlignment="1">
      <alignment horizontal="right" vertical="center"/>
    </xf>
    <xf numFmtId="0" fontId="55" fillId="67" borderId="577" xfId="49" applyFont="1" applyFill="1" applyBorder="1" applyAlignment="1">
      <alignment horizontal="center" vertical="center"/>
    </xf>
    <xf numFmtId="0" fontId="660" fillId="67" borderId="577" xfId="49" applyFont="1" applyFill="1" applyBorder="1" applyAlignment="1">
      <alignment horizontal="right" vertical="center"/>
    </xf>
    <xf numFmtId="176" fontId="55" fillId="67" borderId="578" xfId="49" applyNumberFormat="1" applyFont="1" applyFill="1" applyBorder="1" applyAlignment="1">
      <alignment horizontal="center" vertical="center"/>
    </xf>
    <xf numFmtId="195" fontId="692" fillId="67" borderId="335" xfId="6" applyNumberFormat="1" applyFont="1" applyFill="1" applyBorder="1" applyAlignment="1">
      <alignment horizontal="right" vertical="center"/>
    </xf>
    <xf numFmtId="0" fontId="55" fillId="67" borderId="507" xfId="49" applyFont="1" applyFill="1" applyBorder="1" applyAlignment="1">
      <alignment horizontal="center" vertical="center"/>
    </xf>
    <xf numFmtId="0" fontId="660" fillId="67" borderId="507" xfId="49" applyFont="1" applyFill="1" applyBorder="1" applyAlignment="1">
      <alignment horizontal="right" vertical="center"/>
    </xf>
    <xf numFmtId="176" fontId="55" fillId="67" borderId="571" xfId="49" applyNumberFormat="1" applyFont="1" applyFill="1" applyBorder="1" applyAlignment="1">
      <alignment horizontal="center" vertical="center"/>
    </xf>
    <xf numFmtId="0" fontId="667" fillId="54" borderId="440" xfId="49" applyFont="1" applyFill="1" applyBorder="1" applyAlignment="1">
      <alignment horizontal="center" vertical="center"/>
    </xf>
    <xf numFmtId="0" fontId="667" fillId="54" borderId="354" xfId="49" applyFont="1" applyFill="1" applyBorder="1" applyAlignment="1">
      <alignment horizontal="center" vertical="center"/>
    </xf>
    <xf numFmtId="0" fontId="667" fillId="54" borderId="356" xfId="49" applyFont="1" applyFill="1" applyBorder="1" applyAlignment="1">
      <alignment horizontal="center" vertical="center"/>
    </xf>
    <xf numFmtId="0" fontId="667" fillId="54" borderId="205" xfId="49" applyFont="1" applyFill="1" applyBorder="1" applyAlignment="1">
      <alignment horizontal="center" vertical="center" wrapText="1"/>
    </xf>
    <xf numFmtId="0" fontId="667" fillId="54" borderId="550" xfId="49" applyFont="1" applyFill="1" applyBorder="1" applyAlignment="1">
      <alignment horizontal="center" vertical="center" wrapText="1"/>
    </xf>
    <xf numFmtId="0" fontId="667" fillId="54" borderId="207" xfId="49" applyFont="1" applyFill="1" applyBorder="1" applyAlignment="1">
      <alignment horizontal="center" vertical="center" wrapText="1"/>
    </xf>
    <xf numFmtId="0" fontId="693" fillId="4" borderId="223" xfId="49" applyFont="1" applyFill="1" applyBorder="1" applyAlignment="1">
      <alignment horizontal="center" vertical="center"/>
    </xf>
    <xf numFmtId="0" fontId="693" fillId="4" borderId="224" xfId="49" applyFont="1" applyFill="1" applyBorder="1" applyAlignment="1">
      <alignment horizontal="center" vertical="center"/>
    </xf>
    <xf numFmtId="0" fontId="693" fillId="4" borderId="225" xfId="49" applyFont="1" applyFill="1" applyBorder="1" applyAlignment="1">
      <alignment horizontal="center" vertical="center"/>
    </xf>
    <xf numFmtId="0" fontId="693" fillId="4" borderId="226" xfId="49" applyFont="1" applyFill="1" applyBorder="1" applyAlignment="1">
      <alignment horizontal="center" vertical="center"/>
    </xf>
    <xf numFmtId="0" fontId="693" fillId="4" borderId="227" xfId="49" applyFont="1" applyFill="1" applyBorder="1" applyAlignment="1">
      <alignment horizontal="center" vertical="center"/>
    </xf>
    <xf numFmtId="0" fontId="693" fillId="4" borderId="228" xfId="49" applyFont="1" applyFill="1" applyBorder="1" applyAlignment="1">
      <alignment horizontal="center" vertical="center"/>
    </xf>
    <xf numFmtId="0" fontId="60" fillId="42" borderId="0" xfId="49" applyFont="1" applyFill="1" applyAlignment="1">
      <alignment horizontal="center"/>
    </xf>
    <xf numFmtId="0" fontId="136" fillId="3" borderId="381" xfId="3" applyFont="1" applyFill="1" applyBorder="1" applyAlignment="1" applyProtection="1">
      <alignment horizontal="center" vertical="center"/>
      <protection hidden="1"/>
    </xf>
    <xf numFmtId="0" fontId="136" fillId="3" borderId="379" xfId="3" applyFont="1" applyFill="1" applyBorder="1" applyAlignment="1" applyProtection="1">
      <alignment horizontal="center" vertical="center"/>
      <protection hidden="1"/>
    </xf>
    <xf numFmtId="0" fontId="136" fillId="3" borderId="357" xfId="3" applyFont="1" applyFill="1" applyBorder="1" applyAlignment="1" applyProtection="1">
      <alignment horizontal="center" vertical="center"/>
      <protection hidden="1"/>
    </xf>
    <xf numFmtId="0" fontId="136" fillId="3" borderId="0" xfId="3" applyFont="1" applyFill="1" applyAlignment="1" applyProtection="1">
      <alignment horizontal="center" vertical="center"/>
      <protection hidden="1"/>
    </xf>
    <xf numFmtId="0" fontId="33" fillId="3" borderId="357" xfId="37" applyFont="1" applyFill="1" applyBorder="1" applyAlignment="1">
      <alignment horizontal="center" vertical="center" wrapText="1"/>
    </xf>
    <xf numFmtId="0" fontId="33" fillId="3" borderId="0" xfId="37" applyFont="1" applyFill="1" applyAlignment="1">
      <alignment horizontal="center" vertical="center" wrapText="1"/>
    </xf>
    <xf numFmtId="0" fontId="33" fillId="3" borderId="163" xfId="37" applyFont="1" applyFill="1" applyBorder="1" applyAlignment="1">
      <alignment horizontal="center" vertical="center" wrapText="1"/>
    </xf>
    <xf numFmtId="0" fontId="33" fillId="3" borderId="335" xfId="37" applyFont="1" applyFill="1" applyBorder="1" applyAlignment="1">
      <alignment horizontal="center" vertical="center" wrapText="1"/>
    </xf>
    <xf numFmtId="0" fontId="33" fillId="3" borderId="507" xfId="37" applyFont="1" applyFill="1" applyBorder="1" applyAlignment="1">
      <alignment horizontal="center" vertical="center" wrapText="1"/>
    </xf>
    <xf numFmtId="0" fontId="33" fillId="3" borderId="571" xfId="37" applyFont="1" applyFill="1" applyBorder="1" applyAlignment="1">
      <alignment horizontal="center" vertical="center" wrapText="1"/>
    </xf>
    <xf numFmtId="0" fontId="71" fillId="3" borderId="357" xfId="49" applyFont="1" applyFill="1" applyBorder="1" applyAlignment="1" applyProtection="1">
      <alignment horizontal="left" vertical="center"/>
      <protection locked="0"/>
    </xf>
    <xf numFmtId="0" fontId="71" fillId="3" borderId="0" xfId="49" applyFont="1" applyFill="1" applyAlignment="1" applyProtection="1">
      <alignment horizontal="left" vertical="center"/>
      <protection locked="0"/>
    </xf>
    <xf numFmtId="0" fontId="137" fillId="3" borderId="512" xfId="3" applyFont="1" applyFill="1" applyBorder="1" applyAlignment="1" applyProtection="1">
      <alignment horizontal="right" vertical="center"/>
      <protection hidden="1"/>
    </xf>
    <xf numFmtId="0" fontId="3" fillId="3" borderId="0" xfId="49" applyFont="1" applyFill="1" applyAlignment="1" applyProtection="1">
      <alignment horizontal="left" vertical="center"/>
      <protection locked="0"/>
    </xf>
    <xf numFmtId="0" fontId="71" fillId="3" borderId="163" xfId="49" applyFont="1" applyFill="1" applyBorder="1" applyAlignment="1" applyProtection="1">
      <alignment horizontal="left" vertical="center"/>
      <protection locked="0"/>
    </xf>
    <xf numFmtId="0" fontId="29" fillId="14" borderId="510" xfId="49" applyFont="1" applyFill="1" applyBorder="1" applyAlignment="1">
      <alignment horizontal="center" vertical="center"/>
    </xf>
    <xf numFmtId="0" fontId="29" fillId="14" borderId="188" xfId="49" applyFont="1" applyFill="1" applyBorder="1" applyAlignment="1">
      <alignment horizontal="center" vertical="center"/>
    </xf>
    <xf numFmtId="0" fontId="29" fillId="14" borderId="509" xfId="49" applyFont="1" applyFill="1" applyBorder="1" applyAlignment="1">
      <alignment horizontal="center" vertical="center"/>
    </xf>
    <xf numFmtId="0" fontId="29" fillId="3" borderId="345" xfId="49" applyFont="1" applyFill="1" applyBorder="1" applyAlignment="1">
      <alignment horizontal="centerContinuous" vertical="center"/>
    </xf>
    <xf numFmtId="0" fontId="29" fillId="3" borderId="0" xfId="49" applyFont="1" applyFill="1" applyAlignment="1">
      <alignment horizontal="centerContinuous" vertical="center"/>
    </xf>
    <xf numFmtId="0" fontId="138" fillId="3" borderId="0" xfId="3" applyFont="1" applyFill="1" applyAlignment="1">
      <alignment horizontal="center" vertical="center"/>
    </xf>
    <xf numFmtId="0" fontId="29" fillId="71" borderId="0" xfId="49" applyFont="1" applyFill="1" applyAlignment="1">
      <alignment horizontal="center" vertical="center"/>
    </xf>
    <xf numFmtId="0" fontId="29" fillId="71" borderId="348" xfId="49" applyFont="1" applyFill="1" applyBorder="1" applyAlignment="1">
      <alignment horizontal="center" vertical="center"/>
    </xf>
    <xf numFmtId="0" fontId="139" fillId="3" borderId="345" xfId="3" applyFont="1" applyFill="1" applyBorder="1" applyAlignment="1">
      <alignment horizontal="center" vertical="center"/>
    </xf>
    <xf numFmtId="0" fontId="62" fillId="3" borderId="0" xfId="49" applyFont="1" applyFill="1" applyAlignment="1">
      <alignment horizontal="right" vertical="center"/>
    </xf>
    <xf numFmtId="196" fontId="140" fillId="72" borderId="0" xfId="49" applyNumberFormat="1" applyFont="1" applyFill="1" applyAlignment="1">
      <alignment horizontal="center" vertical="center"/>
    </xf>
    <xf numFmtId="0" fontId="1" fillId="3" borderId="0" xfId="49" applyFill="1" applyAlignment="1">
      <alignment vertical="center"/>
    </xf>
    <xf numFmtId="0" fontId="694" fillId="3" borderId="0" xfId="13" applyFont="1" applyFill="1" applyBorder="1" applyAlignment="1" applyProtection="1"/>
    <xf numFmtId="0" fontId="36" fillId="3" borderId="0" xfId="49" applyFont="1" applyFill="1" applyAlignment="1">
      <alignment horizontal="center" vertical="center" wrapText="1"/>
    </xf>
    <xf numFmtId="0" fontId="36" fillId="3" borderId="348" xfId="49" applyFont="1" applyFill="1" applyBorder="1" applyAlignment="1">
      <alignment horizontal="center" vertical="center" wrapText="1"/>
    </xf>
    <xf numFmtId="0" fontId="36" fillId="5" borderId="345" xfId="49" applyFont="1" applyFill="1" applyBorder="1" applyAlignment="1">
      <alignment horizontal="center" vertical="center"/>
    </xf>
    <xf numFmtId="0" fontId="62" fillId="3" borderId="0" xfId="49" applyFont="1" applyFill="1" applyAlignment="1">
      <alignment horizontal="left" vertical="center"/>
    </xf>
    <xf numFmtId="196" fontId="41" fillId="3" borderId="0" xfId="49" applyNumberFormat="1" applyFont="1" applyFill="1" applyAlignment="1">
      <alignment horizontal="center" vertical="center"/>
    </xf>
    <xf numFmtId="0" fontId="1" fillId="3" borderId="0" xfId="49" applyFill="1" applyAlignment="1">
      <alignment horizontal="center" vertical="center"/>
    </xf>
    <xf numFmtId="0" fontId="694" fillId="3" borderId="0" xfId="13" applyFont="1" applyFill="1" applyBorder="1" applyAlignment="1" applyProtection="1">
      <alignment horizontal="left" vertical="center"/>
    </xf>
    <xf numFmtId="0" fontId="138" fillId="3" borderId="345" xfId="3" applyFont="1" applyFill="1" applyBorder="1" applyAlignment="1">
      <alignment horizontal="center" vertical="center"/>
    </xf>
    <xf numFmtId="0" fontId="141" fillId="3" borderId="0" xfId="3" applyFont="1" applyFill="1" applyAlignment="1" applyProtection="1">
      <alignment horizontal="left"/>
      <protection hidden="1"/>
    </xf>
    <xf numFmtId="0" fontId="142" fillId="3" borderId="0" xfId="3" applyFont="1" applyFill="1" applyAlignment="1" applyProtection="1">
      <alignment horizontal="left"/>
      <protection hidden="1"/>
    </xf>
    <xf numFmtId="0" fontId="36" fillId="3" borderId="230" xfId="49" applyFont="1" applyFill="1" applyBorder="1" applyAlignment="1">
      <alignment horizontal="center" vertical="center" wrapText="1"/>
    </xf>
    <xf numFmtId="0" fontId="36" fillId="3" borderId="231" xfId="49" applyFont="1" applyFill="1" applyBorder="1" applyAlignment="1">
      <alignment horizontal="center" vertical="center" wrapText="1"/>
    </xf>
    <xf numFmtId="0" fontId="139" fillId="5" borderId="447" xfId="3" applyFont="1" applyFill="1" applyBorder="1" applyAlignment="1">
      <alignment horizontal="center" vertical="center"/>
    </xf>
    <xf numFmtId="0" fontId="144" fillId="3" borderId="507" xfId="3" applyFont="1" applyFill="1" applyBorder="1" applyAlignment="1" applyProtection="1">
      <alignment horizontal="left"/>
      <protection hidden="1"/>
    </xf>
    <xf numFmtId="0" fontId="36" fillId="3" borderId="507" xfId="49" applyFont="1" applyFill="1" applyBorder="1" applyAlignment="1">
      <alignment horizontal="center" vertical="center" wrapText="1"/>
    </xf>
    <xf numFmtId="0" fontId="36" fillId="3" borderId="508" xfId="49" applyFont="1" applyFill="1" applyBorder="1" applyAlignment="1">
      <alignment horizontal="center" vertical="center" wrapText="1"/>
    </xf>
    <xf numFmtId="0" fontId="145" fillId="0" borderId="0" xfId="49" applyFont="1" applyAlignment="1">
      <alignment vertical="top"/>
    </xf>
    <xf numFmtId="0" fontId="71" fillId="3" borderId="570" xfId="49" applyFont="1" applyFill="1" applyBorder="1" applyAlignment="1">
      <alignment horizontal="center" vertical="center" wrapText="1"/>
    </xf>
    <xf numFmtId="0" fontId="71" fillId="3" borderId="188" xfId="49" applyFont="1" applyFill="1" applyBorder="1" applyAlignment="1">
      <alignment horizontal="center" vertical="center" wrapText="1"/>
    </xf>
    <xf numFmtId="0" fontId="71" fillId="3" borderId="512" xfId="49" applyFont="1" applyFill="1" applyBorder="1" applyAlignment="1">
      <alignment horizontal="center" vertical="center" wrapText="1"/>
    </xf>
    <xf numFmtId="0" fontId="29" fillId="14" borderId="357" xfId="49" applyFont="1" applyFill="1" applyBorder="1" applyAlignment="1">
      <alignment horizontal="center" vertical="center"/>
    </xf>
    <xf numFmtId="0" fontId="29" fillId="14" borderId="0" xfId="49" applyFont="1" applyFill="1" applyAlignment="1">
      <alignment horizontal="center" vertical="center"/>
    </xf>
    <xf numFmtId="0" fontId="29" fillId="14" borderId="163" xfId="49" applyFont="1" applyFill="1" applyBorder="1" applyAlignment="1">
      <alignment horizontal="center" vertical="center"/>
    </xf>
    <xf numFmtId="0" fontId="139" fillId="3" borderId="335" xfId="3" applyFont="1" applyFill="1" applyBorder="1" applyAlignment="1">
      <alignment horizontal="center" vertical="center"/>
    </xf>
    <xf numFmtId="0" fontId="29" fillId="3" borderId="507" xfId="49" applyFont="1" applyFill="1" applyBorder="1" applyAlignment="1">
      <alignment horizontal="center" vertical="center"/>
    </xf>
    <xf numFmtId="0" fontId="138" fillId="3" borderId="507" xfId="3" applyFont="1" applyFill="1" applyBorder="1" applyAlignment="1">
      <alignment horizontal="center" vertical="center"/>
    </xf>
    <xf numFmtId="0" fontId="139" fillId="3" borderId="507" xfId="3" applyFont="1" applyFill="1" applyBorder="1" applyAlignment="1">
      <alignment horizontal="center" vertical="center"/>
    </xf>
    <xf numFmtId="0" fontId="29" fillId="3" borderId="571" xfId="49" applyFont="1" applyFill="1" applyBorder="1" applyAlignment="1">
      <alignment horizontal="center" vertical="center"/>
    </xf>
    <xf numFmtId="0" fontId="76" fillId="3" borderId="570" xfId="49" applyFont="1" applyFill="1" applyBorder="1" applyAlignment="1">
      <alignment horizontal="right" vertical="center"/>
    </xf>
    <xf numFmtId="0" fontId="76" fillId="3" borderId="188" xfId="49" applyFont="1" applyFill="1" applyBorder="1" applyAlignment="1">
      <alignment horizontal="right" vertical="center"/>
    </xf>
    <xf numFmtId="196" fontId="146" fillId="72" borderId="188" xfId="49" applyNumberFormat="1" applyFont="1" applyFill="1" applyBorder="1" applyAlignment="1">
      <alignment horizontal="center" vertical="center"/>
    </xf>
    <xf numFmtId="9" fontId="1" fillId="3" borderId="188" xfId="49" applyNumberFormat="1" applyFill="1" applyBorder="1" applyAlignment="1">
      <alignment horizontal="center" vertical="center"/>
    </xf>
    <xf numFmtId="0" fontId="1" fillId="3" borderId="188" xfId="49" applyFill="1" applyBorder="1"/>
    <xf numFmtId="0" fontId="62" fillId="3" borderId="570" xfId="49" applyFont="1" applyFill="1" applyBorder="1" applyAlignment="1">
      <alignment horizontal="right" vertical="center"/>
    </xf>
    <xf numFmtId="0" fontId="62" fillId="3" borderId="188" xfId="49" applyFont="1" applyFill="1" applyBorder="1" applyAlignment="1">
      <alignment horizontal="right" vertical="center"/>
    </xf>
    <xf numFmtId="169" fontId="1" fillId="0" borderId="188" xfId="49" applyNumberFormat="1" applyBorder="1" applyAlignment="1">
      <alignment horizontal="center"/>
    </xf>
    <xf numFmtId="169" fontId="1" fillId="0" borderId="512" xfId="49" applyNumberFormat="1" applyBorder="1" applyAlignment="1">
      <alignment horizontal="center"/>
    </xf>
    <xf numFmtId="0" fontId="36" fillId="5" borderId="357" xfId="49" applyFont="1" applyFill="1" applyBorder="1" applyAlignment="1">
      <alignment horizontal="center" vertical="center"/>
    </xf>
    <xf numFmtId="0" fontId="62" fillId="3" borderId="0" xfId="49" applyFont="1" applyFill="1" applyAlignment="1">
      <alignment horizontal="center" vertical="center"/>
    </xf>
    <xf numFmtId="0" fontId="62" fillId="3" borderId="163" xfId="49" applyFont="1" applyFill="1" applyBorder="1" applyAlignment="1">
      <alignment horizontal="left" vertical="center"/>
    </xf>
    <xf numFmtId="0" fontId="147" fillId="3" borderId="357" xfId="49" applyFont="1" applyFill="1" applyBorder="1" applyAlignment="1">
      <alignment horizontal="center" vertical="center"/>
    </xf>
    <xf numFmtId="0" fontId="147" fillId="3" borderId="0" xfId="49" applyFont="1" applyFill="1" applyAlignment="1">
      <alignment horizontal="center" vertical="center"/>
    </xf>
    <xf numFmtId="0" fontId="147" fillId="3" borderId="163" xfId="49" applyFont="1" applyFill="1" applyBorder="1" applyAlignment="1">
      <alignment horizontal="center" vertical="center"/>
    </xf>
    <xf numFmtId="197" fontId="60" fillId="3" borderId="357" xfId="49" applyNumberFormat="1" applyFont="1" applyFill="1" applyBorder="1" applyAlignment="1">
      <alignment horizontal="center" vertical="center"/>
    </xf>
    <xf numFmtId="198" fontId="148" fillId="3" borderId="0" xfId="49" applyNumberFormat="1" applyFont="1" applyFill="1" applyAlignment="1">
      <alignment horizontal="center" vertical="center"/>
    </xf>
    <xf numFmtId="198" fontId="60" fillId="3" borderId="0" xfId="49" applyNumberFormat="1" applyFont="1" applyFill="1" applyAlignment="1">
      <alignment horizontal="center" vertical="center"/>
    </xf>
    <xf numFmtId="198" fontId="148" fillId="3" borderId="163" xfId="49" applyNumberFormat="1" applyFont="1" applyFill="1" applyBorder="1" applyAlignment="1">
      <alignment horizontal="center" vertical="center"/>
    </xf>
    <xf numFmtId="169" fontId="138" fillId="71" borderId="357" xfId="49" applyNumberFormat="1" applyFont="1" applyFill="1" applyBorder="1" applyAlignment="1">
      <alignment horizontal="center" vertical="center"/>
    </xf>
    <xf numFmtId="169" fontId="138" fillId="71" borderId="0" xfId="49" applyNumberFormat="1" applyFont="1" applyFill="1" applyAlignment="1">
      <alignment horizontal="center" vertical="center"/>
    </xf>
    <xf numFmtId="169" fontId="138" fillId="3" borderId="0" xfId="49" applyNumberFormat="1" applyFont="1" applyFill="1" applyAlignment="1">
      <alignment horizontal="center" vertical="center"/>
    </xf>
    <xf numFmtId="169" fontId="138" fillId="71" borderId="163" xfId="49" applyNumberFormat="1" applyFont="1" applyFill="1" applyBorder="1" applyAlignment="1">
      <alignment horizontal="center" vertical="center"/>
    </xf>
    <xf numFmtId="169" fontId="138" fillId="3" borderId="335" xfId="49" applyNumberFormat="1" applyFont="1" applyFill="1" applyBorder="1" applyAlignment="1">
      <alignment horizontal="center" vertical="center"/>
    </xf>
    <xf numFmtId="0" fontId="1" fillId="3" borderId="507" xfId="49" applyFill="1" applyBorder="1"/>
    <xf numFmtId="169" fontId="138" fillId="3" borderId="507" xfId="49" applyNumberFormat="1" applyFont="1" applyFill="1" applyBorder="1" applyAlignment="1">
      <alignment horizontal="center" vertical="center"/>
    </xf>
    <xf numFmtId="0" fontId="138" fillId="3" borderId="571" xfId="3" applyFont="1" applyFill="1" applyBorder="1" applyAlignment="1">
      <alignment horizontal="center" vertical="center"/>
    </xf>
    <xf numFmtId="0" fontId="138" fillId="3" borderId="357" xfId="3" applyFont="1" applyFill="1" applyBorder="1" applyAlignment="1">
      <alignment horizontal="center" vertical="center"/>
    </xf>
    <xf numFmtId="0" fontId="143" fillId="3" borderId="0" xfId="3" applyFont="1" applyFill="1" applyAlignment="1" applyProtection="1">
      <alignment horizontal="left"/>
      <protection hidden="1"/>
    </xf>
    <xf numFmtId="0" fontId="90" fillId="3" borderId="0" xfId="3" applyFont="1" applyFill="1" applyAlignment="1">
      <alignment vertical="center"/>
    </xf>
    <xf numFmtId="0" fontId="139" fillId="5" borderId="357" xfId="3" applyFont="1" applyFill="1" applyBorder="1" applyAlignment="1">
      <alignment horizontal="center" vertical="center"/>
    </xf>
    <xf numFmtId="0" fontId="144" fillId="3" borderId="0" xfId="3" applyFont="1" applyFill="1" applyAlignment="1" applyProtection="1">
      <alignment horizontal="left"/>
      <protection hidden="1"/>
    </xf>
    <xf numFmtId="169" fontId="138" fillId="3" borderId="357" xfId="49" applyNumberFormat="1" applyFont="1" applyFill="1" applyBorder="1" applyAlignment="1">
      <alignment horizontal="center" vertical="center"/>
    </xf>
    <xf numFmtId="0" fontId="1" fillId="0" borderId="0" xfId="49" applyAlignment="1">
      <alignment horizontal="right"/>
    </xf>
    <xf numFmtId="0" fontId="694" fillId="0" borderId="0" xfId="13" applyFont="1" applyAlignment="1" applyProtection="1"/>
    <xf numFmtId="0" fontId="23" fillId="3" borderId="0" xfId="49" applyFont="1" applyFill="1"/>
    <xf numFmtId="0" fontId="18" fillId="3" borderId="0" xfId="6" applyFill="1" applyAlignment="1">
      <alignment vertical="center"/>
    </xf>
    <xf numFmtId="0" fontId="23" fillId="14" borderId="436" xfId="6" applyFont="1" applyFill="1" applyBorder="1" applyAlignment="1" applyProtection="1">
      <alignment horizontal="centerContinuous" vertical="center"/>
      <protection locked="0"/>
    </xf>
    <xf numFmtId="0" fontId="23" fillId="14" borderId="437" xfId="6" applyFont="1" applyFill="1" applyBorder="1" applyAlignment="1" applyProtection="1">
      <alignment horizontal="centerContinuous" vertical="center"/>
      <protection locked="0"/>
    </xf>
    <xf numFmtId="0" fontId="23" fillId="14" borderId="438" xfId="6" applyFont="1" applyFill="1" applyBorder="1" applyAlignment="1" applyProtection="1">
      <alignment horizontal="right" vertical="center"/>
      <protection locked="0"/>
    </xf>
    <xf numFmtId="0" fontId="46" fillId="3" borderId="357" xfId="49" applyFont="1" applyFill="1" applyBorder="1" applyAlignment="1" applyProtection="1">
      <alignment horizontal="left" vertical="center"/>
      <protection locked="0"/>
    </xf>
    <xf numFmtId="0" fontId="46" fillId="3" borderId="579" xfId="49" applyFont="1" applyFill="1" applyBorder="1" applyAlignment="1" applyProtection="1">
      <alignment horizontal="right" vertical="center"/>
      <protection locked="0"/>
    </xf>
    <xf numFmtId="166" fontId="691" fillId="37" borderId="348" xfId="49" applyNumberFormat="1" applyFont="1" applyFill="1" applyBorder="1" applyAlignment="1" applyProtection="1">
      <alignment horizontal="center" vertical="center"/>
      <protection locked="0"/>
    </xf>
    <xf numFmtId="0" fontId="46" fillId="3" borderId="0" xfId="49" applyFont="1" applyFill="1" applyAlignment="1" applyProtection="1">
      <alignment horizontal="right" vertical="center"/>
      <protection locked="0"/>
    </xf>
    <xf numFmtId="0" fontId="45" fillId="3" borderId="0" xfId="49" applyFont="1" applyFill="1" applyAlignment="1" applyProtection="1">
      <alignment horizontal="right" vertical="center"/>
      <protection locked="0"/>
    </xf>
    <xf numFmtId="166" fontId="690" fillId="37" borderId="163" xfId="49" applyNumberFormat="1" applyFont="1" applyFill="1" applyBorder="1" applyAlignment="1" applyProtection="1">
      <alignment horizontal="center" vertical="center"/>
      <protection locked="0"/>
    </xf>
    <xf numFmtId="0" fontId="695" fillId="3" borderId="357" xfId="49" applyFont="1" applyFill="1" applyBorder="1" applyAlignment="1" applyProtection="1">
      <alignment horizontal="left" vertical="center"/>
      <protection locked="0"/>
    </xf>
    <xf numFmtId="0" fontId="695" fillId="3" borderId="0" xfId="49" applyFont="1" applyFill="1" applyAlignment="1" applyProtection="1">
      <alignment horizontal="right" vertical="center"/>
      <protection locked="0"/>
    </xf>
    <xf numFmtId="199" fontId="690" fillId="37" borderId="348" xfId="49" applyNumberFormat="1" applyFont="1" applyFill="1" applyBorder="1" applyAlignment="1" applyProtection="1">
      <alignment horizontal="center" vertical="center"/>
      <protection locked="0"/>
    </xf>
    <xf numFmtId="166" fontId="690" fillId="37" borderId="348" xfId="49" applyNumberFormat="1" applyFont="1" applyFill="1" applyBorder="1" applyAlignment="1" applyProtection="1">
      <alignment horizontal="center" vertical="center"/>
      <protection locked="0"/>
    </xf>
    <xf numFmtId="166" fontId="691" fillId="37" borderId="163" xfId="49" applyNumberFormat="1" applyFont="1" applyFill="1" applyBorder="1" applyAlignment="1" applyProtection="1">
      <alignment horizontal="center" vertical="center"/>
      <protection locked="0"/>
    </xf>
    <xf numFmtId="0" fontId="604" fillId="3" borderId="357" xfId="49" applyFont="1" applyFill="1" applyBorder="1" applyAlignment="1" applyProtection="1">
      <alignment horizontal="left" vertical="center"/>
      <protection locked="0"/>
    </xf>
    <xf numFmtId="0" fontId="604" fillId="3" borderId="0" xfId="49" applyFont="1" applyFill="1" applyAlignment="1" applyProtection="1">
      <alignment horizontal="right" vertical="center"/>
      <protection locked="0"/>
    </xf>
    <xf numFmtId="166" fontId="25" fillId="3" borderId="348" xfId="49" applyNumberFormat="1" applyFont="1" applyFill="1" applyBorder="1" applyAlignment="1" applyProtection="1">
      <alignment horizontal="center" vertical="center"/>
      <protection locked="0"/>
    </xf>
    <xf numFmtId="0" fontId="7" fillId="3" borderId="0" xfId="49" applyFont="1" applyFill="1" applyAlignment="1" applyProtection="1">
      <alignment horizontal="right" vertical="center"/>
      <protection locked="0"/>
    </xf>
    <xf numFmtId="166" fontId="25" fillId="3" borderId="163" xfId="49" applyNumberFormat="1" applyFont="1" applyFill="1" applyBorder="1" applyAlignment="1" applyProtection="1">
      <alignment horizontal="center" vertical="center"/>
      <protection locked="0"/>
    </xf>
    <xf numFmtId="0" fontId="7" fillId="3" borderId="55" xfId="49" applyFont="1" applyFill="1" applyBorder="1" applyAlignment="1" applyProtection="1">
      <alignment horizontal="left" vertical="center"/>
      <protection locked="0"/>
    </xf>
    <xf numFmtId="0" fontId="25" fillId="3" borderId="0" xfId="49" applyFont="1" applyFill="1" applyAlignment="1" applyProtection="1">
      <alignment horizontal="right" vertical="center"/>
      <protection locked="0"/>
    </xf>
    <xf numFmtId="199" fontId="25" fillId="3" borderId="348" xfId="49" applyNumberFormat="1" applyFont="1" applyFill="1" applyBorder="1" applyAlignment="1" applyProtection="1">
      <alignment horizontal="center" vertical="center"/>
      <protection locked="0"/>
    </xf>
    <xf numFmtId="199" fontId="25" fillId="3" borderId="163" xfId="49" applyNumberFormat="1" applyFont="1" applyFill="1" applyBorder="1" applyAlignment="1" applyProtection="1">
      <alignment horizontal="center" vertical="center"/>
      <protection locked="0"/>
    </xf>
    <xf numFmtId="0" fontId="7" fillId="4" borderId="235" xfId="49" applyFont="1" applyFill="1" applyBorder="1" applyAlignment="1" applyProtection="1">
      <alignment horizontal="left" vertical="center"/>
      <protection locked="0"/>
    </xf>
    <xf numFmtId="0" fontId="7" fillId="4" borderId="62" xfId="49" applyFont="1" applyFill="1" applyBorder="1" applyAlignment="1" applyProtection="1">
      <alignment horizontal="right" vertical="center"/>
      <protection locked="0"/>
    </xf>
    <xf numFmtId="166" fontId="25" fillId="4" borderId="62" xfId="49" applyNumberFormat="1" applyFont="1" applyFill="1" applyBorder="1" applyAlignment="1" applyProtection="1">
      <alignment horizontal="center" vertical="center"/>
      <protection locked="0"/>
    </xf>
    <xf numFmtId="0" fontId="7" fillId="4" borderId="62" xfId="3" applyFill="1" applyBorder="1" applyProtection="1">
      <protection hidden="1"/>
    </xf>
    <xf numFmtId="0" fontId="25" fillId="4" borderId="62" xfId="49" applyFont="1" applyFill="1" applyBorder="1" applyAlignment="1" applyProtection="1">
      <alignment horizontal="right" vertical="center"/>
      <protection locked="0"/>
    </xf>
    <xf numFmtId="199" fontId="25" fillId="4" borderId="62" xfId="49" applyNumberFormat="1" applyFont="1" applyFill="1" applyBorder="1" applyAlignment="1" applyProtection="1">
      <alignment horizontal="center" vertical="center"/>
      <protection locked="0"/>
    </xf>
    <xf numFmtId="199" fontId="25" fillId="4" borderId="130" xfId="49" applyNumberFormat="1" applyFont="1" applyFill="1" applyBorder="1" applyAlignment="1" applyProtection="1">
      <alignment horizontal="center" vertical="center"/>
      <protection locked="0"/>
    </xf>
    <xf numFmtId="0" fontId="45" fillId="3" borderId="357" xfId="49" applyFont="1" applyFill="1" applyBorder="1" applyAlignment="1" applyProtection="1">
      <alignment horizontal="left" vertical="center"/>
      <protection locked="0"/>
    </xf>
    <xf numFmtId="0" fontId="695" fillId="3" borderId="0" xfId="49" applyFont="1" applyFill="1" applyAlignment="1" applyProtection="1">
      <alignment horizontal="right" vertical="center" wrapText="1"/>
      <protection locked="0"/>
    </xf>
    <xf numFmtId="179" fontId="689" fillId="37" borderId="348" xfId="49" applyNumberFormat="1" applyFont="1" applyFill="1" applyBorder="1" applyAlignment="1" applyProtection="1">
      <alignment horizontal="center" vertical="center"/>
      <protection locked="0"/>
    </xf>
    <xf numFmtId="0" fontId="25" fillId="3" borderId="335" xfId="49" applyFont="1" applyFill="1" applyBorder="1" applyAlignment="1" applyProtection="1">
      <alignment horizontal="left" vertical="center"/>
      <protection locked="0"/>
    </xf>
    <xf numFmtId="0" fontId="25" fillId="3" borderId="507" xfId="49" applyFont="1" applyFill="1" applyBorder="1" applyAlignment="1" applyProtection="1">
      <alignment horizontal="right" vertical="center"/>
      <protection locked="0"/>
    </xf>
    <xf numFmtId="199" fontId="25" fillId="3" borderId="508" xfId="49" applyNumberFormat="1" applyFont="1" applyFill="1" applyBorder="1" applyAlignment="1" applyProtection="1">
      <alignment horizontal="center" vertical="center"/>
      <protection locked="0"/>
    </xf>
    <xf numFmtId="0" fontId="7" fillId="3" borderId="507" xfId="49" applyFont="1" applyFill="1" applyBorder="1" applyAlignment="1" applyProtection="1">
      <alignment horizontal="right" vertical="center"/>
      <protection locked="0"/>
    </xf>
    <xf numFmtId="166" fontId="25" fillId="3" borderId="508" xfId="49" applyNumberFormat="1" applyFont="1" applyFill="1" applyBorder="1" applyAlignment="1" applyProtection="1">
      <alignment horizontal="center" vertical="center"/>
      <protection locked="0"/>
    </xf>
    <xf numFmtId="199" fontId="25" fillId="3" borderId="571" xfId="49" applyNumberFormat="1" applyFont="1" applyFill="1" applyBorder="1" applyAlignment="1" applyProtection="1">
      <alignment horizontal="center" vertical="center"/>
      <protection locked="0"/>
    </xf>
    <xf numFmtId="0" fontId="667" fillId="54" borderId="357" xfId="49" applyFont="1" applyFill="1" applyBorder="1" applyAlignment="1">
      <alignment horizontal="center" vertical="center"/>
    </xf>
    <xf numFmtId="0" fontId="667" fillId="54" borderId="0" xfId="49" applyFont="1" applyFill="1" applyAlignment="1">
      <alignment horizontal="center" vertical="center"/>
    </xf>
    <xf numFmtId="0" fontId="149" fillId="0" borderId="0" xfId="49" applyFont="1" applyAlignment="1">
      <alignment horizontal="center" vertical="center"/>
    </xf>
    <xf numFmtId="0" fontId="149" fillId="3" borderId="0" xfId="49" applyFont="1" applyFill="1" applyAlignment="1">
      <alignment vertical="center"/>
    </xf>
    <xf numFmtId="0" fontId="149" fillId="0" borderId="0" xfId="49" applyFont="1" applyAlignment="1">
      <alignment vertical="center"/>
    </xf>
    <xf numFmtId="0" fontId="19" fillId="55" borderId="338" xfId="20" applyFont="1" applyFill="1" applyBorder="1" applyAlignment="1" applyProtection="1">
      <alignment horizontal="left" vertical="center"/>
      <protection locked="0"/>
    </xf>
    <xf numFmtId="0" fontId="23" fillId="55" borderId="341" xfId="20" applyFont="1" applyFill="1" applyBorder="1" applyAlignment="1" applyProtection="1">
      <alignment horizontal="centerContinuous" vertical="center"/>
      <protection locked="0"/>
    </xf>
    <xf numFmtId="0" fontId="23" fillId="55" borderId="342" xfId="20" applyFont="1" applyFill="1" applyBorder="1" applyAlignment="1" applyProtection="1">
      <alignment horizontal="right" vertical="center"/>
      <protection locked="0"/>
    </xf>
    <xf numFmtId="0" fontId="150" fillId="16" borderId="345" xfId="49" applyFont="1" applyFill="1" applyBorder="1" applyAlignment="1" applyProtection="1">
      <alignment horizontal="right" vertical="center"/>
      <protection locked="0"/>
    </xf>
    <xf numFmtId="196" fontId="696" fillId="7" borderId="348" xfId="49" applyNumberFormat="1" applyFont="1" applyFill="1" applyBorder="1" applyAlignment="1" applyProtection="1">
      <alignment horizontal="center" vertical="center"/>
      <protection locked="0"/>
    </xf>
    <xf numFmtId="0" fontId="150" fillId="3" borderId="0" xfId="49" applyFont="1" applyFill="1" applyAlignment="1" applyProtection="1">
      <alignment horizontal="right" vertical="center"/>
      <protection locked="0"/>
    </xf>
    <xf numFmtId="0" fontId="150" fillId="16" borderId="510" xfId="49" applyFont="1" applyFill="1" applyBorder="1" applyAlignment="1" applyProtection="1">
      <alignment horizontal="right" vertical="center"/>
      <protection locked="0"/>
    </xf>
    <xf numFmtId="178" fontId="696" fillId="37" borderId="348" xfId="49" applyNumberFormat="1" applyFont="1" applyFill="1" applyBorder="1" applyAlignment="1" applyProtection="1">
      <alignment horizontal="center" vertical="center"/>
      <protection locked="0"/>
    </xf>
    <xf numFmtId="0" fontId="151" fillId="16" borderId="345" xfId="49" applyFont="1" applyFill="1" applyBorder="1" applyAlignment="1" applyProtection="1">
      <alignment horizontal="right" vertical="center"/>
      <protection locked="0"/>
    </xf>
    <xf numFmtId="196" fontId="684" fillId="37" borderId="348" xfId="49" applyNumberFormat="1" applyFont="1" applyFill="1" applyBorder="1" applyAlignment="1" applyProtection="1">
      <alignment horizontal="center" vertical="center"/>
      <protection locked="0"/>
    </xf>
    <xf numFmtId="0" fontId="151" fillId="3" borderId="0" xfId="49" applyFont="1" applyFill="1" applyAlignment="1" applyProtection="1">
      <alignment horizontal="right" vertical="center"/>
      <protection locked="0"/>
    </xf>
    <xf numFmtId="179" fontId="684" fillId="37" borderId="348" xfId="49" applyNumberFormat="1" applyFont="1" applyFill="1" applyBorder="1" applyAlignment="1" applyProtection="1">
      <alignment horizontal="center" vertical="center"/>
      <protection locked="0"/>
    </xf>
    <xf numFmtId="178" fontId="684" fillId="37" borderId="348" xfId="49" applyNumberFormat="1" applyFont="1" applyFill="1" applyBorder="1" applyAlignment="1" applyProtection="1">
      <alignment horizontal="center" vertical="center"/>
      <protection locked="0"/>
    </xf>
    <xf numFmtId="0" fontId="91" fillId="16" borderId="345" xfId="49" applyFont="1" applyFill="1" applyBorder="1" applyAlignment="1" applyProtection="1">
      <alignment horizontal="right" vertical="center"/>
      <protection locked="0"/>
    </xf>
    <xf numFmtId="196" fontId="91" fillId="16" borderId="348" xfId="49" applyNumberFormat="1" applyFont="1" applyFill="1" applyBorder="1" applyAlignment="1" applyProtection="1">
      <alignment horizontal="center" vertical="center"/>
      <protection locked="0"/>
    </xf>
    <xf numFmtId="200" fontId="91" fillId="16" borderId="348" xfId="49" applyNumberFormat="1" applyFont="1" applyFill="1" applyBorder="1" applyAlignment="1" applyProtection="1">
      <alignment horizontal="center" vertical="center"/>
      <protection locked="0"/>
    </xf>
    <xf numFmtId="178" fontId="91" fillId="16" borderId="348" xfId="49" applyNumberFormat="1" applyFont="1" applyFill="1" applyBorder="1" applyAlignment="1" applyProtection="1">
      <alignment horizontal="center" vertical="center"/>
      <protection locked="0"/>
    </xf>
    <xf numFmtId="0" fontId="91" fillId="16" borderId="447" xfId="49" applyFont="1" applyFill="1" applyBorder="1" applyAlignment="1" applyProtection="1">
      <alignment horizontal="right" vertical="center"/>
      <protection locked="0"/>
    </xf>
    <xf numFmtId="169" fontId="91" fillId="16" borderId="508" xfId="49" applyNumberFormat="1" applyFont="1" applyFill="1" applyBorder="1" applyAlignment="1" applyProtection="1">
      <alignment horizontal="center" vertical="center"/>
      <protection locked="0"/>
    </xf>
    <xf numFmtId="171" fontId="91" fillId="16" borderId="508" xfId="49" applyNumberFormat="1" applyFont="1" applyFill="1" applyBorder="1" applyAlignment="1" applyProtection="1">
      <alignment horizontal="center" vertical="center"/>
      <protection locked="0"/>
    </xf>
    <xf numFmtId="0" fontId="152" fillId="16" borderId="345" xfId="49" applyFont="1" applyFill="1" applyBorder="1" applyAlignment="1" applyProtection="1">
      <alignment horizontal="right" vertical="center"/>
      <protection locked="0"/>
    </xf>
    <xf numFmtId="0" fontId="152" fillId="16" borderId="188" xfId="49" applyFont="1" applyFill="1" applyBorder="1" applyAlignment="1" applyProtection="1">
      <alignment horizontal="right" vertical="center"/>
      <protection locked="0"/>
    </xf>
    <xf numFmtId="0" fontId="152" fillId="16" borderId="510" xfId="49" applyFont="1" applyFill="1" applyBorder="1" applyAlignment="1" applyProtection="1">
      <alignment horizontal="right" vertical="center"/>
      <protection locked="0"/>
    </xf>
    <xf numFmtId="196" fontId="684" fillId="37" borderId="509" xfId="49" applyNumberFormat="1" applyFont="1" applyFill="1" applyBorder="1" applyAlignment="1" applyProtection="1">
      <alignment horizontal="center" vertical="center"/>
      <protection locked="0"/>
    </xf>
    <xf numFmtId="178" fontId="153" fillId="37" borderId="348" xfId="49" applyNumberFormat="1" applyFont="1" applyFill="1" applyBorder="1" applyAlignment="1" applyProtection="1">
      <alignment horizontal="center" vertical="center"/>
      <protection locked="0"/>
    </xf>
    <xf numFmtId="178" fontId="153" fillId="37" borderId="509" xfId="49" applyNumberFormat="1" applyFont="1" applyFill="1" applyBorder="1" applyAlignment="1" applyProtection="1">
      <alignment horizontal="center" vertical="center"/>
      <protection locked="0"/>
    </xf>
    <xf numFmtId="0" fontId="36" fillId="16" borderId="345" xfId="49" applyFont="1" applyFill="1" applyBorder="1" applyAlignment="1" applyProtection="1">
      <alignment horizontal="right" vertical="center"/>
      <protection locked="0"/>
    </xf>
    <xf numFmtId="0" fontId="36" fillId="16" borderId="0" xfId="49" applyFont="1" applyFill="1" applyAlignment="1" applyProtection="1">
      <alignment horizontal="right" vertical="center"/>
      <protection locked="0"/>
    </xf>
    <xf numFmtId="179" fontId="30" fillId="37" borderId="348" xfId="49" applyNumberFormat="1" applyFont="1" applyFill="1" applyBorder="1" applyAlignment="1" applyProtection="1">
      <alignment horizontal="center" vertical="center"/>
      <protection locked="0"/>
    </xf>
    <xf numFmtId="178" fontId="30" fillId="37" borderId="348" xfId="49" applyNumberFormat="1" applyFont="1" applyFill="1" applyBorder="1" applyAlignment="1" applyProtection="1">
      <alignment horizontal="center" vertical="center"/>
      <protection locked="0"/>
    </xf>
    <xf numFmtId="200" fontId="91" fillId="16" borderId="508" xfId="49" applyNumberFormat="1" applyFont="1" applyFill="1" applyBorder="1" applyAlignment="1" applyProtection="1">
      <alignment horizontal="center" vertical="center"/>
      <protection locked="0"/>
    </xf>
    <xf numFmtId="178" fontId="91" fillId="16" borderId="508" xfId="49" applyNumberFormat="1" applyFont="1" applyFill="1" applyBorder="1" applyAlignment="1" applyProtection="1">
      <alignment horizontal="center" vertical="center"/>
      <protection locked="0"/>
    </xf>
    <xf numFmtId="0" fontId="667" fillId="54" borderId="570" xfId="49" applyFont="1" applyFill="1" applyBorder="1" applyAlignment="1">
      <alignment horizontal="center" vertical="center"/>
    </xf>
    <xf numFmtId="0" fontId="667" fillId="54" borderId="188" xfId="49" applyFont="1" applyFill="1" applyBorder="1" applyAlignment="1">
      <alignment horizontal="center" vertical="center"/>
    </xf>
    <xf numFmtId="0" fontId="129" fillId="73" borderId="0" xfId="3" applyFont="1" applyFill="1" applyAlignment="1">
      <alignment horizontal="left" vertical="center"/>
    </xf>
    <xf numFmtId="0" fontId="84" fillId="73" borderId="0" xfId="3" applyFont="1" applyFill="1" applyAlignment="1">
      <alignment horizontal="centerContinuous" vertical="center"/>
    </xf>
    <xf numFmtId="0" fontId="84" fillId="73" borderId="0" xfId="3" applyFont="1" applyFill="1" applyAlignment="1">
      <alignment horizontal="center" vertical="center"/>
    </xf>
    <xf numFmtId="0" fontId="69" fillId="3" borderId="0" xfId="49" applyFont="1" applyFill="1"/>
    <xf numFmtId="0" fontId="20" fillId="3" borderId="0" xfId="3" applyFont="1" applyFill="1" applyAlignment="1">
      <alignment horizontal="centerContinuous" vertical="center"/>
    </xf>
    <xf numFmtId="0" fontId="20" fillId="3" borderId="0" xfId="3" applyFont="1" applyFill="1" applyAlignment="1">
      <alignment horizontal="center" vertical="center"/>
    </xf>
    <xf numFmtId="0" fontId="678" fillId="3" borderId="0" xfId="13" applyFont="1" applyFill="1"/>
    <xf numFmtId="0" fontId="23" fillId="3" borderId="0" xfId="3" applyFont="1" applyFill="1" applyAlignment="1">
      <alignment horizontal="left" vertical="center"/>
    </xf>
    <xf numFmtId="0" fontId="58" fillId="3" borderId="0" xfId="13" applyFill="1" applyBorder="1" applyAlignment="1">
      <alignment horizontal="left" vertical="center"/>
    </xf>
    <xf numFmtId="0" fontId="41" fillId="3" borderId="381" xfId="49" applyFont="1" applyFill="1" applyBorder="1" applyAlignment="1">
      <alignment horizontal="center" vertical="center"/>
    </xf>
    <xf numFmtId="0" fontId="41" fillId="3" borderId="379" xfId="49" applyFont="1" applyFill="1" applyBorder="1" applyAlignment="1">
      <alignment horizontal="center" vertical="center"/>
    </xf>
    <xf numFmtId="0" fontId="697" fillId="3" borderId="0" xfId="49" applyFont="1" applyFill="1"/>
    <xf numFmtId="0" fontId="29" fillId="3" borderId="381" xfId="49" applyFont="1" applyFill="1" applyBorder="1" applyAlignment="1">
      <alignment horizontal="center" wrapText="1"/>
    </xf>
    <xf numFmtId="0" fontId="29" fillId="3" borderId="379" xfId="49" applyFont="1" applyFill="1" applyBorder="1" applyAlignment="1">
      <alignment horizontal="center" wrapText="1"/>
    </xf>
    <xf numFmtId="0" fontId="52" fillId="3" borderId="357" xfId="49" applyFont="1" applyFill="1" applyBorder="1" applyAlignment="1">
      <alignment horizontal="center" vertical="center"/>
    </xf>
    <xf numFmtId="0" fontId="52" fillId="3" borderId="163" xfId="49" applyFont="1" applyFill="1" applyBorder="1" applyAlignment="1">
      <alignment horizontal="center" vertical="center"/>
    </xf>
    <xf numFmtId="0" fontId="30" fillId="3" borderId="0" xfId="49" applyFont="1" applyFill="1"/>
    <xf numFmtId="0" fontId="29" fillId="3" borderId="357" xfId="49" applyFont="1" applyFill="1" applyBorder="1" applyAlignment="1">
      <alignment horizontal="center" wrapText="1"/>
    </xf>
    <xf numFmtId="0" fontId="29" fillId="3" borderId="163" xfId="49" applyFont="1" applyFill="1" applyBorder="1" applyAlignment="1">
      <alignment horizontal="center" wrapText="1"/>
    </xf>
    <xf numFmtId="0" fontId="151" fillId="16" borderId="357" xfId="49" applyFont="1" applyFill="1" applyBorder="1" applyAlignment="1" applyProtection="1">
      <alignment horizontal="right" vertical="center"/>
      <protection locked="0"/>
    </xf>
    <xf numFmtId="201" fontId="684" fillId="37" borderId="163" xfId="49" applyNumberFormat="1" applyFont="1" applyFill="1" applyBorder="1" applyAlignment="1" applyProtection="1">
      <alignment horizontal="center" vertical="center"/>
      <protection locked="0"/>
    </xf>
    <xf numFmtId="0" fontId="154" fillId="16" borderId="357" xfId="49" applyFont="1" applyFill="1" applyBorder="1" applyAlignment="1" applyProtection="1">
      <alignment horizontal="right" vertical="center"/>
      <protection locked="0"/>
    </xf>
    <xf numFmtId="201" fontId="45" fillId="37" borderId="163" xfId="49" applyNumberFormat="1" applyFont="1" applyFill="1" applyBorder="1" applyAlignment="1" applyProtection="1">
      <alignment horizontal="center" vertical="center"/>
      <protection locked="0"/>
    </xf>
    <xf numFmtId="0" fontId="36" fillId="16" borderId="357" xfId="49" applyFont="1" applyFill="1" applyBorder="1" applyAlignment="1" applyProtection="1">
      <alignment horizontal="right" vertical="center"/>
      <protection locked="0"/>
    </xf>
    <xf numFmtId="179" fontId="30" fillId="37" borderId="163" xfId="49" applyNumberFormat="1" applyFont="1" applyFill="1" applyBorder="1" applyAlignment="1" applyProtection="1">
      <alignment horizontal="center" vertical="center"/>
      <protection locked="0"/>
    </xf>
    <xf numFmtId="0" fontId="102" fillId="16" borderId="357" xfId="49" applyFont="1" applyFill="1" applyBorder="1" applyAlignment="1" applyProtection="1">
      <alignment horizontal="right" vertical="center"/>
      <protection locked="0"/>
    </xf>
    <xf numFmtId="179" fontId="698" fillId="37" borderId="163" xfId="49" applyNumberFormat="1" applyFont="1" applyFill="1" applyBorder="1" applyAlignment="1" applyProtection="1">
      <alignment horizontal="center" vertical="center"/>
      <protection locked="0"/>
    </xf>
    <xf numFmtId="0" fontId="91" fillId="16" borderId="357" xfId="49" applyFont="1" applyFill="1" applyBorder="1" applyAlignment="1" applyProtection="1">
      <alignment horizontal="right" vertical="center"/>
      <protection locked="0"/>
    </xf>
    <xf numFmtId="202" fontId="91" fillId="3" borderId="163" xfId="49" applyNumberFormat="1" applyFont="1" applyFill="1" applyBorder="1" applyAlignment="1" applyProtection="1">
      <alignment horizontal="center" vertical="center"/>
      <protection locked="0"/>
    </xf>
    <xf numFmtId="0" fontId="41" fillId="16" borderId="357" xfId="49" applyFont="1" applyFill="1" applyBorder="1" applyAlignment="1" applyProtection="1">
      <alignment horizontal="right" vertical="center"/>
      <protection locked="0"/>
    </xf>
    <xf numFmtId="2" fontId="41" fillId="16" borderId="163" xfId="49" applyNumberFormat="1" applyFont="1" applyFill="1" applyBorder="1" applyAlignment="1" applyProtection="1">
      <alignment horizontal="center" vertical="center"/>
      <protection locked="0"/>
    </xf>
    <xf numFmtId="176" fontId="91" fillId="16" borderId="163" xfId="49" applyNumberFormat="1" applyFont="1" applyFill="1" applyBorder="1" applyAlignment="1" applyProtection="1">
      <alignment horizontal="center" vertical="center"/>
      <protection locked="0"/>
    </xf>
    <xf numFmtId="0" fontId="41" fillId="16" borderId="440" xfId="49" applyFont="1" applyFill="1" applyBorder="1" applyAlignment="1" applyProtection="1">
      <alignment horizontal="right" vertical="center"/>
      <protection locked="0"/>
    </xf>
    <xf numFmtId="203" fontId="41" fillId="3" borderId="356" xfId="49" applyNumberFormat="1" applyFont="1" applyFill="1" applyBorder="1" applyAlignment="1" applyProtection="1">
      <alignment horizontal="center" vertical="center"/>
      <protection locked="0"/>
    </xf>
    <xf numFmtId="202" fontId="41" fillId="3" borderId="163" xfId="49" applyNumberFormat="1" applyFont="1" applyFill="1" applyBorder="1" applyAlignment="1" applyProtection="1">
      <alignment horizontal="center" vertical="center"/>
      <protection locked="0"/>
    </xf>
    <xf numFmtId="0" fontId="62" fillId="0" borderId="236" xfId="49" applyFont="1" applyBorder="1" applyAlignment="1">
      <alignment horizontal="center"/>
    </xf>
    <xf numFmtId="0" fontId="62" fillId="0" borderId="237" xfId="49" applyFont="1" applyBorder="1" applyAlignment="1">
      <alignment horizontal="center"/>
    </xf>
    <xf numFmtId="0" fontId="3" fillId="3" borderId="357" xfId="49" applyFont="1" applyFill="1" applyBorder="1" applyAlignment="1">
      <alignment horizontal="center"/>
    </xf>
    <xf numFmtId="0" fontId="3" fillId="3" borderId="163" xfId="49" applyFont="1" applyFill="1" applyBorder="1" applyAlignment="1">
      <alignment horizontal="center"/>
    </xf>
    <xf numFmtId="176" fontId="41" fillId="16" borderId="198" xfId="49" applyNumberFormat="1" applyFont="1" applyFill="1" applyBorder="1" applyAlignment="1" applyProtection="1">
      <alignment horizontal="center" vertical="center"/>
      <protection locked="0"/>
    </xf>
    <xf numFmtId="202" fontId="41" fillId="3" borderId="200" xfId="49" applyNumberFormat="1" applyFont="1" applyFill="1" applyBorder="1" applyAlignment="1" applyProtection="1">
      <alignment horizontal="center" vertical="center"/>
      <protection locked="0"/>
    </xf>
    <xf numFmtId="0" fontId="1" fillId="3" borderId="0" xfId="49" applyFill="1" applyAlignment="1">
      <alignment horizontal="right"/>
    </xf>
    <xf numFmtId="201" fontId="699" fillId="37" borderId="163" xfId="49" applyNumberFormat="1" applyFont="1" applyFill="1" applyBorder="1" applyAlignment="1" applyProtection="1">
      <alignment horizontal="center" vertical="center"/>
      <protection locked="0"/>
    </xf>
    <xf numFmtId="0" fontId="1" fillId="3" borderId="236" xfId="49" applyFill="1" applyBorder="1" applyAlignment="1">
      <alignment horizontal="center"/>
    </xf>
    <xf numFmtId="0" fontId="1" fillId="3" borderId="237" xfId="49" applyFill="1" applyBorder="1" applyAlignment="1">
      <alignment horizontal="center"/>
    </xf>
    <xf numFmtId="0" fontId="1" fillId="3" borderId="357" xfId="49" applyFill="1" applyBorder="1"/>
    <xf numFmtId="0" fontId="155" fillId="16" borderId="357" xfId="49" applyFont="1" applyFill="1" applyBorder="1" applyAlignment="1" applyProtection="1">
      <alignment horizontal="right" vertical="center"/>
      <protection locked="0"/>
    </xf>
    <xf numFmtId="179" fontId="700" fillId="37" borderId="163" xfId="49" applyNumberFormat="1" applyFont="1" applyFill="1" applyBorder="1" applyAlignment="1" applyProtection="1">
      <alignment horizontal="center" vertical="center"/>
      <protection locked="0"/>
    </xf>
    <xf numFmtId="176" fontId="91" fillId="16" borderId="440" xfId="49" applyNumberFormat="1" applyFont="1" applyFill="1" applyBorder="1" applyAlignment="1" applyProtection="1">
      <alignment horizontal="center" vertical="center"/>
      <protection locked="0"/>
    </xf>
    <xf numFmtId="202" fontId="41" fillId="3" borderId="356" xfId="49" applyNumberFormat="1" applyFont="1" applyFill="1" applyBorder="1" applyAlignment="1" applyProtection="1">
      <alignment horizontal="center" vertical="center"/>
      <protection locked="0"/>
    </xf>
    <xf numFmtId="0" fontId="60" fillId="3" borderId="381" xfId="49" applyFont="1" applyFill="1" applyBorder="1" applyAlignment="1">
      <alignment horizontal="center" vertical="center" wrapText="1"/>
    </xf>
    <xf numFmtId="0" fontId="60" fillId="3" borderId="379" xfId="49" applyFont="1" applyFill="1" applyBorder="1" applyAlignment="1">
      <alignment horizontal="center" vertical="center" wrapText="1"/>
    </xf>
    <xf numFmtId="0" fontId="60" fillId="3" borderId="357" xfId="49" applyFont="1" applyFill="1" applyBorder="1" applyAlignment="1">
      <alignment horizontal="center" vertical="center" wrapText="1"/>
    </xf>
    <xf numFmtId="0" fontId="60" fillId="3" borderId="163" xfId="49" applyFont="1" applyFill="1" applyBorder="1" applyAlignment="1">
      <alignment horizontal="center" vertical="center" wrapText="1"/>
    </xf>
    <xf numFmtId="0" fontId="60" fillId="3" borderId="178" xfId="49" applyFont="1" applyFill="1" applyBorder="1" applyAlignment="1">
      <alignment horizontal="center" vertical="center"/>
    </xf>
    <xf numFmtId="0" fontId="60" fillId="3" borderId="180" xfId="49" applyFont="1" applyFill="1" applyBorder="1" applyAlignment="1">
      <alignment horizontal="center" vertical="center"/>
    </xf>
    <xf numFmtId="0" fontId="1" fillId="3" borderId="357" xfId="49" applyFill="1" applyBorder="1" applyAlignment="1">
      <alignment horizontal="center"/>
    </xf>
    <xf numFmtId="0" fontId="1" fillId="3" borderId="163" xfId="49" applyFill="1" applyBorder="1" applyAlignment="1">
      <alignment horizontal="center"/>
    </xf>
    <xf numFmtId="0" fontId="156" fillId="16" borderId="357" xfId="49" applyFont="1" applyFill="1" applyBorder="1" applyAlignment="1" applyProtection="1">
      <alignment horizontal="right" vertical="center"/>
      <protection locked="0"/>
    </xf>
    <xf numFmtId="201" fontId="690" fillId="37" borderId="163" xfId="49" applyNumberFormat="1" applyFont="1" applyFill="1" applyBorder="1" applyAlignment="1" applyProtection="1">
      <alignment horizontal="center" vertical="center"/>
      <protection locked="0"/>
    </xf>
    <xf numFmtId="0" fontId="60" fillId="3" borderId="178" xfId="49" applyFont="1" applyFill="1" applyBorder="1" applyAlignment="1">
      <alignment horizontal="center"/>
    </xf>
    <xf numFmtId="0" fontId="60" fillId="3" borderId="180" xfId="49" applyFont="1" applyFill="1" applyBorder="1" applyAlignment="1">
      <alignment horizontal="center"/>
    </xf>
    <xf numFmtId="2" fontId="41" fillId="16" borderId="440" xfId="49" applyNumberFormat="1" applyFont="1" applyFill="1" applyBorder="1" applyAlignment="1" applyProtection="1">
      <alignment horizontal="center" vertical="center"/>
      <protection locked="0"/>
    </xf>
    <xf numFmtId="0" fontId="697" fillId="3" borderId="0" xfId="49" applyFont="1" applyFill="1" applyAlignment="1">
      <alignment vertical="center"/>
    </xf>
    <xf numFmtId="0" fontId="20" fillId="55" borderId="381" xfId="6" applyFont="1" applyFill="1" applyBorder="1" applyAlignment="1" applyProtection="1">
      <alignment horizontal="left" vertical="center"/>
      <protection locked="0"/>
    </xf>
    <xf numFmtId="0" fontId="23" fillId="55" borderId="437" xfId="6" applyFont="1" applyFill="1" applyBorder="1" applyAlignment="1" applyProtection="1">
      <alignment horizontal="centerContinuous" vertical="center"/>
      <protection locked="0"/>
    </xf>
    <xf numFmtId="0" fontId="20" fillId="55" borderId="438" xfId="6" applyFont="1" applyFill="1" applyBorder="1" applyAlignment="1" applyProtection="1">
      <alignment horizontal="right" vertical="center"/>
      <protection locked="0"/>
    </xf>
    <xf numFmtId="2" fontId="25" fillId="74" borderId="149" xfId="49" applyNumberFormat="1" applyFont="1" applyFill="1" applyBorder="1" applyAlignment="1" applyProtection="1">
      <alignment horizontal="center" vertical="center" wrapText="1"/>
      <protection locked="0"/>
    </xf>
    <xf numFmtId="0" fontId="701" fillId="13" borderId="489" xfId="6" applyFont="1" applyFill="1" applyBorder="1" applyAlignment="1">
      <alignment horizontal="right" vertical="center"/>
    </xf>
    <xf numFmtId="0" fontId="702" fillId="13" borderId="489" xfId="6" applyFont="1" applyFill="1" applyBorder="1" applyAlignment="1">
      <alignment horizontal="right" vertical="center"/>
    </xf>
    <xf numFmtId="9" fontId="32" fillId="13" borderId="144" xfId="49" applyNumberFormat="1" applyFont="1" applyFill="1" applyBorder="1" applyAlignment="1">
      <alignment horizontal="left" vertical="center"/>
    </xf>
    <xf numFmtId="165" fontId="685" fillId="4" borderId="238" xfId="49" applyNumberFormat="1" applyFont="1" applyFill="1" applyBorder="1" applyAlignment="1">
      <alignment horizontal="center" vertical="center"/>
    </xf>
    <xf numFmtId="0" fontId="7" fillId="4" borderId="121" xfId="49" applyFont="1" applyFill="1" applyBorder="1" applyAlignment="1">
      <alignment horizontal="center" vertical="center"/>
    </xf>
    <xf numFmtId="2" fontId="685" fillId="4" borderId="154" xfId="49" applyNumberFormat="1" applyFont="1" applyFill="1" applyBorder="1" applyAlignment="1">
      <alignment horizontal="center" vertical="center"/>
    </xf>
    <xf numFmtId="9" fontId="685" fillId="12" borderId="63" xfId="49" applyNumberFormat="1" applyFont="1" applyFill="1" applyBorder="1" applyAlignment="1">
      <alignment horizontal="center" vertical="center"/>
    </xf>
    <xf numFmtId="0" fontId="23" fillId="12" borderId="0" xfId="6" applyFont="1" applyFill="1" applyAlignment="1">
      <alignment horizontal="centerContinuous" vertical="center"/>
    </xf>
    <xf numFmtId="0" fontId="1" fillId="12" borderId="0" xfId="49" applyFill="1" applyAlignment="1">
      <alignment horizontal="centerContinuous" vertical="center" wrapText="1"/>
    </xf>
    <xf numFmtId="0" fontId="685" fillId="12" borderId="0" xfId="6" applyFont="1" applyFill="1" applyAlignment="1">
      <alignment horizontal="right" vertical="center"/>
    </xf>
    <xf numFmtId="177" fontId="21" fillId="16" borderId="580" xfId="6" applyNumberFormat="1" applyFont="1" applyFill="1" applyBorder="1" applyAlignment="1">
      <alignment horizontal="center" vertical="center"/>
    </xf>
    <xf numFmtId="9" fontId="703" fillId="12" borderId="482" xfId="49" applyNumberFormat="1" applyFont="1" applyFill="1" applyBorder="1" applyAlignment="1">
      <alignment horizontal="center" vertical="center"/>
    </xf>
    <xf numFmtId="204" fontId="7" fillId="75" borderId="163" xfId="49" applyNumberFormat="1" applyFont="1" applyFill="1" applyBorder="1" applyAlignment="1">
      <alignment horizontal="centerContinuous" vertical="center" wrapText="1"/>
    </xf>
    <xf numFmtId="169" fontId="45" fillId="37" borderId="63" xfId="49" applyNumberFormat="1" applyFont="1" applyFill="1" applyBorder="1" applyAlignment="1">
      <alignment horizontal="center" vertical="center"/>
    </xf>
    <xf numFmtId="0" fontId="684" fillId="37" borderId="0" xfId="6" applyFont="1" applyFill="1" applyAlignment="1">
      <alignment horizontal="left" vertical="center"/>
    </xf>
    <xf numFmtId="203" fontId="41" fillId="4" borderId="581" xfId="49" applyNumberFormat="1" applyFont="1" applyFill="1" applyBorder="1" applyAlignment="1" applyProtection="1">
      <alignment horizontal="center" vertical="center"/>
      <protection locked="0"/>
    </xf>
    <xf numFmtId="179" fontId="699" fillId="37" borderId="0" xfId="49" applyNumberFormat="1" applyFont="1" applyFill="1" applyAlignment="1" applyProtection="1">
      <alignment horizontal="center" vertical="center"/>
      <protection locked="0"/>
    </xf>
    <xf numFmtId="203" fontId="41" fillId="4" borderId="163" xfId="49" applyNumberFormat="1" applyFont="1" applyFill="1" applyBorder="1" applyAlignment="1" applyProtection="1">
      <alignment horizontal="center" vertical="center"/>
      <protection locked="0"/>
    </xf>
    <xf numFmtId="203" fontId="41" fillId="4" borderId="0" xfId="49" applyNumberFormat="1" applyFont="1" applyFill="1" applyAlignment="1" applyProtection="1">
      <alignment horizontal="center" vertical="center"/>
      <protection locked="0"/>
    </xf>
    <xf numFmtId="169" fontId="45" fillId="37" borderId="241" xfId="49" applyNumberFormat="1" applyFont="1" applyFill="1" applyBorder="1" applyAlignment="1">
      <alignment horizontal="center" vertical="center"/>
    </xf>
    <xf numFmtId="0" fontId="684" fillId="37" borderId="354" xfId="6" applyFont="1" applyFill="1" applyBorder="1" applyAlignment="1">
      <alignment horizontal="left" vertical="center"/>
    </xf>
    <xf numFmtId="203" fontId="41" fillId="4" borderId="354" xfId="49" applyNumberFormat="1" applyFont="1" applyFill="1" applyBorder="1" applyAlignment="1" applyProtection="1">
      <alignment horizontal="center" vertical="center"/>
      <protection locked="0"/>
    </xf>
    <xf numFmtId="179" fontId="699" fillId="37" borderId="354" xfId="49" applyNumberFormat="1" applyFont="1" applyFill="1" applyBorder="1" applyAlignment="1" applyProtection="1">
      <alignment horizontal="center" vertical="center"/>
      <protection locked="0"/>
    </xf>
    <xf numFmtId="203" fontId="41" fillId="4" borderId="356" xfId="49" applyNumberFormat="1" applyFont="1" applyFill="1" applyBorder="1" applyAlignment="1" applyProtection="1">
      <alignment horizontal="center" vertical="center"/>
      <protection locked="0"/>
    </xf>
    <xf numFmtId="2" fontId="41" fillId="16" borderId="0" xfId="49" applyNumberFormat="1" applyFont="1" applyFill="1" applyAlignment="1" applyProtection="1">
      <alignment horizontal="center" vertical="center"/>
      <protection locked="0"/>
    </xf>
    <xf numFmtId="202" fontId="41" fillId="3" borderId="0" xfId="49" applyNumberFormat="1" applyFont="1" applyFill="1" applyAlignment="1" applyProtection="1">
      <alignment horizontal="center" vertical="center"/>
      <protection locked="0"/>
    </xf>
    <xf numFmtId="0" fontId="678" fillId="3" borderId="0" xfId="13" applyFont="1" applyFill="1" applyAlignment="1">
      <alignment horizontal="left" vertical="center"/>
    </xf>
    <xf numFmtId="0" fontId="55" fillId="8" borderId="0" xfId="3" applyFont="1" applyFill="1" applyAlignment="1" applyProtection="1">
      <alignment horizontal="center" vertical="center" wrapText="1"/>
      <protection hidden="1"/>
    </xf>
    <xf numFmtId="0" fontId="23" fillId="55" borderId="510" xfId="49" applyFont="1" applyFill="1" applyBorder="1" applyAlignment="1">
      <alignment horizontal="center" vertical="center"/>
    </xf>
    <xf numFmtId="0" fontId="23" fillId="55" borderId="188" xfId="49" applyFont="1" applyFill="1" applyBorder="1" applyAlignment="1">
      <alignment horizontal="center" vertical="center"/>
    </xf>
    <xf numFmtId="0" fontId="23" fillId="55" borderId="509" xfId="49" applyFont="1" applyFill="1" applyBorder="1" applyAlignment="1">
      <alignment horizontal="center" vertical="center"/>
    </xf>
    <xf numFmtId="0" fontId="685" fillId="3" borderId="345" xfId="49" applyFont="1" applyFill="1" applyBorder="1" applyAlignment="1">
      <alignment horizontal="center" vertical="center" wrapText="1"/>
    </xf>
    <xf numFmtId="0" fontId="685" fillId="3" borderId="0" xfId="49" applyFont="1" applyFill="1" applyAlignment="1">
      <alignment horizontal="center" vertical="center" wrapText="1"/>
    </xf>
    <xf numFmtId="171" fontId="46" fillId="48" borderId="0" xfId="49" applyNumberFormat="1" applyFont="1" applyFill="1" applyAlignment="1" applyProtection="1">
      <alignment horizontal="center" vertical="center"/>
      <protection locked="0"/>
    </xf>
    <xf numFmtId="171" fontId="704" fillId="3" borderId="0" xfId="49" applyNumberFormat="1" applyFont="1" applyFill="1" applyAlignment="1">
      <alignment vertical="center"/>
    </xf>
    <xf numFmtId="0" fontId="685" fillId="3" borderId="0" xfId="49" applyFont="1" applyFill="1" applyAlignment="1">
      <alignment horizontal="center" vertical="center"/>
    </xf>
    <xf numFmtId="171" fontId="686" fillId="0" borderId="0" xfId="49" applyNumberFormat="1" applyFont="1" applyAlignment="1" applyProtection="1">
      <alignment horizontal="center" vertical="center" wrapText="1"/>
      <protection locked="0"/>
    </xf>
    <xf numFmtId="171" fontId="686" fillId="3" borderId="0" xfId="49" applyNumberFormat="1" applyFont="1" applyFill="1" applyAlignment="1" applyProtection="1">
      <alignment horizontal="center" vertical="center" wrapText="1"/>
      <protection locked="0"/>
    </xf>
    <xf numFmtId="171" fontId="686" fillId="3" borderId="348" xfId="49" applyNumberFormat="1" applyFont="1" applyFill="1" applyBorder="1" applyAlignment="1" applyProtection="1">
      <alignment horizontal="center" vertical="center" wrapText="1"/>
      <protection locked="0"/>
    </xf>
    <xf numFmtId="0" fontId="60" fillId="3" borderId="345" xfId="49" applyFont="1" applyFill="1" applyBorder="1" applyAlignment="1">
      <alignment horizontal="right" vertical="center"/>
    </xf>
    <xf numFmtId="0" fontId="60" fillId="3" borderId="0" xfId="49" applyFont="1" applyFill="1" applyAlignment="1">
      <alignment horizontal="right" vertical="center"/>
    </xf>
    <xf numFmtId="179" fontId="157" fillId="37" borderId="0" xfId="49" applyNumberFormat="1" applyFont="1" applyFill="1" applyAlignment="1" applyProtection="1">
      <alignment horizontal="center" vertical="center"/>
      <protection locked="0"/>
    </xf>
    <xf numFmtId="171" fontId="7" fillId="3" borderId="0" xfId="49" applyNumberFormat="1" applyFont="1" applyFill="1" applyAlignment="1" applyProtection="1">
      <alignment horizontal="center" vertical="center"/>
      <protection locked="0"/>
    </xf>
    <xf numFmtId="179" fontId="45" fillId="37" borderId="0" xfId="49" applyNumberFormat="1" applyFont="1" applyFill="1" applyAlignment="1" applyProtection="1">
      <alignment horizontal="center" vertical="center"/>
      <protection locked="0"/>
    </xf>
    <xf numFmtId="171" fontId="685" fillId="3" borderId="0" xfId="49" applyNumberFormat="1" applyFont="1" applyFill="1" applyAlignment="1" applyProtection="1">
      <alignment horizontal="center" vertical="center"/>
      <protection locked="0"/>
    </xf>
    <xf numFmtId="171" fontId="685" fillId="3" borderId="348" xfId="49" applyNumberFormat="1" applyFont="1" applyFill="1" applyBorder="1" applyAlignment="1" applyProtection="1">
      <alignment horizontal="center" vertical="center"/>
      <protection locked="0"/>
    </xf>
    <xf numFmtId="0" fontId="1" fillId="3" borderId="345" xfId="49" applyFill="1" applyBorder="1" applyAlignment="1">
      <alignment horizontal="right" vertical="center"/>
    </xf>
    <xf numFmtId="0" fontId="1" fillId="3" borderId="0" xfId="49" applyFill="1" applyAlignment="1">
      <alignment horizontal="right" vertical="center"/>
    </xf>
    <xf numFmtId="179" fontId="158" fillId="3" borderId="0" xfId="49" applyNumberFormat="1" applyFont="1" applyFill="1" applyAlignment="1" applyProtection="1">
      <alignment horizontal="center" vertical="center"/>
      <protection locked="0"/>
    </xf>
    <xf numFmtId="0" fontId="26" fillId="3" borderId="0" xfId="49" applyFont="1" applyFill="1" applyAlignment="1">
      <alignment vertical="center"/>
    </xf>
    <xf numFmtId="0" fontId="7" fillId="3" borderId="348" xfId="3" applyFill="1" applyBorder="1" applyProtection="1">
      <protection hidden="1"/>
    </xf>
    <xf numFmtId="0" fontId="1" fillId="3" borderId="447" xfId="49" applyFill="1" applyBorder="1" applyAlignment="1">
      <alignment vertical="center"/>
    </xf>
    <xf numFmtId="9" fontId="1" fillId="3" borderId="507" xfId="49" applyNumberFormat="1" applyFill="1" applyBorder="1" applyAlignment="1">
      <alignment vertical="center"/>
    </xf>
    <xf numFmtId="0" fontId="1" fillId="3" borderId="507" xfId="49" applyFill="1" applyBorder="1" applyAlignment="1">
      <alignment vertical="center"/>
    </xf>
    <xf numFmtId="0" fontId="7" fillId="3" borderId="507" xfId="3" applyFill="1" applyBorder="1" applyProtection="1">
      <protection hidden="1"/>
    </xf>
    <xf numFmtId="0" fontId="7" fillId="3" borderId="508" xfId="3" applyFill="1" applyBorder="1" applyProtection="1">
      <protection hidden="1"/>
    </xf>
    <xf numFmtId="0" fontId="75" fillId="33" borderId="381" xfId="8" applyFont="1" applyFill="1" applyBorder="1" applyAlignment="1">
      <alignment horizontal="center" vertical="center" wrapText="1"/>
    </xf>
    <xf numFmtId="0" fontId="75" fillId="33" borderId="379" xfId="8" applyFont="1" applyFill="1" applyBorder="1" applyAlignment="1">
      <alignment horizontal="center" vertical="center" wrapText="1"/>
    </xf>
    <xf numFmtId="0" fontId="53" fillId="3" borderId="357" xfId="8" applyFont="1" applyFill="1" applyBorder="1" applyAlignment="1">
      <alignment horizontal="center" vertical="center" wrapText="1"/>
    </xf>
    <xf numFmtId="0" fontId="53" fillId="3" borderId="0" xfId="8" applyFont="1" applyFill="1" applyAlignment="1">
      <alignment horizontal="center" vertical="center" wrapText="1"/>
    </xf>
    <xf numFmtId="0" fontId="19" fillId="4" borderId="357" xfId="8" applyFont="1" applyFill="1" applyBorder="1" applyAlignment="1">
      <alignment horizontal="center" vertical="center"/>
    </xf>
    <xf numFmtId="0" fontId="19" fillId="4" borderId="0" xfId="8" applyFont="1" applyFill="1" applyAlignment="1">
      <alignment horizontal="center" vertical="center"/>
    </xf>
    <xf numFmtId="0" fontId="19" fillId="4" borderId="163" xfId="8" applyFont="1" applyFill="1" applyBorder="1" applyAlignment="1">
      <alignment horizontal="center" vertical="center"/>
    </xf>
    <xf numFmtId="0" fontId="705" fillId="3" borderId="357" xfId="7" applyFont="1" applyFill="1" applyBorder="1" applyAlignment="1">
      <alignment horizontal="center" vertical="center" wrapText="1"/>
    </xf>
    <xf numFmtId="0" fontId="705" fillId="3" borderId="0" xfId="7" applyFont="1" applyFill="1" applyAlignment="1">
      <alignment horizontal="center" vertical="center" wrapText="1"/>
    </xf>
    <xf numFmtId="0" fontId="705" fillId="3" borderId="163" xfId="7" applyFont="1" applyFill="1" applyBorder="1" applyAlignment="1">
      <alignment horizontal="center" vertical="center" wrapText="1"/>
    </xf>
    <xf numFmtId="0" fontId="706" fillId="37" borderId="357" xfId="8" applyFont="1" applyFill="1" applyBorder="1" applyAlignment="1">
      <alignment horizontal="center" vertical="center"/>
    </xf>
    <xf numFmtId="0" fontId="706" fillId="37" borderId="0" xfId="8" applyFont="1" applyFill="1" applyAlignment="1">
      <alignment horizontal="center" vertical="center"/>
    </xf>
    <xf numFmtId="0" fontId="706" fillId="37" borderId="163" xfId="8" applyFont="1" applyFill="1" applyBorder="1" applyAlignment="1">
      <alignment horizontal="center" vertical="center"/>
    </xf>
    <xf numFmtId="0" fontId="685" fillId="3" borderId="0" xfId="21" applyFont="1" applyFill="1" applyAlignment="1">
      <alignment horizontal="right" vertical="center"/>
    </xf>
    <xf numFmtId="167" fontId="685" fillId="3" borderId="0" xfId="21" applyNumberFormat="1" applyFont="1" applyFill="1" applyAlignment="1">
      <alignment horizontal="centerContinuous" vertical="center"/>
    </xf>
    <xf numFmtId="167" fontId="669" fillId="3" borderId="0" xfId="21" applyNumberFormat="1" applyFont="1" applyFill="1" applyAlignment="1">
      <alignment horizontal="centerContinuous" vertical="center"/>
    </xf>
    <xf numFmtId="0" fontId="18" fillId="3" borderId="0" xfId="8" applyFill="1" applyAlignment="1">
      <alignment horizontal="centerContinuous" vertical="center"/>
    </xf>
    <xf numFmtId="205" fontId="685" fillId="3" borderId="0" xfId="21" applyNumberFormat="1" applyFont="1" applyFill="1" applyAlignment="1">
      <alignment horizontal="center" vertical="center"/>
    </xf>
    <xf numFmtId="0" fontId="706" fillId="3" borderId="163" xfId="8" applyFont="1" applyFill="1" applyBorder="1" applyAlignment="1">
      <alignment horizontal="center" vertical="center"/>
    </xf>
    <xf numFmtId="0" fontId="129" fillId="33" borderId="357" xfId="49" applyFont="1" applyFill="1" applyBorder="1" applyAlignment="1">
      <alignment horizontal="center" vertical="center"/>
    </xf>
    <xf numFmtId="195" fontId="707" fillId="3" borderId="0" xfId="6" applyNumberFormat="1" applyFont="1" applyFill="1" applyAlignment="1">
      <alignment vertical="center"/>
    </xf>
    <xf numFmtId="195" fontId="23" fillId="3" borderId="0" xfId="6" applyNumberFormat="1" applyFont="1" applyFill="1" applyAlignment="1">
      <alignment vertical="center"/>
    </xf>
    <xf numFmtId="195" fontId="23" fillId="3" borderId="163" xfId="6" applyNumberFormat="1" applyFont="1" applyFill="1" applyBorder="1" applyAlignment="1">
      <alignment vertical="center"/>
    </xf>
    <xf numFmtId="195" fontId="685" fillId="3" borderId="0" xfId="6" applyNumberFormat="1" applyFont="1" applyFill="1" applyAlignment="1">
      <alignment horizontal="right" vertical="center" wrapText="1"/>
    </xf>
    <xf numFmtId="195" fontId="685" fillId="3" borderId="0" xfId="6" applyNumberFormat="1" applyFont="1" applyFill="1" applyAlignment="1">
      <alignment vertical="center" wrapText="1"/>
    </xf>
    <xf numFmtId="2" fontId="685" fillId="3" borderId="0" xfId="6" applyNumberFormat="1" applyFont="1" applyFill="1" applyAlignment="1">
      <alignment horizontal="center" vertical="center"/>
    </xf>
    <xf numFmtId="171" fontId="685" fillId="3" borderId="0" xfId="6" applyNumberFormat="1" applyFont="1" applyFill="1" applyAlignment="1">
      <alignment horizontal="center" vertical="center"/>
    </xf>
    <xf numFmtId="172" fontId="685" fillId="3" borderId="163" xfId="8" applyNumberFormat="1" applyFont="1" applyFill="1" applyBorder="1" applyAlignment="1" applyProtection="1">
      <alignment horizontal="center" vertical="center"/>
      <protection locked="0"/>
    </xf>
    <xf numFmtId="0" fontId="23" fillId="3" borderId="0" xfId="8" applyFont="1" applyFill="1" applyAlignment="1">
      <alignment horizontal="center" vertical="center"/>
    </xf>
    <xf numFmtId="0" fontId="46" fillId="37" borderId="242" xfId="6" applyFont="1" applyFill="1" applyBorder="1" applyAlignment="1">
      <alignment horizontal="center" vertical="center"/>
    </xf>
    <xf numFmtId="0" fontId="46" fillId="37" borderId="243" xfId="6" applyFont="1" applyFill="1" applyBorder="1" applyAlignment="1">
      <alignment horizontal="center" vertical="center"/>
    </xf>
    <xf numFmtId="0" fontId="129" fillId="3" borderId="357" xfId="49" applyFont="1" applyFill="1" applyBorder="1" applyAlignment="1">
      <alignment horizontal="center" vertical="center"/>
    </xf>
    <xf numFmtId="195" fontId="685" fillId="3" borderId="0" xfId="6" applyNumberFormat="1" applyFont="1" applyFill="1" applyAlignment="1">
      <alignment horizontal="right" vertical="center" wrapText="1"/>
    </xf>
    <xf numFmtId="0" fontId="46" fillId="3" borderId="0" xfId="6" applyFont="1" applyFill="1" applyAlignment="1">
      <alignment horizontal="center" vertical="center"/>
    </xf>
    <xf numFmtId="0" fontId="46" fillId="3" borderId="163" xfId="6" applyFont="1" applyFill="1" applyBorder="1" applyAlignment="1">
      <alignment horizontal="center" vertical="center"/>
    </xf>
    <xf numFmtId="195" fontId="708" fillId="3" borderId="0" xfId="6" applyNumberFormat="1" applyFont="1" applyFill="1" applyAlignment="1">
      <alignment horizontal="right" vertical="center" wrapText="1"/>
    </xf>
    <xf numFmtId="0" fontId="29" fillId="3" borderId="0" xfId="49" applyFont="1" applyFill="1" applyAlignment="1">
      <alignment horizontal="center" vertical="center"/>
    </xf>
    <xf numFmtId="1" fontId="699" fillId="37" borderId="0" xfId="6" applyNumberFormat="1" applyFont="1" applyFill="1" applyAlignment="1">
      <alignment horizontal="center" vertical="center"/>
    </xf>
    <xf numFmtId="1" fontId="699" fillId="37" borderId="163" xfId="6" applyNumberFormat="1" applyFont="1" applyFill="1" applyBorder="1" applyAlignment="1">
      <alignment horizontal="center" vertical="center"/>
    </xf>
    <xf numFmtId="176" fontId="699" fillId="37" borderId="0" xfId="6" applyNumberFormat="1" applyFont="1" applyFill="1" applyAlignment="1">
      <alignment horizontal="center" vertical="center"/>
    </xf>
    <xf numFmtId="0" fontId="685" fillId="3" borderId="0" xfId="49" applyFont="1" applyFill="1" applyAlignment="1">
      <alignment horizontal="right" vertical="center"/>
    </xf>
    <xf numFmtId="0" fontId="23" fillId="3" borderId="0" xfId="49" applyFont="1" applyFill="1" applyAlignment="1">
      <alignment horizontal="right" vertical="center"/>
    </xf>
    <xf numFmtId="176" fontId="29" fillId="3" borderId="0" xfId="6" applyNumberFormat="1" applyFont="1" applyFill="1" applyAlignment="1">
      <alignment horizontal="center" vertical="center"/>
    </xf>
    <xf numFmtId="176" fontId="29" fillId="3" borderId="163" xfId="6" applyNumberFormat="1" applyFont="1" applyFill="1" applyBorder="1" applyAlignment="1">
      <alignment horizontal="center" vertical="center"/>
    </xf>
    <xf numFmtId="171" fontId="704" fillId="3" borderId="357" xfId="49" applyNumberFormat="1" applyFont="1" applyFill="1" applyBorder="1" applyAlignment="1">
      <alignment vertical="center"/>
    </xf>
    <xf numFmtId="0" fontId="685" fillId="3" borderId="0" xfId="49" applyFont="1" applyFill="1" applyAlignment="1">
      <alignment horizontal="center" vertical="center"/>
    </xf>
    <xf numFmtId="176" fontId="699" fillId="3" borderId="0" xfId="6" applyNumberFormat="1" applyFont="1" applyFill="1" applyAlignment="1">
      <alignment horizontal="center" vertical="center"/>
    </xf>
    <xf numFmtId="176" fontId="699" fillId="3" borderId="163" xfId="6" applyNumberFormat="1" applyFont="1" applyFill="1" applyBorder="1" applyAlignment="1">
      <alignment horizontal="center" vertical="center"/>
    </xf>
    <xf numFmtId="0" fontId="129" fillId="33" borderId="357" xfId="49" applyFont="1" applyFill="1" applyBorder="1" applyAlignment="1">
      <alignment horizontal="center" vertical="center"/>
    </xf>
    <xf numFmtId="206" fontId="29" fillId="3" borderId="0" xfId="6" applyNumberFormat="1" applyFont="1" applyFill="1" applyAlignment="1">
      <alignment horizontal="center" vertical="center"/>
    </xf>
    <xf numFmtId="171" fontId="699" fillId="37" borderId="0" xfId="6" applyNumberFormat="1" applyFont="1" applyFill="1" applyAlignment="1">
      <alignment horizontal="center" vertical="center"/>
    </xf>
    <xf numFmtId="171" fontId="699" fillId="37" borderId="163" xfId="6" applyNumberFormat="1" applyFont="1" applyFill="1" applyBorder="1" applyAlignment="1">
      <alignment horizontal="center" vertical="center"/>
    </xf>
    <xf numFmtId="0" fontId="709" fillId="3" borderId="0" xfId="49" applyFont="1" applyFill="1" applyAlignment="1">
      <alignment horizontal="right" vertical="center"/>
    </xf>
    <xf numFmtId="0" fontId="159" fillId="3" borderId="0" xfId="49" applyFont="1" applyFill="1"/>
    <xf numFmtId="0" fontId="710" fillId="3" borderId="0" xfId="3" applyFont="1" applyFill="1" applyProtection="1">
      <protection hidden="1"/>
    </xf>
    <xf numFmtId="171" fontId="704" fillId="3" borderId="440" xfId="49" applyNumberFormat="1" applyFont="1" applyFill="1" applyBorder="1" applyAlignment="1">
      <alignment vertical="center"/>
    </xf>
    <xf numFmtId="171" fontId="704" fillId="3" borderId="354" xfId="49" applyNumberFormat="1" applyFont="1" applyFill="1" applyBorder="1" applyAlignment="1">
      <alignment vertical="center"/>
    </xf>
    <xf numFmtId="0" fontId="1" fillId="3" borderId="354" xfId="49" applyFill="1" applyBorder="1"/>
    <xf numFmtId="0" fontId="7" fillId="3" borderId="354" xfId="3" applyFill="1" applyBorder="1" applyProtection="1">
      <protection hidden="1"/>
    </xf>
    <xf numFmtId="0" fontId="685" fillId="3" borderId="354" xfId="49" applyFont="1" applyFill="1" applyBorder="1" applyAlignment="1">
      <alignment horizontal="center" vertical="center"/>
    </xf>
    <xf numFmtId="171" fontId="26" fillId="3" borderId="354" xfId="49" applyNumberFormat="1" applyFont="1" applyFill="1" applyBorder="1" applyAlignment="1" applyProtection="1">
      <alignment horizontal="center" vertical="center" wrapText="1"/>
      <protection locked="0"/>
    </xf>
    <xf numFmtId="0" fontId="19" fillId="55" borderId="381" xfId="49" applyFont="1" applyFill="1" applyBorder="1" applyAlignment="1">
      <alignment horizontal="center" vertical="center"/>
    </xf>
    <xf numFmtId="0" fontId="19" fillId="55" borderId="162" xfId="49" applyFont="1" applyFill="1" applyBorder="1" applyAlignment="1">
      <alignment horizontal="center" vertical="center"/>
    </xf>
    <xf numFmtId="0" fontId="19" fillId="55" borderId="379" xfId="49" applyFont="1" applyFill="1" applyBorder="1" applyAlignment="1">
      <alignment horizontal="center" vertical="center"/>
    </xf>
    <xf numFmtId="0" fontId="604" fillId="13" borderId="357" xfId="49" applyFont="1" applyFill="1" applyBorder="1" applyAlignment="1">
      <alignment horizontal="centerContinuous" vertical="center"/>
    </xf>
    <xf numFmtId="0" fontId="1" fillId="13" borderId="0" xfId="49" applyFill="1" applyAlignment="1">
      <alignment horizontal="centerContinuous" vertical="center"/>
    </xf>
    <xf numFmtId="0" fontId="1" fillId="13" borderId="0" xfId="49" applyFill="1" applyAlignment="1">
      <alignment vertical="center"/>
    </xf>
    <xf numFmtId="0" fontId="1" fillId="13" borderId="163" xfId="49" applyFill="1" applyBorder="1" applyAlignment="1">
      <alignment vertical="center"/>
    </xf>
    <xf numFmtId="0" fontId="91" fillId="3" borderId="357" xfId="49" applyFont="1" applyFill="1" applyBorder="1" applyAlignment="1">
      <alignment horizontal="left" vertical="center" wrapText="1"/>
    </xf>
    <xf numFmtId="0" fontId="91" fillId="3" borderId="0" xfId="49" applyFont="1" applyFill="1" applyAlignment="1">
      <alignment horizontal="left" vertical="center" wrapText="1"/>
    </xf>
    <xf numFmtId="0" fontId="91" fillId="3" borderId="163" xfId="49" applyFont="1" applyFill="1" applyBorder="1" applyAlignment="1">
      <alignment horizontal="left" vertical="center" wrapText="1"/>
    </xf>
    <xf numFmtId="0" fontId="91" fillId="3" borderId="198" xfId="49" applyFont="1" applyFill="1" applyBorder="1" applyAlignment="1">
      <alignment horizontal="left" vertical="center" wrapText="1"/>
    </xf>
    <xf numFmtId="0" fontId="91" fillId="3" borderId="199" xfId="49" applyFont="1" applyFill="1" applyBorder="1" applyAlignment="1">
      <alignment horizontal="left" vertical="center" wrapText="1"/>
    </xf>
    <xf numFmtId="0" fontId="91" fillId="3" borderId="200" xfId="49" applyFont="1" applyFill="1" applyBorder="1" applyAlignment="1">
      <alignment horizontal="left" vertical="center" wrapText="1"/>
    </xf>
    <xf numFmtId="195" fontId="683" fillId="7" borderId="357" xfId="6" applyNumberFormat="1" applyFont="1" applyFill="1" applyBorder="1" applyAlignment="1">
      <alignment horizontal="center" vertical="center" wrapText="1"/>
    </xf>
    <xf numFmtId="195" fontId="683" fillId="7" borderId="0" xfId="6" applyNumberFormat="1" applyFont="1" applyFill="1" applyAlignment="1">
      <alignment horizontal="center" vertical="center" wrapText="1"/>
    </xf>
    <xf numFmtId="195" fontId="689" fillId="3" borderId="0" xfId="6" applyNumberFormat="1" applyFont="1" applyFill="1" applyAlignment="1">
      <alignment horizontal="right" vertical="center" wrapText="1"/>
    </xf>
    <xf numFmtId="171" fontId="684" fillId="37" borderId="0" xfId="6" applyNumberFormat="1" applyFont="1" applyFill="1" applyAlignment="1">
      <alignment horizontal="center" vertical="center"/>
    </xf>
    <xf numFmtId="195" fontId="688" fillId="3" borderId="0" xfId="6" applyNumberFormat="1" applyFont="1" applyFill="1" applyAlignment="1">
      <alignment horizontal="right" vertical="center" wrapText="1"/>
    </xf>
    <xf numFmtId="171" fontId="696" fillId="37" borderId="163" xfId="6" applyNumberFormat="1" applyFont="1" applyFill="1" applyBorder="1" applyAlignment="1">
      <alignment horizontal="center" vertical="center"/>
    </xf>
    <xf numFmtId="195" fontId="683" fillId="3" borderId="357" xfId="6" applyNumberFormat="1" applyFont="1" applyFill="1" applyBorder="1" applyAlignment="1">
      <alignment horizontal="center" vertical="center" wrapText="1"/>
    </xf>
    <xf numFmtId="195" fontId="683" fillId="3" borderId="0" xfId="6" applyNumberFormat="1" applyFont="1" applyFill="1" applyAlignment="1">
      <alignment horizontal="center" vertical="center" wrapText="1"/>
    </xf>
    <xf numFmtId="195" fontId="689" fillId="3" borderId="0" xfId="6" applyNumberFormat="1" applyFont="1" applyFill="1" applyAlignment="1">
      <alignment horizontal="right" vertical="center" wrapText="1"/>
    </xf>
    <xf numFmtId="171" fontId="684" fillId="3" borderId="0" xfId="6" applyNumberFormat="1" applyFont="1" applyFill="1" applyAlignment="1">
      <alignment horizontal="center" vertical="center"/>
    </xf>
    <xf numFmtId="195" fontId="688" fillId="3" borderId="0" xfId="6" applyNumberFormat="1" applyFont="1" applyFill="1" applyAlignment="1">
      <alignment horizontal="right" vertical="center" wrapText="1"/>
    </xf>
    <xf numFmtId="171" fontId="696" fillId="3" borderId="163" xfId="6" applyNumberFormat="1" applyFont="1" applyFill="1" applyBorder="1" applyAlignment="1">
      <alignment horizontal="center" vertical="center"/>
    </xf>
    <xf numFmtId="0" fontId="29" fillId="12" borderId="357" xfId="49" applyFont="1" applyFill="1" applyBorder="1" applyAlignment="1">
      <alignment horizontal="right" vertical="center" wrapText="1"/>
    </xf>
    <xf numFmtId="0" fontId="29" fillId="12" borderId="0" xfId="49" applyFont="1" applyFill="1" applyAlignment="1">
      <alignment horizontal="right" vertical="center" wrapText="1"/>
    </xf>
    <xf numFmtId="2" fontId="23" fillId="12" borderId="0" xfId="49" applyNumberFormat="1" applyFont="1" applyFill="1" applyAlignment="1">
      <alignment horizontal="center" vertical="center"/>
    </xf>
    <xf numFmtId="0" fontId="23" fillId="12" borderId="0" xfId="49" applyFont="1" applyFill="1" applyAlignment="1">
      <alignment horizontal="center" vertical="center"/>
    </xf>
    <xf numFmtId="0" fontId="604" fillId="12" borderId="0" xfId="49" applyFont="1" applyFill="1" applyAlignment="1">
      <alignment vertical="center"/>
    </xf>
    <xf numFmtId="0" fontId="7" fillId="12" borderId="163" xfId="49" applyFont="1" applyFill="1" applyBorder="1" applyAlignment="1">
      <alignment vertical="center"/>
    </xf>
    <xf numFmtId="0" fontId="7" fillId="3" borderId="357" xfId="49" applyFont="1" applyFill="1" applyBorder="1" applyAlignment="1">
      <alignment horizontal="center" vertical="center" wrapText="1"/>
    </xf>
    <xf numFmtId="0" fontId="7" fillId="3" borderId="0" xfId="49" applyFont="1" applyFill="1" applyAlignment="1">
      <alignment horizontal="center" vertical="center" wrapText="1"/>
    </xf>
    <xf numFmtId="2" fontId="23" fillId="3" borderId="0" xfId="49" applyNumberFormat="1" applyFont="1" applyFill="1" applyAlignment="1">
      <alignment horizontal="center" vertical="center"/>
    </xf>
    <xf numFmtId="0" fontId="23" fillId="3" borderId="0" xfId="49" applyFont="1" applyFill="1" applyAlignment="1">
      <alignment horizontal="center" vertical="center"/>
    </xf>
    <xf numFmtId="0" fontId="23" fillId="3" borderId="0" xfId="49" applyFont="1" applyFill="1" applyAlignment="1">
      <alignment horizontal="left" vertical="center"/>
    </xf>
    <xf numFmtId="0" fontId="604" fillId="3" borderId="0" xfId="49" applyFont="1" applyFill="1" applyAlignment="1">
      <alignment vertical="center"/>
    </xf>
    <xf numFmtId="0" fontId="7" fillId="3" borderId="163" xfId="49" applyFont="1" applyFill="1" applyBorder="1" applyAlignment="1">
      <alignment vertical="center"/>
    </xf>
    <xf numFmtId="0" fontId="23" fillId="4" borderId="357" xfId="49" applyFont="1" applyFill="1" applyBorder="1" applyAlignment="1">
      <alignment horizontal="right" vertical="center"/>
    </xf>
    <xf numFmtId="1" fontId="23" fillId="4" borderId="0" xfId="6" applyNumberFormat="1" applyFont="1" applyFill="1" applyAlignment="1">
      <alignment horizontal="center" vertical="center"/>
    </xf>
    <xf numFmtId="0" fontId="604" fillId="4" borderId="0" xfId="49" applyFont="1" applyFill="1" applyAlignment="1">
      <alignment horizontal="center" vertical="center"/>
    </xf>
    <xf numFmtId="171" fontId="604" fillId="4" borderId="0" xfId="6" applyNumberFormat="1" applyFont="1" applyFill="1" applyAlignment="1">
      <alignment horizontal="center" vertical="center"/>
    </xf>
    <xf numFmtId="171" fontId="604" fillId="4" borderId="163" xfId="6" applyNumberFormat="1" applyFont="1" applyFill="1" applyBorder="1" applyAlignment="1">
      <alignment horizontal="center" vertical="center"/>
    </xf>
    <xf numFmtId="1" fontId="23" fillId="4" borderId="0" xfId="49" applyNumberFormat="1" applyFont="1" applyFill="1" applyAlignment="1">
      <alignment horizontal="center" vertical="center"/>
    </xf>
    <xf numFmtId="0" fontId="26" fillId="4" borderId="0" xfId="49" applyFont="1" applyFill="1" applyAlignment="1">
      <alignment horizontal="centerContinuous" vertical="center"/>
    </xf>
    <xf numFmtId="0" fontId="25" fillId="4" borderId="0" xfId="49" applyFont="1" applyFill="1" applyAlignment="1">
      <alignment horizontal="center" vertical="center"/>
    </xf>
    <xf numFmtId="195" fontId="711" fillId="16" borderId="357" xfId="6" applyNumberFormat="1" applyFont="1" applyFill="1" applyBorder="1" applyAlignment="1">
      <alignment horizontal="center" vertical="center" wrapText="1"/>
    </xf>
    <xf numFmtId="195" fontId="711" fillId="16" borderId="0" xfId="6" applyNumberFormat="1" applyFont="1" applyFill="1" applyAlignment="1">
      <alignment horizontal="center" vertical="center" wrapText="1"/>
    </xf>
    <xf numFmtId="1" fontId="711" fillId="16" borderId="0" xfId="6" applyNumberFormat="1" applyFont="1" applyFill="1" applyAlignment="1">
      <alignment horizontal="centerContinuous" vertical="center"/>
    </xf>
    <xf numFmtId="0" fontId="711" fillId="16" borderId="0" xfId="49" applyFont="1" applyFill="1" applyAlignment="1">
      <alignment horizontal="center" vertical="center" wrapText="1"/>
    </xf>
    <xf numFmtId="0" fontId="711" fillId="16" borderId="0" xfId="49" applyFont="1" applyFill="1" applyAlignment="1">
      <alignment horizontal="centerContinuous" vertical="center"/>
    </xf>
    <xf numFmtId="0" fontId="711" fillId="16" borderId="0" xfId="49" applyFont="1" applyFill="1" applyAlignment="1">
      <alignment horizontal="center" vertical="center"/>
    </xf>
    <xf numFmtId="171" fontId="711" fillId="46" borderId="163" xfId="6" applyNumberFormat="1" applyFont="1" applyFill="1" applyBorder="1" applyAlignment="1">
      <alignment horizontal="center" vertical="center"/>
    </xf>
    <xf numFmtId="171" fontId="711" fillId="16" borderId="357" xfId="6" applyNumberFormat="1" applyFont="1" applyFill="1" applyBorder="1" applyAlignment="1">
      <alignment horizontal="center" vertical="center"/>
    </xf>
    <xf numFmtId="171" fontId="711" fillId="16" borderId="0" xfId="6" applyNumberFormat="1" applyFont="1" applyFill="1" applyAlignment="1">
      <alignment horizontal="center" vertical="center"/>
    </xf>
    <xf numFmtId="1" fontId="711" fillId="16" borderId="0" xfId="6" applyNumberFormat="1" applyFont="1" applyFill="1" applyAlignment="1">
      <alignment horizontal="center" vertical="center"/>
    </xf>
    <xf numFmtId="2" fontId="711" fillId="16" borderId="0" xfId="6" applyNumberFormat="1" applyFont="1" applyFill="1" applyAlignment="1">
      <alignment horizontal="center" vertical="center"/>
    </xf>
    <xf numFmtId="0" fontId="711" fillId="16" borderId="163" xfId="49" applyFont="1" applyFill="1" applyBorder="1" applyAlignment="1">
      <alignment horizontal="center" vertical="center"/>
    </xf>
    <xf numFmtId="171" fontId="711" fillId="16" borderId="440" xfId="6" applyNumberFormat="1" applyFont="1" applyFill="1" applyBorder="1" applyAlignment="1">
      <alignment horizontal="center" vertical="center"/>
    </xf>
    <xf numFmtId="171" fontId="711" fillId="16" borderId="354" xfId="6" applyNumberFormat="1" applyFont="1" applyFill="1" applyBorder="1" applyAlignment="1">
      <alignment horizontal="center" vertical="center"/>
    </xf>
    <xf numFmtId="1" fontId="711" fillId="16" borderId="354" xfId="6" applyNumberFormat="1" applyFont="1" applyFill="1" applyBorder="1" applyAlignment="1">
      <alignment horizontal="center" vertical="center"/>
    </xf>
    <xf numFmtId="0" fontId="711" fillId="16" borderId="354" xfId="49" applyFont="1" applyFill="1" applyBorder="1" applyAlignment="1">
      <alignment horizontal="center" vertical="center"/>
    </xf>
    <xf numFmtId="2" fontId="711" fillId="16" borderId="354" xfId="6" applyNumberFormat="1" applyFont="1" applyFill="1" applyBorder="1" applyAlignment="1">
      <alignment horizontal="center" vertical="center"/>
    </xf>
    <xf numFmtId="0" fontId="711" fillId="16" borderId="356" xfId="49" applyFont="1" applyFill="1" applyBorder="1" applyAlignment="1">
      <alignment horizontal="center" vertical="center"/>
    </xf>
    <xf numFmtId="0" fontId="645" fillId="33" borderId="582" xfId="8" applyFont="1" applyFill="1" applyBorder="1" applyAlignment="1">
      <alignment horizontal="center" vertical="center"/>
    </xf>
    <xf numFmtId="0" fontId="645" fillId="33" borderId="188" xfId="8" applyFont="1" applyFill="1" applyBorder="1" applyAlignment="1">
      <alignment horizontal="center" vertical="center"/>
    </xf>
    <xf numFmtId="0" fontId="645" fillId="33" borderId="583" xfId="8" applyFont="1" applyFill="1" applyBorder="1" applyAlignment="1">
      <alignment horizontal="center" vertical="center"/>
    </xf>
    <xf numFmtId="0" fontId="129" fillId="33" borderId="345" xfId="8" applyFont="1" applyFill="1" applyBorder="1" applyAlignment="1">
      <alignment horizontal="center" vertical="center"/>
    </xf>
    <xf numFmtId="0" fontId="129" fillId="33" borderId="0" xfId="8" applyFont="1" applyFill="1" applyAlignment="1">
      <alignment horizontal="center" vertical="center"/>
    </xf>
    <xf numFmtId="0" fontId="129" fillId="33" borderId="348" xfId="8" applyFont="1" applyFill="1" applyBorder="1" applyAlignment="1">
      <alignment horizontal="center" vertical="center"/>
    </xf>
    <xf numFmtId="0" fontId="129" fillId="33" borderId="345" xfId="8" applyFont="1" applyFill="1" applyBorder="1" applyAlignment="1">
      <alignment horizontal="center" vertical="center"/>
    </xf>
    <xf numFmtId="0" fontId="7" fillId="33" borderId="0" xfId="3" applyFill="1" applyProtection="1">
      <protection hidden="1"/>
    </xf>
    <xf numFmtId="0" fontId="129" fillId="33" borderId="0" xfId="8" applyFont="1" applyFill="1" applyAlignment="1">
      <alignment horizontal="left" vertical="center"/>
    </xf>
    <xf numFmtId="0" fontId="129" fillId="33" borderId="348" xfId="8" applyFont="1" applyFill="1" applyBorder="1" applyAlignment="1">
      <alignment horizontal="left" vertical="center"/>
    </xf>
    <xf numFmtId="0" fontId="29" fillId="5" borderId="345" xfId="8" applyFont="1" applyFill="1" applyBorder="1" applyAlignment="1">
      <alignment horizontal="center" vertical="center"/>
    </xf>
    <xf numFmtId="0" fontId="29" fillId="5" borderId="0" xfId="8" applyFont="1" applyFill="1" applyAlignment="1">
      <alignment horizontal="center" vertical="center"/>
    </xf>
    <xf numFmtId="0" fontId="29" fillId="5" borderId="348" xfId="8" applyFont="1" applyFill="1" applyBorder="1" applyAlignment="1">
      <alignment horizontal="center" vertical="center"/>
    </xf>
    <xf numFmtId="0" fontId="160" fillId="3" borderId="345" xfId="8" applyFont="1" applyFill="1" applyBorder="1" applyAlignment="1">
      <alignment horizontal="center" vertical="center" wrapText="1"/>
    </xf>
    <xf numFmtId="0" fontId="160" fillId="3" borderId="0" xfId="8" applyFont="1" applyFill="1" applyAlignment="1">
      <alignment horizontal="center" vertical="center" wrapText="1"/>
    </xf>
    <xf numFmtId="0" fontId="160" fillId="3" borderId="0" xfId="7" applyFont="1" applyFill="1" applyAlignment="1">
      <alignment horizontal="center" vertical="center" wrapText="1"/>
    </xf>
    <xf numFmtId="0" fontId="685" fillId="3" borderId="0" xfId="7" applyFont="1" applyFill="1" applyAlignment="1">
      <alignment horizontal="center" wrapText="1"/>
    </xf>
    <xf numFmtId="0" fontId="1" fillId="3" borderId="348" xfId="49" applyFill="1" applyBorder="1"/>
    <xf numFmtId="177" fontId="689" fillId="3" borderId="345" xfId="7" applyNumberFormat="1" applyFont="1" applyFill="1" applyBorder="1" applyAlignment="1">
      <alignment horizontal="center" vertical="center"/>
    </xf>
    <xf numFmtId="177" fontId="689" fillId="3" borderId="0" xfId="7" applyNumberFormat="1" applyFont="1" applyFill="1" applyAlignment="1">
      <alignment horizontal="center" vertical="center"/>
    </xf>
    <xf numFmtId="0" fontId="29" fillId="3" borderId="0" xfId="7" applyFont="1" applyFill="1" applyAlignment="1">
      <alignment horizontal="right" vertical="center"/>
    </xf>
    <xf numFmtId="176" fontId="29" fillId="3" borderId="0" xfId="7" applyNumberFormat="1" applyFont="1" applyFill="1" applyAlignment="1">
      <alignment horizontal="left" vertical="center"/>
    </xf>
    <xf numFmtId="0" fontId="712" fillId="3" borderId="345" xfId="8" applyFont="1" applyFill="1" applyBorder="1"/>
    <xf numFmtId="0" fontId="7" fillId="0" borderId="0" xfId="3" applyProtection="1">
      <protection hidden="1"/>
    </xf>
    <xf numFmtId="0" fontId="712" fillId="3" borderId="0" xfId="8" applyFont="1" applyFill="1"/>
    <xf numFmtId="0" fontId="129" fillId="29" borderId="345" xfId="8" applyFont="1" applyFill="1" applyBorder="1" applyAlignment="1">
      <alignment horizontal="center" vertical="center"/>
    </xf>
    <xf numFmtId="0" fontId="129" fillId="29" borderId="0" xfId="8" applyFont="1" applyFill="1" applyAlignment="1">
      <alignment horizontal="center" vertical="center"/>
    </xf>
    <xf numFmtId="0" fontId="129" fillId="29" borderId="348" xfId="8" applyFont="1" applyFill="1" applyBorder="1" applyAlignment="1">
      <alignment horizontal="center" vertical="center"/>
    </xf>
    <xf numFmtId="0" fontId="129" fillId="29" borderId="345" xfId="8" applyFont="1" applyFill="1" applyBorder="1" applyAlignment="1">
      <alignment horizontal="center" vertical="center"/>
    </xf>
    <xf numFmtId="0" fontId="7" fillId="29" borderId="0" xfId="3" applyFill="1" applyProtection="1">
      <protection hidden="1"/>
    </xf>
    <xf numFmtId="0" fontId="129" fillId="29" borderId="0" xfId="8" applyFont="1" applyFill="1" applyAlignment="1">
      <alignment horizontal="left" vertical="center"/>
    </xf>
    <xf numFmtId="0" fontId="129" fillId="29" borderId="348" xfId="8" applyFont="1" applyFill="1" applyBorder="1" applyAlignment="1">
      <alignment horizontal="left" vertical="center"/>
    </xf>
    <xf numFmtId="0" fontId="29" fillId="3" borderId="0" xfId="7" applyFont="1" applyFill="1" applyAlignment="1">
      <alignment horizontal="center" vertical="center"/>
    </xf>
    <xf numFmtId="0" fontId="29" fillId="3" borderId="0" xfId="7" applyFont="1" applyFill="1" applyAlignment="1">
      <alignment vertical="center"/>
    </xf>
    <xf numFmtId="0" fontId="29" fillId="3" borderId="348" xfId="7" applyFont="1" applyFill="1" applyBorder="1" applyAlignment="1">
      <alignment horizontal="center" wrapText="1"/>
    </xf>
    <xf numFmtId="0" fontId="689" fillId="3" borderId="0" xfId="7" applyFont="1" applyFill="1" applyAlignment="1">
      <alignment horizontal="center" vertical="center"/>
    </xf>
    <xf numFmtId="0" fontId="29" fillId="3" borderId="0" xfId="7" applyFont="1" applyFill="1" applyAlignment="1">
      <alignment horizontal="right" vertical="center"/>
    </xf>
    <xf numFmtId="177" fontId="29" fillId="3" borderId="0" xfId="7" applyNumberFormat="1" applyFont="1" applyFill="1" applyAlignment="1">
      <alignment horizontal="center" vertical="center"/>
    </xf>
    <xf numFmtId="0" fontId="29" fillId="3" borderId="0" xfId="49" applyFont="1" applyFill="1" applyAlignment="1">
      <alignment horizontal="left" vertical="center"/>
    </xf>
    <xf numFmtId="165" fontId="29" fillId="3" borderId="348" xfId="7" applyNumberFormat="1" applyFont="1" applyFill="1" applyBorder="1" applyAlignment="1">
      <alignment horizontal="center" vertical="center"/>
    </xf>
    <xf numFmtId="0" fontId="1" fillId="3" borderId="447" xfId="49" applyFill="1" applyBorder="1"/>
    <xf numFmtId="0" fontId="7" fillId="0" borderId="507" xfId="3" applyBorder="1" applyProtection="1">
      <protection hidden="1"/>
    </xf>
    <xf numFmtId="0" fontId="1" fillId="3" borderId="508" xfId="49" applyFill="1" applyBorder="1"/>
    <xf numFmtId="0" fontId="713" fillId="13" borderId="381" xfId="8" applyFont="1" applyFill="1" applyBorder="1" applyAlignment="1">
      <alignment horizontal="center" vertical="center" wrapText="1"/>
    </xf>
    <xf numFmtId="0" fontId="713" fillId="13" borderId="162" xfId="8" applyFont="1" applyFill="1" applyBorder="1" applyAlignment="1">
      <alignment horizontal="center" vertical="center" wrapText="1"/>
    </xf>
    <xf numFmtId="0" fontId="699" fillId="7" borderId="162" xfId="7" applyFont="1" applyFill="1" applyBorder="1" applyAlignment="1">
      <alignment horizontal="center" vertical="center" wrapText="1"/>
    </xf>
    <xf numFmtId="0" fontId="685" fillId="3" borderId="162" xfId="7" applyFont="1" applyFill="1" applyBorder="1" applyAlignment="1">
      <alignment horizontal="center" vertical="center" wrapText="1"/>
    </xf>
    <xf numFmtId="0" fontId="667" fillId="33" borderId="162" xfId="8" applyFont="1" applyFill="1" applyBorder="1" applyAlignment="1">
      <alignment horizontal="center" vertical="center"/>
    </xf>
    <xf numFmtId="0" fontId="667" fillId="33" borderId="379" xfId="8" applyFont="1" applyFill="1" applyBorder="1" applyAlignment="1">
      <alignment horizontal="center" vertical="center"/>
    </xf>
    <xf numFmtId="0" fontId="713" fillId="13" borderId="357" xfId="8" applyFont="1" applyFill="1" applyBorder="1" applyAlignment="1">
      <alignment horizontal="center" vertical="center" wrapText="1"/>
    </xf>
    <xf numFmtId="0" fontId="713" fillId="13" borderId="0" xfId="8" applyFont="1" applyFill="1" applyAlignment="1">
      <alignment horizontal="center" vertical="center" wrapText="1"/>
    </xf>
    <xf numFmtId="0" fontId="699" fillId="7" borderId="0" xfId="7" applyFont="1" applyFill="1" applyAlignment="1">
      <alignment horizontal="center" vertical="center" wrapText="1"/>
    </xf>
    <xf numFmtId="0" fontId="685" fillId="3" borderId="0" xfId="7" applyFont="1" applyFill="1" applyAlignment="1">
      <alignment horizontal="center" vertical="center" wrapText="1"/>
    </xf>
    <xf numFmtId="0" fontId="667" fillId="3" borderId="0" xfId="8" applyFont="1" applyFill="1" applyAlignment="1">
      <alignment horizontal="center" vertical="center"/>
    </xf>
    <xf numFmtId="0" fontId="667" fillId="3" borderId="163" xfId="8" applyFont="1" applyFill="1" applyBorder="1" applyAlignment="1">
      <alignment horizontal="center" vertical="center"/>
    </xf>
    <xf numFmtId="207" fontId="696" fillId="13" borderId="357" xfId="7" applyNumberFormat="1" applyFont="1" applyFill="1" applyBorder="1" applyAlignment="1">
      <alignment horizontal="center" vertical="center"/>
    </xf>
    <xf numFmtId="207" fontId="696" fillId="13" borderId="0" xfId="7" applyNumberFormat="1" applyFont="1" applyFill="1" applyAlignment="1">
      <alignment horizontal="center" vertical="center"/>
    </xf>
    <xf numFmtId="208" fontId="153" fillId="7" borderId="0" xfId="7" applyNumberFormat="1" applyFont="1" applyFill="1" applyAlignment="1">
      <alignment horizontal="center" vertical="center"/>
    </xf>
    <xf numFmtId="2" fontId="23" fillId="3" borderId="0" xfId="7" applyNumberFormat="1" applyFont="1" applyFill="1" applyAlignment="1">
      <alignment horizontal="center" vertical="center"/>
    </xf>
    <xf numFmtId="0" fontId="714" fillId="3" borderId="0" xfId="7" applyFont="1" applyFill="1" applyAlignment="1">
      <alignment horizontal="left" vertical="center"/>
    </xf>
    <xf numFmtId="0" fontId="714" fillId="3" borderId="163" xfId="7" applyFont="1" applyFill="1" applyBorder="1" applyAlignment="1">
      <alignment horizontal="left" vertical="center"/>
    </xf>
    <xf numFmtId="207" fontId="23" fillId="6" borderId="357" xfId="7" applyNumberFormat="1" applyFont="1" applyFill="1" applyBorder="1" applyAlignment="1">
      <alignment horizontal="center" vertical="center"/>
    </xf>
    <xf numFmtId="207" fontId="23" fillId="6" borderId="0" xfId="7" applyNumberFormat="1" applyFont="1" applyFill="1" applyAlignment="1">
      <alignment horizontal="center" vertical="center"/>
    </xf>
    <xf numFmtId="207" fontId="23" fillId="6" borderId="163" xfId="7" applyNumberFormat="1" applyFont="1" applyFill="1" applyBorder="1" applyAlignment="1">
      <alignment horizontal="center" vertical="center"/>
    </xf>
    <xf numFmtId="207" fontId="715" fillId="3" borderId="357" xfId="7" applyNumberFormat="1" applyFont="1" applyFill="1" applyBorder="1" applyAlignment="1">
      <alignment horizontal="center" vertical="center"/>
    </xf>
    <xf numFmtId="207" fontId="715" fillId="3" borderId="0" xfId="7" applyNumberFormat="1" applyFont="1" applyFill="1" applyAlignment="1">
      <alignment horizontal="center" vertical="center"/>
    </xf>
    <xf numFmtId="208" fontId="715" fillId="3" borderId="0" xfId="7" applyNumberFormat="1" applyFont="1" applyFill="1" applyAlignment="1">
      <alignment horizontal="center" vertical="center"/>
    </xf>
    <xf numFmtId="2" fontId="23" fillId="3" borderId="0" xfId="7" applyNumberFormat="1" applyFont="1" applyFill="1" applyAlignment="1">
      <alignment horizontal="center" vertical="center"/>
    </xf>
    <xf numFmtId="0" fontId="714" fillId="3" borderId="0" xfId="7" applyFont="1" applyFill="1" applyAlignment="1">
      <alignment horizontal="left" vertical="center"/>
    </xf>
    <xf numFmtId="0" fontId="716" fillId="3" borderId="0" xfId="49" applyFont="1" applyFill="1"/>
    <xf numFmtId="0" fontId="7" fillId="3" borderId="0" xfId="49" applyFont="1" applyFill="1"/>
    <xf numFmtId="0" fontId="7" fillId="3" borderId="163" xfId="49" applyFont="1" applyFill="1" applyBorder="1"/>
    <xf numFmtId="207" fontId="715" fillId="3" borderId="357" xfId="7" applyNumberFormat="1" applyFont="1" applyFill="1" applyBorder="1" applyAlignment="1">
      <alignment horizontal="center" vertical="center"/>
    </xf>
    <xf numFmtId="207" fontId="715" fillId="3" borderId="0" xfId="7" applyNumberFormat="1" applyFont="1" applyFill="1" applyAlignment="1">
      <alignment horizontal="center" vertical="center"/>
    </xf>
    <xf numFmtId="208" fontId="715" fillId="3" borderId="0" xfId="7" applyNumberFormat="1" applyFont="1" applyFill="1" applyAlignment="1">
      <alignment horizontal="center" vertical="center"/>
    </xf>
    <xf numFmtId="207" fontId="715" fillId="3" borderId="357" xfId="7" applyNumberFormat="1" applyFont="1" applyFill="1" applyBorder="1" applyAlignment="1">
      <alignment horizontal="left" vertical="center"/>
    </xf>
    <xf numFmtId="207" fontId="715" fillId="3" borderId="357" xfId="7" applyNumberFormat="1" applyFont="1" applyFill="1" applyBorder="1" applyAlignment="1">
      <alignment horizontal="left" vertical="center" wrapText="1"/>
    </xf>
    <xf numFmtId="207" fontId="715" fillId="3" borderId="0" xfId="7" applyNumberFormat="1" applyFont="1" applyFill="1" applyAlignment="1">
      <alignment horizontal="left" vertical="center" wrapText="1"/>
    </xf>
    <xf numFmtId="207" fontId="715" fillId="3" borderId="163" xfId="7" applyNumberFormat="1" applyFont="1" applyFill="1" applyBorder="1" applyAlignment="1">
      <alignment horizontal="left" vertical="center" wrapText="1"/>
    </xf>
    <xf numFmtId="207" fontId="715" fillId="3" borderId="440" xfId="7" applyNumberFormat="1" applyFont="1" applyFill="1" applyBorder="1" applyAlignment="1">
      <alignment horizontal="left" vertical="center" wrapText="1"/>
    </xf>
    <xf numFmtId="207" fontId="715" fillId="3" borderId="354" xfId="7" applyNumberFormat="1" applyFont="1" applyFill="1" applyBorder="1" applyAlignment="1">
      <alignment horizontal="left" vertical="center" wrapText="1"/>
    </xf>
    <xf numFmtId="207" fontId="715" fillId="3" borderId="356" xfId="7" applyNumberFormat="1" applyFont="1" applyFill="1" applyBorder="1" applyAlignment="1">
      <alignment horizontal="left" vertical="center" wrapText="1"/>
    </xf>
    <xf numFmtId="0" fontId="591" fillId="76" borderId="507" xfId="3" applyFont="1" applyFill="1" applyBorder="1" applyAlignment="1" applyProtection="1">
      <alignment horizontal="center" vertical="center"/>
      <protection hidden="1"/>
    </xf>
    <xf numFmtId="0" fontId="7" fillId="3" borderId="582" xfId="3" applyFill="1" applyBorder="1" applyProtection="1">
      <protection hidden="1"/>
    </xf>
    <xf numFmtId="0" fontId="7" fillId="3" borderId="188" xfId="3" applyFill="1" applyBorder="1" applyProtection="1">
      <protection hidden="1"/>
    </xf>
    <xf numFmtId="0" fontId="7" fillId="3" borderId="583" xfId="3" applyFill="1" applyBorder="1" applyProtection="1">
      <protection hidden="1"/>
    </xf>
    <xf numFmtId="0" fontId="24" fillId="0" borderId="345" xfId="6" applyFont="1" applyBorder="1" applyAlignment="1" applyProtection="1">
      <alignment horizontal="center" vertical="center"/>
      <protection locked="0"/>
    </xf>
    <xf numFmtId="0" fontId="24" fillId="0" borderId="0" xfId="6" applyFont="1" applyAlignment="1" applyProtection="1">
      <alignment horizontal="center" vertical="center"/>
      <protection locked="0"/>
    </xf>
    <xf numFmtId="0" fontId="24" fillId="0" borderId="348" xfId="6" applyFont="1" applyBorder="1" applyAlignment="1" applyProtection="1">
      <alignment horizontal="center" vertical="center"/>
      <protection locked="0"/>
    </xf>
    <xf numFmtId="0" fontId="24" fillId="3" borderId="345" xfId="6" applyFont="1" applyFill="1" applyBorder="1" applyAlignment="1" applyProtection="1">
      <alignment horizontal="center" vertical="center"/>
      <protection locked="0"/>
    </xf>
    <xf numFmtId="0" fontId="24" fillId="3" borderId="0" xfId="6" applyFont="1" applyFill="1" applyAlignment="1" applyProtection="1">
      <alignment horizontal="center" vertical="center"/>
      <protection locked="0"/>
    </xf>
    <xf numFmtId="0" fontId="24" fillId="3" borderId="348" xfId="6" applyFont="1" applyFill="1" applyBorder="1" applyAlignment="1" applyProtection="1">
      <alignment horizontal="center" vertical="center"/>
      <protection locked="0"/>
    </xf>
    <xf numFmtId="0" fontId="145" fillId="3" borderId="345" xfId="49" applyFont="1" applyFill="1" applyBorder="1" applyAlignment="1">
      <alignment horizontal="left" vertical="center"/>
    </xf>
    <xf numFmtId="0" fontId="145" fillId="3" borderId="0" xfId="49" applyFont="1" applyFill="1" applyAlignment="1">
      <alignment horizontal="left" vertical="center"/>
    </xf>
    <xf numFmtId="0" fontId="696" fillId="3" borderId="0" xfId="49" applyFont="1" applyFill="1" applyAlignment="1">
      <alignment horizontal="right" vertical="center"/>
    </xf>
    <xf numFmtId="0" fontId="696" fillId="37" borderId="584" xfId="6" applyFont="1" applyFill="1" applyBorder="1" applyAlignment="1">
      <alignment horizontal="center" vertical="center"/>
    </xf>
    <xf numFmtId="2" fontId="604" fillId="3" borderId="0" xfId="49" applyNumberFormat="1" applyFont="1" applyFill="1" applyAlignment="1">
      <alignment horizontal="left" vertical="center"/>
    </xf>
    <xf numFmtId="0" fontId="1" fillId="0" borderId="245" xfId="49" applyBorder="1"/>
    <xf numFmtId="0" fontId="145" fillId="3" borderId="348" xfId="49" applyFont="1" applyFill="1" applyBorder="1" applyAlignment="1">
      <alignment horizontal="left" vertical="center"/>
    </xf>
    <xf numFmtId="0" fontId="684" fillId="3" borderId="0" xfId="49" applyFont="1" applyFill="1" applyAlignment="1">
      <alignment horizontal="right" vertical="center"/>
    </xf>
    <xf numFmtId="165" fontId="684" fillId="37" borderId="584" xfId="6" applyNumberFormat="1" applyFont="1" applyFill="1" applyBorder="1" applyAlignment="1">
      <alignment horizontal="center" vertical="center"/>
    </xf>
    <xf numFmtId="165" fontId="153" fillId="37" borderId="584" xfId="6" applyNumberFormat="1" applyFont="1" applyFill="1" applyBorder="1" applyAlignment="1">
      <alignment horizontal="center" vertical="center"/>
    </xf>
    <xf numFmtId="0" fontId="699" fillId="3" borderId="0" xfId="49" applyFont="1" applyFill="1" applyAlignment="1">
      <alignment horizontal="center" vertical="center"/>
    </xf>
    <xf numFmtId="172" fontId="684" fillId="37" borderId="246" xfId="49" applyNumberFormat="1" applyFont="1" applyFill="1" applyBorder="1" applyAlignment="1" applyProtection="1">
      <alignment horizontal="center" vertical="center"/>
      <protection locked="0"/>
    </xf>
    <xf numFmtId="0" fontId="717" fillId="3" borderId="0" xfId="3" applyFont="1" applyFill="1" applyAlignment="1">
      <alignment horizontal="left" vertical="center"/>
    </xf>
    <xf numFmtId="0" fontId="23" fillId="3" borderId="0" xfId="6" applyFont="1" applyFill="1" applyAlignment="1">
      <alignment horizontal="right" vertical="center"/>
    </xf>
    <xf numFmtId="0" fontId="23" fillId="3" borderId="0" xfId="6" applyFont="1" applyFill="1" applyAlignment="1">
      <alignment horizontal="center" vertical="center"/>
    </xf>
    <xf numFmtId="0" fontId="23" fillId="3" borderId="574" xfId="6" applyFont="1" applyFill="1" applyBorder="1" applyAlignment="1">
      <alignment horizontal="center" vertical="center"/>
    </xf>
    <xf numFmtId="0" fontId="23" fillId="3" borderId="574" xfId="49" applyFont="1" applyFill="1" applyBorder="1" applyAlignment="1" applyProtection="1">
      <alignment horizontal="center" vertical="center"/>
      <protection locked="0"/>
    </xf>
    <xf numFmtId="0" fontId="29" fillId="3" borderId="0" xfId="6" applyFont="1" applyFill="1" applyAlignment="1">
      <alignment horizontal="center" vertical="center"/>
    </xf>
    <xf numFmtId="0" fontId="604" fillId="3" borderId="0" xfId="49" applyFont="1" applyFill="1" applyAlignment="1">
      <alignment horizontal="right" vertical="center"/>
    </xf>
    <xf numFmtId="165" fontId="604" fillId="3" borderId="247" xfId="6" applyNumberFormat="1" applyFont="1" applyFill="1" applyBorder="1" applyAlignment="1">
      <alignment horizontal="center" vertical="center"/>
    </xf>
    <xf numFmtId="165" fontId="604" fillId="3" borderId="248" xfId="6" applyNumberFormat="1" applyFont="1" applyFill="1" applyBorder="1" applyAlignment="1">
      <alignment horizontal="center" vertical="center"/>
    </xf>
    <xf numFmtId="178" fontId="604" fillId="3" borderId="0" xfId="6" applyNumberFormat="1" applyFont="1" applyFill="1" applyAlignment="1">
      <alignment horizontal="centerContinuous" vertical="center"/>
    </xf>
    <xf numFmtId="0" fontId="604" fillId="3" borderId="0" xfId="49" applyFont="1" applyFill="1" applyAlignment="1">
      <alignment horizontal="left" vertical="center"/>
    </xf>
    <xf numFmtId="165" fontId="23" fillId="3" borderId="247" xfId="6" applyNumberFormat="1" applyFont="1" applyFill="1" applyBorder="1" applyAlignment="1">
      <alignment horizontal="center" vertical="center"/>
    </xf>
    <xf numFmtId="165" fontId="23" fillId="3" borderId="248" xfId="6" applyNumberFormat="1" applyFont="1" applyFill="1" applyBorder="1" applyAlignment="1">
      <alignment horizontal="center" vertical="center"/>
    </xf>
    <xf numFmtId="178" fontId="19" fillId="3" borderId="0" xfId="6" applyNumberFormat="1" applyFont="1" applyFill="1" applyAlignment="1">
      <alignment horizontal="centerContinuous" vertical="center"/>
    </xf>
    <xf numFmtId="178" fontId="23" fillId="3" borderId="0" xfId="6" applyNumberFormat="1" applyFont="1" applyFill="1" applyAlignment="1">
      <alignment horizontal="centerContinuous" vertical="center"/>
    </xf>
    <xf numFmtId="178" fontId="718" fillId="3" borderId="0" xfId="6" applyNumberFormat="1" applyFont="1" applyFill="1" applyAlignment="1">
      <alignment horizontal="centerContinuous" vertical="center"/>
    </xf>
    <xf numFmtId="0" fontId="718" fillId="3" borderId="0" xfId="49" applyFont="1" applyFill="1" applyAlignment="1">
      <alignment horizontal="left" vertical="center"/>
    </xf>
    <xf numFmtId="0" fontId="161" fillId="3" borderId="0" xfId="49" applyFont="1" applyFill="1" applyAlignment="1">
      <alignment horizontal="left" vertical="center"/>
    </xf>
    <xf numFmtId="200" fontId="718" fillId="3" borderId="0" xfId="6" applyNumberFormat="1" applyFont="1" applyFill="1" applyAlignment="1">
      <alignment horizontal="centerContinuous" vertical="center"/>
    </xf>
    <xf numFmtId="0" fontId="717" fillId="3" borderId="0" xfId="3" applyFont="1" applyFill="1" applyAlignment="1">
      <alignment horizontal="center" vertical="center"/>
    </xf>
    <xf numFmtId="0" fontId="162" fillId="3" borderId="0" xfId="49" applyFont="1" applyFill="1" applyAlignment="1">
      <alignment horizontal="left" vertical="center"/>
    </xf>
    <xf numFmtId="0" fontId="163" fillId="3" borderId="0" xfId="49" applyFont="1" applyFill="1" applyAlignment="1">
      <alignment horizontal="left" vertical="center"/>
    </xf>
    <xf numFmtId="0" fontId="7" fillId="3" borderId="447" xfId="3" applyFill="1" applyBorder="1" applyProtection="1">
      <protection hidden="1"/>
    </xf>
    <xf numFmtId="0" fontId="135" fillId="77" borderId="162" xfId="6" applyFont="1" applyFill="1" applyBorder="1" applyAlignment="1">
      <alignment horizontal="center" vertical="center"/>
    </xf>
    <xf numFmtId="0" fontId="20" fillId="55" borderId="381" xfId="3" applyFont="1" applyFill="1" applyBorder="1" applyAlignment="1" applyProtection="1">
      <alignment horizontal="center" vertical="center" wrapText="1"/>
      <protection hidden="1"/>
    </xf>
    <xf numFmtId="0" fontId="20" fillId="55" borderId="162" xfId="3" applyFont="1" applyFill="1" applyBorder="1" applyAlignment="1" applyProtection="1">
      <alignment horizontal="center" vertical="center" wrapText="1"/>
      <protection hidden="1"/>
    </xf>
    <xf numFmtId="0" fontId="22" fillId="55" borderId="379" xfId="6" applyFont="1" applyFill="1" applyBorder="1" applyAlignment="1">
      <alignment horizontal="center" vertical="center"/>
    </xf>
    <xf numFmtId="0" fontId="135" fillId="77" borderId="0" xfId="6" applyFont="1" applyFill="1" applyAlignment="1">
      <alignment horizontal="center" vertical="center"/>
    </xf>
    <xf numFmtId="0" fontId="20" fillId="55" borderId="357" xfId="3" applyFont="1" applyFill="1" applyBorder="1" applyAlignment="1" applyProtection="1">
      <alignment horizontal="center" vertical="center" wrapText="1"/>
      <protection hidden="1"/>
    </xf>
    <xf numFmtId="0" fontId="20" fillId="55" borderId="0" xfId="3" applyFont="1" applyFill="1" applyAlignment="1" applyProtection="1">
      <alignment horizontal="center" vertical="center" wrapText="1"/>
      <protection hidden="1"/>
    </xf>
    <xf numFmtId="0" fontId="22" fillId="55" borderId="163" xfId="6" applyFont="1" applyFill="1" applyBorder="1" applyAlignment="1">
      <alignment horizontal="center" vertical="center"/>
    </xf>
    <xf numFmtId="0" fontId="1" fillId="78" borderId="163" xfId="49" applyFill="1" applyBorder="1" applyAlignment="1">
      <alignment horizontal="center"/>
    </xf>
    <xf numFmtId="0" fontId="20" fillId="3" borderId="357" xfId="37" applyFont="1" applyFill="1" applyBorder="1" applyAlignment="1">
      <alignment horizontal="center" vertical="center" wrapText="1"/>
    </xf>
    <xf numFmtId="0" fontId="20" fillId="3" borderId="0" xfId="37" applyFont="1" applyFill="1" applyAlignment="1">
      <alignment horizontal="center" vertical="center" wrapText="1"/>
    </xf>
    <xf numFmtId="0" fontId="20" fillId="3" borderId="163" xfId="37" applyFont="1" applyFill="1" applyBorder="1" applyAlignment="1">
      <alignment horizontal="center" vertical="center" wrapText="1"/>
    </xf>
    <xf numFmtId="0" fontId="719" fillId="3" borderId="357" xfId="37" applyFont="1" applyFill="1" applyBorder="1" applyAlignment="1">
      <alignment horizontal="center" vertical="center" wrapText="1"/>
    </xf>
    <xf numFmtId="0" fontId="719" fillId="3" borderId="0" xfId="37" applyFont="1" applyFill="1" applyAlignment="1">
      <alignment horizontal="center" vertical="center" wrapText="1"/>
    </xf>
    <xf numFmtId="0" fontId="719" fillId="3" borderId="163" xfId="37" applyFont="1" applyFill="1" applyBorder="1" applyAlignment="1">
      <alignment horizontal="center" vertical="center" wrapText="1"/>
    </xf>
    <xf numFmtId="0" fontId="29" fillId="79" borderId="357" xfId="3" applyFont="1" applyFill="1" applyBorder="1" applyAlignment="1">
      <alignment horizontal="left" vertical="center"/>
    </xf>
    <xf numFmtId="0" fontId="29" fillId="79" borderId="0" xfId="3" applyFont="1" applyFill="1" applyAlignment="1">
      <alignment horizontal="left" vertical="center"/>
    </xf>
    <xf numFmtId="0" fontId="29" fillId="79" borderId="163" xfId="3" applyFont="1" applyFill="1" applyBorder="1" applyAlignment="1">
      <alignment horizontal="left" vertical="center"/>
    </xf>
    <xf numFmtId="0" fontId="1" fillId="16" borderId="357" xfId="49" applyFill="1" applyBorder="1" applyAlignment="1">
      <alignment vertical="center"/>
    </xf>
    <xf numFmtId="0" fontId="1" fillId="16" borderId="0" xfId="49" applyFill="1" applyAlignment="1">
      <alignment vertical="center"/>
    </xf>
    <xf numFmtId="0" fontId="720" fillId="16" borderId="507" xfId="3" applyFont="1" applyFill="1" applyBorder="1" applyAlignment="1">
      <alignment horizontal="center" vertical="center"/>
    </xf>
    <xf numFmtId="0" fontId="1" fillId="16" borderId="163" xfId="49" applyFill="1" applyBorder="1" applyAlignment="1">
      <alignment vertical="center"/>
    </xf>
    <xf numFmtId="0" fontId="721" fillId="0" borderId="0" xfId="49" applyFont="1" applyAlignment="1">
      <alignment horizontal="right" vertical="center"/>
    </xf>
    <xf numFmtId="0" fontId="696" fillId="37" borderId="338" xfId="49" applyFont="1" applyFill="1" applyBorder="1" applyAlignment="1">
      <alignment horizontal="center" vertical="center"/>
    </xf>
    <xf numFmtId="0" fontId="696" fillId="37" borderId="342" xfId="49" applyFont="1" applyFill="1" applyBorder="1" applyAlignment="1">
      <alignment horizontal="center" vertical="center"/>
    </xf>
    <xf numFmtId="0" fontId="1" fillId="16" borderId="0" xfId="49" applyFill="1" applyAlignment="1">
      <alignment horizontal="left" vertical="center"/>
    </xf>
    <xf numFmtId="0" fontId="722" fillId="16" borderId="0" xfId="49" applyFont="1" applyFill="1" applyAlignment="1">
      <alignment horizontal="right" vertical="center"/>
    </xf>
    <xf numFmtId="0" fontId="604" fillId="16" borderId="0" xfId="6" applyFont="1" applyFill="1" applyAlignment="1">
      <alignment horizontal="center" vertical="center"/>
    </xf>
    <xf numFmtId="0" fontId="604" fillId="16" borderId="574" xfId="6" applyFont="1" applyFill="1" applyBorder="1" applyAlignment="1">
      <alignment horizontal="center" vertical="center"/>
    </xf>
    <xf numFmtId="0" fontId="604" fillId="16" borderId="574" xfId="49" applyFont="1" applyFill="1" applyBorder="1" applyAlignment="1" applyProtection="1">
      <alignment horizontal="center" vertical="center"/>
      <protection locked="0"/>
    </xf>
    <xf numFmtId="0" fontId="723" fillId="16" borderId="0" xfId="49" applyFont="1" applyFill="1" applyAlignment="1">
      <alignment horizontal="right" vertical="center"/>
    </xf>
    <xf numFmtId="0" fontId="616" fillId="37" borderId="121" xfId="6" applyFont="1" applyFill="1" applyBorder="1" applyAlignment="1">
      <alignment horizontal="center" vertical="center"/>
    </xf>
    <xf numFmtId="0" fontId="719" fillId="16" borderId="0" xfId="49" applyFont="1" applyFill="1" applyAlignment="1">
      <alignment horizontal="left" vertical="center"/>
    </xf>
    <xf numFmtId="0" fontId="724" fillId="16" borderId="0" xfId="49" applyFont="1" applyFill="1" applyAlignment="1">
      <alignment horizontal="right" vertical="center"/>
    </xf>
    <xf numFmtId="165" fontId="725" fillId="37" borderId="121" xfId="37" applyNumberFormat="1" applyFont="1" applyFill="1" applyBorder="1" applyAlignment="1">
      <alignment horizontal="center" vertical="center"/>
    </xf>
    <xf numFmtId="165" fontId="1" fillId="16" borderId="0" xfId="49" applyNumberFormat="1" applyFill="1" applyAlignment="1">
      <alignment horizontal="center" vertical="center"/>
    </xf>
    <xf numFmtId="0" fontId="719" fillId="16" borderId="0" xfId="49" applyFont="1" applyFill="1" applyAlignment="1">
      <alignment horizontal="right" vertical="center"/>
    </xf>
    <xf numFmtId="2" fontId="726" fillId="16" borderId="249" xfId="37" applyNumberFormat="1" applyFont="1" applyFill="1" applyBorder="1" applyAlignment="1">
      <alignment horizontal="center" vertical="center"/>
    </xf>
    <xf numFmtId="2" fontId="164" fillId="16" borderId="247" xfId="6" applyNumberFormat="1" applyFont="1" applyFill="1" applyBorder="1" applyAlignment="1">
      <alignment horizontal="center" vertical="center"/>
    </xf>
    <xf numFmtId="0" fontId="1" fillId="16" borderId="249" xfId="49" applyFill="1" applyBorder="1" applyAlignment="1">
      <alignment horizontal="center" vertical="center"/>
    </xf>
    <xf numFmtId="0" fontId="1" fillId="0" borderId="357" xfId="49" applyBorder="1" applyAlignment="1">
      <alignment vertical="center"/>
    </xf>
    <xf numFmtId="0" fontId="719" fillId="0" borderId="0" xfId="49" applyFont="1" applyAlignment="1">
      <alignment horizontal="right" vertical="center"/>
    </xf>
    <xf numFmtId="172" fontId="684" fillId="37" borderId="0" xfId="49" applyNumberFormat="1" applyFont="1" applyFill="1" applyAlignment="1" applyProtection="1">
      <alignment horizontal="center" vertical="center"/>
      <protection locked="0"/>
    </xf>
    <xf numFmtId="0" fontId="727" fillId="16" borderId="0" xfId="3" applyFont="1" applyFill="1" applyAlignment="1">
      <alignment horizontal="left" vertical="center"/>
    </xf>
    <xf numFmtId="0" fontId="1" fillId="0" borderId="0" xfId="49" applyAlignment="1">
      <alignment vertical="center"/>
    </xf>
    <xf numFmtId="176" fontId="23" fillId="16" borderId="247" xfId="6" applyNumberFormat="1" applyFont="1" applyFill="1" applyBorder="1" applyAlignment="1">
      <alignment horizontal="center" vertical="center"/>
    </xf>
    <xf numFmtId="176" fontId="23" fillId="16" borderId="0" xfId="49" applyNumberFormat="1" applyFont="1" applyFill="1" applyAlignment="1">
      <alignment horizontal="center" vertical="center"/>
    </xf>
    <xf numFmtId="0" fontId="721" fillId="16" borderId="249" xfId="49" applyFont="1" applyFill="1" applyBorder="1" applyAlignment="1">
      <alignment horizontal="center" vertical="center"/>
    </xf>
    <xf numFmtId="0" fontId="1" fillId="16" borderId="335" xfId="49" applyFill="1" applyBorder="1" applyAlignment="1">
      <alignment vertical="center"/>
    </xf>
    <xf numFmtId="0" fontId="1" fillId="16" borderId="507" xfId="49" applyFill="1" applyBorder="1" applyAlignment="1">
      <alignment vertical="center"/>
    </xf>
    <xf numFmtId="0" fontId="1" fillId="16" borderId="571" xfId="49" applyFill="1" applyBorder="1" applyAlignment="1">
      <alignment vertical="center"/>
    </xf>
    <xf numFmtId="0" fontId="720" fillId="16" borderId="357" xfId="3" applyFont="1" applyFill="1" applyBorder="1" applyAlignment="1">
      <alignment horizontal="center" vertical="center"/>
    </xf>
    <xf numFmtId="0" fontId="165" fillId="16" borderId="341" xfId="3" applyFont="1" applyFill="1" applyBorder="1" applyAlignment="1">
      <alignment vertical="center"/>
    </xf>
    <xf numFmtId="0" fontId="728" fillId="16" borderId="0" xfId="3" applyFont="1" applyFill="1" applyAlignment="1">
      <alignment vertical="center"/>
    </xf>
    <xf numFmtId="0" fontId="728" fillId="16" borderId="163" xfId="3" applyFont="1" applyFill="1" applyBorder="1" applyAlignment="1">
      <alignment vertical="center"/>
    </xf>
    <xf numFmtId="0" fontId="24" fillId="3" borderId="357" xfId="6" applyFont="1" applyFill="1" applyBorder="1" applyAlignment="1">
      <alignment horizontal="right" vertical="center"/>
    </xf>
    <xf numFmtId="189" fontId="164" fillId="16" borderId="0" xfId="37" applyNumberFormat="1" applyFont="1" applyFill="1" applyAlignment="1">
      <alignment horizontal="center" vertical="center"/>
    </xf>
    <xf numFmtId="189" fontId="166" fillId="16" borderId="163" xfId="37" applyNumberFormat="1" applyFont="1" applyFill="1" applyBorder="1" applyAlignment="1">
      <alignment vertical="center"/>
    </xf>
    <xf numFmtId="0" fontId="727" fillId="16" borderId="357" xfId="3" applyFont="1" applyFill="1" applyBorder="1" applyAlignment="1">
      <alignment horizontal="center" vertical="center"/>
    </xf>
    <xf numFmtId="189" fontId="164" fillId="16" borderId="0" xfId="37" applyNumberFormat="1" applyFont="1" applyFill="1" applyAlignment="1">
      <alignment horizontal="left" vertical="center"/>
    </xf>
    <xf numFmtId="0" fontId="729" fillId="16" borderId="64" xfId="49" applyFont="1" applyFill="1" applyBorder="1" applyAlignment="1">
      <alignment horizontal="center" vertical="center" wrapText="1"/>
    </xf>
    <xf numFmtId="0" fontId="729" fillId="16" borderId="489" xfId="49" applyFont="1" applyFill="1" applyBorder="1" applyAlignment="1">
      <alignment horizontal="center" vertical="center" wrapText="1"/>
    </xf>
    <xf numFmtId="0" fontId="729" fillId="16" borderId="146" xfId="49" applyFont="1" applyFill="1" applyBorder="1" applyAlignment="1">
      <alignment horizontal="center" vertical="center" wrapText="1"/>
    </xf>
    <xf numFmtId="0" fontId="729" fillId="16" borderId="181" xfId="49" applyFont="1" applyFill="1" applyBorder="1" applyAlignment="1">
      <alignment horizontal="center" vertical="center" wrapText="1"/>
    </xf>
    <xf numFmtId="0" fontId="729" fillId="16" borderId="182" xfId="49" applyFont="1" applyFill="1" applyBorder="1" applyAlignment="1">
      <alignment horizontal="center" vertical="center" wrapText="1"/>
    </xf>
    <xf numFmtId="0" fontId="729" fillId="16" borderId="183" xfId="49" applyFont="1" applyFill="1" applyBorder="1" applyAlignment="1">
      <alignment horizontal="center" vertical="center" wrapText="1"/>
    </xf>
    <xf numFmtId="177" fontId="730" fillId="55" borderId="178" xfId="37" applyNumberFormat="1" applyFont="1" applyFill="1" applyBorder="1" applyAlignment="1">
      <alignment vertical="center"/>
    </xf>
    <xf numFmtId="177" fontId="730" fillId="47" borderId="179" xfId="37" applyNumberFormat="1" applyFont="1" applyFill="1" applyBorder="1" applyAlignment="1">
      <alignment horizontal="left" vertical="center"/>
    </xf>
    <xf numFmtId="177" fontId="730" fillId="47" borderId="180" xfId="37" applyNumberFormat="1" applyFont="1" applyFill="1" applyBorder="1" applyAlignment="1">
      <alignment horizontal="left" vertical="center"/>
    </xf>
    <xf numFmtId="177" fontId="730" fillId="55" borderId="357" xfId="37" applyNumberFormat="1" applyFont="1" applyFill="1" applyBorder="1" applyAlignment="1">
      <alignment horizontal="left" vertical="center"/>
    </xf>
    <xf numFmtId="177" fontId="730" fillId="47" borderId="0" xfId="37" applyNumberFormat="1" applyFont="1" applyFill="1" applyAlignment="1">
      <alignment horizontal="left" vertical="center"/>
    </xf>
    <xf numFmtId="177" fontId="730" fillId="47" borderId="163" xfId="37" applyNumberFormat="1" applyFont="1" applyFill="1" applyBorder="1" applyAlignment="1">
      <alignment horizontal="left" vertical="center"/>
    </xf>
    <xf numFmtId="0" fontId="167" fillId="16" borderId="440" xfId="6" applyFont="1" applyFill="1" applyBorder="1" applyAlignment="1">
      <alignment horizontal="center" vertical="center"/>
    </xf>
    <xf numFmtId="0" fontId="167" fillId="16" borderId="354" xfId="6" applyFont="1" applyFill="1" applyBorder="1" applyAlignment="1">
      <alignment horizontal="center" vertical="center"/>
    </xf>
    <xf numFmtId="0" fontId="167" fillId="16" borderId="356" xfId="6" applyFont="1" applyFill="1" applyBorder="1" applyAlignment="1">
      <alignment horizontal="center" vertical="center"/>
    </xf>
    <xf numFmtId="0" fontId="1" fillId="16" borderId="357" xfId="49" applyFill="1" applyBorder="1"/>
    <xf numFmtId="0" fontId="1" fillId="16" borderId="0" xfId="49" applyFill="1"/>
    <xf numFmtId="0" fontId="720" fillId="16" borderId="0" xfId="3" applyFont="1" applyFill="1" applyAlignment="1">
      <alignment horizontal="center" vertical="center"/>
    </xf>
    <xf numFmtId="0" fontId="1" fillId="16" borderId="163" xfId="49" applyFill="1" applyBorder="1"/>
    <xf numFmtId="177" fontId="696" fillId="37" borderId="0" xfId="37" applyNumberFormat="1" applyFont="1" applyFill="1" applyAlignment="1">
      <alignment horizontal="center" vertical="center"/>
    </xf>
    <xf numFmtId="0" fontId="721" fillId="16" borderId="357" xfId="49" applyFont="1" applyFill="1" applyBorder="1" applyAlignment="1">
      <alignment vertical="center" wrapText="1"/>
    </xf>
    <xf numFmtId="0" fontId="721" fillId="16" borderId="0" xfId="49" applyFont="1" applyFill="1" applyAlignment="1">
      <alignment vertical="center" wrapText="1"/>
    </xf>
    <xf numFmtId="0" fontId="721" fillId="0" borderId="0" xfId="49" applyFont="1" applyAlignment="1">
      <alignment horizontal="right"/>
    </xf>
    <xf numFmtId="0" fontId="722" fillId="16" borderId="0" xfId="49" applyFont="1" applyFill="1" applyAlignment="1">
      <alignment horizontal="right"/>
    </xf>
    <xf numFmtId="0" fontId="604" fillId="16" borderId="136" xfId="6" applyFont="1" applyFill="1" applyBorder="1" applyAlignment="1">
      <alignment horizontal="center" vertical="center"/>
    </xf>
    <xf numFmtId="0" fontId="604" fillId="16" borderId="136" xfId="49" applyFont="1" applyFill="1" applyBorder="1" applyAlignment="1" applyProtection="1">
      <alignment horizontal="center" vertical="center"/>
      <protection locked="0"/>
    </xf>
    <xf numFmtId="177" fontId="731" fillId="37" borderId="117" xfId="37" applyNumberFormat="1" applyFont="1" applyFill="1" applyBorder="1" applyAlignment="1">
      <alignment horizontal="center" vertical="center"/>
    </xf>
    <xf numFmtId="1" fontId="732" fillId="16" borderId="249" xfId="37" applyNumberFormat="1" applyFont="1" applyFill="1" applyBorder="1" applyAlignment="1">
      <alignment horizontal="center" vertical="center"/>
    </xf>
    <xf numFmtId="0" fontId="733" fillId="16" borderId="357" xfId="3" applyFont="1" applyFill="1" applyBorder="1" applyAlignment="1">
      <alignment horizontal="center" vertical="center"/>
    </xf>
    <xf numFmtId="0" fontId="734" fillId="16" borderId="0" xfId="3" applyFont="1" applyFill="1" applyAlignment="1" applyProtection="1">
      <alignment horizontal="left" vertical="center"/>
      <protection hidden="1"/>
    </xf>
    <xf numFmtId="1" fontId="732" fillId="16" borderId="0" xfId="37" applyNumberFormat="1" applyFont="1" applyFill="1" applyAlignment="1">
      <alignment horizontal="center" vertical="center"/>
    </xf>
    <xf numFmtId="0" fontId="29" fillId="80" borderId="357" xfId="3" applyFont="1" applyFill="1" applyBorder="1" applyAlignment="1">
      <alignment horizontal="center" vertical="center"/>
    </xf>
    <xf numFmtId="0" fontId="29" fillId="80" borderId="0" xfId="3" applyFont="1" applyFill="1" applyAlignment="1">
      <alignment horizontal="center" vertical="center"/>
    </xf>
    <xf numFmtId="0" fontId="29" fillId="80" borderId="163" xfId="3" applyFont="1" applyFill="1" applyBorder="1" applyAlignment="1">
      <alignment horizontal="center" vertical="center"/>
    </xf>
    <xf numFmtId="0" fontId="721" fillId="16" borderId="357" xfId="49" applyFont="1" applyFill="1" applyBorder="1" applyAlignment="1">
      <alignment vertical="center"/>
    </xf>
    <xf numFmtId="0" fontId="721" fillId="16" borderId="0" xfId="49" applyFont="1" applyFill="1" applyAlignment="1">
      <alignment vertical="center"/>
    </xf>
    <xf numFmtId="0" fontId="735" fillId="16" borderId="0" xfId="3" applyFont="1" applyFill="1" applyAlignment="1">
      <alignment horizontal="center" vertical="center"/>
    </xf>
    <xf numFmtId="0" fontId="721" fillId="16" borderId="0" xfId="49" applyFont="1" applyFill="1" applyAlignment="1">
      <alignment horizontal="right" vertical="center"/>
    </xf>
    <xf numFmtId="0" fontId="736" fillId="37" borderId="338" xfId="49" applyFont="1" applyFill="1" applyBorder="1" applyAlignment="1">
      <alignment horizontal="center" vertical="center"/>
    </xf>
    <xf numFmtId="0" fontId="736" fillId="37" borderId="342" xfId="49" applyFont="1" applyFill="1" applyBorder="1" applyAlignment="1">
      <alignment horizontal="center" vertical="center"/>
    </xf>
    <xf numFmtId="2" fontId="166" fillId="16" borderId="136" xfId="37" applyNumberFormat="1" applyFont="1" applyFill="1" applyBorder="1" applyAlignment="1">
      <alignment horizontal="center" vertical="center"/>
    </xf>
    <xf numFmtId="0" fontId="1" fillId="16" borderId="0" xfId="49" applyFill="1" applyAlignment="1">
      <alignment horizontal="left"/>
    </xf>
    <xf numFmtId="0" fontId="727" fillId="16" borderId="335" xfId="3" applyFont="1" applyFill="1" applyBorder="1" applyAlignment="1">
      <alignment horizontal="center" vertical="center"/>
    </xf>
    <xf numFmtId="0" fontId="1" fillId="16" borderId="507" xfId="49" applyFill="1" applyBorder="1"/>
    <xf numFmtId="0" fontId="1" fillId="16" borderId="571" xfId="49" applyFill="1" applyBorder="1"/>
    <xf numFmtId="0" fontId="735" fillId="16" borderId="357" xfId="3" applyFont="1" applyFill="1" applyBorder="1" applyAlignment="1">
      <alignment horizontal="center" vertical="center"/>
    </xf>
    <xf numFmtId="0" fontId="737" fillId="16" borderId="341" xfId="3" applyFont="1" applyFill="1" applyBorder="1" applyAlignment="1">
      <alignment vertical="center"/>
    </xf>
    <xf numFmtId="0" fontId="738" fillId="4" borderId="250" xfId="49" applyFont="1" applyFill="1" applyBorder="1" applyAlignment="1">
      <alignment horizontal="center" vertical="center"/>
    </xf>
    <xf numFmtId="0" fontId="738" fillId="4" borderId="0" xfId="49" applyFont="1" applyFill="1" applyAlignment="1">
      <alignment horizontal="center" vertical="center"/>
    </xf>
    <xf numFmtId="0" fontId="62" fillId="3" borderId="0" xfId="49" applyFont="1" applyFill="1" applyAlignment="1">
      <alignment vertical="center"/>
    </xf>
    <xf numFmtId="0" fontId="69" fillId="3" borderId="0" xfId="49" applyFont="1" applyFill="1" applyAlignment="1">
      <alignment horizontal="left" vertical="center"/>
    </xf>
    <xf numFmtId="0" fontId="69" fillId="3" borderId="0" xfId="49" applyFont="1" applyFill="1" applyAlignment="1">
      <alignment horizontal="right" vertical="center"/>
    </xf>
    <xf numFmtId="0" fontId="168" fillId="3" borderId="0" xfId="49" applyFont="1" applyFill="1" applyAlignment="1">
      <alignment vertical="center"/>
    </xf>
    <xf numFmtId="0" fontId="169" fillId="3" borderId="0" xfId="49" applyFont="1" applyFill="1" applyAlignment="1">
      <alignment vertical="center"/>
    </xf>
    <xf numFmtId="0" fontId="7" fillId="16" borderId="0" xfId="3" applyFill="1" applyProtection="1">
      <protection hidden="1"/>
    </xf>
    <xf numFmtId="0" fontId="19" fillId="3" borderId="0" xfId="3" applyFont="1" applyFill="1" applyAlignment="1" applyProtection="1">
      <alignment horizontal="left" vertical="center"/>
      <protection hidden="1"/>
    </xf>
    <xf numFmtId="0" fontId="375" fillId="5" borderId="0" xfId="3" applyFont="1" applyFill="1" applyAlignment="1">
      <alignment horizontal="center" vertical="center"/>
    </xf>
    <xf numFmtId="0" fontId="69" fillId="5" borderId="0" xfId="49" applyFont="1" applyFill="1" applyAlignment="1">
      <alignment horizontal="center" vertical="center"/>
    </xf>
    <xf numFmtId="0" fontId="1" fillId="3" borderId="0" xfId="49" applyFill="1" applyAlignment="1">
      <alignment wrapText="1"/>
    </xf>
    <xf numFmtId="0" fontId="77" fillId="0" borderId="585" xfId="3" applyFont="1" applyBorder="1" applyAlignment="1">
      <alignment horizontal="center" vertical="center"/>
    </xf>
    <xf numFmtId="0" fontId="33" fillId="0" borderId="585" xfId="3" applyFont="1" applyBorder="1" applyAlignment="1">
      <alignment horizontal="center" vertical="center" wrapText="1"/>
    </xf>
    <xf numFmtId="0" fontId="739" fillId="0" borderId="0" xfId="3" applyFont="1" applyAlignment="1">
      <alignment vertical="center"/>
    </xf>
    <xf numFmtId="0" fontId="245" fillId="3" borderId="0" xfId="6" applyFont="1" applyFill="1" applyAlignment="1">
      <alignment horizontal="centerContinuous" vertical="center"/>
    </xf>
    <xf numFmtId="0" fontId="50" fillId="3" borderId="0" xfId="3" applyFont="1" applyFill="1" applyAlignment="1">
      <alignment horizontal="centerContinuous" vertical="center"/>
    </xf>
    <xf numFmtId="0" fontId="77" fillId="181" borderId="274" xfId="3" applyFont="1" applyFill="1" applyBorder="1" applyAlignment="1">
      <alignment horizontal="center" vertical="center" wrapText="1"/>
    </xf>
    <xf numFmtId="0" fontId="77" fillId="181" borderId="275" xfId="3" applyFont="1" applyFill="1" applyBorder="1" applyAlignment="1">
      <alignment horizontal="center" vertical="center" wrapText="1"/>
    </xf>
    <xf numFmtId="0" fontId="77" fillId="181" borderId="276" xfId="3" applyFont="1" applyFill="1" applyBorder="1" applyAlignment="1">
      <alignment horizontal="center" vertical="center" wrapText="1"/>
    </xf>
    <xf numFmtId="0" fontId="1" fillId="0" borderId="0" xfId="49" applyAlignment="1">
      <alignment wrapText="1"/>
    </xf>
    <xf numFmtId="0" fontId="272" fillId="0" borderId="357" xfId="3" applyFont="1" applyBorder="1" applyAlignment="1">
      <alignment horizontal="center" vertical="center"/>
    </xf>
    <xf numFmtId="0" fontId="200" fillId="3" borderId="163" xfId="6" applyFont="1" applyFill="1" applyBorder="1" applyAlignment="1">
      <alignment horizontal="center" vertical="center"/>
    </xf>
    <xf numFmtId="0" fontId="200" fillId="3" borderId="0" xfId="6" applyFont="1" applyFill="1" applyAlignment="1">
      <alignment horizontal="center" vertical="center"/>
    </xf>
    <xf numFmtId="0" fontId="547" fillId="0" borderId="159" xfId="3" applyFont="1" applyBorder="1" applyAlignment="1">
      <alignment vertical="center"/>
    </xf>
    <xf numFmtId="0" fontId="548" fillId="3" borderId="51" xfId="6" applyFont="1" applyFill="1" applyBorder="1" applyAlignment="1">
      <alignment horizontal="center" vertical="center"/>
    </xf>
    <xf numFmtId="0" fontId="548" fillId="3" borderId="0" xfId="6" applyFont="1" applyFill="1" applyAlignment="1">
      <alignment horizontal="center" vertical="center"/>
    </xf>
    <xf numFmtId="0" fontId="40" fillId="3" borderId="0" xfId="3" applyFont="1" applyFill="1" applyAlignment="1">
      <alignment vertical="center"/>
    </xf>
    <xf numFmtId="0" fontId="38" fillId="61" borderId="357" xfId="3" applyFont="1" applyFill="1" applyBorder="1" applyAlignment="1" applyProtection="1">
      <alignment horizontal="center" vertical="center"/>
      <protection hidden="1"/>
    </xf>
    <xf numFmtId="0" fontId="115" fillId="3" borderId="0" xfId="12" applyFont="1" applyFill="1" applyAlignment="1" applyProtection="1">
      <alignment horizontal="left" vertical="center"/>
      <protection locked="0"/>
    </xf>
    <xf numFmtId="0" fontId="447" fillId="3" borderId="0" xfId="3" applyFont="1" applyFill="1" applyAlignment="1">
      <alignment vertical="center"/>
    </xf>
    <xf numFmtId="0" fontId="208" fillId="186" borderId="0" xfId="49" applyFont="1" applyFill="1" applyAlignment="1">
      <alignment horizontal="right" vertical="center"/>
    </xf>
    <xf numFmtId="0" fontId="173" fillId="3" borderId="0" xfId="3" applyFont="1" applyFill="1" applyAlignment="1" applyProtection="1">
      <alignment horizontal="center" vertical="center"/>
      <protection hidden="1"/>
    </xf>
    <xf numFmtId="0" fontId="611" fillId="61" borderId="357" xfId="3" applyFont="1" applyFill="1" applyBorder="1" applyAlignment="1" applyProtection="1">
      <alignment horizontal="center" vertical="center"/>
      <protection hidden="1"/>
    </xf>
    <xf numFmtId="0" fontId="611" fillId="3" borderId="0" xfId="12" applyFont="1" applyFill="1" applyAlignment="1" applyProtection="1">
      <alignment horizontal="left" vertical="center"/>
      <protection locked="0"/>
    </xf>
    <xf numFmtId="0" fontId="740" fillId="3" borderId="0" xfId="49" applyFont="1" applyFill="1" applyAlignment="1">
      <alignment horizontal="justify" vertical="center"/>
    </xf>
    <xf numFmtId="0" fontId="173" fillId="3" borderId="0" xfId="3" applyFont="1" applyFill="1" applyAlignment="1" applyProtection="1">
      <alignment horizontal="center" vertical="center"/>
      <protection hidden="1"/>
    </xf>
    <xf numFmtId="0" fontId="227" fillId="3" borderId="0" xfId="3" applyFont="1" applyFill="1" applyAlignment="1" applyProtection="1">
      <alignment horizontal="center" vertical="center"/>
      <protection hidden="1"/>
    </xf>
    <xf numFmtId="0" fontId="227" fillId="3" borderId="0" xfId="3" applyFont="1" applyFill="1" applyAlignment="1" applyProtection="1">
      <alignment horizontal="center" vertical="center" wrapText="1"/>
      <protection hidden="1"/>
    </xf>
    <xf numFmtId="0" fontId="77" fillId="0" borderId="0" xfId="3" applyFont="1" applyAlignment="1">
      <alignment vertical="center"/>
    </xf>
    <xf numFmtId="0" fontId="741" fillId="3" borderId="0" xfId="49" applyFont="1" applyFill="1" applyAlignment="1">
      <alignment horizontal="justify" vertical="center"/>
    </xf>
    <xf numFmtId="0" fontId="227" fillId="3" borderId="0" xfId="3" applyFont="1" applyFill="1" applyAlignment="1" applyProtection="1">
      <alignment horizontal="center" vertical="center"/>
      <protection hidden="1"/>
    </xf>
    <xf numFmtId="0" fontId="227" fillId="3" borderId="0" xfId="3" applyFont="1" applyFill="1" applyAlignment="1" applyProtection="1">
      <alignment horizontal="left" vertical="center"/>
      <protection hidden="1"/>
    </xf>
    <xf numFmtId="0" fontId="743" fillId="3" borderId="357" xfId="3" applyFont="1" applyFill="1" applyBorder="1" applyAlignment="1">
      <alignment horizontal="center" vertical="center"/>
    </xf>
    <xf numFmtId="0" fontId="200" fillId="3" borderId="51" xfId="6" applyFont="1" applyFill="1" applyBorder="1" applyAlignment="1">
      <alignment horizontal="center" vertical="center"/>
    </xf>
    <xf numFmtId="0" fontId="33" fillId="3" borderId="0" xfId="3" applyFont="1" applyFill="1" applyAlignment="1" applyProtection="1">
      <alignment horizontal="left" vertical="center" wrapText="1"/>
      <protection hidden="1"/>
    </xf>
    <xf numFmtId="0" fontId="33" fillId="3" borderId="0" xfId="3" applyFont="1" applyFill="1" applyAlignment="1" applyProtection="1">
      <alignment horizontal="left" vertical="center" wrapText="1"/>
      <protection hidden="1"/>
    </xf>
    <xf numFmtId="0" fontId="41" fillId="3" borderId="0" xfId="3" applyFont="1" applyFill="1" applyAlignment="1" applyProtection="1">
      <alignment horizontal="left" vertical="center"/>
      <protection hidden="1"/>
    </xf>
    <xf numFmtId="0" fontId="447" fillId="3" borderId="0" xfId="3" applyFont="1" applyFill="1"/>
    <xf numFmtId="0" fontId="42" fillId="3" borderId="0" xfId="3" applyFont="1" applyFill="1"/>
    <xf numFmtId="0" fontId="742" fillId="3" borderId="0" xfId="49" applyFont="1" applyFill="1" applyAlignment="1">
      <alignment horizontal="justify" vertical="center"/>
    </xf>
    <xf numFmtId="0" fontId="275" fillId="3" borderId="0" xfId="3" applyFont="1" applyFill="1" applyAlignment="1">
      <alignment horizontal="center" vertical="center"/>
    </xf>
    <xf numFmtId="0" fontId="76" fillId="0" borderId="0" xfId="49" applyFont="1" applyAlignment="1">
      <alignment vertical="center" wrapText="1"/>
    </xf>
    <xf numFmtId="0" fontId="372" fillId="3" borderId="0" xfId="6" applyFont="1" applyFill="1" applyAlignment="1">
      <alignment vertical="center"/>
    </xf>
    <xf numFmtId="0" fontId="91" fillId="0" borderId="160" xfId="3" applyFont="1" applyBorder="1" applyAlignment="1">
      <alignment horizontal="left" vertical="center"/>
    </xf>
    <xf numFmtId="0" fontId="80" fillId="0" borderId="0" xfId="13" applyFont="1" applyBorder="1" applyAlignment="1">
      <alignment horizontal="center" vertical="center" wrapText="1"/>
    </xf>
    <xf numFmtId="0" fontId="372" fillId="3" borderId="51" xfId="6" applyFont="1" applyFill="1" applyBorder="1" applyAlignment="1">
      <alignment vertical="center"/>
    </xf>
    <xf numFmtId="0" fontId="41" fillId="3" borderId="0" xfId="3" applyFont="1" applyFill="1" applyAlignment="1" applyProtection="1">
      <alignment horizontal="center" vertical="center" wrapText="1"/>
      <protection hidden="1"/>
    </xf>
    <xf numFmtId="0" fontId="41" fillId="3" borderId="0" xfId="3" applyFont="1" applyFill="1" applyAlignment="1" applyProtection="1">
      <alignment vertical="center" wrapText="1"/>
      <protection hidden="1"/>
    </xf>
    <xf numFmtId="0" fontId="1" fillId="0" borderId="161" xfId="11" applyFont="1" applyBorder="1" applyAlignment="1">
      <alignment vertical="center"/>
    </xf>
    <xf numFmtId="0" fontId="1" fillId="0" borderId="325" xfId="11" applyFont="1" applyBorder="1" applyAlignment="1">
      <alignment vertical="center"/>
    </xf>
    <xf numFmtId="0" fontId="549" fillId="0" borderId="325" xfId="11" applyFont="1" applyBorder="1" applyAlignment="1">
      <alignment vertical="center"/>
    </xf>
    <xf numFmtId="0" fontId="1" fillId="0" borderId="327" xfId="11" applyFont="1" applyBorder="1" applyAlignment="1">
      <alignment vertical="center"/>
    </xf>
    <xf numFmtId="0" fontId="60" fillId="52" borderId="0" xfId="49" applyFont="1" applyFill="1" applyAlignment="1">
      <alignment vertical="center"/>
    </xf>
    <xf numFmtId="0" fontId="80" fillId="3" borderId="0" xfId="13" applyFont="1" applyFill="1" applyBorder="1" applyAlignment="1">
      <alignment vertical="center"/>
    </xf>
    <xf numFmtId="0" fontId="40" fillId="3" borderId="0" xfId="3" applyFont="1" applyFill="1"/>
    <xf numFmtId="0" fontId="33" fillId="3" borderId="0" xfId="3" applyFont="1" applyFill="1" applyAlignment="1" applyProtection="1">
      <alignment vertical="center" wrapText="1"/>
      <protection hidden="1"/>
    </xf>
    <xf numFmtId="0" fontId="275" fillId="3" borderId="0" xfId="3" applyFont="1" applyFill="1" applyAlignment="1" applyProtection="1">
      <alignment horizontal="center" vertical="center" wrapText="1"/>
      <protection hidden="1"/>
    </xf>
    <xf numFmtId="0" fontId="33" fillId="0" borderId="0" xfId="3" applyFont="1" applyAlignment="1">
      <alignment horizontal="center" vertical="center"/>
    </xf>
    <xf numFmtId="0" fontId="64" fillId="3" borderId="0" xfId="3" applyFont="1" applyFill="1" applyAlignment="1" applyProtection="1">
      <alignment horizontal="left" vertical="center"/>
      <protection hidden="1"/>
    </xf>
    <xf numFmtId="0" fontId="42" fillId="0" borderId="161" xfId="3" applyFont="1" applyBorder="1" applyAlignment="1">
      <alignment vertical="center"/>
    </xf>
    <xf numFmtId="0" fontId="42" fillId="0" borderId="325" xfId="3" applyFont="1" applyBorder="1" applyAlignment="1">
      <alignment vertical="center"/>
    </xf>
    <xf numFmtId="0" fontId="547" fillId="0" borderId="325" xfId="3" applyFont="1" applyBorder="1" applyAlignment="1">
      <alignment vertical="center"/>
    </xf>
    <xf numFmtId="0" fontId="547" fillId="0" borderId="327" xfId="3" applyFont="1" applyBorder="1" applyAlignment="1">
      <alignment vertical="center"/>
    </xf>
    <xf numFmtId="0" fontId="394" fillId="3" borderId="0" xfId="6" applyFont="1" applyFill="1" applyAlignment="1">
      <alignment vertical="center"/>
    </xf>
    <xf numFmtId="0" fontId="33" fillId="3" borderId="0" xfId="3" applyFont="1" applyFill="1" applyAlignment="1">
      <alignment vertical="center"/>
    </xf>
    <xf numFmtId="0" fontId="50" fillId="3" borderId="0" xfId="3" applyFont="1" applyFill="1" applyAlignment="1">
      <alignment vertical="center"/>
    </xf>
    <xf numFmtId="0" fontId="33" fillId="3" borderId="0" xfId="3" applyFont="1" applyFill="1" applyAlignment="1" applyProtection="1">
      <alignment horizontal="center" vertical="center" wrapText="1"/>
      <protection hidden="1"/>
    </xf>
    <xf numFmtId="0" fontId="275" fillId="3" borderId="0" xfId="3" applyFont="1" applyFill="1" applyAlignment="1" applyProtection="1">
      <alignment horizontal="center" vertical="center"/>
      <protection hidden="1"/>
    </xf>
    <xf numFmtId="0" fontId="275" fillId="3" borderId="0" xfId="3" applyFont="1" applyFill="1" applyAlignment="1" applyProtection="1">
      <alignment horizontal="left" vertical="center"/>
      <protection hidden="1"/>
    </xf>
    <xf numFmtId="0" fontId="80" fillId="3" borderId="0" xfId="13" applyFont="1" applyFill="1" applyBorder="1" applyAlignment="1" applyProtection="1">
      <alignment horizontal="right" vertical="center"/>
      <protection hidden="1"/>
    </xf>
    <xf numFmtId="0" fontId="33" fillId="3" borderId="0" xfId="3" applyFont="1" applyFill="1" applyAlignment="1" applyProtection="1">
      <alignment horizontal="center" vertical="center"/>
      <protection hidden="1"/>
    </xf>
    <xf numFmtId="0" fontId="128" fillId="3" borderId="0" xfId="13" applyFont="1" applyFill="1" applyAlignment="1">
      <alignment horizontal="left" vertical="center"/>
    </xf>
    <xf numFmtId="0" fontId="128" fillId="0" borderId="0" xfId="13" applyFont="1" applyAlignment="1">
      <alignment horizontal="left" vertical="center"/>
    </xf>
    <xf numFmtId="0" fontId="744" fillId="2" borderId="0" xfId="12" applyFont="1" applyFill="1" applyAlignment="1">
      <alignment horizontal="left" vertical="center"/>
    </xf>
    <xf numFmtId="0" fontId="745" fillId="0" borderId="0" xfId="3" applyFont="1" applyAlignment="1">
      <alignment vertical="center"/>
    </xf>
    <xf numFmtId="0" fontId="746" fillId="36" borderId="338" xfId="52" applyFont="1" applyFill="1" applyBorder="1" applyAlignment="1">
      <alignment horizontal="centerContinuous" vertical="center" wrapText="1"/>
    </xf>
    <xf numFmtId="0" fontId="746" fillId="36" borderId="341" xfId="52" applyFont="1" applyFill="1" applyBorder="1" applyAlignment="1">
      <alignment horizontal="centerContinuous" vertical="center" wrapText="1"/>
    </xf>
    <xf numFmtId="0" fontId="747" fillId="36" borderId="341" xfId="52" applyFont="1" applyFill="1" applyBorder="1" applyAlignment="1">
      <alignment horizontal="centerContinuous" vertical="center" wrapText="1"/>
    </xf>
    <xf numFmtId="0" fontId="748" fillId="36" borderId="341" xfId="53" applyFont="1" applyFill="1" applyBorder="1" applyAlignment="1">
      <alignment horizontal="centerContinuous" vertical="center" wrapText="1"/>
    </xf>
    <xf numFmtId="0" fontId="748" fillId="36" borderId="342" xfId="53" applyFont="1" applyFill="1" applyBorder="1" applyAlignment="1">
      <alignment horizontal="centerContinuous" vertical="center" wrapText="1"/>
    </xf>
    <xf numFmtId="0" fontId="7" fillId="0" borderId="0" xfId="3" applyAlignment="1">
      <alignment horizontal="centerContinuous" vertical="center"/>
    </xf>
    <xf numFmtId="0" fontId="604" fillId="14" borderId="582" xfId="3" applyFont="1" applyFill="1" applyBorder="1" applyAlignment="1">
      <alignment horizontal="center" vertical="center" wrapText="1"/>
    </xf>
    <xf numFmtId="0" fontId="26" fillId="14" borderId="188" xfId="3" applyFont="1" applyFill="1" applyBorder="1" applyAlignment="1">
      <alignment horizontal="center" vertical="center" wrapText="1"/>
    </xf>
    <xf numFmtId="0" fontId="660" fillId="60" borderId="188" xfId="3" applyFont="1" applyFill="1" applyBorder="1" applyAlignment="1">
      <alignment horizontal="center" vertical="center" wrapText="1"/>
    </xf>
    <xf numFmtId="0" fontId="749" fillId="120" borderId="586" xfId="52" applyFont="1" applyFill="1" applyBorder="1" applyAlignment="1">
      <alignment horizontal="centerContinuous" vertical="center"/>
    </xf>
    <xf numFmtId="0" fontId="749" fillId="120" borderId="587" xfId="52" applyFont="1" applyFill="1" applyBorder="1" applyAlignment="1">
      <alignment horizontal="centerContinuous" vertical="center"/>
    </xf>
    <xf numFmtId="0" fontId="749" fillId="120" borderId="588" xfId="52" applyFont="1" applyFill="1" applyBorder="1" applyAlignment="1">
      <alignment horizontal="centerContinuous" vertical="center"/>
    </xf>
    <xf numFmtId="0" fontId="749" fillId="73" borderId="586" xfId="52" applyFont="1" applyFill="1" applyBorder="1" applyAlignment="1">
      <alignment horizontal="centerContinuous" vertical="center"/>
    </xf>
    <xf numFmtId="0" fontId="749" fillId="73" borderId="587" xfId="52" applyFont="1" applyFill="1" applyBorder="1" applyAlignment="1">
      <alignment horizontal="centerContinuous" vertical="center"/>
    </xf>
    <xf numFmtId="0" fontId="749" fillId="73" borderId="588" xfId="52" applyFont="1" applyFill="1" applyBorder="1" applyAlignment="1">
      <alignment horizontal="centerContinuous" vertical="center"/>
    </xf>
    <xf numFmtId="0" fontId="750" fillId="58" borderId="345" xfId="3" applyFont="1" applyFill="1" applyBorder="1" applyAlignment="1">
      <alignment horizontal="center" vertical="center"/>
    </xf>
    <xf numFmtId="0" fontId="751" fillId="58" borderId="0" xfId="3" quotePrefix="1" applyFont="1" applyFill="1" applyAlignment="1">
      <alignment horizontal="center" vertical="center"/>
    </xf>
    <xf numFmtId="0" fontId="752" fillId="60" borderId="0" xfId="3" applyFont="1" applyFill="1" applyAlignment="1">
      <alignment horizontal="center" vertical="center"/>
    </xf>
    <xf numFmtId="0" fontId="753" fillId="0" borderId="0" xfId="3" applyFont="1" applyAlignment="1">
      <alignment horizontal="centerContinuous" vertical="center"/>
    </xf>
    <xf numFmtId="0" fontId="594" fillId="0" borderId="0" xfId="3" applyFont="1" applyAlignment="1">
      <alignment horizontal="centerContinuous" vertical="center"/>
    </xf>
    <xf numFmtId="0" fontId="594" fillId="0" borderId="348" xfId="3" applyFont="1" applyBorder="1" applyAlignment="1">
      <alignment horizontal="centerContinuous" vertical="center"/>
    </xf>
    <xf numFmtId="0" fontId="754" fillId="60" borderId="0" xfId="3" applyFont="1" applyFill="1" applyAlignment="1">
      <alignment horizontal="center" vertical="center"/>
    </xf>
    <xf numFmtId="0" fontId="755" fillId="0" borderId="0" xfId="3" applyFont="1" applyAlignment="1">
      <alignment horizontal="centerContinuous" vertical="center" wrapText="1"/>
    </xf>
    <xf numFmtId="0" fontId="755" fillId="0" borderId="348" xfId="3" applyFont="1" applyBorder="1" applyAlignment="1">
      <alignment horizontal="centerContinuous" vertical="center" wrapText="1"/>
    </xf>
    <xf numFmtId="0" fontId="7" fillId="0" borderId="345" xfId="3" applyBorder="1" applyAlignment="1">
      <alignment vertical="center"/>
    </xf>
    <xf numFmtId="0" fontId="7" fillId="0" borderId="348" xfId="3" applyBorder="1" applyAlignment="1">
      <alignment vertical="center"/>
    </xf>
    <xf numFmtId="0" fontId="658" fillId="0" borderId="0" xfId="30" applyFont="1"/>
    <xf numFmtId="0" fontId="756" fillId="0" borderId="0" xfId="30" applyFont="1"/>
    <xf numFmtId="0" fontId="685" fillId="0" borderId="345" xfId="3" applyFont="1" applyBorder="1" applyAlignment="1">
      <alignment horizontal="center" vertical="center"/>
    </xf>
    <xf numFmtId="0" fontId="424" fillId="120" borderId="0" xfId="3" applyFont="1" applyFill="1" applyAlignment="1">
      <alignment horizontal="center" vertical="center" wrapText="1"/>
    </xf>
    <xf numFmtId="0" fontId="424" fillId="120" borderId="482" xfId="3" applyFont="1" applyFill="1" applyBorder="1" applyAlignment="1">
      <alignment horizontal="center" vertical="center" wrapText="1"/>
    </xf>
    <xf numFmtId="0" fontId="685" fillId="0" borderId="589" xfId="3" applyFont="1" applyBorder="1" applyAlignment="1">
      <alignment horizontal="center" vertical="center"/>
    </xf>
    <xf numFmtId="0" fontId="424" fillId="120" borderId="348" xfId="3" applyFont="1" applyFill="1" applyBorder="1" applyAlignment="1">
      <alignment horizontal="center" vertical="center" wrapText="1"/>
    </xf>
    <xf numFmtId="0" fontId="424" fillId="73" borderId="0" xfId="3" applyFont="1" applyFill="1" applyAlignment="1">
      <alignment horizontal="center" vertical="center" wrapText="1"/>
    </xf>
    <xf numFmtId="0" fontId="424" fillId="73" borderId="482" xfId="3" applyFont="1" applyFill="1" applyBorder="1" applyAlignment="1">
      <alignment horizontal="center" vertical="center" wrapText="1"/>
    </xf>
    <xf numFmtId="0" fontId="424" fillId="73" borderId="348" xfId="3" applyFont="1" applyFill="1" applyBorder="1" applyAlignment="1">
      <alignment horizontal="center" vertical="center" wrapText="1"/>
    </xf>
    <xf numFmtId="0" fontId="594" fillId="0" borderId="345" xfId="3" applyFont="1" applyBorder="1" applyAlignment="1">
      <alignment horizontal="center" vertical="center"/>
    </xf>
    <xf numFmtId="0" fontId="20" fillId="0" borderId="0" xfId="3" quotePrefix="1" applyFont="1" applyAlignment="1">
      <alignment horizontal="center" vertical="center"/>
    </xf>
    <xf numFmtId="0" fontId="757" fillId="0" borderId="0" xfId="3" applyFont="1" applyAlignment="1">
      <alignment horizontal="center" vertical="center"/>
    </xf>
    <xf numFmtId="0" fontId="594" fillId="0" borderId="589" xfId="3" applyFont="1" applyBorder="1" applyAlignment="1">
      <alignment horizontal="center" vertical="center"/>
    </xf>
    <xf numFmtId="0" fontId="757" fillId="0" borderId="482" xfId="3" applyFont="1" applyBorder="1" applyAlignment="1">
      <alignment horizontal="center" vertical="center"/>
    </xf>
    <xf numFmtId="0" fontId="594" fillId="0" borderId="0" xfId="3" applyFont="1" applyAlignment="1">
      <alignment horizontal="center" vertical="center"/>
    </xf>
    <xf numFmtId="0" fontId="757" fillId="0" borderId="348" xfId="3" applyFont="1" applyBorder="1" applyAlignment="1">
      <alignment horizontal="center" vertical="center"/>
    </xf>
    <xf numFmtId="0" fontId="758" fillId="0" borderId="0" xfId="3" applyFont="1" applyAlignment="1">
      <alignment horizontal="center" vertical="center"/>
    </xf>
    <xf numFmtId="0" fontId="758" fillId="0" borderId="482" xfId="3" applyFont="1" applyBorder="1" applyAlignment="1">
      <alignment horizontal="center" vertical="center"/>
    </xf>
    <xf numFmtId="0" fontId="758" fillId="0" borderId="348" xfId="3" applyFont="1" applyBorder="1" applyAlignment="1">
      <alignment horizontal="center" vertical="center"/>
    </xf>
    <xf numFmtId="0" fontId="759" fillId="0" borderId="0" xfId="30" applyFont="1" applyAlignment="1">
      <alignment horizontal="right" vertical="center"/>
    </xf>
    <xf numFmtId="0" fontId="760" fillId="0" borderId="340" xfId="30" applyFont="1" applyBorder="1" applyAlignment="1">
      <alignment horizontal="center" vertical="center" wrapText="1"/>
    </xf>
    <xf numFmtId="0" fontId="760" fillId="0" borderId="0" xfId="30" applyFont="1" applyAlignment="1">
      <alignment horizontal="center" vertical="center" wrapText="1"/>
    </xf>
    <xf numFmtId="0" fontId="759" fillId="0" borderId="348" xfId="30" applyFont="1" applyBorder="1" applyAlignment="1">
      <alignment horizontal="right" vertical="center"/>
    </xf>
    <xf numFmtId="0" fontId="761" fillId="0" borderId="582" xfId="30" applyFont="1" applyBorder="1" applyAlignment="1">
      <alignment horizontal="center" vertical="center"/>
    </xf>
    <xf numFmtId="0" fontId="761" fillId="0" borderId="583" xfId="30" applyFont="1" applyBorder="1" applyAlignment="1">
      <alignment horizontal="center" vertical="center"/>
    </xf>
    <xf numFmtId="0" fontId="762" fillId="0" borderId="0" xfId="30" applyFont="1" applyAlignment="1">
      <alignment horizontal="center" vertical="center"/>
    </xf>
    <xf numFmtId="0" fontId="761" fillId="0" borderId="582" xfId="30" quotePrefix="1" applyFont="1" applyBorder="1" applyAlignment="1">
      <alignment horizontal="center" vertical="center"/>
    </xf>
    <xf numFmtId="0" fontId="763" fillId="0" borderId="0" xfId="30" applyFont="1" applyAlignment="1">
      <alignment horizontal="right"/>
    </xf>
    <xf numFmtId="0" fontId="594" fillId="0" borderId="0" xfId="30" applyFont="1"/>
    <xf numFmtId="0" fontId="761" fillId="0" borderId="447" xfId="30" applyFont="1" applyBorder="1" applyAlignment="1">
      <alignment horizontal="center" vertical="center"/>
    </xf>
    <xf numFmtId="0" fontId="761" fillId="0" borderId="508" xfId="30" applyFont="1" applyBorder="1" applyAlignment="1">
      <alignment horizontal="center" vertical="center"/>
    </xf>
    <xf numFmtId="0" fontId="761" fillId="0" borderId="447" xfId="30" quotePrefix="1" applyFont="1" applyBorder="1" applyAlignment="1">
      <alignment horizontal="center" vertical="center"/>
    </xf>
    <xf numFmtId="0" fontId="764" fillId="0" borderId="340" xfId="30" applyFont="1" applyBorder="1" applyAlignment="1">
      <alignment horizontal="center" vertical="center"/>
    </xf>
    <xf numFmtId="0" fontId="764" fillId="0" borderId="0" xfId="30" applyFont="1" applyAlignment="1">
      <alignment horizontal="center" vertical="center"/>
    </xf>
    <xf numFmtId="0" fontId="765" fillId="0" borderId="0" xfId="30" applyFont="1" applyAlignment="1">
      <alignment horizontal="right" vertical="center"/>
    </xf>
    <xf numFmtId="0" fontId="764" fillId="0" borderId="0" xfId="30" applyFont="1"/>
    <xf numFmtId="0" fontId="759" fillId="0" borderId="0" xfId="30" applyFont="1" applyAlignment="1">
      <alignment horizontal="right" vertical="center"/>
    </xf>
    <xf numFmtId="0" fontId="766" fillId="0" borderId="582" xfId="30" applyFont="1" applyBorder="1" applyAlignment="1">
      <alignment horizontal="center" vertical="center"/>
    </xf>
    <xf numFmtId="0" fontId="766" fillId="0" borderId="583" xfId="30" applyFont="1" applyBorder="1" applyAlignment="1">
      <alignment horizontal="center" vertical="center"/>
    </xf>
    <xf numFmtId="0" fontId="766" fillId="0" borderId="0" xfId="30" applyFont="1" applyAlignment="1">
      <alignment horizontal="center" vertical="center"/>
    </xf>
    <xf numFmtId="0" fontId="766" fillId="0" borderId="340" xfId="30" applyFont="1" applyBorder="1" applyAlignment="1">
      <alignment horizontal="center" vertical="center"/>
    </xf>
    <xf numFmtId="0" fontId="766" fillId="0" borderId="447" xfId="30" applyFont="1" applyBorder="1" applyAlignment="1">
      <alignment horizontal="center" vertical="center"/>
    </xf>
    <xf numFmtId="0" fontId="766" fillId="0" borderId="508" xfId="30" applyFont="1" applyBorder="1" applyAlignment="1">
      <alignment horizontal="center" vertical="center"/>
    </xf>
    <xf numFmtId="0" fontId="767" fillId="0" borderId="340" xfId="30" applyFont="1" applyBorder="1" applyAlignment="1">
      <alignment horizontal="center" vertical="center"/>
    </xf>
    <xf numFmtId="0" fontId="767" fillId="0" borderId="0" xfId="30" applyFont="1" applyAlignment="1">
      <alignment horizontal="center" vertical="center"/>
    </xf>
    <xf numFmtId="0" fontId="767" fillId="0" borderId="582" xfId="30" applyFont="1" applyBorder="1" applyAlignment="1">
      <alignment horizontal="center" vertical="center"/>
    </xf>
    <xf numFmtId="0" fontId="767" fillId="0" borderId="583" xfId="30" applyFont="1" applyBorder="1" applyAlignment="1">
      <alignment horizontal="center" vertical="center"/>
    </xf>
    <xf numFmtId="0" fontId="767" fillId="0" borderId="447" xfId="30" applyFont="1" applyBorder="1" applyAlignment="1">
      <alignment horizontal="center" vertical="center"/>
    </xf>
    <xf numFmtId="0" fontId="767" fillId="0" borderId="508" xfId="30" applyFont="1" applyBorder="1" applyAlignment="1">
      <alignment horizontal="center" vertical="center"/>
    </xf>
    <xf numFmtId="0" fontId="768" fillId="0" borderId="340" xfId="30" applyFont="1" applyBorder="1" applyAlignment="1">
      <alignment horizontal="center" vertical="center"/>
    </xf>
    <xf numFmtId="0" fontId="768" fillId="0" borderId="0" xfId="30" applyFont="1" applyAlignment="1">
      <alignment horizontal="center" vertical="center"/>
    </xf>
    <xf numFmtId="0" fontId="768" fillId="0" borderId="582" xfId="30" applyFont="1" applyBorder="1" applyAlignment="1">
      <alignment horizontal="center" vertical="center"/>
    </xf>
    <xf numFmtId="0" fontId="768" fillId="0" borderId="583" xfId="30" applyFont="1" applyBorder="1" applyAlignment="1">
      <alignment horizontal="center" vertical="center"/>
    </xf>
    <xf numFmtId="0" fontId="769" fillId="0" borderId="340" xfId="30" applyFont="1" applyBorder="1" applyAlignment="1">
      <alignment horizontal="center" vertical="center"/>
    </xf>
    <xf numFmtId="0" fontId="769" fillId="0" borderId="0" xfId="30" applyFont="1" applyAlignment="1">
      <alignment horizontal="center" vertical="center"/>
    </xf>
    <xf numFmtId="0" fontId="768" fillId="0" borderId="447" xfId="30" applyFont="1" applyBorder="1" applyAlignment="1">
      <alignment horizontal="center" vertical="center"/>
    </xf>
    <xf numFmtId="0" fontId="768" fillId="0" borderId="508" xfId="30" applyFont="1" applyBorder="1" applyAlignment="1">
      <alignment horizontal="center" vertical="center"/>
    </xf>
    <xf numFmtId="0" fontId="770" fillId="0" borderId="0" xfId="3" applyFont="1" applyAlignment="1">
      <alignment horizontal="center" vertical="center"/>
    </xf>
    <xf numFmtId="0" fontId="769" fillId="0" borderId="582" xfId="30" applyFont="1" applyBorder="1" applyAlignment="1">
      <alignment horizontal="center" vertical="center"/>
    </xf>
    <xf numFmtId="0" fontId="769" fillId="0" borderId="583" xfId="30" applyFont="1" applyBorder="1" applyAlignment="1">
      <alignment horizontal="center" vertical="center"/>
    </xf>
    <xf numFmtId="0" fontId="771" fillId="0" borderId="340" xfId="30" applyFont="1" applyBorder="1" applyAlignment="1">
      <alignment horizontal="center" vertical="center" wrapText="1"/>
    </xf>
    <xf numFmtId="0" fontId="771" fillId="0" borderId="0" xfId="30" applyFont="1" applyAlignment="1">
      <alignment horizontal="center" vertical="center" wrapText="1"/>
    </xf>
    <xf numFmtId="0" fontId="769" fillId="0" borderId="447" xfId="30" applyFont="1" applyBorder="1" applyAlignment="1">
      <alignment horizontal="center" vertical="center"/>
    </xf>
    <xf numFmtId="0" fontId="769" fillId="0" borderId="508" xfId="30" applyFont="1" applyBorder="1" applyAlignment="1">
      <alignment horizontal="center" vertical="center"/>
    </xf>
    <xf numFmtId="0" fontId="584" fillId="0" borderId="0" xfId="30" applyFont="1"/>
    <xf numFmtId="0" fontId="772" fillId="0" borderId="340" xfId="30" applyFont="1" applyBorder="1" applyAlignment="1">
      <alignment horizontal="center" vertical="center"/>
    </xf>
    <xf numFmtId="0" fontId="772" fillId="0" borderId="0" xfId="30" applyFont="1" applyAlignment="1">
      <alignment horizontal="center" vertical="center"/>
    </xf>
    <xf numFmtId="0" fontId="772" fillId="0" borderId="0" xfId="30" applyFont="1"/>
    <xf numFmtId="0" fontId="773" fillId="0" borderId="340" xfId="30" applyFont="1" applyBorder="1" applyAlignment="1">
      <alignment horizontal="center" vertical="center"/>
    </xf>
    <xf numFmtId="0" fontId="773" fillId="0" borderId="0" xfId="30" applyFont="1" applyAlignment="1">
      <alignment horizontal="center" vertical="center"/>
    </xf>
    <xf numFmtId="0" fontId="773" fillId="0" borderId="503" xfId="30" applyFont="1" applyBorder="1" applyAlignment="1">
      <alignment horizontal="center" vertical="center"/>
    </xf>
    <xf numFmtId="0" fontId="772" fillId="0" borderId="351" xfId="30" applyFont="1" applyBorder="1"/>
    <xf numFmtId="0" fontId="774" fillId="0" borderId="340" xfId="30" applyFont="1" applyBorder="1" applyAlignment="1">
      <alignment horizontal="center" vertical="center"/>
    </xf>
    <xf numFmtId="0" fontId="774" fillId="0" borderId="0" xfId="30" applyFont="1" applyAlignment="1">
      <alignment horizontal="center" vertical="center"/>
    </xf>
    <xf numFmtId="0" fontId="775" fillId="0" borderId="340" xfId="30" applyFont="1" applyBorder="1" applyAlignment="1">
      <alignment horizontal="center" vertical="center"/>
    </xf>
    <xf numFmtId="0" fontId="775" fillId="0" borderId="0" xfId="30" applyFont="1" applyAlignment="1">
      <alignment horizontal="center" vertical="center"/>
    </xf>
    <xf numFmtId="0" fontId="648" fillId="0" borderId="0" xfId="3" applyFont="1" applyAlignment="1">
      <alignment vertical="center"/>
    </xf>
    <xf numFmtId="0" fontId="776" fillId="0" borderId="340" xfId="30" applyFont="1" applyBorder="1" applyAlignment="1">
      <alignment horizontal="center" vertical="center"/>
    </xf>
    <xf numFmtId="0" fontId="776" fillId="0" borderId="0" xfId="30" applyFont="1" applyAlignment="1">
      <alignment horizontal="center" vertical="center"/>
    </xf>
    <xf numFmtId="0" fontId="22" fillId="0" borderId="0" xfId="30" applyFont="1" applyAlignment="1">
      <alignment horizontal="left"/>
    </xf>
    <xf numFmtId="0" fontId="763" fillId="0" borderId="0" xfId="3" applyFont="1" applyAlignment="1">
      <alignment horizontal="center" vertical="center"/>
    </xf>
    <xf numFmtId="0" fontId="777" fillId="0" borderId="0" xfId="3" applyFont="1" applyAlignment="1">
      <alignment horizontal="center" vertical="center"/>
    </xf>
    <xf numFmtId="0" fontId="766" fillId="0" borderId="503" xfId="30" applyFont="1" applyBorder="1" applyAlignment="1">
      <alignment horizontal="center" vertical="center"/>
    </xf>
    <xf numFmtId="0" fontId="764" fillId="0" borderId="351" xfId="30" applyFont="1" applyBorder="1"/>
    <xf numFmtId="0" fontId="594" fillId="0" borderId="447" xfId="3" applyFont="1" applyBorder="1" applyAlignment="1">
      <alignment vertical="center"/>
    </xf>
    <xf numFmtId="0" fontId="594" fillId="0" borderId="507" xfId="3" applyFont="1" applyBorder="1" applyAlignment="1">
      <alignment vertical="center"/>
    </xf>
    <xf numFmtId="0" fontId="594" fillId="0" borderId="508" xfId="3" applyFont="1" applyBorder="1" applyAlignment="1">
      <alignment vertical="center"/>
    </xf>
    <xf numFmtId="0" fontId="594" fillId="64" borderId="0" xfId="3" applyFont="1" applyFill="1" applyAlignment="1">
      <alignment vertical="center"/>
    </xf>
    <xf numFmtId="0" fontId="778" fillId="184" borderId="586" xfId="52" applyFont="1" applyFill="1" applyBorder="1" applyAlignment="1">
      <alignment horizontal="centerContinuous" vertical="center"/>
    </xf>
    <xf numFmtId="0" fontId="778" fillId="184" borderId="587" xfId="52" applyFont="1" applyFill="1" applyBorder="1" applyAlignment="1">
      <alignment horizontal="centerContinuous" vertical="center"/>
    </xf>
    <xf numFmtId="0" fontId="778" fillId="184" borderId="588" xfId="52" applyFont="1" applyFill="1" applyBorder="1" applyAlignment="1">
      <alignment horizontal="centerContinuous" vertical="center"/>
    </xf>
    <xf numFmtId="0" fontId="778" fillId="36" borderId="586" xfId="52" applyFont="1" applyFill="1" applyBorder="1" applyAlignment="1">
      <alignment horizontal="centerContinuous" vertical="center"/>
    </xf>
    <xf numFmtId="0" fontId="778" fillId="36" borderId="587" xfId="52" applyFont="1" applyFill="1" applyBorder="1" applyAlignment="1">
      <alignment horizontal="centerContinuous" vertical="center"/>
    </xf>
    <xf numFmtId="0" fontId="778" fillId="36" borderId="588" xfId="52" applyFont="1" applyFill="1" applyBorder="1" applyAlignment="1">
      <alignment horizontal="centerContinuous" vertical="center"/>
    </xf>
    <xf numFmtId="0" fontId="779" fillId="60" borderId="0" xfId="3" applyFont="1" applyFill="1" applyAlignment="1">
      <alignment horizontal="center" vertical="center"/>
    </xf>
    <xf numFmtId="0" fontId="753" fillId="0" borderId="0" xfId="3" applyFont="1" applyAlignment="1">
      <alignment horizontal="centerContinuous" vertical="center" wrapText="1"/>
    </xf>
    <xf numFmtId="0" fontId="594" fillId="0" borderId="0" xfId="3" applyFont="1" applyAlignment="1">
      <alignment horizontal="centerContinuous" vertical="center" wrapText="1"/>
    </xf>
    <xf numFmtId="0" fontId="594" fillId="0" borderId="348" xfId="3" applyFont="1" applyBorder="1" applyAlignment="1">
      <alignment horizontal="centerContinuous" vertical="center" wrapText="1"/>
    </xf>
    <xf numFmtId="0" fontId="780" fillId="60" borderId="0" xfId="3" applyFont="1" applyFill="1" applyAlignment="1">
      <alignment horizontal="center" vertical="center"/>
    </xf>
    <xf numFmtId="0" fontId="42" fillId="184" borderId="0" xfId="3" applyFont="1" applyFill="1" applyAlignment="1">
      <alignment horizontal="center" vertical="center" wrapText="1"/>
    </xf>
    <xf numFmtId="0" fontId="42" fillId="184" borderId="482" xfId="3" applyFont="1" applyFill="1" applyBorder="1" applyAlignment="1">
      <alignment horizontal="center" vertical="center" wrapText="1"/>
    </xf>
    <xf numFmtId="0" fontId="42" fillId="184" borderId="348" xfId="3" applyFont="1" applyFill="1" applyBorder="1" applyAlignment="1">
      <alignment horizontal="center" vertical="center" wrapText="1"/>
    </xf>
    <xf numFmtId="0" fontId="42" fillId="62" borderId="0" xfId="3" applyFont="1" applyFill="1" applyAlignment="1">
      <alignment horizontal="center" vertical="center" wrapText="1"/>
    </xf>
    <xf numFmtId="0" fontId="42" fillId="62" borderId="482" xfId="3" applyFont="1" applyFill="1" applyBorder="1" applyAlignment="1">
      <alignment horizontal="center" vertical="center" wrapText="1"/>
    </xf>
    <xf numFmtId="0" fontId="42" fillId="62" borderId="348" xfId="3" applyFont="1" applyFill="1" applyBorder="1" applyAlignment="1">
      <alignment horizontal="center" vertical="center" wrapText="1"/>
    </xf>
    <xf numFmtId="0" fontId="781" fillId="0" borderId="0" xfId="3" applyFont="1" applyAlignment="1">
      <alignment horizontal="center" vertical="center"/>
    </xf>
    <xf numFmtId="0" fontId="781" fillId="0" borderId="482" xfId="3" applyFont="1" applyBorder="1" applyAlignment="1">
      <alignment horizontal="center" vertical="center"/>
    </xf>
    <xf numFmtId="0" fontId="781" fillId="0" borderId="348" xfId="3" applyFont="1" applyBorder="1" applyAlignment="1">
      <alignment horizontal="center" vertical="center"/>
    </xf>
    <xf numFmtId="0" fontId="782" fillId="0" borderId="0" xfId="3" applyFont="1" applyAlignment="1">
      <alignment horizontal="center" vertical="center"/>
    </xf>
    <xf numFmtId="0" fontId="782" fillId="0" borderId="482" xfId="3" applyFont="1" applyBorder="1" applyAlignment="1">
      <alignment horizontal="center" vertical="center"/>
    </xf>
    <xf numFmtId="0" fontId="782" fillId="0" borderId="348" xfId="3" applyFont="1" applyBorder="1" applyAlignment="1">
      <alignment horizontal="center" vertical="center"/>
    </xf>
    <xf numFmtId="0" fontId="764" fillId="0" borderId="0" xfId="30" applyFont="1" applyAlignment="1">
      <alignment horizontal="right"/>
    </xf>
    <xf numFmtId="0" fontId="229" fillId="5" borderId="590" xfId="3" applyFont="1" applyFill="1" applyBorder="1" applyAlignment="1">
      <alignment horizontal="center" vertical="center" wrapText="1"/>
    </xf>
    <xf numFmtId="0" fontId="229" fillId="5" borderId="172" xfId="3" applyFont="1" applyFill="1" applyBorder="1" applyAlignment="1">
      <alignment horizontal="center" vertical="center" wrapText="1"/>
    </xf>
    <xf numFmtId="0" fontId="229" fillId="5" borderId="468" xfId="3" applyFont="1" applyFill="1" applyBorder="1" applyAlignment="1">
      <alignment horizontal="center" vertical="center" wrapText="1"/>
    </xf>
    <xf numFmtId="0" fontId="229" fillId="5" borderId="591" xfId="3" applyFont="1" applyFill="1" applyBorder="1" applyAlignment="1">
      <alignment horizontal="center" vertical="center" wrapText="1"/>
    </xf>
    <xf numFmtId="0" fontId="229" fillId="5" borderId="175" xfId="3" applyFont="1" applyFill="1" applyBorder="1" applyAlignment="1">
      <alignment horizontal="center" vertical="center" wrapText="1"/>
    </xf>
    <xf numFmtId="0" fontId="229" fillId="5" borderId="470" xfId="3" applyFont="1" applyFill="1" applyBorder="1" applyAlignment="1">
      <alignment horizontal="center" vertical="center" wrapText="1"/>
    </xf>
    <xf numFmtId="0" fontId="783" fillId="0" borderId="582" xfId="30" applyFont="1" applyBorder="1" applyAlignment="1">
      <alignment horizontal="center" vertical="center" wrapText="1"/>
    </xf>
    <xf numFmtId="0" fontId="783" fillId="0" borderId="188" xfId="30" applyFont="1" applyBorder="1" applyAlignment="1">
      <alignment horizontal="center" vertical="center" wrapText="1"/>
    </xf>
    <xf numFmtId="0" fontId="783" fillId="0" borderId="583" xfId="30" applyFont="1" applyBorder="1" applyAlignment="1">
      <alignment horizontal="center" vertical="center" wrapText="1"/>
    </xf>
    <xf numFmtId="0" fontId="784" fillId="0" borderId="0" xfId="30" applyFont="1" applyAlignment="1">
      <alignment horizontal="center" vertical="center"/>
    </xf>
    <xf numFmtId="0" fontId="783" fillId="0" borderId="345" xfId="30" applyFont="1" applyBorder="1" applyAlignment="1">
      <alignment horizontal="center" vertical="center" wrapText="1"/>
    </xf>
    <xf numFmtId="0" fontId="783" fillId="0" borderId="0" xfId="30" applyFont="1" applyAlignment="1">
      <alignment horizontal="center" vertical="center" wrapText="1"/>
    </xf>
    <xf numFmtId="0" fontId="783" fillId="0" borderId="348" xfId="30" applyFont="1" applyBorder="1" applyAlignment="1">
      <alignment horizontal="center" vertical="center" wrapText="1"/>
    </xf>
    <xf numFmtId="0" fontId="783" fillId="0" borderId="447" xfId="30" applyFont="1" applyBorder="1" applyAlignment="1">
      <alignment horizontal="center" vertical="center" wrapText="1"/>
    </xf>
    <xf numFmtId="0" fontId="783" fillId="0" borderId="507" xfId="30" applyFont="1" applyBorder="1" applyAlignment="1">
      <alignment horizontal="center" vertical="center" wrapText="1"/>
    </xf>
    <xf numFmtId="0" fontId="783" fillId="0" borderId="508" xfId="30" applyFont="1" applyBorder="1" applyAlignment="1">
      <alignment horizontal="center" vertical="center" wrapText="1"/>
    </xf>
    <xf numFmtId="0" fontId="24" fillId="0" borderId="0" xfId="3" applyFont="1" applyAlignment="1">
      <alignment vertical="center"/>
    </xf>
    <xf numFmtId="0" fontId="456" fillId="0" borderId="0" xfId="3" applyFont="1" applyAlignment="1">
      <alignment vertical="center"/>
    </xf>
    <xf numFmtId="0" fontId="785" fillId="0" borderId="0" xfId="3" applyFont="1" applyAlignment="1">
      <alignment horizontal="center" vertical="center"/>
    </xf>
    <xf numFmtId="0" fontId="786" fillId="0" borderId="0" xfId="3" applyFont="1" applyAlignment="1">
      <alignment horizontal="center" vertical="center"/>
    </xf>
    <xf numFmtId="0" fontId="165" fillId="0" borderId="0" xfId="3" applyFont="1" applyAlignment="1">
      <alignment horizontal="center" vertical="center"/>
    </xf>
    <xf numFmtId="0" fontId="787" fillId="3" borderId="0" xfId="3" applyFont="1" applyFill="1" applyAlignment="1">
      <alignment horizontal="center" vertical="center"/>
    </xf>
    <xf numFmtId="0" fontId="788" fillId="3" borderId="0" xfId="3" applyFont="1" applyFill="1" applyAlignment="1">
      <alignment horizontal="center" vertical="center"/>
    </xf>
    <xf numFmtId="0" fontId="208" fillId="20" borderId="0" xfId="3" applyFont="1" applyFill="1" applyAlignment="1">
      <alignment horizontal="center" vertical="center"/>
    </xf>
    <xf numFmtId="0" fontId="789" fillId="3" borderId="0" xfId="3" applyFont="1" applyFill="1" applyAlignment="1">
      <alignment horizontal="center" vertical="center"/>
    </xf>
    <xf numFmtId="0" fontId="790" fillId="3" borderId="0" xfId="3" applyFont="1" applyFill="1" applyAlignment="1">
      <alignment horizontal="center" vertical="center"/>
    </xf>
    <xf numFmtId="0" fontId="791" fillId="3" borderId="0" xfId="3" applyFont="1" applyFill="1" applyAlignment="1">
      <alignment horizontal="center" vertical="center"/>
    </xf>
    <xf numFmtId="0" fontId="792" fillId="0" borderId="0" xfId="3" applyFont="1" applyAlignment="1">
      <alignment horizontal="center" vertical="center"/>
    </xf>
    <xf numFmtId="0" fontId="166" fillId="0" borderId="0" xfId="3" applyFont="1" applyAlignment="1">
      <alignment horizontal="center" vertical="center"/>
    </xf>
    <xf numFmtId="0" fontId="208" fillId="27" borderId="0" xfId="3" applyFont="1" applyFill="1" applyAlignment="1">
      <alignment horizontal="center" vertical="center"/>
    </xf>
    <xf numFmtId="0" fontId="793" fillId="0" borderId="0" xfId="3" applyFont="1" applyAlignment="1">
      <alignment horizontal="center" vertical="center"/>
    </xf>
    <xf numFmtId="0" fontId="794" fillId="0" borderId="0" xfId="3" applyFont="1" applyAlignment="1">
      <alignment horizontal="center" vertical="center"/>
    </xf>
    <xf numFmtId="0" fontId="208" fillId="26" borderId="0" xfId="3" applyFont="1" applyFill="1" applyAlignment="1">
      <alignment horizontal="center" vertical="center"/>
    </xf>
    <xf numFmtId="0" fontId="795" fillId="0" borderId="0" xfId="3" applyFont="1" applyAlignment="1">
      <alignment horizontal="center" vertical="center"/>
    </xf>
    <xf numFmtId="0" fontId="208" fillId="28" borderId="0" xfId="3" applyFont="1" applyFill="1" applyAlignment="1">
      <alignment horizontal="center" vertical="center"/>
    </xf>
    <xf numFmtId="0" fontId="796" fillId="0" borderId="0" xfId="3" applyFont="1" applyAlignment="1">
      <alignment horizontal="center" vertical="center"/>
    </xf>
    <xf numFmtId="0" fontId="208" fillId="29" borderId="0" xfId="3" applyFont="1" applyFill="1" applyAlignment="1">
      <alignment horizontal="center" vertical="center"/>
    </xf>
    <xf numFmtId="0" fontId="797" fillId="0" borderId="0" xfId="3" applyFont="1" applyAlignment="1">
      <alignment horizontal="center" vertical="center"/>
    </xf>
    <xf numFmtId="0" fontId="208" fillId="30" borderId="0" xfId="3" applyFont="1" applyFill="1" applyAlignment="1">
      <alignment horizontal="center" vertical="center"/>
    </xf>
    <xf numFmtId="0" fontId="798" fillId="3" borderId="0" xfId="3" applyFont="1" applyFill="1" applyAlignment="1">
      <alignment horizontal="center" vertical="center"/>
    </xf>
    <xf numFmtId="0" fontId="208" fillId="31" borderId="0" xfId="3" applyFont="1" applyFill="1" applyAlignment="1">
      <alignment horizontal="center" vertical="center"/>
    </xf>
    <xf numFmtId="0" fontId="799" fillId="0" borderId="0" xfId="3" applyFont="1" applyAlignment="1">
      <alignment horizontal="center" vertical="center"/>
    </xf>
    <xf numFmtId="0" fontId="208" fillId="32" borderId="0" xfId="3" applyFont="1" applyFill="1" applyAlignment="1">
      <alignment horizontal="center" vertical="center"/>
    </xf>
    <xf numFmtId="0" fontId="800" fillId="0" borderId="0" xfId="3" applyFont="1" applyAlignment="1">
      <alignment horizontal="center" vertical="center"/>
    </xf>
    <xf numFmtId="0" fontId="208" fillId="33" borderId="0" xfId="3" applyFont="1" applyFill="1" applyAlignment="1">
      <alignment horizontal="center" vertical="center"/>
    </xf>
    <xf numFmtId="0" fontId="801" fillId="0" borderId="0" xfId="3" applyFont="1" applyAlignment="1">
      <alignment horizontal="center" vertical="center"/>
    </xf>
    <xf numFmtId="0" fontId="802" fillId="0" borderId="0" xfId="3" applyFont="1" applyAlignment="1">
      <alignment horizontal="center" vertical="center"/>
    </xf>
    <xf numFmtId="0" fontId="803" fillId="0" borderId="0" xfId="3" applyFont="1" applyAlignment="1">
      <alignment horizontal="center" vertical="center"/>
    </xf>
    <xf numFmtId="0" fontId="804" fillId="0" borderId="0" xfId="3" applyFont="1" applyAlignment="1">
      <alignment horizontal="center" vertical="center"/>
    </xf>
    <xf numFmtId="0" fontId="805" fillId="0" borderId="0" xfId="3" applyFont="1" applyAlignment="1">
      <alignment horizontal="center" vertical="center"/>
    </xf>
    <xf numFmtId="0" fontId="806" fillId="0" borderId="0" xfId="3" applyFont="1" applyAlignment="1">
      <alignment horizontal="center" vertical="center"/>
    </xf>
    <xf numFmtId="0" fontId="807" fillId="0" borderId="0" xfId="3" applyFont="1" applyAlignment="1">
      <alignment horizontal="center" vertical="center"/>
    </xf>
    <xf numFmtId="0" fontId="604" fillId="0" borderId="0" xfId="3" applyFont="1" applyAlignment="1">
      <alignment vertical="center"/>
    </xf>
    <xf numFmtId="0" fontId="7" fillId="0" borderId="447" xfId="3" applyBorder="1" applyAlignment="1">
      <alignment vertical="center"/>
    </xf>
    <xf numFmtId="0" fontId="7" fillId="0" borderId="507" xfId="3" applyBorder="1" applyAlignment="1">
      <alignment vertical="center"/>
    </xf>
    <xf numFmtId="0" fontId="7" fillId="0" borderId="508" xfId="3" applyBorder="1" applyAlignment="1">
      <alignment vertical="center"/>
    </xf>
    <xf numFmtId="0" fontId="604" fillId="64" borderId="0" xfId="3" applyFont="1" applyFill="1" applyAlignment="1">
      <alignment vertical="center"/>
    </xf>
    <xf numFmtId="0" fontId="808" fillId="0" borderId="0" xfId="3" applyFont="1" applyAlignment="1">
      <alignment horizontal="center" vertical="center"/>
    </xf>
    <xf numFmtId="0" fontId="809" fillId="0" borderId="0" xfId="3" applyFont="1" applyAlignment="1">
      <alignment horizontal="center" vertical="center"/>
    </xf>
    <xf numFmtId="0" fontId="784" fillId="0" borderId="0" xfId="3" applyFont="1"/>
    <xf numFmtId="0" fontId="778" fillId="52" borderId="586" xfId="52" applyFont="1" applyFill="1" applyBorder="1" applyAlignment="1">
      <alignment horizontal="centerContinuous" vertical="center"/>
    </xf>
    <xf numFmtId="0" fontId="778" fillId="52" borderId="587" xfId="52" applyFont="1" applyFill="1" applyBorder="1" applyAlignment="1">
      <alignment horizontal="centerContinuous" vertical="center"/>
    </xf>
    <xf numFmtId="0" fontId="778" fillId="52" borderId="588" xfId="52" applyFont="1" applyFill="1" applyBorder="1" applyAlignment="1">
      <alignment horizontal="centerContinuous" vertical="center"/>
    </xf>
    <xf numFmtId="0" fontId="810" fillId="60" borderId="0" xfId="3" applyFont="1" applyFill="1" applyAlignment="1">
      <alignment horizontal="center" vertical="center"/>
    </xf>
    <xf numFmtId="0" fontId="753" fillId="3" borderId="0" xfId="3" applyFont="1" applyFill="1" applyAlignment="1">
      <alignment horizontal="centerContinuous" vertical="center" wrapText="1"/>
    </xf>
    <xf numFmtId="0" fontId="47" fillId="0" borderId="0" xfId="3" applyFont="1" applyAlignment="1">
      <alignment horizontal="centerContinuous" vertical="center" wrapText="1"/>
    </xf>
    <xf numFmtId="0" fontId="7" fillId="0" borderId="0" xfId="3" applyAlignment="1">
      <alignment horizontal="centerContinuous" vertical="center" wrapText="1"/>
    </xf>
    <xf numFmtId="0" fontId="7" fillId="0" borderId="348" xfId="3" applyBorder="1" applyAlignment="1">
      <alignment horizontal="centerContinuous" vertical="center" wrapText="1"/>
    </xf>
    <xf numFmtId="0" fontId="811" fillId="60" borderId="0" xfId="3" applyFont="1" applyFill="1" applyAlignment="1">
      <alignment horizontal="center" vertical="center"/>
    </xf>
    <xf numFmtId="0" fontId="42" fillId="52" borderId="0" xfId="3" applyFont="1" applyFill="1" applyAlignment="1">
      <alignment horizontal="center" vertical="center" wrapText="1"/>
    </xf>
    <xf numFmtId="0" fontId="42" fillId="52" borderId="482" xfId="3" applyFont="1" applyFill="1" applyBorder="1" applyAlignment="1">
      <alignment horizontal="center" vertical="center" wrapText="1"/>
    </xf>
    <xf numFmtId="0" fontId="42" fillId="52" borderId="348" xfId="3" applyFont="1" applyFill="1" applyBorder="1" applyAlignment="1">
      <alignment horizontal="center" vertical="center" wrapText="1"/>
    </xf>
    <xf numFmtId="0" fontId="812" fillId="0" borderId="0" xfId="3" applyFont="1" applyAlignment="1">
      <alignment horizontal="center" vertical="center"/>
    </xf>
    <xf numFmtId="0" fontId="812" fillId="0" borderId="482" xfId="3" applyFont="1" applyBorder="1" applyAlignment="1">
      <alignment horizontal="center" vertical="center"/>
    </xf>
    <xf numFmtId="0" fontId="812" fillId="0" borderId="348" xfId="3" applyFont="1" applyBorder="1" applyAlignment="1">
      <alignment horizontal="center" vertical="center"/>
    </xf>
    <xf numFmtId="0" fontId="813" fillId="0" borderId="0" xfId="3" applyFont="1" applyAlignment="1">
      <alignment horizontal="center" vertical="center"/>
    </xf>
    <xf numFmtId="0" fontId="813" fillId="0" borderId="482" xfId="3" applyFont="1" applyBorder="1" applyAlignment="1">
      <alignment horizontal="center" vertical="center"/>
    </xf>
    <xf numFmtId="0" fontId="813" fillId="0" borderId="348" xfId="3" applyFont="1" applyBorder="1" applyAlignment="1">
      <alignment horizontal="center" vertical="center"/>
    </xf>
    <xf numFmtId="0" fontId="604" fillId="0" borderId="447" xfId="3" applyFont="1" applyBorder="1" applyAlignment="1">
      <alignment vertical="center"/>
    </xf>
    <xf numFmtId="0" fontId="604" fillId="0" borderId="507" xfId="3" applyFont="1" applyBorder="1" applyAlignment="1">
      <alignment vertical="center"/>
    </xf>
    <xf numFmtId="0" fontId="814" fillId="0" borderId="508" xfId="3" applyFont="1" applyBorder="1" applyAlignment="1">
      <alignment horizontal="center" vertical="center"/>
    </xf>
    <xf numFmtId="0" fontId="7" fillId="64" borderId="0" xfId="3" applyFill="1" applyAlignment="1">
      <alignment vertical="center"/>
    </xf>
    <xf numFmtId="0" fontId="604" fillId="0" borderId="508" xfId="3" applyFont="1" applyBorder="1" applyAlignment="1">
      <alignment vertical="center"/>
    </xf>
    <xf numFmtId="0" fontId="749" fillId="33" borderId="586" xfId="52" applyFont="1" applyFill="1" applyBorder="1" applyAlignment="1">
      <alignment horizontal="centerContinuous" vertical="center"/>
    </xf>
    <xf numFmtId="0" fontId="749" fillId="33" borderId="587" xfId="52" applyFont="1" applyFill="1" applyBorder="1" applyAlignment="1">
      <alignment horizontal="centerContinuous" vertical="center"/>
    </xf>
    <xf numFmtId="0" fontId="749" fillId="33" borderId="588" xfId="52" applyFont="1" applyFill="1" applyBorder="1" applyAlignment="1">
      <alignment horizontal="centerContinuous" vertical="center"/>
    </xf>
    <xf numFmtId="0" fontId="815" fillId="60" borderId="0" xfId="3" applyFont="1" applyFill="1" applyAlignment="1">
      <alignment horizontal="center" vertical="center"/>
    </xf>
    <xf numFmtId="0" fontId="816" fillId="60" borderId="0" xfId="3" applyFont="1" applyFill="1" applyAlignment="1">
      <alignment horizontal="center" vertical="center"/>
    </xf>
    <xf numFmtId="0" fontId="424" fillId="33" borderId="0" xfId="3" applyFont="1" applyFill="1" applyAlignment="1">
      <alignment horizontal="center" vertical="center" wrapText="1"/>
    </xf>
    <xf numFmtId="0" fontId="424" fillId="33" borderId="482" xfId="3" applyFont="1" applyFill="1" applyBorder="1" applyAlignment="1">
      <alignment horizontal="center" vertical="center" wrapText="1"/>
    </xf>
    <xf numFmtId="0" fontId="424" fillId="33" borderId="348" xfId="3" applyFont="1" applyFill="1" applyBorder="1" applyAlignment="1">
      <alignment horizontal="center" vertical="center" wrapText="1"/>
    </xf>
    <xf numFmtId="0" fontId="817" fillId="0" borderId="0" xfId="3" applyFont="1" applyAlignment="1">
      <alignment horizontal="center" vertical="center"/>
    </xf>
    <xf numFmtId="0" fontId="818" fillId="0" borderId="482" xfId="3" applyFont="1" applyBorder="1" applyAlignment="1">
      <alignment horizontal="center" vertical="center"/>
    </xf>
    <xf numFmtId="0" fontId="818" fillId="0" borderId="0" xfId="3" applyFont="1" applyAlignment="1">
      <alignment horizontal="center" vertical="center"/>
    </xf>
    <xf numFmtId="0" fontId="818" fillId="0" borderId="348" xfId="3" applyFont="1" applyBorder="1" applyAlignment="1">
      <alignment horizontal="center" vertical="center"/>
    </xf>
    <xf numFmtId="0" fontId="819" fillId="0" borderId="0" xfId="3" applyFont="1" applyAlignment="1">
      <alignment horizontal="center" vertical="center"/>
    </xf>
    <xf numFmtId="0" fontId="819" fillId="0" borderId="482" xfId="3" applyFont="1" applyBorder="1" applyAlignment="1">
      <alignment horizontal="center" vertical="center"/>
    </xf>
    <xf numFmtId="0" fontId="819" fillId="0" borderId="348" xfId="3" applyFont="1" applyBorder="1" applyAlignment="1">
      <alignment horizontal="center" vertical="center"/>
    </xf>
    <xf numFmtId="0" fontId="820" fillId="34" borderId="0" xfId="30" applyFont="1" applyFill="1" applyAlignment="1">
      <alignment horizontal="center" vertical="center"/>
    </xf>
    <xf numFmtId="0" fontId="192" fillId="34" borderId="0" xfId="30" applyFont="1" applyFill="1" applyAlignment="1">
      <alignment vertical="center"/>
    </xf>
    <xf numFmtId="0" fontId="820" fillId="34" borderId="0" xfId="30" applyFont="1" applyFill="1" applyAlignment="1">
      <alignment vertical="center"/>
    </xf>
    <xf numFmtId="0" fontId="821" fillId="34" borderId="0" xfId="30" applyFont="1" applyFill="1" applyAlignment="1">
      <alignment vertical="center"/>
    </xf>
    <xf numFmtId="0" fontId="273" fillId="34" borderId="0" xfId="30" applyFont="1" applyFill="1" applyAlignment="1">
      <alignment vertical="center"/>
    </xf>
    <xf numFmtId="0" fontId="50" fillId="3" borderId="0" xfId="30" applyFont="1" applyFill="1" applyAlignment="1">
      <alignment horizontal="center" vertical="center"/>
    </xf>
    <xf numFmtId="0" fontId="822" fillId="3" borderId="0" xfId="30" applyFont="1" applyFill="1" applyAlignment="1">
      <alignment horizontal="center" vertical="center"/>
    </xf>
    <xf numFmtId="0" fontId="42" fillId="3" borderId="0" xfId="30" applyFont="1" applyFill="1" applyAlignment="1">
      <alignment horizontal="left" vertical="center" wrapText="1"/>
    </xf>
    <xf numFmtId="0" fontId="823" fillId="3" borderId="0" xfId="30" applyFont="1" applyFill="1" applyAlignment="1">
      <alignment horizontal="left" vertical="center"/>
    </xf>
    <xf numFmtId="0" fontId="42" fillId="3" borderId="0" xfId="30" applyFont="1" applyFill="1" applyAlignment="1">
      <alignment horizontal="left" vertical="center"/>
    </xf>
    <xf numFmtId="0" fontId="598" fillId="34" borderId="0" xfId="30" applyFont="1" applyFill="1" applyAlignment="1">
      <alignment horizontal="right" vertical="center"/>
    </xf>
    <xf numFmtId="0" fontId="824" fillId="3" borderId="0" xfId="54" applyFont="1" applyFill="1" applyAlignment="1">
      <alignment horizontal="left" vertical="center"/>
    </xf>
    <xf numFmtId="0" fontId="11" fillId="3" borderId="0" xfId="54" applyFill="1" applyAlignment="1">
      <alignment horizontal="left" vertical="center"/>
    </xf>
    <xf numFmtId="0" fontId="11" fillId="3" borderId="0" xfId="54" applyFill="1"/>
    <xf numFmtId="0" fontId="431" fillId="3" borderId="0" xfId="30" applyFont="1" applyFill="1" applyAlignment="1">
      <alignment vertical="center"/>
    </xf>
    <xf numFmtId="0" fontId="83" fillId="3" borderId="0" xfId="30" applyFont="1" applyFill="1" applyAlignment="1">
      <alignment horizontal="right" vertical="center"/>
    </xf>
    <xf numFmtId="0" fontId="42" fillId="3" borderId="0" xfId="30" applyFont="1" applyFill="1" applyAlignment="1">
      <alignment horizontal="right" vertical="center" wrapText="1"/>
    </xf>
    <xf numFmtId="0" fontId="42" fillId="3" borderId="0" xfId="30" applyFont="1" applyFill="1" applyAlignment="1">
      <alignment horizontal="right"/>
    </xf>
    <xf numFmtId="0" fontId="824" fillId="3" borderId="0" xfId="54" applyFont="1" applyFill="1" applyAlignment="1">
      <alignment vertical="center"/>
    </xf>
    <xf numFmtId="0" fontId="825" fillId="3" borderId="0" xfId="30" applyFont="1" applyFill="1" applyAlignment="1">
      <alignment horizontal="right" vertical="center"/>
    </xf>
    <xf numFmtId="0" fontId="826" fillId="3" borderId="0" xfId="30" applyFont="1" applyFill="1" applyAlignment="1">
      <alignment vertical="center"/>
    </xf>
    <xf numFmtId="0" fontId="827" fillId="3" borderId="0" xfId="30" applyFont="1" applyFill="1"/>
    <xf numFmtId="0" fontId="828" fillId="3" borderId="0" xfId="30" applyFont="1" applyFill="1" applyAlignment="1">
      <alignment horizontal="center" vertical="center"/>
    </xf>
    <xf numFmtId="0" fontId="827" fillId="3" borderId="0" xfId="30" applyFont="1" applyFill="1" applyAlignment="1">
      <alignment horizontal="left" vertical="center" wrapText="1"/>
    </xf>
    <xf numFmtId="0" fontId="829" fillId="0" borderId="0" xfId="30" applyFont="1" applyAlignment="1">
      <alignment horizontal="center" vertical="center"/>
    </xf>
    <xf numFmtId="0" fontId="830" fillId="0" borderId="0" xfId="30" applyFont="1" applyAlignment="1">
      <alignment horizontal="left" vertical="center"/>
    </xf>
    <xf numFmtId="0" fontId="50" fillId="0" borderId="0" xfId="30" applyFont="1" applyAlignment="1">
      <alignment horizontal="center" vertical="center"/>
    </xf>
    <xf numFmtId="0" fontId="830" fillId="0" borderId="0" xfId="30" applyFont="1" applyAlignment="1">
      <alignment horizontal="center" vertical="center"/>
    </xf>
    <xf numFmtId="0" fontId="831" fillId="0" borderId="0" xfId="30" applyFont="1" applyAlignment="1">
      <alignment horizontal="center" vertical="center"/>
    </xf>
    <xf numFmtId="0" fontId="54" fillId="0" borderId="0" xfId="30" applyFont="1" applyAlignment="1">
      <alignment horizontal="left" vertical="center"/>
    </xf>
    <xf numFmtId="0" fontId="54" fillId="4" borderId="0" xfId="30" applyFont="1" applyFill="1" applyAlignment="1">
      <alignment horizontal="center" vertical="center"/>
    </xf>
    <xf numFmtId="0" fontId="822" fillId="0" borderId="0" xfId="30" applyFont="1" applyAlignment="1">
      <alignment horizontal="center" vertical="center"/>
    </xf>
    <xf numFmtId="0" fontId="42" fillId="0" borderId="0" xfId="30" applyFont="1" applyAlignment="1">
      <alignment horizontal="left" vertical="center" wrapText="1"/>
    </xf>
    <xf numFmtId="0" fontId="42" fillId="61" borderId="0" xfId="30" applyFont="1" applyFill="1"/>
    <xf numFmtId="0" fontId="33" fillId="61" borderId="0" xfId="30" applyFont="1" applyFill="1" applyAlignment="1">
      <alignment vertical="center"/>
    </xf>
    <xf numFmtId="0" fontId="91" fillId="61" borderId="0" xfId="30" applyFont="1" applyFill="1" applyAlignment="1">
      <alignment vertical="center"/>
    </xf>
    <xf numFmtId="0" fontId="388" fillId="61" borderId="0" xfId="54" applyFont="1" applyFill="1" applyAlignment="1">
      <alignment vertical="center"/>
    </xf>
    <xf numFmtId="0" fontId="63" fillId="61" borderId="0" xfId="30" applyFont="1" applyFill="1"/>
    <xf numFmtId="0" fontId="63" fillId="61" borderId="0" xfId="30" applyFont="1" applyFill="1" applyAlignment="1">
      <alignment vertical="center"/>
    </xf>
    <xf numFmtId="0" fontId="91" fillId="0" borderId="0" xfId="30" applyFont="1" applyAlignment="1">
      <alignment vertical="center"/>
    </xf>
    <xf numFmtId="0" fontId="75" fillId="61" borderId="0" xfId="30" applyFont="1" applyFill="1" applyAlignment="1">
      <alignment vertical="center"/>
    </xf>
    <xf numFmtId="0" fontId="832" fillId="0" borderId="0" xfId="30" applyFont="1" applyAlignment="1">
      <alignment horizontal="center" vertical="center"/>
    </xf>
    <xf numFmtId="0" fontId="383" fillId="5" borderId="592" xfId="30" applyFont="1" applyFill="1" applyBorder="1" applyAlignment="1">
      <alignment horizontal="center" vertical="center"/>
    </xf>
    <xf numFmtId="0" fontId="383" fillId="5" borderId="162" xfId="30" applyFont="1" applyFill="1" applyBorder="1" applyAlignment="1">
      <alignment horizontal="center" vertical="center"/>
    </xf>
    <xf numFmtId="0" fontId="383" fillId="5" borderId="379" xfId="30" applyFont="1" applyFill="1" applyBorder="1" applyAlignment="1">
      <alignment horizontal="center" vertical="center"/>
    </xf>
    <xf numFmtId="0" fontId="383" fillId="5" borderId="357" xfId="30" applyFont="1" applyFill="1" applyBorder="1" applyAlignment="1">
      <alignment horizontal="center" vertical="center"/>
    </xf>
    <xf numFmtId="0" fontId="383" fillId="5" borderId="0" xfId="30" applyFont="1" applyFill="1" applyAlignment="1">
      <alignment horizontal="center" vertical="center"/>
    </xf>
    <xf numFmtId="0" fontId="383" fillId="5" borderId="51" xfId="30" applyFont="1" applyFill="1" applyBorder="1" applyAlignment="1">
      <alignment horizontal="center" vertical="center"/>
    </xf>
    <xf numFmtId="0" fontId="33" fillId="5" borderId="357" xfId="30" applyFont="1" applyFill="1" applyBorder="1" applyAlignment="1">
      <alignment horizontal="center" vertical="center" wrapText="1"/>
    </xf>
    <xf numFmtId="0" fontId="33" fillId="5" borderId="0" xfId="30" applyFont="1" applyFill="1" applyAlignment="1">
      <alignment horizontal="center" vertical="center" wrapText="1"/>
    </xf>
    <xf numFmtId="0" fontId="33" fillId="5" borderId="51" xfId="30" applyFont="1" applyFill="1" applyBorder="1" applyAlignment="1">
      <alignment horizontal="center" vertical="center" wrapText="1"/>
    </xf>
    <xf numFmtId="0" fontId="33" fillId="5" borderId="4" xfId="30" applyFont="1" applyFill="1" applyBorder="1" applyAlignment="1">
      <alignment horizontal="center" vertical="center" wrapText="1"/>
    </xf>
    <xf numFmtId="0" fontId="33" fillId="5" borderId="5" xfId="30" applyFont="1" applyFill="1" applyBorder="1" applyAlignment="1">
      <alignment horizontal="center" vertical="center" wrapText="1"/>
    </xf>
    <xf numFmtId="0" fontId="33" fillId="5" borderId="6" xfId="30" applyFont="1" applyFill="1" applyBorder="1" applyAlignment="1">
      <alignment horizontal="center" vertical="center" wrapText="1"/>
    </xf>
    <xf numFmtId="0" fontId="41" fillId="61" borderId="0" xfId="30" applyFont="1" applyFill="1" applyAlignment="1">
      <alignment horizontal="right" vertical="center"/>
    </xf>
    <xf numFmtId="0" fontId="833" fillId="2" borderId="0" xfId="35" applyFont="1" applyFill="1" applyAlignment="1">
      <alignment vertical="center"/>
    </xf>
    <xf numFmtId="0" fontId="834" fillId="61" borderId="0" xfId="30" applyFont="1" applyFill="1" applyAlignment="1">
      <alignment horizontal="left" vertical="center"/>
    </xf>
    <xf numFmtId="0" fontId="835" fillId="61" borderId="349" xfId="30" applyFont="1" applyFill="1" applyBorder="1" applyAlignment="1">
      <alignment horizontal="center" vertical="center"/>
    </xf>
    <xf numFmtId="0" fontId="57" fillId="34" borderId="0" xfId="30" applyFont="1" applyFill="1" applyAlignment="1">
      <alignment horizontal="right" vertical="center"/>
    </xf>
    <xf numFmtId="0" fontId="11" fillId="61" borderId="0" xfId="54" applyFill="1" applyAlignment="1">
      <alignment vertical="center"/>
    </xf>
    <xf numFmtId="0" fontId="836" fillId="61" borderId="0" xfId="54" applyFont="1" applyFill="1" applyAlignment="1">
      <alignment vertical="center"/>
    </xf>
    <xf numFmtId="0" fontId="837" fillId="61" borderId="0" xfId="30" applyFont="1" applyFill="1" applyAlignment="1">
      <alignment horizontal="left" vertical="center"/>
    </xf>
    <xf numFmtId="0" fontId="91" fillId="34" borderId="0" xfId="30" applyFont="1" applyFill="1" applyAlignment="1">
      <alignment vertical="center"/>
    </xf>
    <xf numFmtId="0" fontId="839" fillId="61" borderId="0" xfId="54" applyFont="1" applyFill="1" applyAlignment="1">
      <alignment vertical="center"/>
    </xf>
    <xf numFmtId="0" fontId="7" fillId="61" borderId="0" xfId="30" applyFill="1"/>
    <xf numFmtId="0" fontId="11" fillId="61" borderId="0" xfId="54" applyFill="1"/>
    <xf numFmtId="0" fontId="7" fillId="34" borderId="0" xfId="30" applyFill="1"/>
    <xf numFmtId="0" fontId="239" fillId="61" borderId="0" xfId="54" applyFont="1" applyFill="1" applyAlignment="1">
      <alignment vertical="center"/>
    </xf>
    <xf numFmtId="0" fontId="840" fillId="34" borderId="0" xfId="30" applyFont="1" applyFill="1" applyAlignment="1">
      <alignment horizontal="center" vertical="center"/>
    </xf>
    <xf numFmtId="0" fontId="191" fillId="34" borderId="0" xfId="30" applyFont="1" applyFill="1" applyAlignment="1">
      <alignment horizontal="right" vertical="center"/>
    </xf>
    <xf numFmtId="0" fontId="841" fillId="2" borderId="0" xfId="35" applyFont="1" applyFill="1" applyAlignment="1">
      <alignment vertical="center"/>
    </xf>
    <xf numFmtId="0" fontId="841" fillId="2" borderId="0" xfId="35" applyFont="1" applyFill="1" applyProtection="1">
      <protection hidden="1"/>
    </xf>
    <xf numFmtId="0" fontId="842" fillId="2" borderId="0" xfId="35" applyFont="1" applyFill="1" applyAlignment="1">
      <alignment vertical="center"/>
    </xf>
    <xf numFmtId="0" fontId="83" fillId="2" borderId="0" xfId="50" applyFont="1" applyFill="1" applyAlignment="1">
      <alignment horizontal="right"/>
    </xf>
    <xf numFmtId="0" fontId="278" fillId="0" borderId="0" xfId="49" applyFont="1" applyAlignment="1">
      <alignment horizontal="center" vertical="center"/>
    </xf>
    <xf numFmtId="0" fontId="278" fillId="0" borderId="0" xfId="49" applyFont="1" applyAlignment="1">
      <alignment horizontal="center" vertical="center"/>
    </xf>
    <xf numFmtId="0" fontId="843" fillId="2" borderId="0" xfId="49" applyFont="1" applyFill="1" applyAlignment="1">
      <alignment vertical="center"/>
    </xf>
    <xf numFmtId="0" fontId="191" fillId="34" borderId="0" xfId="49" applyFont="1" applyFill="1" applyAlignment="1">
      <alignment horizontal="right" vertical="center"/>
    </xf>
    <xf numFmtId="0" fontId="58" fillId="13" borderId="0" xfId="13" applyFill="1"/>
    <xf numFmtId="2" fontId="23" fillId="126" borderId="0" xfId="49" applyNumberFormat="1" applyFont="1" applyFill="1" applyAlignment="1" applyProtection="1">
      <alignment horizontal="center" vertical="center"/>
      <protection locked="0"/>
    </xf>
    <xf numFmtId="2" fontId="55" fillId="136" borderId="0" xfId="49" applyNumberFormat="1" applyFont="1" applyFill="1" applyAlignment="1" applyProtection="1">
      <alignment horizontal="center" vertical="center"/>
      <protection locked="0"/>
    </xf>
    <xf numFmtId="2" fontId="23" fillId="143" borderId="0" xfId="49" applyNumberFormat="1" applyFont="1" applyFill="1" applyAlignment="1" applyProtection="1">
      <alignment horizontal="center" vertical="center"/>
      <protection locked="0"/>
    </xf>
    <xf numFmtId="2" fontId="23" fillId="152" borderId="0" xfId="49" applyNumberFormat="1" applyFont="1" applyFill="1" applyAlignment="1" applyProtection="1">
      <alignment horizontal="center" vertical="center"/>
      <protection locked="0"/>
    </xf>
    <xf numFmtId="2" fontId="55" fillId="127" borderId="0" xfId="49" applyNumberFormat="1" applyFont="1" applyFill="1" applyAlignment="1" applyProtection="1">
      <alignment horizontal="center" vertical="center"/>
      <protection locked="0"/>
    </xf>
    <xf numFmtId="0" fontId="23" fillId="8" borderId="0" xfId="49" applyFont="1" applyFill="1" applyAlignment="1">
      <alignment horizontal="center" vertical="center"/>
    </xf>
    <xf numFmtId="2" fontId="23" fillId="170" borderId="0" xfId="49" applyNumberFormat="1" applyFont="1" applyFill="1" applyAlignment="1" applyProtection="1">
      <alignment horizontal="center" vertical="center"/>
      <protection locked="0"/>
    </xf>
    <xf numFmtId="0" fontId="1" fillId="0" borderId="0" xfId="49" applyAlignment="1">
      <alignment horizontal="center"/>
    </xf>
    <xf numFmtId="2" fontId="23" fillId="104" borderId="0" xfId="49" applyNumberFormat="1" applyFont="1" applyFill="1" applyAlignment="1" applyProtection="1">
      <alignment horizontal="center" vertical="center"/>
      <protection locked="0"/>
    </xf>
    <xf numFmtId="2" fontId="55" fillId="171" borderId="0" xfId="49" applyNumberFormat="1" applyFont="1" applyFill="1" applyAlignment="1" applyProtection="1">
      <alignment horizontal="center" vertical="center"/>
      <protection locked="0"/>
    </xf>
    <xf numFmtId="0" fontId="34" fillId="3" borderId="0" xfId="13" applyFont="1" applyFill="1" applyAlignment="1" applyProtection="1">
      <alignment vertical="center"/>
    </xf>
    <xf numFmtId="0" fontId="34" fillId="13" borderId="0" xfId="13" applyFont="1" applyFill="1" applyAlignment="1" applyProtection="1">
      <alignment vertical="center"/>
    </xf>
    <xf numFmtId="2" fontId="55" fillId="172" borderId="0" xfId="49" applyNumberFormat="1" applyFont="1" applyFill="1" applyAlignment="1" applyProtection="1">
      <alignment horizontal="center" vertical="center"/>
      <protection locked="0"/>
    </xf>
    <xf numFmtId="0" fontId="42" fillId="0" borderId="0" xfId="49" applyFont="1" applyAlignment="1">
      <alignment horizontal="left" vertical="center"/>
    </xf>
    <xf numFmtId="0" fontId="52" fillId="3" borderId="0" xfId="49" applyFont="1" applyFill="1" applyAlignment="1">
      <alignment vertical="center"/>
    </xf>
    <xf numFmtId="2" fontId="23" fillId="173" borderId="0" xfId="49" applyNumberFormat="1" applyFont="1" applyFill="1" applyAlignment="1" applyProtection="1">
      <alignment horizontal="center" vertical="center"/>
      <protection locked="0"/>
    </xf>
    <xf numFmtId="0" fontId="163" fillId="13" borderId="0" xfId="13" applyFont="1" applyFill="1" applyAlignment="1" applyProtection="1">
      <alignment vertical="center"/>
    </xf>
    <xf numFmtId="2" fontId="55" fillId="174" borderId="0" xfId="49" applyNumberFormat="1" applyFont="1" applyFill="1" applyAlignment="1" applyProtection="1">
      <alignment horizontal="center" vertical="center"/>
      <protection locked="0"/>
    </xf>
    <xf numFmtId="2" fontId="55" fillId="120" borderId="0" xfId="49" applyNumberFormat="1" applyFont="1" applyFill="1" applyAlignment="1" applyProtection="1">
      <alignment horizontal="center" vertical="center"/>
      <protection locked="0"/>
    </xf>
    <xf numFmtId="0" fontId="23" fillId="175" borderId="0" xfId="49" applyFont="1" applyFill="1" applyAlignment="1">
      <alignment horizontal="center" vertical="center"/>
    </xf>
    <xf numFmtId="2" fontId="55" fillId="176" borderId="0" xfId="49" applyNumberFormat="1" applyFont="1" applyFill="1" applyAlignment="1" applyProtection="1">
      <alignment horizontal="center" vertical="center"/>
      <protection locked="0"/>
    </xf>
    <xf numFmtId="2" fontId="23" fillId="62" borderId="0" xfId="49" applyNumberFormat="1" applyFont="1" applyFill="1" applyAlignment="1" applyProtection="1">
      <alignment horizontal="center" vertical="center"/>
      <protection locked="0"/>
    </xf>
    <xf numFmtId="0" fontId="56" fillId="0" borderId="0" xfId="13" applyFont="1" applyAlignment="1" applyProtection="1">
      <alignment vertical="center"/>
    </xf>
    <xf numFmtId="0" fontId="163" fillId="3" borderId="0" xfId="13" applyFont="1" applyFill="1" applyAlignment="1" applyProtection="1">
      <alignment vertical="center"/>
    </xf>
    <xf numFmtId="0" fontId="844" fillId="3" borderId="0" xfId="12" applyFont="1" applyFill="1" applyAlignment="1">
      <alignment horizontal="center" vertical="center"/>
    </xf>
    <xf numFmtId="0" fontId="845" fillId="3" borderId="0" xfId="12" applyFont="1" applyFill="1" applyAlignment="1">
      <alignment horizontal="center" vertical="center"/>
    </xf>
    <xf numFmtId="0" fontId="1" fillId="13" borderId="0" xfId="49" applyFill="1"/>
  </cellXfs>
  <cellStyles count="55">
    <cellStyle name="Euro" xfId="22" xr:uid="{00000000-0005-0000-0000-000000000000}"/>
    <cellStyle name="Euro 2" xfId="23" xr:uid="{00000000-0005-0000-0000-000001000000}"/>
    <cellStyle name="Lien hypertexte" xfId="5" builtinId="8"/>
    <cellStyle name="Lien hypertexte 2" xfId="4" xr:uid="{00000000-0005-0000-0000-000003000000}"/>
    <cellStyle name="Lien hypertexte 2 2" xfId="45" xr:uid="{66C85F00-A7F7-4A7A-A498-19201B84EF1A}"/>
    <cellStyle name="Lien hypertexte 2 2 2" xfId="51" xr:uid="{3BC5515B-EF3D-4B07-B51A-86D14F2F55B8}"/>
    <cellStyle name="Lien hypertexte 2 2 3" xfId="54" xr:uid="{084DF999-EDBB-4757-B561-C8A9E5C2BB5A}"/>
    <cellStyle name="Lien hypertexte 3" xfId="13" xr:uid="{00000000-0005-0000-0000-000004000000}"/>
    <cellStyle name="Lien hypertexte 3 2" xfId="15" xr:uid="{00000000-0005-0000-0000-000005000000}"/>
    <cellStyle name="Lien hypertexte 3 2 2" xfId="25" xr:uid="{00000000-0005-0000-0000-000006000000}"/>
    <cellStyle name="Lien hypertexte 4" xfId="14" xr:uid="{00000000-0005-0000-0000-000007000000}"/>
    <cellStyle name="Lien hypertexte 5" xfId="16" xr:uid="{00000000-0005-0000-0000-000008000000}"/>
    <cellStyle name="Lien hypertexte 5 2" xfId="47" xr:uid="{41D5AFB6-D8E2-4A85-9067-0EC87B0BD066}"/>
    <cellStyle name="Lien hypertexte_Copie de cc2_festival_menus_gemrcn_2011" xfId="32" xr:uid="{7F8EC5D6-39AD-4707-9A2F-6FC90039202B}"/>
    <cellStyle name="Lien hypertexte_PG Positionnement 2009 2" xfId="46" xr:uid="{DF228E6E-F36F-49F5-A964-6616ECC4A620}"/>
    <cellStyle name="Milliers 2" xfId="10" xr:uid="{00000000-0005-0000-0000-000009000000}"/>
    <cellStyle name="Normal" xfId="0" builtinId="0"/>
    <cellStyle name="Normal 12" xfId="30" xr:uid="{2E4386E7-B116-4657-BF33-E9FEE3925FDF}"/>
    <cellStyle name="Normal 2" xfId="1" xr:uid="{00000000-0005-0000-0000-00000B000000}"/>
    <cellStyle name="Normal 2 2" xfId="3" xr:uid="{00000000-0005-0000-0000-00000C000000}"/>
    <cellStyle name="Normal 2 2 2" xfId="12" xr:uid="{00000000-0005-0000-0000-00000D000000}"/>
    <cellStyle name="Normal 2 2 2 2" xfId="35" xr:uid="{D40E4B07-653E-441C-8E14-118D5C3FF7D5}"/>
    <cellStyle name="Normal 2 2 3" xfId="39" xr:uid="{59EBF730-C70D-4DD3-95CB-BFD36060A569}"/>
    <cellStyle name="Normal 2 3" xfId="26" xr:uid="{00000000-0005-0000-0000-00000E000000}"/>
    <cellStyle name="Normal 2 3 2" xfId="42" xr:uid="{82F1C893-9435-4686-897C-9C39AF9A01FE}"/>
    <cellStyle name="Normal 2 4" xfId="44" xr:uid="{27F1EAD2-8F03-4802-B2D1-1EE857A6AE15}"/>
    <cellStyle name="Normal 3" xfId="34" xr:uid="{9F62C52D-3369-45B7-A390-F9C9B09B669B}"/>
    <cellStyle name="Normal 3 2" xfId="40" xr:uid="{6FE5B472-34FC-4C47-B061-D1B6D003BE3B}"/>
    <cellStyle name="Normal 4" xfId="2" xr:uid="{00000000-0005-0000-0000-00000F000000}"/>
    <cellStyle name="Normal 4 2" xfId="48" xr:uid="{85540435-BA94-4A03-A4CD-431D9EAFE796}"/>
    <cellStyle name="Normal 4 3" xfId="49" xr:uid="{E328F527-00CD-4C80-8CD6-C2F7C5FF31A8}"/>
    <cellStyle name="Normal 4 3 4" xfId="41" xr:uid="{4BE1E49D-2411-492D-BF6F-C20F903858C1}"/>
    <cellStyle name="Normal 4 3 4 2" xfId="50" xr:uid="{DF700A30-E1BC-4027-8A51-9F4C0910047E}"/>
    <cellStyle name="Normal 5 2" xfId="43" xr:uid="{F9490B3E-9AEE-488E-9202-AD07A2A43C65}"/>
    <cellStyle name="Normal_Base de données recettes (1)" xfId="11" xr:uid="{00000000-0005-0000-0000-000010000000}"/>
    <cellStyle name="Normal_Bons de commande livraison" xfId="7" xr:uid="{00000000-0005-0000-0000-000011000000}"/>
    <cellStyle name="Normal_Comparer recettes 2009 OK 2" xfId="9" xr:uid="{00000000-0005-0000-0000-000012000000}"/>
    <cellStyle name="Normal_Comparer recettes 2009 OK 2 2" xfId="37" xr:uid="{7F824214-C02B-47C8-A779-226C49FA1735}"/>
    <cellStyle name="Normal_Conditionnement 3 décembre" xfId="8" xr:uid="{00000000-0005-0000-0000-000013000000}"/>
    <cellStyle name="Normal_Cuissons Températures portait16-11-2006" xfId="21" xr:uid="{00000000-0005-0000-0000-000014000000}"/>
    <cellStyle name="Normal_EFECTIF1 2" xfId="52" xr:uid="{68C94552-D334-482A-BD35-7CEB141E08F4}"/>
    <cellStyle name="Normal_Effectif Conditionnement Goulin" xfId="28" xr:uid="{00000000-0005-0000-0000-000015000000}"/>
    <cellStyle name="Normal_Forum Marais 15 09 2001" xfId="6" xr:uid="{00000000-0005-0000-0000-000016000000}"/>
    <cellStyle name="Normal_Forum Marais 15 09 2001 2" xfId="20" xr:uid="{00000000-0005-0000-0000-000017000000}"/>
    <cellStyle name="Normal_Forum Marais 15 09 2001 2 2" xfId="53" xr:uid="{924A81BF-900B-4618-8C07-EE1810E08390}"/>
    <cellStyle name="Normal_Forum Marais 15 09 2001 3" xfId="29" xr:uid="{00000000-0005-0000-0000-000018000000}"/>
    <cellStyle name="Normal_Forum Marais 15 09 2001_Fiche technique C2 Mars 2008 " xfId="36" xr:uid="{28F82137-702C-4D2D-B679-7495252029F0}"/>
    <cellStyle name="Normal_Gantt 27 janvier 2" xfId="38" xr:uid="{C81B6A7B-C99F-4227-8DD7-B879DA962FA9}"/>
    <cellStyle name="Normal_GERMCN UPC brouillon" xfId="31" xr:uid="{8076EADF-924A-464A-B4E0-BF8EFDFFC503}"/>
    <cellStyle name="Normal_Marché 2002 filtre automatique" xfId="27" xr:uid="{00000000-0005-0000-0000-000019000000}"/>
    <cellStyle name="Normal_Menussuite" xfId="33" xr:uid="{7D9B4799-3EC2-45BB-9D01-CE52F9F68ACA}"/>
    <cellStyle name="Normal_MS Définitions_1" xfId="18" xr:uid="{00000000-0005-0000-0000-00001A000000}"/>
    <cellStyle name="Normal_Salaires 2002 Modèle" xfId="19" xr:uid="{00000000-0005-0000-0000-00001B000000}"/>
    <cellStyle name="Normal_space" xfId="17" xr:uid="{00000000-0005-0000-0000-00001C000000}"/>
    <cellStyle name="Pourcentage 2 2" xfId="24" xr:uid="{00000000-0005-0000-0000-00001D000000}"/>
  </cellStyles>
  <dxfs count="6">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0000FF"/>
      <color rgb="FFFFFFCC"/>
      <color rgb="FFCCCCFF"/>
      <color rgb="FFFFC000"/>
      <color rgb="FF9999FF"/>
      <color rgb="FF66FFCC"/>
      <color rgb="FFFFFF99"/>
      <color rgb="FFCCFFFF"/>
      <color rgb="FF66FF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0FCF6E08-D0C8-4A42-92BB-A1908009A0A0}" type="presOf" srcId="{2DFB2CD0-6288-49B7-9A82-33943972DFBD}" destId="{ED7C3A72-918F-4DBA-8C27-EBF5DF84000B}" srcOrd="0" destOrd="0" presId="urn:microsoft.com/office/officeart/2005/8/layout/target1"/>
    <dgm:cxn modelId="{4C4DF141-6BA6-444B-8FC7-8ED0DB911421}"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F01A20C8-0228-4CCE-A26D-81688D1F6D18}"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C30CD1EC-DA90-4C93-9219-2679BAB8BE24}" type="presOf" srcId="{25EA7D6E-99F1-4462-B118-CD7F631F49DB}" destId="{E9A320C5-9217-4BD7-9125-9DF9912C1300}"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ABEEAAB9-A2D6-470F-93B2-9012D814A763}" type="presParOf" srcId="{9D7DD4FB-464F-4BC0-AEC6-9816758D0E6D}" destId="{9F6578EC-0EA8-494C-ABE2-36BAEE9A18C4}" srcOrd="0" destOrd="0" presId="urn:microsoft.com/office/officeart/2005/8/layout/target1"/>
    <dgm:cxn modelId="{D55C5E08-8540-4468-8100-B310DCA3958B}" type="presParOf" srcId="{9D7DD4FB-464F-4BC0-AEC6-9816758D0E6D}" destId="{E9A320C5-9217-4BD7-9125-9DF9912C1300}" srcOrd="1" destOrd="0" presId="urn:microsoft.com/office/officeart/2005/8/layout/target1"/>
    <dgm:cxn modelId="{65D09C7D-E002-4563-A496-EA1033A67863}" type="presParOf" srcId="{9D7DD4FB-464F-4BC0-AEC6-9816758D0E6D}" destId="{F0071ECC-22C7-4606-A1DC-EECA13F7ED1C}" srcOrd="2" destOrd="0" presId="urn:microsoft.com/office/officeart/2005/8/layout/target1"/>
    <dgm:cxn modelId="{84A81165-3192-4DEE-93E2-6819F94E0A34}" type="presParOf" srcId="{9D7DD4FB-464F-4BC0-AEC6-9816758D0E6D}" destId="{3DD5EF9D-7C8B-46F9-9947-1A2E8E3674C2}" srcOrd="3" destOrd="0" presId="urn:microsoft.com/office/officeart/2005/8/layout/target1"/>
    <dgm:cxn modelId="{1194C3A0-D20A-4304-8C3A-DD972BEFB2A1}" type="presParOf" srcId="{9D7DD4FB-464F-4BC0-AEC6-9816758D0E6D}" destId="{D1190DAD-5841-4615-998E-900BFF221814}" srcOrd="4" destOrd="0" presId="urn:microsoft.com/office/officeart/2005/8/layout/target1"/>
    <dgm:cxn modelId="{BD05C693-2801-4550-AA1A-3681A5F6EC6A}" type="presParOf" srcId="{9D7DD4FB-464F-4BC0-AEC6-9816758D0E6D}" destId="{ED7C3A72-918F-4DBA-8C27-EBF5DF84000B}" srcOrd="5" destOrd="0" presId="urn:microsoft.com/office/officeart/2005/8/layout/target1"/>
    <dgm:cxn modelId="{98AE3DA1-ACAB-4066-AEB2-BDFE8FA80729}" type="presParOf" srcId="{9D7DD4FB-464F-4BC0-AEC6-9816758D0E6D}" destId="{A4D86D11-9E63-437A-A30B-93AF2E24557B}" srcOrd="6" destOrd="0" presId="urn:microsoft.com/office/officeart/2005/8/layout/target1"/>
    <dgm:cxn modelId="{B4A637D8-21C3-475D-AE0D-C9AEAE375145}" type="presParOf" srcId="{9D7DD4FB-464F-4BC0-AEC6-9816758D0E6D}" destId="{A6F30462-8FBB-4858-BB15-629689765207}" srcOrd="7" destOrd="0" presId="urn:microsoft.com/office/officeart/2005/8/layout/target1"/>
    <dgm:cxn modelId="{C0CAD8CF-D7C9-4953-B8BD-8A0F0B45E236}" type="presParOf" srcId="{9D7DD4FB-464F-4BC0-AEC6-9816758D0E6D}" destId="{BE22EF5A-D512-4CCB-9ACA-0274A5AFAA68}" srcOrd="8" destOrd="0" presId="urn:microsoft.com/office/officeart/2005/8/layout/target1"/>
    <dgm:cxn modelId="{0C15DDAF-0808-4E89-BBDE-806545F90A6C}" type="presParOf" srcId="{9D7DD4FB-464F-4BC0-AEC6-9816758D0E6D}" destId="{14F73FC4-6E68-476D-9180-080210AE3637}" srcOrd="9" destOrd="0" presId="urn:microsoft.com/office/officeart/2005/8/layout/target1"/>
    <dgm:cxn modelId="{E95B6E6B-F909-4760-9C0B-1AC8CE8E7D1C}" type="presParOf" srcId="{9D7DD4FB-464F-4BC0-AEC6-9816758D0E6D}" destId="{D78CABE5-3F06-4918-8B9F-95537A2E4443}" srcOrd="10" destOrd="0" presId="urn:microsoft.com/office/officeart/2005/8/layout/target1"/>
    <dgm:cxn modelId="{33B475C6-6DF1-4D82-A358-24C57F9E8AE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36.png"/><Relationship Id="rId3" Type="http://schemas.openxmlformats.org/officeDocument/2006/relationships/image" Target="../media/image18.png"/><Relationship Id="rId21" Type="http://schemas.openxmlformats.org/officeDocument/2006/relationships/diagramQuickStyle" Target="../diagrams/quickStyle1.xml"/><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35.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diagramLayout" Target="../diagrams/layout1.xml"/><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4.png"/><Relationship Id="rId5" Type="http://schemas.openxmlformats.org/officeDocument/2006/relationships/image" Target="../media/image20.png"/><Relationship Id="rId15" Type="http://schemas.openxmlformats.org/officeDocument/2006/relationships/image" Target="../media/image30.png"/><Relationship Id="rId23" Type="http://schemas.microsoft.com/office/2007/relationships/diagramDrawing" Target="../diagrams/drawing1.xml"/><Relationship Id="rId28" Type="http://schemas.openxmlformats.org/officeDocument/2006/relationships/image" Target="../media/image38.png"/><Relationship Id="rId10" Type="http://schemas.openxmlformats.org/officeDocument/2006/relationships/image" Target="../media/image25.png"/><Relationship Id="rId19" Type="http://schemas.openxmlformats.org/officeDocument/2006/relationships/diagramData" Target="../diagrams/data1.xml"/><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diagramColors" Target="../diagrams/colors1.xml"/><Relationship Id="rId27" Type="http://schemas.openxmlformats.org/officeDocument/2006/relationships/image" Target="../media/image3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36.png"/><Relationship Id="rId3" Type="http://schemas.openxmlformats.org/officeDocument/2006/relationships/image" Target="../media/image18.png"/><Relationship Id="rId21" Type="http://schemas.openxmlformats.org/officeDocument/2006/relationships/diagramQuickStyle" Target="../diagrams/quickStyle2.xml"/><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35.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diagramLayout" Target="../diagrams/layout2.xml"/><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4.png"/><Relationship Id="rId5" Type="http://schemas.openxmlformats.org/officeDocument/2006/relationships/image" Target="../media/image20.png"/><Relationship Id="rId15" Type="http://schemas.openxmlformats.org/officeDocument/2006/relationships/image" Target="../media/image30.png"/><Relationship Id="rId23" Type="http://schemas.microsoft.com/office/2007/relationships/diagramDrawing" Target="../diagrams/drawing2.xml"/><Relationship Id="rId28" Type="http://schemas.openxmlformats.org/officeDocument/2006/relationships/image" Target="../media/image38.png"/><Relationship Id="rId10" Type="http://schemas.openxmlformats.org/officeDocument/2006/relationships/image" Target="../media/image25.png"/><Relationship Id="rId19" Type="http://schemas.openxmlformats.org/officeDocument/2006/relationships/diagramData" Target="../diagrams/data2.xml"/><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diagramColors" Target="../diagrams/colors2.xml"/><Relationship Id="rId27" Type="http://schemas.openxmlformats.org/officeDocument/2006/relationships/image" Target="../media/image3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25</xdr:col>
      <xdr:colOff>579463</xdr:colOff>
      <xdr:row>69</xdr:row>
      <xdr:rowOff>249836</xdr:rowOff>
    </xdr:from>
    <xdr:to>
      <xdr:col>27</xdr:col>
      <xdr:colOff>593360</xdr:colOff>
      <xdr:row>73</xdr:row>
      <xdr:rowOff>249837</xdr:rowOff>
    </xdr:to>
    <xdr:pic>
      <xdr:nvPicPr>
        <xdr:cNvPr id="2" name="Picture 1">
          <a:extLst>
            <a:ext uri="{FF2B5EF4-FFF2-40B4-BE49-F238E27FC236}">
              <a16:creationId xmlns:a16="http://schemas.microsoft.com/office/drawing/2014/main" id="{F41AA746-1FD0-465A-8FCE-161AF4802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3725" y="35289344"/>
          <a:ext cx="1544143" cy="199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D5DA32E3-DB96-4A08-8478-67CCAD9AD882}"/>
            </a:ext>
          </a:extLst>
        </xdr:cNvPr>
        <xdr:cNvSpPr txBox="1">
          <a:spLocks noChangeArrowheads="1"/>
        </xdr:cNvSpPr>
      </xdr:nvSpPr>
      <xdr:spPr bwMode="auto">
        <a:xfrm>
          <a:off x="0" y="2486025"/>
          <a:ext cx="2628900" cy="12401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1) REALISER LES DORAYAKIS:</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Mélanger la farine, la farine de riz gluant, le bicarbonate de soude, le miel et le milin , l'oeuf, le téh matcha. terminer à consistance onctueuse avec de la crème fluide. Laisser reposer 1h00.</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Cuire des pancakes sur plaque coup de feu ou dans une poêle antiadhésive, diamètre régulier de 6 Cm. en prévoir deux par personne . Chauffer le fer décoratif et marquer le dessus des dorayakis.</a:t>
          </a:r>
        </a:p>
        <a:p>
          <a:pPr algn="l" rtl="0">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2) FARCE: travailler la pâte d'azukis et étaler sur 10 dorayakis de fond.tailler les fraises en brunoise et disposer sur la pâte d'azukis. Refermer par un joli dorayaki, réserver au frais .</a:t>
          </a:r>
        </a:p>
        <a:p>
          <a:pPr algn="l" rtl="0">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3) SORBET YUZU: porter à ébullition l'eau , le sucre et la trimoline. cuire à 105 degrés. Ajouter le jus de yuzu et mouler en bols à pacojet. prendre au grand froid et trubiner 10 minutes avant de servir .</a:t>
          </a:r>
        </a:p>
        <a:p>
          <a:pPr algn="l" rtl="0">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4 ) Pocher les litchees dénoyautés au sirop, distribuer à l'office pour flambage</a:t>
          </a:r>
        </a:p>
        <a:p>
          <a:pPr algn="l" rtl="0">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5) dressage: poser l'assiette sur un tour de potier, disposer un peu de jus de mangue et trouner avec une boisette. déposer le dorayaki, dresser une quenelle de sorbet à côté.</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endParaRPr lang="fr-FR" sz="1100" b="0" i="0" u="none" strike="noStrike" baseline="0">
            <a:solidFill>
              <a:srgbClr val="000000"/>
            </a:solidFill>
            <a:latin typeface="Times New Roman"/>
            <a:ea typeface="Times New Roman"/>
            <a:cs typeface="Times New Roman"/>
          </a:endParaRPr>
        </a:p>
      </xdr:txBody>
    </xdr:sp>
    <xdr:clientData/>
  </xdr:twoCellAnchor>
  <xdr:twoCellAnchor>
    <xdr:from>
      <xdr:col>1</xdr:col>
      <xdr:colOff>53975</xdr:colOff>
      <xdr:row>2</xdr:row>
      <xdr:rowOff>149225</xdr:rowOff>
    </xdr:from>
    <xdr:to>
      <xdr:col>4</xdr:col>
      <xdr:colOff>349250</xdr:colOff>
      <xdr:row>3</xdr:row>
      <xdr:rowOff>1117547</xdr:rowOff>
    </xdr:to>
    <xdr:sp macro="" textlink="">
      <xdr:nvSpPr>
        <xdr:cNvPr id="3" name="AutoShape 14">
          <a:extLst>
            <a:ext uri="{FF2B5EF4-FFF2-40B4-BE49-F238E27FC236}">
              <a16:creationId xmlns:a16="http://schemas.microsoft.com/office/drawing/2014/main" id="{BF474E4A-86F5-4455-9343-1361875D68CB}"/>
            </a:ext>
          </a:extLst>
        </xdr:cNvPr>
        <xdr:cNvSpPr>
          <a:spLocks noChangeArrowheads="1"/>
        </xdr:cNvSpPr>
      </xdr:nvSpPr>
      <xdr:spPr bwMode="auto">
        <a:xfrm>
          <a:off x="434975" y="882650"/>
          <a:ext cx="6038850" cy="1273122"/>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0" u="none" strike="noStrike" baseline="0">
              <a:solidFill>
                <a:srgbClr val="000000"/>
              </a:solidFill>
              <a:latin typeface="Arial"/>
              <a:ea typeface="Arial"/>
              <a:cs typeface="Arial"/>
            </a:rPr>
            <a:t>Pancake japonais coloré et parfumé au thé matcha farci de pâte de haricots rouges confits et de brunoise de fraises (selon saison) ou à défaut de litchees. Le dessert est accompagné d'une quenelle de sorbet au Yuzu . En complément des fruits flambés peuvent accompagner le dessert </a:t>
          </a:r>
        </a:p>
      </xdr:txBody>
    </xdr:sp>
    <xdr:clientData/>
  </xdr:twoCellAnchor>
  <xdr:twoCellAnchor>
    <xdr:from>
      <xdr:col>22</xdr:col>
      <xdr:colOff>346075</xdr:colOff>
      <xdr:row>2</xdr:row>
      <xdr:rowOff>123825</xdr:rowOff>
    </xdr:from>
    <xdr:to>
      <xdr:col>26</xdr:col>
      <xdr:colOff>320675</xdr:colOff>
      <xdr:row>3</xdr:row>
      <xdr:rowOff>698459</xdr:rowOff>
    </xdr:to>
    <xdr:sp macro="" textlink="">
      <xdr:nvSpPr>
        <xdr:cNvPr id="4" name="Oval 2">
          <a:extLst>
            <a:ext uri="{FF2B5EF4-FFF2-40B4-BE49-F238E27FC236}">
              <a16:creationId xmlns:a16="http://schemas.microsoft.com/office/drawing/2014/main" id="{A6EC1A4B-07B5-4C5F-8C41-0C170FBD8164}"/>
            </a:ext>
          </a:extLst>
        </xdr:cNvPr>
        <xdr:cNvSpPr>
          <a:spLocks noChangeArrowheads="1"/>
        </xdr:cNvSpPr>
      </xdr:nvSpPr>
      <xdr:spPr bwMode="auto">
        <a:xfrm>
          <a:off x="22596475" y="857250"/>
          <a:ext cx="1574800" cy="879434"/>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a:effectLst>
          <a:outerShdw blurRad="63500" dist="107763" dir="8100000" algn="ctr" rotWithShape="0">
            <a:srgbClr xmlns:mc="http://schemas.openxmlformats.org/markup-compatibility/2006" xmlns:a14="http://schemas.microsoft.com/office/drawing/2010/main" val="969696" mc:Ignorable="a14" a14:legacySpreadsheetColorIndex="55">
              <a:alpha val="74998"/>
            </a:srgbClr>
          </a:outerShdw>
        </a:effectLst>
      </xdr:spPr>
      <xdr:txBody>
        <a:bodyPr rtlCol="0"/>
        <a:lstStyle/>
        <a:p>
          <a:endParaRPr lang="fr-FR"/>
        </a:p>
      </xdr:txBody>
    </xdr:sp>
    <xdr:clientData/>
  </xdr:twoCellAnchor>
  <xdr:twoCellAnchor>
    <xdr:from>
      <xdr:col>23</xdr:col>
      <xdr:colOff>66675</xdr:colOff>
      <xdr:row>3</xdr:row>
      <xdr:rowOff>38100</xdr:rowOff>
    </xdr:from>
    <xdr:to>
      <xdr:col>26</xdr:col>
      <xdr:colOff>209550</xdr:colOff>
      <xdr:row>3</xdr:row>
      <xdr:rowOff>619125</xdr:rowOff>
    </xdr:to>
    <xdr:sp macro="" textlink="">
      <xdr:nvSpPr>
        <xdr:cNvPr id="5" name="Oval 1">
          <a:extLst>
            <a:ext uri="{FF2B5EF4-FFF2-40B4-BE49-F238E27FC236}">
              <a16:creationId xmlns:a16="http://schemas.microsoft.com/office/drawing/2014/main" id="{2C811456-2614-4D17-A234-7BBA4029CD1A}"/>
            </a:ext>
          </a:extLst>
        </xdr:cNvPr>
        <xdr:cNvSpPr>
          <a:spLocks noChangeArrowheads="1"/>
        </xdr:cNvSpPr>
      </xdr:nvSpPr>
      <xdr:spPr bwMode="auto">
        <a:xfrm>
          <a:off x="22736175" y="1076325"/>
          <a:ext cx="1323975" cy="5810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15</xdr:col>
      <xdr:colOff>0</xdr:colOff>
      <xdr:row>5</xdr:row>
      <xdr:rowOff>0</xdr:rowOff>
    </xdr:from>
    <xdr:to>
      <xdr:col>17</xdr:col>
      <xdr:colOff>0</xdr:colOff>
      <xdr:row>45</xdr:row>
      <xdr:rowOff>0</xdr:rowOff>
    </xdr:to>
    <xdr:sp macro="" textlink="">
      <xdr:nvSpPr>
        <xdr:cNvPr id="6" name="Text Box 6">
          <a:extLst>
            <a:ext uri="{FF2B5EF4-FFF2-40B4-BE49-F238E27FC236}">
              <a16:creationId xmlns:a16="http://schemas.microsoft.com/office/drawing/2014/main" id="{D45D5A83-A2B5-446C-BA5F-1294CB29A6DA}"/>
            </a:ext>
          </a:extLst>
        </xdr:cNvPr>
        <xdr:cNvSpPr txBox="1">
          <a:spLocks noChangeArrowheads="1"/>
        </xdr:cNvSpPr>
      </xdr:nvSpPr>
      <xdr:spPr bwMode="auto">
        <a:xfrm>
          <a:off x="15192375" y="2486025"/>
          <a:ext cx="4495800" cy="12401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1100" b="0" i="0" u="none" strike="noStrike" baseline="0">
              <a:solidFill>
                <a:srgbClr val="000000"/>
              </a:solidFill>
              <a:latin typeface="Times New Roman"/>
              <a:ea typeface="Times New Roman"/>
              <a:cs typeface="Times New Roman"/>
            </a:rPr>
            <a:t>1) REALISER LES DORAYAKIS:</a:t>
          </a:r>
        </a:p>
        <a:p>
          <a:pPr algn="l" rtl="0">
            <a:defRPr sz="1000"/>
          </a:pPr>
          <a:r>
            <a:rPr lang="fr-FR" sz="1100" b="0" i="0" u="none" strike="noStrike" baseline="0">
              <a:solidFill>
                <a:srgbClr val="000000"/>
              </a:solidFill>
              <a:latin typeface="Times New Roman"/>
              <a:ea typeface="Times New Roman"/>
              <a:cs typeface="Times New Roman"/>
            </a:rPr>
            <a:t>Mélanger la farine, la farine de riz gluant, le bicarbonate de soude, le miel et le milin , l'oeuf, le téh matcha. terminer à consistance onctueuse avec de la crème fluide. Laisser reposer 1h00.</a:t>
          </a:r>
        </a:p>
        <a:p>
          <a:pPr algn="l" rtl="0">
            <a:defRPr sz="1000"/>
          </a:pPr>
          <a:r>
            <a:rPr lang="fr-FR" sz="1100" b="0" i="0" u="none" strike="noStrike" baseline="0">
              <a:solidFill>
                <a:srgbClr val="000000"/>
              </a:solidFill>
              <a:latin typeface="Times New Roman"/>
              <a:ea typeface="Times New Roman"/>
              <a:cs typeface="Times New Roman"/>
            </a:rPr>
            <a:t>Cuire des pancakes sur plaque coup de feu ou dans une poêle antiadhésive, diamètre régulier de 6 Cm. en prévoir deux par personne . Chauffer le fer décoratif et marquer le dessus des dorayakis.</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2) FARCE: travailler la pâte d'azukis et étaler sur 10 dorayakis de fond.tailler les fraises en brunoise et disposer sur la pâte d'azukis. Refermer par un joli dorayaki, réserver au frais .</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3) SORBET YUZU: porter à ébullition l'eau , le sucre et la trimoline. cuire à 105 degrés. Ajouter le jus de yuzu et mouler en bols à pacojet. prendre au grand froid et trubiner 10 minutes avant de servir .</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4 ) Pocher les litchees dénoyautés au sirop, distribuer à l'office pour flambage</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5) dressage: poser l'assiette sur un tour de potier, disposer un peu de jus de mangue et trouner avec une boisette. déposer le dorayaki, dresser une quenelle de sorbet à côté.</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endParaRPr lang="fr-FR" sz="1100" b="0" i="0" u="none" strike="noStrike" baseline="0">
            <a:solidFill>
              <a:srgbClr val="000000"/>
            </a:solidFill>
            <a:latin typeface="Times New Roman"/>
            <a:ea typeface="Times New Roman"/>
            <a:cs typeface="Times New Roman"/>
          </a:endParaRPr>
        </a:p>
      </xdr:txBody>
    </xdr:sp>
    <xdr:clientData/>
  </xdr:twoCellAnchor>
  <xdr:twoCellAnchor>
    <xdr:from>
      <xdr:col>16</xdr:col>
      <xdr:colOff>53975</xdr:colOff>
      <xdr:row>2</xdr:row>
      <xdr:rowOff>149225</xdr:rowOff>
    </xdr:from>
    <xdr:to>
      <xdr:col>19</xdr:col>
      <xdr:colOff>349250</xdr:colOff>
      <xdr:row>3</xdr:row>
      <xdr:rowOff>1117547</xdr:rowOff>
    </xdr:to>
    <xdr:sp macro="" textlink="">
      <xdr:nvSpPr>
        <xdr:cNvPr id="7" name="AutoShape 14">
          <a:extLst>
            <a:ext uri="{FF2B5EF4-FFF2-40B4-BE49-F238E27FC236}">
              <a16:creationId xmlns:a16="http://schemas.microsoft.com/office/drawing/2014/main" id="{C5D68F34-005C-4D13-9AE2-BBFB64A12F48}"/>
            </a:ext>
          </a:extLst>
        </xdr:cNvPr>
        <xdr:cNvSpPr>
          <a:spLocks noChangeArrowheads="1"/>
        </xdr:cNvSpPr>
      </xdr:nvSpPr>
      <xdr:spPr bwMode="auto">
        <a:xfrm>
          <a:off x="17494250" y="882650"/>
          <a:ext cx="3857625" cy="1273122"/>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0" u="none" strike="noStrike" baseline="0">
              <a:solidFill>
                <a:srgbClr val="000000"/>
              </a:solidFill>
              <a:latin typeface="Arial"/>
              <a:ea typeface="Arial"/>
              <a:cs typeface="Arial"/>
            </a:rPr>
            <a:t>Pancake japonais coloré et parfumé au thé matcha farci de pâte de haricots rouges confits et de brunoise de fraises (selon saison) ou à défaut de litchees. Le dessert est accompagné d'une quenelle de sorbet au Yuzu . En complément des fruits flambés peuvent accompagner le dessert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241D9263-EFED-4920-A04B-70629D7EAD11}"/>
            </a:ext>
          </a:extLst>
        </xdr:cNvPr>
        <xdr:cNvSpPr txBox="1">
          <a:spLocks noChangeArrowheads="1"/>
        </xdr:cNvSpPr>
      </xdr:nvSpPr>
      <xdr:spPr bwMode="auto">
        <a:xfrm>
          <a:off x="0" y="2295525"/>
          <a:ext cx="2628900" cy="124015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fr-FR" sz="1200" b="0" i="0" u="none" strike="noStrike" baseline="0">
              <a:solidFill>
                <a:srgbClr val="000000"/>
              </a:solidFill>
              <a:latin typeface="Arial"/>
              <a:ea typeface="Arial"/>
              <a:cs typeface="Arial"/>
            </a:rPr>
            <a:t>1) Marquer un fond blanc de volaille avec les os des cuisses de poulet réservées (TSUKUNE). filtrer</a:t>
          </a:r>
        </a:p>
        <a:p>
          <a:pPr algn="l" rtl="0">
            <a:defRPr sz="1000"/>
          </a:pPr>
          <a:endParaRPr lang="fr-FR" sz="1200" b="0" i="0" u="none" strike="noStrike" baseline="0">
            <a:solidFill>
              <a:srgbClr val="000000"/>
            </a:solidFill>
            <a:latin typeface="Arial"/>
            <a:ea typeface="Arial"/>
            <a:cs typeface="Arial"/>
          </a:endParaRPr>
        </a:p>
        <a:p>
          <a:pPr algn="l" rtl="0">
            <a:defRPr sz="1000"/>
          </a:pPr>
          <a:r>
            <a:rPr lang="fr-FR" sz="1200" b="0" i="0" u="none" strike="noStrike" baseline="0">
              <a:solidFill>
                <a:srgbClr val="000000"/>
              </a:solidFill>
              <a:latin typeface="Arial"/>
              <a:ea typeface="Arial"/>
              <a:cs typeface="Arial"/>
            </a:rPr>
            <a:t>2) ajouter le dashi, porter à ébulltion, réduire jusqu'à obtention de la saveur corsée souhaitée.</a:t>
          </a:r>
        </a:p>
        <a:p>
          <a:pPr algn="l" rtl="0">
            <a:defRPr sz="1000"/>
          </a:pPr>
          <a:endParaRPr lang="fr-FR" sz="1200" b="0" i="0" u="none" strike="noStrike" baseline="0">
            <a:solidFill>
              <a:srgbClr val="000000"/>
            </a:solidFill>
            <a:latin typeface="Arial"/>
            <a:ea typeface="Arial"/>
            <a:cs typeface="Arial"/>
          </a:endParaRPr>
        </a:p>
        <a:p>
          <a:pPr algn="l" rtl="0">
            <a:defRPr sz="1000"/>
          </a:pPr>
          <a:r>
            <a:rPr lang="fr-FR" sz="1200" b="0" i="0" u="none" strike="noStrike" baseline="0">
              <a:solidFill>
                <a:srgbClr val="000000"/>
              </a:solidFill>
              <a:latin typeface="Arial"/>
              <a:ea typeface="Arial"/>
              <a:cs typeface="Arial"/>
            </a:rPr>
            <a:t>3) Lier à la pâte de miso blond </a:t>
          </a:r>
        </a:p>
        <a:p>
          <a:pPr algn="l" rtl="0">
            <a:defRPr sz="1000"/>
          </a:pPr>
          <a:endParaRPr lang="fr-FR" sz="1200" b="0" i="0" u="none" strike="noStrike" baseline="0">
            <a:solidFill>
              <a:srgbClr val="000000"/>
            </a:solidFill>
            <a:latin typeface="Arial"/>
            <a:ea typeface="Arial"/>
            <a:cs typeface="Arial"/>
          </a:endParaRPr>
        </a:p>
        <a:p>
          <a:pPr algn="l" rtl="0">
            <a:defRPr sz="1000"/>
          </a:pPr>
          <a:r>
            <a:rPr lang="fr-FR" sz="1200" b="0" i="0" u="none" strike="noStrike" baseline="0">
              <a:solidFill>
                <a:srgbClr val="000000"/>
              </a:solidFill>
              <a:latin typeface="Arial"/>
              <a:ea typeface="Arial"/>
              <a:cs typeface="Arial"/>
            </a:rPr>
            <a:t>4) tailler la garniture, lever les filets de daurade, tailler des fines goujeonnettes, réserver.</a:t>
          </a:r>
        </a:p>
        <a:p>
          <a:pPr algn="l" rtl="0">
            <a:lnSpc>
              <a:spcPts val="1300"/>
            </a:lnSpc>
            <a:defRPr sz="1000"/>
          </a:pPr>
          <a:r>
            <a:rPr lang="fr-FR" sz="1200" b="0" i="0" u="none" strike="noStrike" baseline="0">
              <a:solidFill>
                <a:srgbClr val="000000"/>
              </a:solidFill>
              <a:latin typeface="Arial"/>
              <a:ea typeface="Arial"/>
              <a:cs typeface="Arial"/>
            </a:rPr>
            <a:t>émincer les fanes d'oignons.</a:t>
          </a:r>
        </a:p>
        <a:p>
          <a:pPr algn="l" rtl="0">
            <a:lnSpc>
              <a:spcPts val="1300"/>
            </a:lnSpc>
            <a:defRPr sz="1000"/>
          </a:pPr>
          <a:r>
            <a:rPr lang="fr-FR" sz="1200" b="0" i="0" u="none" strike="noStrike" baseline="0">
              <a:solidFill>
                <a:srgbClr val="000000"/>
              </a:solidFill>
              <a:latin typeface="Arial"/>
              <a:ea typeface="Arial"/>
              <a:cs typeface="Arial"/>
            </a:rPr>
            <a:t>Dessaler le wakame dans deux bains d'eau fraiche, presser</a:t>
          </a:r>
        </a:p>
        <a:p>
          <a:pPr algn="l" rtl="0">
            <a:defRPr sz="1000"/>
          </a:pPr>
          <a:endParaRPr lang="fr-FR" sz="1200" b="0" i="0" u="none" strike="noStrike" baseline="0">
            <a:solidFill>
              <a:srgbClr val="000000"/>
            </a:solidFill>
            <a:latin typeface="Arial"/>
            <a:ea typeface="Arial"/>
            <a:cs typeface="Arial"/>
          </a:endParaRPr>
        </a:p>
        <a:p>
          <a:pPr algn="l" rtl="0">
            <a:lnSpc>
              <a:spcPts val="1300"/>
            </a:lnSpc>
            <a:defRPr sz="1000"/>
          </a:pPr>
          <a:endParaRPr lang="fr-FR" sz="1200" b="0" i="0" u="none" strike="noStrike" baseline="0">
            <a:solidFill>
              <a:srgbClr val="000000"/>
            </a:solidFill>
            <a:latin typeface="Arial"/>
            <a:ea typeface="Arial"/>
            <a:cs typeface="Arial"/>
          </a:endParaRPr>
        </a:p>
        <a:p>
          <a:pPr algn="l" rtl="0">
            <a:defRPr sz="1000"/>
          </a:pPr>
          <a:r>
            <a:rPr lang="fr-FR" sz="1200" b="0" i="0" u="none" strike="noStrike" baseline="0">
              <a:solidFill>
                <a:srgbClr val="000000"/>
              </a:solidFill>
              <a:latin typeface="Arial"/>
              <a:ea typeface="Arial"/>
              <a:cs typeface="Arial"/>
            </a:rPr>
            <a:t>Au moment, dresser au fond des bols, le poisson, les cives émincées, le wakame, verser la soupe bouillante dessus. parsemer de coriandre hachée et quelques feuilles de SHISO</a:t>
          </a:r>
        </a:p>
        <a:p>
          <a:pPr algn="l" rtl="0">
            <a:lnSpc>
              <a:spcPts val="1200"/>
            </a:lnSpc>
            <a:defRPr sz="1000"/>
          </a:pPr>
          <a:endParaRPr lang="fr-FR" sz="1100" b="0" i="0" u="none" strike="noStrike" baseline="0">
            <a:solidFill>
              <a:srgbClr val="000000"/>
            </a:solidFill>
            <a:latin typeface="Arial"/>
            <a:ea typeface="Arial"/>
            <a:cs typeface="Arial"/>
          </a:endParaRPr>
        </a:p>
        <a:p>
          <a:pPr algn="l" rtl="0">
            <a:lnSpc>
              <a:spcPts val="1200"/>
            </a:lnSpc>
            <a:defRPr sz="1000"/>
          </a:pPr>
          <a:endParaRPr lang="fr-FR" sz="1100" b="0" i="0" u="none" strike="noStrike" baseline="0">
            <a:solidFill>
              <a:srgbClr val="000000"/>
            </a:solidFill>
            <a:latin typeface="Arial"/>
            <a:ea typeface="Arial"/>
            <a:cs typeface="Arial"/>
          </a:endParaRPr>
        </a:p>
      </xdr:txBody>
    </xdr:sp>
    <xdr:clientData/>
  </xdr:twoCellAnchor>
  <xdr:twoCellAnchor>
    <xdr:from>
      <xdr:col>1</xdr:col>
      <xdr:colOff>85725</xdr:colOff>
      <xdr:row>3</xdr:row>
      <xdr:rowOff>28575</xdr:rowOff>
    </xdr:from>
    <xdr:to>
      <xdr:col>4</xdr:col>
      <xdr:colOff>400026</xdr:colOff>
      <xdr:row>3</xdr:row>
      <xdr:rowOff>895350</xdr:rowOff>
    </xdr:to>
    <xdr:sp macro="" textlink="">
      <xdr:nvSpPr>
        <xdr:cNvPr id="3" name="AutoShape 14">
          <a:extLst>
            <a:ext uri="{FF2B5EF4-FFF2-40B4-BE49-F238E27FC236}">
              <a16:creationId xmlns:a16="http://schemas.microsoft.com/office/drawing/2014/main" id="{2033B91D-29C0-4797-9F52-21BC35575F95}"/>
            </a:ext>
          </a:extLst>
        </xdr:cNvPr>
        <xdr:cNvSpPr>
          <a:spLocks noChangeArrowheads="1"/>
        </xdr:cNvSpPr>
      </xdr:nvSpPr>
      <xdr:spPr bwMode="auto">
        <a:xfrm>
          <a:off x="466725" y="876300"/>
          <a:ext cx="6057876" cy="866775"/>
        </a:xfrm>
        <a:prstGeom prst="roundRect">
          <a:avLst>
            <a:gd name="adj" fmla="val 16667"/>
          </a:avLst>
        </a:prstGeom>
        <a:solidFill>
          <a:srgbClr val="FFFFFF"/>
        </a:solidFill>
        <a:ln w="9525">
          <a:solidFill>
            <a:srgbClr val="000000"/>
          </a:solidFill>
          <a:round/>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Potage</a:t>
          </a:r>
          <a:r>
            <a:rPr lang="fr-FR" sz="1000" b="0" i="0" strike="noStrike" baseline="0">
              <a:solidFill>
                <a:srgbClr val="000000"/>
              </a:solidFill>
              <a:latin typeface="Arial"/>
              <a:cs typeface="Arial"/>
            </a:rPr>
            <a:t> léger de fond de volaille et de Dashi (bouillon japonais), lié à la pâte de miso (pâte de soja fermenté) , garnie à la minute de fines lanières de daurade royale crues et de fanes d'oignon blanc, de wakame et shiso. la finition est faite de fleurs d'amidon japonaises</a:t>
          </a:r>
          <a:endParaRPr lang="fr-FR" sz="1000" b="0" i="0" strike="noStrike">
            <a:solidFill>
              <a:srgbClr val="000000"/>
            </a:solidFill>
            <a:latin typeface="Arial"/>
            <a:cs typeface="Arial"/>
          </a:endParaRPr>
        </a:p>
      </xdr:txBody>
    </xdr:sp>
    <xdr:clientData/>
  </xdr:twoCellAnchor>
  <xdr:twoCellAnchor>
    <xdr:from>
      <xdr:col>22</xdr:col>
      <xdr:colOff>342900</xdr:colOff>
      <xdr:row>2</xdr:row>
      <xdr:rowOff>123825</xdr:rowOff>
    </xdr:from>
    <xdr:to>
      <xdr:col>26</xdr:col>
      <xdr:colOff>323850</xdr:colOff>
      <xdr:row>3</xdr:row>
      <xdr:rowOff>695325</xdr:rowOff>
    </xdr:to>
    <xdr:sp macro="" textlink="">
      <xdr:nvSpPr>
        <xdr:cNvPr id="4" name="Oval 2">
          <a:extLst>
            <a:ext uri="{FF2B5EF4-FFF2-40B4-BE49-F238E27FC236}">
              <a16:creationId xmlns:a16="http://schemas.microsoft.com/office/drawing/2014/main" id="{EDB10A01-0619-4283-AD87-46623341D057}"/>
            </a:ext>
          </a:extLst>
        </xdr:cNvPr>
        <xdr:cNvSpPr>
          <a:spLocks noChangeArrowheads="1"/>
        </xdr:cNvSpPr>
      </xdr:nvSpPr>
      <xdr:spPr bwMode="auto">
        <a:xfrm>
          <a:off x="22926675" y="619125"/>
          <a:ext cx="1581150" cy="923925"/>
        </a:xfrm>
        <a:prstGeom prst="ellipse">
          <a:avLst/>
        </a:prstGeom>
        <a:solidFill>
          <a:srgbClr val="FFFFFF"/>
        </a:solidFill>
        <a:ln w="9525">
          <a:solidFill>
            <a:srgbClr val="000000"/>
          </a:solidFill>
          <a:round/>
          <a:headEnd/>
          <a:tailEnd/>
        </a:ln>
        <a:effectLst>
          <a:outerShdw dist="107763" dir="8100000" algn="ctr" rotWithShape="0">
            <a:srgbClr val="969696"/>
          </a:outerShdw>
        </a:effectLst>
      </xdr:spPr>
    </xdr:sp>
    <xdr:clientData/>
  </xdr:twoCellAnchor>
  <xdr:twoCellAnchor>
    <xdr:from>
      <xdr:col>23</xdr:col>
      <xdr:colOff>66675</xdr:colOff>
      <xdr:row>3</xdr:row>
      <xdr:rowOff>38100</xdr:rowOff>
    </xdr:from>
    <xdr:to>
      <xdr:col>26</xdr:col>
      <xdr:colOff>209550</xdr:colOff>
      <xdr:row>3</xdr:row>
      <xdr:rowOff>619125</xdr:rowOff>
    </xdr:to>
    <xdr:sp macro="" textlink="">
      <xdr:nvSpPr>
        <xdr:cNvPr id="5" name="Oval 1">
          <a:extLst>
            <a:ext uri="{FF2B5EF4-FFF2-40B4-BE49-F238E27FC236}">
              <a16:creationId xmlns:a16="http://schemas.microsoft.com/office/drawing/2014/main" id="{67300DF8-9637-4D12-93BF-D1311B38610E}"/>
            </a:ext>
          </a:extLst>
        </xdr:cNvPr>
        <xdr:cNvSpPr>
          <a:spLocks noChangeArrowheads="1"/>
        </xdr:cNvSpPr>
      </xdr:nvSpPr>
      <xdr:spPr bwMode="auto">
        <a:xfrm>
          <a:off x="23069550" y="885825"/>
          <a:ext cx="1323975" cy="581025"/>
        </a:xfrm>
        <a:prstGeom prst="ellipse">
          <a:avLst/>
        </a:prstGeom>
        <a:solidFill>
          <a:srgbClr val="FFFFFF"/>
        </a:solidFill>
        <a:ln w="9525">
          <a:solidFill>
            <a:srgbClr val="000000"/>
          </a:solidFill>
          <a:round/>
          <a:headEnd/>
          <a:tailEnd/>
        </a:ln>
      </xdr:spPr>
    </xdr:sp>
    <xdr:clientData/>
  </xdr:twoCellAnchor>
  <xdr:twoCellAnchor>
    <xdr:from>
      <xdr:col>15</xdr:col>
      <xdr:colOff>0</xdr:colOff>
      <xdr:row>5</xdr:row>
      <xdr:rowOff>0</xdr:rowOff>
    </xdr:from>
    <xdr:to>
      <xdr:col>17</xdr:col>
      <xdr:colOff>0</xdr:colOff>
      <xdr:row>45</xdr:row>
      <xdr:rowOff>0</xdr:rowOff>
    </xdr:to>
    <xdr:sp macro="" textlink="">
      <xdr:nvSpPr>
        <xdr:cNvPr id="6" name="Text Box 6">
          <a:extLst>
            <a:ext uri="{FF2B5EF4-FFF2-40B4-BE49-F238E27FC236}">
              <a16:creationId xmlns:a16="http://schemas.microsoft.com/office/drawing/2014/main" id="{7C0C175C-97D7-4E82-895F-ADA5EDBB9A07}"/>
            </a:ext>
          </a:extLst>
        </xdr:cNvPr>
        <xdr:cNvSpPr txBox="1">
          <a:spLocks noChangeArrowheads="1"/>
        </xdr:cNvSpPr>
      </xdr:nvSpPr>
      <xdr:spPr bwMode="auto">
        <a:xfrm>
          <a:off x="15954375" y="2295525"/>
          <a:ext cx="4095750" cy="124015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100" b="0" i="0" u="none" strike="noStrike" baseline="0">
              <a:solidFill>
                <a:srgbClr val="000000"/>
              </a:solidFill>
              <a:latin typeface="Arial"/>
              <a:ea typeface="Arial"/>
              <a:cs typeface="Arial"/>
            </a:rPr>
            <a:t>1) Marquer un fond blanc de volaille avec les os des cuisses de poulet réservées (TSUKUNE). filtrer</a:t>
          </a:r>
        </a:p>
        <a:p>
          <a:pPr algn="l" rtl="0">
            <a:defRPr sz="1000"/>
          </a:pPr>
          <a:endParaRPr lang="fr-FR" sz="1100" b="0" i="0" u="none" strike="noStrike" baseline="0">
            <a:solidFill>
              <a:srgbClr val="000000"/>
            </a:solidFill>
            <a:latin typeface="Arial"/>
            <a:ea typeface="Arial"/>
            <a:cs typeface="Arial"/>
          </a:endParaRPr>
        </a:p>
        <a:p>
          <a:pPr algn="l" rtl="0">
            <a:defRPr sz="1000"/>
          </a:pPr>
          <a:r>
            <a:rPr lang="fr-FR" sz="1100" b="0" i="0" u="none" strike="noStrike" baseline="0">
              <a:solidFill>
                <a:srgbClr val="000000"/>
              </a:solidFill>
              <a:latin typeface="Arial"/>
              <a:ea typeface="Arial"/>
              <a:cs typeface="Arial"/>
            </a:rPr>
            <a:t>2) ajouter le dashi, porter à ébulltion, réduire jusqu'à obtention de la saveur corsée souhaitée.</a:t>
          </a:r>
        </a:p>
        <a:p>
          <a:pPr algn="l" rtl="0">
            <a:defRPr sz="1000"/>
          </a:pPr>
          <a:endParaRPr lang="fr-FR" sz="1100" b="0" i="0" u="none" strike="noStrike" baseline="0">
            <a:solidFill>
              <a:srgbClr val="000000"/>
            </a:solidFill>
            <a:latin typeface="Arial"/>
            <a:ea typeface="Arial"/>
            <a:cs typeface="Arial"/>
          </a:endParaRPr>
        </a:p>
        <a:p>
          <a:pPr algn="l" rtl="0">
            <a:defRPr sz="1000"/>
          </a:pPr>
          <a:r>
            <a:rPr lang="fr-FR" sz="1100" b="0" i="0" u="none" strike="noStrike" baseline="0">
              <a:solidFill>
                <a:srgbClr val="000000"/>
              </a:solidFill>
              <a:latin typeface="Arial"/>
              <a:ea typeface="Arial"/>
              <a:cs typeface="Arial"/>
            </a:rPr>
            <a:t>3) Lier à la pâte de miso blond </a:t>
          </a:r>
        </a:p>
        <a:p>
          <a:pPr algn="l" rtl="0">
            <a:defRPr sz="1000"/>
          </a:pPr>
          <a:endParaRPr lang="fr-FR" sz="1100" b="0" i="0" u="none" strike="noStrike" baseline="0">
            <a:solidFill>
              <a:srgbClr val="000000"/>
            </a:solidFill>
            <a:latin typeface="Arial"/>
            <a:ea typeface="Arial"/>
            <a:cs typeface="Arial"/>
          </a:endParaRPr>
        </a:p>
        <a:p>
          <a:pPr algn="l" rtl="0">
            <a:defRPr sz="1000"/>
          </a:pPr>
          <a:r>
            <a:rPr lang="fr-FR" sz="1100" b="0" i="0" u="none" strike="noStrike" baseline="0">
              <a:solidFill>
                <a:srgbClr val="000000"/>
              </a:solidFill>
              <a:latin typeface="Arial"/>
              <a:ea typeface="Arial"/>
              <a:cs typeface="Arial"/>
            </a:rPr>
            <a:t>4) tailler la garniture, lever les filets de daurade, tailler des fines goujeonnettes, réserver.</a:t>
          </a:r>
        </a:p>
        <a:p>
          <a:pPr algn="l" rtl="0">
            <a:lnSpc>
              <a:spcPts val="1300"/>
            </a:lnSpc>
            <a:defRPr sz="1000"/>
          </a:pPr>
          <a:r>
            <a:rPr lang="fr-FR" sz="1100" b="0" i="0" u="none" strike="noStrike" baseline="0">
              <a:solidFill>
                <a:srgbClr val="000000"/>
              </a:solidFill>
              <a:latin typeface="Arial"/>
              <a:ea typeface="Arial"/>
              <a:cs typeface="Arial"/>
            </a:rPr>
            <a:t>émincer les fanes d'oignons.</a:t>
          </a:r>
        </a:p>
        <a:p>
          <a:pPr algn="l" rtl="0">
            <a:lnSpc>
              <a:spcPts val="1300"/>
            </a:lnSpc>
            <a:defRPr sz="1000"/>
          </a:pPr>
          <a:r>
            <a:rPr lang="fr-FR" sz="1100" b="0" i="0" u="none" strike="noStrike" baseline="0">
              <a:solidFill>
                <a:srgbClr val="000000"/>
              </a:solidFill>
              <a:latin typeface="Arial"/>
              <a:ea typeface="Arial"/>
              <a:cs typeface="Arial"/>
            </a:rPr>
            <a:t>Dessaler le wakame dans deux bains d'eau fraiche, presser</a:t>
          </a:r>
        </a:p>
        <a:p>
          <a:pPr algn="l" rtl="0">
            <a:defRPr sz="1000"/>
          </a:pPr>
          <a:endParaRPr lang="fr-FR" sz="1100" b="0" i="0" u="none" strike="noStrike" baseline="0">
            <a:solidFill>
              <a:srgbClr val="000000"/>
            </a:solidFill>
            <a:latin typeface="Arial"/>
            <a:ea typeface="Arial"/>
            <a:cs typeface="Arial"/>
          </a:endParaRPr>
        </a:p>
        <a:p>
          <a:pPr algn="l" rtl="0">
            <a:lnSpc>
              <a:spcPts val="1300"/>
            </a:lnSpc>
            <a:defRPr sz="1000"/>
          </a:pPr>
          <a:endParaRPr lang="fr-FR" sz="1100" b="0" i="0" u="none" strike="noStrike" baseline="0">
            <a:solidFill>
              <a:srgbClr val="000000"/>
            </a:solidFill>
            <a:latin typeface="Arial"/>
            <a:ea typeface="Arial"/>
            <a:cs typeface="Arial"/>
          </a:endParaRPr>
        </a:p>
        <a:p>
          <a:pPr algn="l" rtl="0">
            <a:defRPr sz="1000"/>
          </a:pPr>
          <a:r>
            <a:rPr lang="fr-FR" sz="1100" b="0" i="0" u="none" strike="noStrike" baseline="0">
              <a:solidFill>
                <a:srgbClr val="000000"/>
              </a:solidFill>
              <a:latin typeface="Arial"/>
              <a:ea typeface="Arial"/>
              <a:cs typeface="Arial"/>
            </a:rPr>
            <a:t>Au moment, dresser au fond des bols, le poisson, les cives émincées, le wakame, verser la soupe bouillante dessus. parsemer de coriandre hachée et quelques feuilles de SHISO</a:t>
          </a:r>
        </a:p>
        <a:p>
          <a:pPr algn="l" rtl="0">
            <a:lnSpc>
              <a:spcPts val="1200"/>
            </a:lnSpc>
            <a:defRPr sz="1000"/>
          </a:pPr>
          <a:endParaRPr lang="fr-FR" sz="1100" b="0" i="0" u="none" strike="noStrike" baseline="0">
            <a:solidFill>
              <a:srgbClr val="000000"/>
            </a:solidFill>
            <a:latin typeface="Arial"/>
            <a:ea typeface="Arial"/>
            <a:cs typeface="Arial"/>
          </a:endParaRPr>
        </a:p>
        <a:p>
          <a:pPr algn="l" rtl="0">
            <a:lnSpc>
              <a:spcPts val="1200"/>
            </a:lnSpc>
            <a:defRPr sz="1000"/>
          </a:pPr>
          <a:endParaRPr lang="fr-FR" sz="1100" b="0" i="0" u="none" strike="noStrike" baseline="0">
            <a:solidFill>
              <a:srgbClr val="000000"/>
            </a:solidFill>
            <a:latin typeface="Arial"/>
            <a:ea typeface="Arial"/>
            <a:cs typeface="Arial"/>
          </a:endParaRPr>
        </a:p>
      </xdr:txBody>
    </xdr:sp>
    <xdr:clientData/>
  </xdr:twoCellAnchor>
  <xdr:twoCellAnchor>
    <xdr:from>
      <xdr:col>16</xdr:col>
      <xdr:colOff>47625</xdr:colOff>
      <xdr:row>2</xdr:row>
      <xdr:rowOff>152400</xdr:rowOff>
    </xdr:from>
    <xdr:to>
      <xdr:col>19</xdr:col>
      <xdr:colOff>361926</xdr:colOff>
      <xdr:row>3</xdr:row>
      <xdr:rowOff>1114425</xdr:rowOff>
    </xdr:to>
    <xdr:sp macro="" textlink="">
      <xdr:nvSpPr>
        <xdr:cNvPr id="7" name="AutoShape 14">
          <a:extLst>
            <a:ext uri="{FF2B5EF4-FFF2-40B4-BE49-F238E27FC236}">
              <a16:creationId xmlns:a16="http://schemas.microsoft.com/office/drawing/2014/main" id="{2F6AEAA1-E3EA-4587-97E8-D901070BF189}"/>
            </a:ext>
          </a:extLst>
        </xdr:cNvPr>
        <xdr:cNvSpPr>
          <a:spLocks noChangeArrowheads="1"/>
        </xdr:cNvSpPr>
      </xdr:nvSpPr>
      <xdr:spPr bwMode="auto">
        <a:xfrm>
          <a:off x="18049875" y="647700"/>
          <a:ext cx="3676626" cy="1314450"/>
        </a:xfrm>
        <a:prstGeom prst="roundRect">
          <a:avLst>
            <a:gd name="adj" fmla="val 16667"/>
          </a:avLst>
        </a:prstGeom>
        <a:solidFill>
          <a:srgbClr val="FFFFFF"/>
        </a:solidFill>
        <a:ln w="9525">
          <a:solidFill>
            <a:srgbClr val="000000"/>
          </a:solidFill>
          <a:round/>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Potage</a:t>
          </a:r>
          <a:r>
            <a:rPr lang="fr-FR" sz="1000" b="0" i="0" strike="noStrike" baseline="0">
              <a:solidFill>
                <a:srgbClr val="000000"/>
              </a:solidFill>
              <a:latin typeface="Arial"/>
              <a:cs typeface="Arial"/>
            </a:rPr>
            <a:t> léger de fond de volaille et de Dashi (bouillon japonais), lié à la pâte de miso (pâte de soja fermenté) , garnie à la minute de fines lanières de daurade royale crues et de fanes d'oignon blanc, de wakame et shiso. la finition est faite de fleurs d'amidon japonaises</a:t>
          </a:r>
          <a:endParaRPr lang="fr-FR" sz="10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279400</xdr:colOff>
      <xdr:row>5</xdr:row>
      <xdr:rowOff>92075</xdr:rowOff>
    </xdr:from>
    <xdr:to>
      <xdr:col>1</xdr:col>
      <xdr:colOff>2133600</xdr:colOff>
      <xdr:row>43</xdr:row>
      <xdr:rowOff>257175</xdr:rowOff>
    </xdr:to>
    <xdr:sp macro="" textlink="">
      <xdr:nvSpPr>
        <xdr:cNvPr id="2" name="Text Box 6">
          <a:extLst>
            <a:ext uri="{FF2B5EF4-FFF2-40B4-BE49-F238E27FC236}">
              <a16:creationId xmlns:a16="http://schemas.microsoft.com/office/drawing/2014/main" id="{36FEF24A-FC03-47F7-B211-B78679FF1A15}"/>
            </a:ext>
          </a:extLst>
        </xdr:cNvPr>
        <xdr:cNvSpPr txBox="1">
          <a:spLocks noChangeArrowheads="1"/>
        </xdr:cNvSpPr>
      </xdr:nvSpPr>
      <xdr:spPr bwMode="auto">
        <a:xfrm>
          <a:off x="279400" y="3492500"/>
          <a:ext cx="2235200" cy="12880975"/>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fr-FR" sz="1100" b="1" i="1" u="none" strike="noStrike" baseline="0">
              <a:solidFill>
                <a:srgbClr val="000000"/>
              </a:solidFill>
              <a:latin typeface="@Batang"/>
              <a:ea typeface="@Batang"/>
              <a:cs typeface="@Batang"/>
            </a:rPr>
            <a:t>1)  TSUKUNE: désosser les cuisses de poulet et réserver les os concassés: Hacher au hachoir mécanique avec les oignons, la chapelure. Ajouter les oeufs et le gingembre+ soja</a:t>
          </a:r>
        </a:p>
        <a:p>
          <a:pPr algn="l" rtl="0">
            <a:defRPr sz="1000"/>
          </a:pPr>
          <a:r>
            <a:rPr lang="fr-FR" sz="1100" b="1" i="1" u="none" strike="noStrike" baseline="0">
              <a:solidFill>
                <a:srgbClr val="000000"/>
              </a:solidFill>
              <a:latin typeface="@Batang"/>
              <a:ea typeface="@Batang"/>
              <a:cs typeface="@Batang"/>
            </a:rPr>
            <a:t>Mouler en boule à la main et pocher en eau bouillante. Piquer deux boules par brochette. A la commande badigeonner de sauce et caraméliser à la salamandre</a:t>
          </a:r>
        </a:p>
        <a:p>
          <a:pPr algn="l" rtl="0">
            <a:defRPr sz="1000"/>
          </a:pPr>
          <a:endParaRPr lang="fr-FR" sz="1100" b="1"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Sauce: porter à ébulltion le saké, le sucre et le soja KOYKUJI</a:t>
          </a:r>
        </a:p>
        <a:p>
          <a:pPr algn="l" rtl="0">
            <a:defRPr sz="1000"/>
          </a:pPr>
          <a:endParaRPr lang="fr-FR" sz="1100" b="1"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SHIRAAE: Blanchir les épinards et les presser dans un tapis a sushi.</a:t>
          </a:r>
        </a:p>
        <a:p>
          <a:pPr algn="l" rtl="0">
            <a:defRPr sz="1000"/>
          </a:pPr>
          <a:r>
            <a:rPr lang="fr-FR" sz="1100" b="1" i="1" u="none" strike="noStrike" baseline="0">
              <a:solidFill>
                <a:srgbClr val="000000"/>
              </a:solidFill>
              <a:latin typeface="@Batang"/>
              <a:ea typeface="@Batang"/>
              <a:cs typeface="@Batang"/>
            </a:rPr>
            <a:t>blanchir le tofu , égoutter , fouetter avec la crème de sésame, le soja et la fécule, et le dashi.</a:t>
          </a:r>
        </a:p>
        <a:p>
          <a:pPr algn="l" rtl="0">
            <a:defRPr sz="1000"/>
          </a:pPr>
          <a:r>
            <a:rPr lang="fr-FR" sz="1100" b="1" i="1" u="none" strike="noStrike" baseline="0">
              <a:solidFill>
                <a:srgbClr val="000000"/>
              </a:solidFill>
              <a:latin typeface="@Batang"/>
              <a:ea typeface="@Batang"/>
              <a:cs typeface="@Batang"/>
            </a:rPr>
            <a:t> Ajouter aux épinards, porter à ébullition et réserver au bain marie.</a:t>
          </a:r>
        </a:p>
        <a:p>
          <a:pPr algn="l" rtl="0">
            <a:defRPr sz="1000"/>
          </a:pPr>
          <a:r>
            <a:rPr lang="fr-FR" sz="1100" b="1" i="1" u="none" strike="noStrike" baseline="0">
              <a:solidFill>
                <a:srgbClr val="000000"/>
              </a:solidFill>
              <a:latin typeface="@Batang"/>
              <a:ea typeface="@Batang"/>
              <a:cs typeface="@Batang"/>
            </a:rPr>
            <a:t>Dresser au moment dans un croustillant frit</a:t>
          </a:r>
        </a:p>
        <a:p>
          <a:pPr algn="l" rtl="0">
            <a:defRPr sz="1000"/>
          </a:pPr>
          <a:endParaRPr lang="fr-FR" sz="1100" b="1"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NANBANZUKE de maigre: tailler des lamelles de maigre et les passer en fécule, sauter pour juste colorer sans cuire . déposer les légumes émincés crus dessus et arroser de mélange de vinaigre, soja, dashi, sucre bouillant dresser en petit ramequin carré.</a:t>
          </a:r>
        </a:p>
        <a:p>
          <a:pPr algn="l" rtl="0">
            <a:defRPr sz="1000"/>
          </a:pPr>
          <a:endParaRPr lang="fr-FR" sz="1100" b="1" i="1" u="none" strike="noStrike" baseline="0">
            <a:solidFill>
              <a:srgbClr val="000000"/>
            </a:solidFill>
            <a:latin typeface="@Batang"/>
            <a:ea typeface="@Batang"/>
            <a:cs typeface="@Batang"/>
          </a:endParaRPr>
        </a:p>
        <a:p>
          <a:pPr algn="l" rtl="0">
            <a:defRPr sz="1000"/>
          </a:pPr>
          <a:endParaRPr lang="fr-FR" sz="1100" b="1" i="1" u="none" strike="noStrike" baseline="0">
            <a:solidFill>
              <a:srgbClr val="000000"/>
            </a:solidFill>
            <a:latin typeface="@Batang"/>
            <a:ea typeface="@Batang"/>
            <a:cs typeface="@Batang"/>
          </a:endParaRPr>
        </a:p>
        <a:p>
          <a:pPr algn="l" rtl="0">
            <a:defRPr sz="1000"/>
          </a:pPr>
          <a:endParaRPr lang="fr-FR" sz="1100" b="1" i="1" u="none" strike="noStrike" baseline="0">
            <a:solidFill>
              <a:srgbClr val="000000"/>
            </a:solidFill>
            <a:latin typeface="@Batang"/>
            <a:ea typeface="@Batang"/>
            <a:cs typeface="@Batang"/>
          </a:endParaRPr>
        </a:p>
      </xdr:txBody>
    </xdr:sp>
    <xdr:clientData/>
  </xdr:twoCellAnchor>
  <xdr:twoCellAnchor>
    <xdr:from>
      <xdr:col>1</xdr:col>
      <xdr:colOff>63500</xdr:colOff>
      <xdr:row>2</xdr:row>
      <xdr:rowOff>139700</xdr:rowOff>
    </xdr:from>
    <xdr:to>
      <xdr:col>4</xdr:col>
      <xdr:colOff>406400</xdr:colOff>
      <xdr:row>3</xdr:row>
      <xdr:rowOff>1117600</xdr:rowOff>
    </xdr:to>
    <xdr:sp macro="" textlink="">
      <xdr:nvSpPr>
        <xdr:cNvPr id="3" name="AutoShape 14">
          <a:extLst>
            <a:ext uri="{FF2B5EF4-FFF2-40B4-BE49-F238E27FC236}">
              <a16:creationId xmlns:a16="http://schemas.microsoft.com/office/drawing/2014/main" id="{FB62C708-E3AB-4DF8-A7CB-266F8721B598}"/>
            </a:ext>
          </a:extLst>
        </xdr:cNvPr>
        <xdr:cNvSpPr>
          <a:spLocks noChangeArrowheads="1"/>
        </xdr:cNvSpPr>
      </xdr:nvSpPr>
      <xdr:spPr bwMode="auto">
        <a:xfrm>
          <a:off x="444500" y="987425"/>
          <a:ext cx="6086475" cy="1292225"/>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1" u="none" strike="noStrike" baseline="0">
              <a:solidFill>
                <a:srgbClr val="000000"/>
              </a:solidFill>
              <a:latin typeface="@Batang"/>
              <a:ea typeface="@Batang"/>
              <a:cs typeface="@Batang"/>
            </a:rPr>
            <a:t> Assortiment de trois entrées japonaises: TSUKUNE:2 Billes de farce de poulet au gingembre, pochées et caramélisés au soja léger piquées sur brochette . SHIRAAE: ragout d'épinards frais au tofu et crème de sésame dressé en coupelle de feuille de spring roll frite.</a:t>
          </a:r>
        </a:p>
        <a:p>
          <a:pPr algn="l" rtl="0">
            <a:defRPr sz="1000"/>
          </a:pPr>
          <a:r>
            <a:rPr lang="fr-FR" sz="1000" b="0" i="1" u="none" strike="noStrike" baseline="0">
              <a:solidFill>
                <a:srgbClr val="000000"/>
              </a:solidFill>
              <a:latin typeface="@Batang"/>
              <a:ea typeface="@Batang"/>
              <a:cs typeface="@Batang"/>
            </a:rPr>
            <a:t>NANBANZUKE: marinade de maigre émincé, fariné, sauté , acidulé accompagné de julienne de carotte et d'oignon cru émincé.</a:t>
          </a:r>
        </a:p>
      </xdr:txBody>
    </xdr:sp>
    <xdr:clientData/>
  </xdr:twoCellAnchor>
  <xdr:twoCellAnchor>
    <xdr:from>
      <xdr:col>21</xdr:col>
      <xdr:colOff>241300</xdr:colOff>
      <xdr:row>3</xdr:row>
      <xdr:rowOff>571500</xdr:rowOff>
    </xdr:from>
    <xdr:to>
      <xdr:col>26</xdr:col>
      <xdr:colOff>50800</xdr:colOff>
      <xdr:row>3</xdr:row>
      <xdr:rowOff>939800</xdr:rowOff>
    </xdr:to>
    <xdr:sp macro="" textlink="">
      <xdr:nvSpPr>
        <xdr:cNvPr id="4" name="Oval 2">
          <a:extLst>
            <a:ext uri="{FF2B5EF4-FFF2-40B4-BE49-F238E27FC236}">
              <a16:creationId xmlns:a16="http://schemas.microsoft.com/office/drawing/2014/main" id="{04263F8D-BC5D-4914-93A9-D91479D1D743}"/>
            </a:ext>
          </a:extLst>
        </xdr:cNvPr>
        <xdr:cNvSpPr>
          <a:spLocks noChangeArrowheads="1"/>
        </xdr:cNvSpPr>
      </xdr:nvSpPr>
      <xdr:spPr bwMode="auto">
        <a:xfrm>
          <a:off x="19567525" y="1733550"/>
          <a:ext cx="1857375" cy="3683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a:effectLst>
          <a:outerShdw blurRad="63500" dist="107763" dir="8100000" algn="ctr" rotWithShape="0">
            <a:srgbClr xmlns:mc="http://schemas.openxmlformats.org/markup-compatibility/2006" xmlns:a14="http://schemas.microsoft.com/office/drawing/2010/main" val="969696" mc:Ignorable="a14" a14:legacySpreadsheetColorIndex="55">
              <a:alpha val="74998"/>
            </a:srgbClr>
          </a:outerShdw>
        </a:effectLst>
      </xdr:spPr>
      <xdr:txBody>
        <a:bodyPr rtlCol="0"/>
        <a:lstStyle/>
        <a:p>
          <a:pPr algn="ctr"/>
          <a:endParaRPr lang="fr-FR"/>
        </a:p>
      </xdr:txBody>
    </xdr:sp>
    <xdr:clientData/>
  </xdr:twoCellAnchor>
  <xdr:twoCellAnchor>
    <xdr:from>
      <xdr:col>16</xdr:col>
      <xdr:colOff>12700</xdr:colOff>
      <xdr:row>4</xdr:row>
      <xdr:rowOff>292100</xdr:rowOff>
    </xdr:from>
    <xdr:to>
      <xdr:col>16</xdr:col>
      <xdr:colOff>2514600</xdr:colOff>
      <xdr:row>41</xdr:row>
      <xdr:rowOff>0</xdr:rowOff>
    </xdr:to>
    <xdr:sp macro="" textlink="">
      <xdr:nvSpPr>
        <xdr:cNvPr id="5" name="Text Box 6">
          <a:extLst>
            <a:ext uri="{FF2B5EF4-FFF2-40B4-BE49-F238E27FC236}">
              <a16:creationId xmlns:a16="http://schemas.microsoft.com/office/drawing/2014/main" id="{15DB671C-808D-495C-9C33-D70203DDFE9B}"/>
            </a:ext>
          </a:extLst>
        </xdr:cNvPr>
        <xdr:cNvSpPr txBox="1">
          <a:spLocks noChangeArrowheads="1"/>
        </xdr:cNvSpPr>
      </xdr:nvSpPr>
      <xdr:spPr bwMode="auto">
        <a:xfrm>
          <a:off x="15205075" y="2882900"/>
          <a:ext cx="2035175" cy="1258570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fr-FR" sz="1100" b="1" i="1" u="none" strike="noStrike" baseline="0">
              <a:solidFill>
                <a:srgbClr val="000000"/>
              </a:solidFill>
              <a:latin typeface="@Batang"/>
              <a:ea typeface="@Batang"/>
              <a:cs typeface="@Batang"/>
            </a:rPr>
            <a:t>1)  TSUKUNE: désosser les cuisses de poulet et réserver les os concassés: Hacher au hachoir mécanique avec les oignons, la chapelure. Ajouter les oeufs et le gingembre+ soja</a:t>
          </a:r>
        </a:p>
        <a:p>
          <a:pPr algn="l" rtl="0">
            <a:defRPr sz="1000"/>
          </a:pPr>
          <a:r>
            <a:rPr lang="fr-FR" sz="1100" b="1" i="1" u="none" strike="noStrike" baseline="0">
              <a:solidFill>
                <a:srgbClr val="000000"/>
              </a:solidFill>
              <a:latin typeface="@Batang"/>
              <a:ea typeface="@Batang"/>
              <a:cs typeface="@Batang"/>
            </a:rPr>
            <a:t>Mouler en boule à la main et pocher en eau bouillante. Piquer deux boules par brochette. A la commande badigeonner de sauce et caraméliser à la salamandre</a:t>
          </a:r>
        </a:p>
        <a:p>
          <a:pPr algn="l" rtl="0">
            <a:defRPr sz="1000"/>
          </a:pPr>
          <a:endParaRPr lang="fr-FR" sz="1100" b="1"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Sauce: porter à ébulltion le saké, le sucre et le soja KOYKUJI</a:t>
          </a:r>
        </a:p>
        <a:p>
          <a:pPr algn="l" rtl="0">
            <a:defRPr sz="1000"/>
          </a:pPr>
          <a:endParaRPr lang="fr-FR" sz="1100" b="1"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SHIRAAE: Blanchir les épinards et les presser dans un tapis a sushi.</a:t>
          </a:r>
        </a:p>
        <a:p>
          <a:pPr algn="l" rtl="0">
            <a:defRPr sz="1000"/>
          </a:pPr>
          <a:r>
            <a:rPr lang="fr-FR" sz="1100" b="1" i="1" u="none" strike="noStrike" baseline="0">
              <a:solidFill>
                <a:srgbClr val="000000"/>
              </a:solidFill>
              <a:latin typeface="@Batang"/>
              <a:ea typeface="@Batang"/>
              <a:cs typeface="@Batang"/>
            </a:rPr>
            <a:t>blanchir le tofu , égoutter , fouetter avec la crème de sésame, le soja et la fécule, et le dashi.</a:t>
          </a:r>
        </a:p>
        <a:p>
          <a:pPr algn="l" rtl="0">
            <a:defRPr sz="1000"/>
          </a:pPr>
          <a:r>
            <a:rPr lang="fr-FR" sz="1100" b="1" i="1" u="none" strike="noStrike" baseline="0">
              <a:solidFill>
                <a:srgbClr val="000000"/>
              </a:solidFill>
              <a:latin typeface="@Batang"/>
              <a:ea typeface="@Batang"/>
              <a:cs typeface="@Batang"/>
            </a:rPr>
            <a:t> Ajouter aux épinards, porter à ébullition et réserver au bain marie.</a:t>
          </a:r>
        </a:p>
        <a:p>
          <a:pPr algn="l" rtl="0">
            <a:defRPr sz="1000"/>
          </a:pPr>
          <a:r>
            <a:rPr lang="fr-FR" sz="1100" b="1" i="1" u="none" strike="noStrike" baseline="0">
              <a:solidFill>
                <a:srgbClr val="000000"/>
              </a:solidFill>
              <a:latin typeface="@Batang"/>
              <a:ea typeface="@Batang"/>
              <a:cs typeface="@Batang"/>
            </a:rPr>
            <a:t>Dresser au moment dans un croustillant frit</a:t>
          </a:r>
        </a:p>
        <a:p>
          <a:pPr algn="l" rtl="0">
            <a:defRPr sz="1000"/>
          </a:pPr>
          <a:endParaRPr lang="fr-FR" sz="1100" b="1"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NANBANZUKE de maigre: tailler des lamelles de maigre et les passer en fécule, sauter pour juste colorer sans cuire . déposer les légumes émincés crus dessus et arroser de mélange de vinaigre, soja, dashi, sucre bouillant dresser en petit ramequin carré.</a:t>
          </a:r>
        </a:p>
        <a:p>
          <a:pPr algn="l" rtl="0">
            <a:defRPr sz="1000"/>
          </a:pPr>
          <a:endParaRPr lang="fr-FR" sz="1100" b="1" i="1" u="none" strike="noStrike" baseline="0">
            <a:solidFill>
              <a:srgbClr val="000000"/>
            </a:solidFill>
            <a:latin typeface="@Batang"/>
            <a:ea typeface="@Batang"/>
            <a:cs typeface="@Batang"/>
          </a:endParaRPr>
        </a:p>
        <a:p>
          <a:pPr algn="l" rtl="0">
            <a:defRPr sz="1000"/>
          </a:pPr>
          <a:endParaRPr lang="fr-FR" sz="1100" b="1" i="1" u="none" strike="noStrike" baseline="0">
            <a:solidFill>
              <a:srgbClr val="000000"/>
            </a:solidFill>
            <a:latin typeface="@Batang"/>
            <a:ea typeface="@Batang"/>
            <a:cs typeface="@Batang"/>
          </a:endParaRPr>
        </a:p>
        <a:p>
          <a:pPr algn="l" rtl="0">
            <a:defRPr sz="1000"/>
          </a:pPr>
          <a:endParaRPr lang="fr-FR" sz="1100" b="1" i="1" u="none" strike="noStrike" baseline="0">
            <a:solidFill>
              <a:srgbClr val="000000"/>
            </a:solidFill>
            <a:latin typeface="@Batang"/>
            <a:ea typeface="@Batang"/>
            <a:cs typeface="@Batang"/>
          </a:endParaRPr>
        </a:p>
      </xdr:txBody>
    </xdr:sp>
    <xdr:clientData/>
  </xdr:twoCellAnchor>
  <xdr:twoCellAnchor>
    <xdr:from>
      <xdr:col>16</xdr:col>
      <xdr:colOff>63500</xdr:colOff>
      <xdr:row>2</xdr:row>
      <xdr:rowOff>139700</xdr:rowOff>
    </xdr:from>
    <xdr:to>
      <xdr:col>19</xdr:col>
      <xdr:colOff>406400</xdr:colOff>
      <xdr:row>3</xdr:row>
      <xdr:rowOff>1117600</xdr:rowOff>
    </xdr:to>
    <xdr:sp macro="" textlink="">
      <xdr:nvSpPr>
        <xdr:cNvPr id="6" name="AutoShape 14">
          <a:extLst>
            <a:ext uri="{FF2B5EF4-FFF2-40B4-BE49-F238E27FC236}">
              <a16:creationId xmlns:a16="http://schemas.microsoft.com/office/drawing/2014/main" id="{EB5B7135-7A2C-4B64-BAB9-062C1077743A}"/>
            </a:ext>
          </a:extLst>
        </xdr:cNvPr>
        <xdr:cNvSpPr>
          <a:spLocks noChangeArrowheads="1"/>
        </xdr:cNvSpPr>
      </xdr:nvSpPr>
      <xdr:spPr bwMode="auto">
        <a:xfrm>
          <a:off x="15255875" y="987425"/>
          <a:ext cx="3676650" cy="1292225"/>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1" u="none" strike="noStrike" baseline="0">
              <a:solidFill>
                <a:srgbClr val="000000"/>
              </a:solidFill>
              <a:latin typeface="@Batang"/>
              <a:ea typeface="@Batang"/>
              <a:cs typeface="@Batang"/>
            </a:rPr>
            <a:t> Assortiment de trois entrées japonaises: TSUKUNE:2 Billes de farce de poulet au gingembre, pochées et caramélisés au soja léger piquées sur brochette . SHIRAAE: ragout d'épinards frais au tofu et crème de sésame dressé en coupelle de feuille de spring roll frite.</a:t>
          </a:r>
        </a:p>
        <a:p>
          <a:pPr algn="l" rtl="0">
            <a:defRPr sz="1000"/>
          </a:pPr>
          <a:r>
            <a:rPr lang="fr-FR" sz="1000" b="0" i="1" u="none" strike="noStrike" baseline="0">
              <a:solidFill>
                <a:srgbClr val="000000"/>
              </a:solidFill>
              <a:latin typeface="@Batang"/>
              <a:ea typeface="@Batang"/>
              <a:cs typeface="@Batang"/>
            </a:rPr>
            <a:t>NANBANZUKE: marinade de maigre émincé, fariné, sauté , acidulé accompagné de julienne de carotte et d'oignon cru émincé.</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00000000-0008-0000-0D00-000002000000}"/>
            </a:ext>
          </a:extLst>
        </xdr:cNvPr>
        <xdr:cNvSpPr txBox="1">
          <a:spLocks noChangeArrowheads="1"/>
        </xdr:cNvSpPr>
      </xdr:nvSpPr>
      <xdr:spPr bwMode="auto">
        <a:xfrm>
          <a:off x="0" y="2009775"/>
          <a:ext cx="2228850" cy="7048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fr-FR"/>
        </a:p>
      </xdr:txBody>
    </xdr:sp>
    <xdr:clientData/>
  </xdr:twoCellAnchor>
  <xdr:twoCellAnchor>
    <xdr:from>
      <xdr:col>1</xdr:col>
      <xdr:colOff>133350</xdr:colOff>
      <xdr:row>3</xdr:row>
      <xdr:rowOff>9525</xdr:rowOff>
    </xdr:from>
    <xdr:to>
      <xdr:col>4</xdr:col>
      <xdr:colOff>476250</xdr:colOff>
      <xdr:row>3</xdr:row>
      <xdr:rowOff>1304925</xdr:rowOff>
    </xdr:to>
    <xdr:sp macro="" textlink="">
      <xdr:nvSpPr>
        <xdr:cNvPr id="3" name="AutoShape 14">
          <a:extLst>
            <a:ext uri="{FF2B5EF4-FFF2-40B4-BE49-F238E27FC236}">
              <a16:creationId xmlns:a16="http://schemas.microsoft.com/office/drawing/2014/main" id="{00000000-0008-0000-0D00-000003000000}"/>
            </a:ext>
          </a:extLst>
        </xdr:cNvPr>
        <xdr:cNvSpPr>
          <a:spLocks noChangeArrowheads="1"/>
        </xdr:cNvSpPr>
      </xdr:nvSpPr>
      <xdr:spPr bwMode="auto">
        <a:xfrm>
          <a:off x="514350" y="1181100"/>
          <a:ext cx="6086475" cy="1295400"/>
        </a:xfrm>
        <a:prstGeom prst="roundRect">
          <a:avLst>
            <a:gd name="adj" fmla="val 16667"/>
          </a:avLst>
        </a:prstGeom>
        <a:solidFill>
          <a:srgbClr val="FFFFFF"/>
        </a:solidFill>
        <a:ln w="9525">
          <a:solidFill>
            <a:srgbClr val="000000"/>
          </a:solidFill>
          <a:round/>
          <a:headEnd/>
          <a:tailEnd/>
        </a:ln>
      </xdr:spPr>
      <xdr:txBody>
        <a:bodyPr/>
        <a:lstStyle/>
        <a:p>
          <a:r>
            <a:rPr lang="fr-FR"/>
            <a:t>demi suprême de volaille cuit</a:t>
          </a:r>
          <a:r>
            <a:rPr lang="fr-FR" baseline="0"/>
            <a:t> sous vide à 59 °c durant 1 h00, taillé dans le sens de la longueur, nappé de sauce ivoire, surmontant 5 rouelles de navets glacés blonds. Un cylindre de pomme de terre poché au fonds blanc  de volaille, roulé dans  une glace de veau et des brisures de truffes accompagne le plat. des copeaux de truffe sont rapés en salle devant le client</a:t>
          </a:r>
          <a:endParaRPr lang="fr-FR"/>
        </a:p>
      </xdr:txBody>
    </xdr:sp>
    <xdr:clientData/>
  </xdr:twoCellAnchor>
  <xdr:twoCellAnchor>
    <xdr:from>
      <xdr:col>0</xdr:col>
      <xdr:colOff>0</xdr:colOff>
      <xdr:row>5</xdr:row>
      <xdr:rowOff>9525</xdr:rowOff>
    </xdr:from>
    <xdr:to>
      <xdr:col>2</xdr:col>
      <xdr:colOff>3449</xdr:colOff>
      <xdr:row>45</xdr:row>
      <xdr:rowOff>158757</xdr:rowOff>
    </xdr:to>
    <xdr:sp macro="" textlink="">
      <xdr:nvSpPr>
        <xdr:cNvPr id="4" name="AutoShape 14">
          <a:extLst>
            <a:ext uri="{FF2B5EF4-FFF2-40B4-BE49-F238E27FC236}">
              <a16:creationId xmlns:a16="http://schemas.microsoft.com/office/drawing/2014/main" id="{00000000-0008-0000-0D00-000004000000}"/>
            </a:ext>
          </a:extLst>
        </xdr:cNvPr>
        <xdr:cNvSpPr>
          <a:spLocks noChangeArrowheads="1"/>
        </xdr:cNvSpPr>
      </xdr:nvSpPr>
      <xdr:spPr bwMode="auto">
        <a:xfrm>
          <a:off x="0" y="2019300"/>
          <a:ext cx="2232299" cy="7197732"/>
        </a:xfrm>
        <a:prstGeom prst="roundRect">
          <a:avLst>
            <a:gd name="adj" fmla="val 16667"/>
          </a:avLst>
        </a:prstGeom>
        <a:solidFill>
          <a:srgbClr val="FFFFFF"/>
        </a:solidFill>
        <a:ln w="9525">
          <a:solidFill>
            <a:srgbClr val="000000"/>
          </a:solidFill>
          <a:round/>
          <a:headEnd/>
          <a:tailEnd/>
        </a:ln>
      </xdr:spPr>
      <xdr:txBody>
        <a:bodyPr/>
        <a:lstStyle/>
        <a:p>
          <a:pPr algn="l" rtl="0">
            <a:lnSpc>
              <a:spcPts val="1300"/>
            </a:lnSpc>
            <a:defRPr sz="1000"/>
          </a:pPr>
          <a:r>
            <a:rPr lang="fr-FR" sz="1100" b="1" i="0" u="none" strike="noStrike" baseline="0">
              <a:solidFill>
                <a:srgbClr val="000000"/>
              </a:solidFill>
              <a:latin typeface="Calibri"/>
              <a:ea typeface="Calibri"/>
              <a:cs typeface="Calibri"/>
            </a:rPr>
            <a:t>1) lever les poitrines </a:t>
          </a:r>
          <a:r>
            <a:rPr lang="fr-FR" sz="1100" b="0" i="0" u="none" strike="noStrike" baseline="0">
              <a:solidFill>
                <a:srgbClr val="000000"/>
              </a:solidFill>
              <a:latin typeface="Calibri"/>
              <a:ea typeface="Calibri"/>
              <a:cs typeface="Calibri"/>
            </a:rPr>
            <a:t>de volaille, lever les cuisses et les réserver.</a:t>
          </a:r>
        </a:p>
        <a:p>
          <a:pPr algn="l" rtl="0">
            <a:lnSpc>
              <a:spcPts val="1300"/>
            </a:lnSpc>
            <a:defRPr sz="1000"/>
          </a:pPr>
          <a:r>
            <a:rPr lang="fr-FR" sz="1100" b="0" i="0" u="none" strike="noStrike" baseline="0">
              <a:solidFill>
                <a:srgbClr val="000000"/>
              </a:solidFill>
              <a:latin typeface="Calibri"/>
              <a:ea typeface="Calibri"/>
              <a:cs typeface="Calibri"/>
            </a:rPr>
            <a:t>marquer un fonds blanc avec la moitié des carcasses.</a:t>
          </a:r>
        </a:p>
        <a:p>
          <a:pPr algn="l" rtl="0">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1" i="0" u="none" strike="noStrike" baseline="0">
              <a:solidFill>
                <a:srgbClr val="000000"/>
              </a:solidFill>
              <a:latin typeface="Calibri"/>
              <a:ea typeface="Calibri"/>
              <a:cs typeface="Calibri"/>
            </a:rPr>
            <a:t>2)Cuire les volailles</a:t>
          </a:r>
          <a:r>
            <a:rPr lang="fr-FR" sz="1100" b="0" i="0" u="none" strike="noStrike" baseline="0">
              <a:solidFill>
                <a:srgbClr val="000000"/>
              </a:solidFill>
              <a:latin typeface="Calibri"/>
              <a:ea typeface="Calibri"/>
              <a:cs typeface="Calibri"/>
            </a:rPr>
            <a:t>: , mettre en poches sous vide par 3 avec les peaux de truffes, cuire en basse température au thermoplongeur 1h00 à 59 °c. </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3) Sauce ivoire: marquer un fonds brun de volaille avec l'autre moitié des carcasses, mouiller au fonds brun de veau, passer, réduire en 1/2 glace, passer à l'étamine. crémer légèrement , monter au beurre.</a:t>
          </a:r>
        </a:p>
        <a:p>
          <a:pPr algn="l" rtl="0">
            <a:lnSpc>
              <a:spcPts val="1300"/>
            </a:lnSpc>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0" i="0" u="none" strike="noStrike" baseline="0">
              <a:solidFill>
                <a:srgbClr val="000000"/>
              </a:solidFill>
              <a:latin typeface="Calibri"/>
              <a:ea typeface="Calibri"/>
              <a:cs typeface="Calibri"/>
            </a:rPr>
            <a:t>4) Navets : tailler en cylindres, émincer à 1 cm d'épaisseur, glacer blonds</a:t>
          </a:r>
        </a:p>
        <a:p>
          <a:pPr algn="l" rtl="0">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0" i="0" u="none" strike="noStrike" baseline="0">
              <a:solidFill>
                <a:srgbClr val="000000"/>
              </a:solidFill>
              <a:latin typeface="Calibri"/>
              <a:ea typeface="Calibri"/>
              <a:cs typeface="Calibri"/>
            </a:rPr>
            <a:t>5) Cylindres de pomme: tailler des cylindres à l'emporte pièce tubulaire, tailler à  6 cm de longueur, pocher au fonds blanc + beurre.  rouler dans une glace de veau additionnée de truffes hachées. creuser le dessus et incorporer au moment un bouquet d'herbes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Dressage:colorer les suprêmes au beurre noisette,  dans une assiette ronde blanche, déposer  5 palets de navets, surmonter d'un demi suprême, napper de sauce ivoire, ajouter un cylindre de pomme,  râper la truffe en salle devant le client</a:t>
          </a:r>
        </a:p>
      </xdr:txBody>
    </xdr:sp>
    <xdr:clientData/>
  </xdr:twoCellAnchor>
  <xdr:twoCellAnchor editAs="oneCell">
    <xdr:from>
      <xdr:col>9</xdr:col>
      <xdr:colOff>44450</xdr:colOff>
      <xdr:row>1</xdr:row>
      <xdr:rowOff>136525</xdr:rowOff>
    </xdr:from>
    <xdr:to>
      <xdr:col>11</xdr:col>
      <xdr:colOff>693988</xdr:colOff>
      <xdr:row>3</xdr:row>
      <xdr:rowOff>1295400</xdr:rowOff>
    </xdr:to>
    <xdr:pic>
      <xdr:nvPicPr>
        <xdr:cNvPr id="5" name="Imag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7650" y="441325"/>
          <a:ext cx="2344988" cy="2025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14</xdr:col>
      <xdr:colOff>0</xdr:colOff>
      <xdr:row>5</xdr:row>
      <xdr:rowOff>0</xdr:rowOff>
    </xdr:from>
    <xdr:to>
      <xdr:col>16</xdr:col>
      <xdr:colOff>0</xdr:colOff>
      <xdr:row>45</xdr:row>
      <xdr:rowOff>0</xdr:rowOff>
    </xdr:to>
    <xdr:sp macro="" textlink="">
      <xdr:nvSpPr>
        <xdr:cNvPr id="6" name="Text Box 6">
          <a:extLst>
            <a:ext uri="{FF2B5EF4-FFF2-40B4-BE49-F238E27FC236}">
              <a16:creationId xmlns:a16="http://schemas.microsoft.com/office/drawing/2014/main" id="{00000000-0008-0000-0D00-000006000000}"/>
            </a:ext>
          </a:extLst>
        </xdr:cNvPr>
        <xdr:cNvSpPr txBox="1">
          <a:spLocks noChangeArrowheads="1"/>
        </xdr:cNvSpPr>
      </xdr:nvSpPr>
      <xdr:spPr bwMode="auto">
        <a:xfrm>
          <a:off x="0" y="2009775"/>
          <a:ext cx="4095750" cy="7048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fr-FR"/>
        </a:p>
      </xdr:txBody>
    </xdr:sp>
    <xdr:clientData/>
  </xdr:twoCellAnchor>
  <xdr:twoCellAnchor>
    <xdr:from>
      <xdr:col>15</xdr:col>
      <xdr:colOff>57150</xdr:colOff>
      <xdr:row>2</xdr:row>
      <xdr:rowOff>142875</xdr:rowOff>
    </xdr:from>
    <xdr:to>
      <xdr:col>18</xdr:col>
      <xdr:colOff>400050</xdr:colOff>
      <xdr:row>3</xdr:row>
      <xdr:rowOff>1114425</xdr:rowOff>
    </xdr:to>
    <xdr:sp macro="" textlink="">
      <xdr:nvSpPr>
        <xdr:cNvPr id="7" name="AutoShape 14">
          <a:extLst>
            <a:ext uri="{FF2B5EF4-FFF2-40B4-BE49-F238E27FC236}">
              <a16:creationId xmlns:a16="http://schemas.microsoft.com/office/drawing/2014/main" id="{00000000-0008-0000-0D00-000007000000}"/>
            </a:ext>
          </a:extLst>
        </xdr:cNvPr>
        <xdr:cNvSpPr>
          <a:spLocks noChangeArrowheads="1"/>
        </xdr:cNvSpPr>
      </xdr:nvSpPr>
      <xdr:spPr bwMode="auto">
        <a:xfrm>
          <a:off x="2105025" y="542925"/>
          <a:ext cx="3552825" cy="1133475"/>
        </a:xfrm>
        <a:prstGeom prst="roundRect">
          <a:avLst>
            <a:gd name="adj" fmla="val 16667"/>
          </a:avLst>
        </a:prstGeom>
        <a:solidFill>
          <a:srgbClr val="FFFFFF"/>
        </a:solidFill>
        <a:ln w="9525">
          <a:solidFill>
            <a:srgbClr val="000000"/>
          </a:solidFill>
          <a:round/>
          <a:headEnd/>
          <a:tailEnd/>
        </a:ln>
      </xdr:spPr>
      <xdr:txBody>
        <a:bodyPr/>
        <a:lstStyle/>
        <a:p>
          <a:r>
            <a:rPr lang="fr-FR"/>
            <a:t>demi suprême de volaille cuit</a:t>
          </a:r>
          <a:r>
            <a:rPr lang="fr-FR" baseline="0"/>
            <a:t> sous vide à 59 °c durant 1 h00, taillé dans le sens de la longueur, nappé de sauce ivoire, surmontant 5 rouelles de navets glacés blonds. Un cylindre de pomme de terre poché au fonds blanc  de volaille, roulé dans  une glace de veau et des brisures de truffes accompagne le plat. des copeaux de truffe sont rapés en salle devant le client</a:t>
          </a:r>
          <a:endParaRPr lang="fr-FR"/>
        </a:p>
      </xdr:txBody>
    </xdr:sp>
    <xdr:clientData/>
  </xdr:twoCellAnchor>
  <xdr:twoCellAnchor>
    <xdr:from>
      <xdr:col>14</xdr:col>
      <xdr:colOff>0</xdr:colOff>
      <xdr:row>5</xdr:row>
      <xdr:rowOff>9525</xdr:rowOff>
    </xdr:from>
    <xdr:to>
      <xdr:col>16</xdr:col>
      <xdr:colOff>3449</xdr:colOff>
      <xdr:row>45</xdr:row>
      <xdr:rowOff>158757</xdr:rowOff>
    </xdr:to>
    <xdr:sp macro="" textlink="">
      <xdr:nvSpPr>
        <xdr:cNvPr id="8" name="AutoShape 14">
          <a:extLst>
            <a:ext uri="{FF2B5EF4-FFF2-40B4-BE49-F238E27FC236}">
              <a16:creationId xmlns:a16="http://schemas.microsoft.com/office/drawing/2014/main" id="{00000000-0008-0000-0D00-000008000000}"/>
            </a:ext>
          </a:extLst>
        </xdr:cNvPr>
        <xdr:cNvSpPr>
          <a:spLocks noChangeArrowheads="1"/>
        </xdr:cNvSpPr>
      </xdr:nvSpPr>
      <xdr:spPr bwMode="auto">
        <a:xfrm>
          <a:off x="0" y="2019300"/>
          <a:ext cx="4099199" cy="7197732"/>
        </a:xfrm>
        <a:prstGeom prst="roundRect">
          <a:avLst>
            <a:gd name="adj" fmla="val 16667"/>
          </a:avLst>
        </a:prstGeom>
        <a:solidFill>
          <a:srgbClr val="FFFFFF"/>
        </a:solidFill>
        <a:ln w="9525">
          <a:solidFill>
            <a:srgbClr val="000000"/>
          </a:solidFill>
          <a:round/>
          <a:headEnd/>
          <a:tailEnd/>
        </a:ln>
      </xdr:spPr>
      <xdr:txBody>
        <a:bodyPr/>
        <a:lstStyle/>
        <a:p>
          <a:pPr algn="l" rtl="0">
            <a:lnSpc>
              <a:spcPts val="1300"/>
            </a:lnSpc>
            <a:defRPr sz="1000"/>
          </a:pPr>
          <a:r>
            <a:rPr lang="fr-FR" sz="1100" b="1" i="0" u="none" strike="noStrike" baseline="0">
              <a:solidFill>
                <a:srgbClr val="000000"/>
              </a:solidFill>
              <a:latin typeface="Calibri"/>
              <a:ea typeface="Calibri"/>
              <a:cs typeface="Calibri"/>
            </a:rPr>
            <a:t>1) lever les poitrines </a:t>
          </a:r>
          <a:r>
            <a:rPr lang="fr-FR" sz="1100" b="0" i="0" u="none" strike="noStrike" baseline="0">
              <a:solidFill>
                <a:srgbClr val="000000"/>
              </a:solidFill>
              <a:latin typeface="Calibri"/>
              <a:ea typeface="Calibri"/>
              <a:cs typeface="Calibri"/>
            </a:rPr>
            <a:t>de volaille, lever les cuisses et les réserver.</a:t>
          </a:r>
        </a:p>
        <a:p>
          <a:pPr algn="l" rtl="0">
            <a:lnSpc>
              <a:spcPts val="1300"/>
            </a:lnSpc>
            <a:defRPr sz="1000"/>
          </a:pPr>
          <a:r>
            <a:rPr lang="fr-FR" sz="1100" b="0" i="0" u="none" strike="noStrike" baseline="0">
              <a:solidFill>
                <a:srgbClr val="000000"/>
              </a:solidFill>
              <a:latin typeface="Calibri"/>
              <a:ea typeface="Calibri"/>
              <a:cs typeface="Calibri"/>
            </a:rPr>
            <a:t>marquer un fonds blanc avec la moitié des carcasses.</a:t>
          </a:r>
        </a:p>
        <a:p>
          <a:pPr algn="l" rtl="0">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1" i="0" u="none" strike="noStrike" baseline="0">
              <a:solidFill>
                <a:srgbClr val="000000"/>
              </a:solidFill>
              <a:latin typeface="Calibri"/>
              <a:ea typeface="Calibri"/>
              <a:cs typeface="Calibri"/>
            </a:rPr>
            <a:t>2)Cuire les volailles</a:t>
          </a:r>
          <a:r>
            <a:rPr lang="fr-FR" sz="1100" b="0" i="0" u="none" strike="noStrike" baseline="0">
              <a:solidFill>
                <a:srgbClr val="000000"/>
              </a:solidFill>
              <a:latin typeface="Calibri"/>
              <a:ea typeface="Calibri"/>
              <a:cs typeface="Calibri"/>
            </a:rPr>
            <a:t>: , mettre en poches sous vide par 3 avec les peaux de truffes, cuire en basse température au thermoplongeur 1h00 à 59 °c. </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3) Sauce ivoire: marquer un fonds brun de volaille avec l'autre moitié des carcasses, mouiller au fonds brun de veau, passer, réduire en 1/2 glace, passer à l'étamine. crémer légèrement , monter au beurre.</a:t>
          </a:r>
        </a:p>
        <a:p>
          <a:pPr algn="l" rtl="0">
            <a:lnSpc>
              <a:spcPts val="1300"/>
            </a:lnSpc>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0" i="0" u="none" strike="noStrike" baseline="0">
              <a:solidFill>
                <a:srgbClr val="000000"/>
              </a:solidFill>
              <a:latin typeface="Calibri"/>
              <a:ea typeface="Calibri"/>
              <a:cs typeface="Calibri"/>
            </a:rPr>
            <a:t>4) Navets : tailler en cylindres, émincer à 1 cm d'épaisseur, glacer blonds</a:t>
          </a:r>
        </a:p>
        <a:p>
          <a:pPr algn="l" rtl="0">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0" i="0" u="none" strike="noStrike" baseline="0">
              <a:solidFill>
                <a:srgbClr val="000000"/>
              </a:solidFill>
              <a:latin typeface="Calibri"/>
              <a:ea typeface="Calibri"/>
              <a:cs typeface="Calibri"/>
            </a:rPr>
            <a:t>5) Cylindres de pomme: tailler des cylindres à l'emporte pièce tubulaire, tailler à  6 cm de longueur, pocher au fonds blanc + beurre.  rouler dans une glace de veau additionnée de truffes hachées. creuser le dessus et incorporer au moment un bouquet d'herbes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Dressage:colorer les suprêmes au beurre noisette,  dans une assiette ronde blanche, déposer  5 palets de navets, surmonter d'un demi suprême, napper de sauce ivoire, ajouter un cylindre de pomme,  râper la truffe en salle devant le client</a:t>
          </a:r>
        </a:p>
      </xdr:txBody>
    </xdr:sp>
    <xdr:clientData/>
  </xdr:twoCellAnchor>
  <xdr:oneCellAnchor>
    <xdr:from>
      <xdr:col>21</xdr:col>
      <xdr:colOff>101600</xdr:colOff>
      <xdr:row>2</xdr:row>
      <xdr:rowOff>12700</xdr:rowOff>
    </xdr:from>
    <xdr:ext cx="1562100" cy="1349375"/>
    <xdr:pic>
      <xdr:nvPicPr>
        <xdr:cNvPr id="9" name="Imag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9050" y="412750"/>
          <a:ext cx="1562100" cy="1349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38100</xdr:colOff>
      <xdr:row>5</xdr:row>
      <xdr:rowOff>222250</xdr:rowOff>
    </xdr:from>
    <xdr:to>
      <xdr:col>1</xdr:col>
      <xdr:colOff>2238809</xdr:colOff>
      <xdr:row>37</xdr:row>
      <xdr:rowOff>114300</xdr:rowOff>
    </xdr:to>
    <xdr:sp macro="" textlink="">
      <xdr:nvSpPr>
        <xdr:cNvPr id="2" name="Text Box 6">
          <a:extLst>
            <a:ext uri="{FF2B5EF4-FFF2-40B4-BE49-F238E27FC236}">
              <a16:creationId xmlns:a16="http://schemas.microsoft.com/office/drawing/2014/main" id="{67BE2DE0-EF16-4C5A-9289-A164AC660CE8}"/>
            </a:ext>
          </a:extLst>
        </xdr:cNvPr>
        <xdr:cNvSpPr txBox="1">
          <a:spLocks noChangeArrowheads="1"/>
        </xdr:cNvSpPr>
      </xdr:nvSpPr>
      <xdr:spPr bwMode="auto">
        <a:xfrm>
          <a:off x="38100" y="3632200"/>
          <a:ext cx="2581709" cy="10664825"/>
        </a:xfrm>
        <a:prstGeom prst="rect">
          <a:avLst/>
        </a:prstGeom>
        <a:noFill/>
        <a:ln w="9525">
          <a:noFill/>
          <a:miter lim="800000"/>
          <a:headEnd/>
          <a:tailEnd/>
        </a:ln>
      </xdr:spPr>
      <xdr:txBody>
        <a:bodyPr vertOverflow="clip" wrap="square" lIns="27432" tIns="32004" rIns="0" bIns="0" anchor="t" upright="1"/>
        <a:lstStyle/>
        <a:p>
          <a:pPr algn="l" rtl="0">
            <a:defRPr sz="1000"/>
          </a:pPr>
          <a:r>
            <a:rPr lang="fr-FR" sz="1400" b="1" i="1" u="none" strike="noStrike" baseline="0">
              <a:solidFill>
                <a:srgbClr val="000000"/>
              </a:solidFill>
              <a:latin typeface="@Batang"/>
              <a:ea typeface="@Batang"/>
              <a:cs typeface="@Batang"/>
            </a:rPr>
            <a:t>1°) habiller et désosser les pigeons. Marquer un fond de pigeon avec les carcasses.  Réserver les cuisses, les poitrines et tailler les abats en cubes d'1 cm.</a:t>
          </a:r>
        </a:p>
        <a:p>
          <a:pPr algn="l" rtl="0">
            <a:defRPr sz="1000"/>
          </a:pPr>
          <a:endParaRPr lang="fr-FR" sz="1400" b="1" i="1" u="none" strike="noStrike" baseline="0">
            <a:solidFill>
              <a:srgbClr val="000000"/>
            </a:solidFill>
            <a:latin typeface="@Batang"/>
            <a:ea typeface="@Batang"/>
            <a:cs typeface="@Batang"/>
          </a:endParaRPr>
        </a:p>
        <a:p>
          <a:pPr algn="l" rtl="0">
            <a:defRPr sz="1000"/>
          </a:pPr>
          <a:r>
            <a:rPr lang="fr-FR" sz="1400" b="1" i="1" u="none" strike="noStrike" baseline="0">
              <a:solidFill>
                <a:srgbClr val="000000"/>
              </a:solidFill>
              <a:latin typeface="@Batang"/>
              <a:ea typeface="@Batang"/>
              <a:cs typeface="@Batang"/>
            </a:rPr>
            <a:t>2°) Les cuisses: marquer un ragout sur base gastrique aux épices et mouiller au fonds brun clair. terminer la sauce par réduction</a:t>
          </a:r>
        </a:p>
        <a:p>
          <a:pPr algn="l" rtl="0">
            <a:defRPr sz="1000"/>
          </a:pPr>
          <a:endParaRPr lang="fr-FR" sz="1400" b="1" i="1" u="none" strike="noStrike" baseline="0">
            <a:solidFill>
              <a:srgbClr val="000000"/>
            </a:solidFill>
            <a:latin typeface="@Batang"/>
            <a:ea typeface="@Batang"/>
            <a:cs typeface="@Batang"/>
          </a:endParaRPr>
        </a:p>
        <a:p>
          <a:pPr algn="l" rtl="0">
            <a:defRPr sz="1000"/>
          </a:pPr>
          <a:r>
            <a:rPr lang="fr-FR" sz="1400" b="1" i="1" u="none" strike="noStrike" baseline="0">
              <a:solidFill>
                <a:srgbClr val="000000"/>
              </a:solidFill>
              <a:latin typeface="@Batang"/>
              <a:ea typeface="@Batang"/>
              <a:cs typeface="@Batang"/>
            </a:rPr>
            <a:t>3°) Les poitrines: peler et sauter "vert cuit". </a:t>
          </a:r>
        </a:p>
        <a:p>
          <a:pPr algn="l" rtl="0">
            <a:defRPr sz="1000"/>
          </a:pPr>
          <a:r>
            <a:rPr lang="fr-FR" sz="1400" b="1" i="1" u="none" strike="noStrike" baseline="0">
              <a:solidFill>
                <a:srgbClr val="000000"/>
              </a:solidFill>
              <a:latin typeface="@Batang"/>
              <a:ea typeface="@Batang"/>
              <a:cs typeface="@Batang"/>
            </a:rPr>
            <a:t>réaliser une croute d'épices au pain de mie et beurre pommade. étaler entre deux feuille de papier sulfurisées, prendre au grand froid.</a:t>
          </a:r>
        </a:p>
        <a:p>
          <a:pPr algn="l" rtl="0">
            <a:defRPr sz="1000"/>
          </a:pPr>
          <a:endParaRPr lang="fr-FR" sz="1400" b="1" i="1" u="none" strike="noStrike" baseline="0">
            <a:solidFill>
              <a:srgbClr val="000000"/>
            </a:solidFill>
            <a:latin typeface="@Batang"/>
            <a:ea typeface="@Batang"/>
            <a:cs typeface="@Batang"/>
          </a:endParaRPr>
        </a:p>
        <a:p>
          <a:pPr algn="l" rtl="0">
            <a:defRPr sz="1000"/>
          </a:pPr>
          <a:r>
            <a:rPr lang="fr-FR" sz="1400" b="1" i="1" u="none" strike="noStrike" baseline="0">
              <a:solidFill>
                <a:srgbClr val="000000"/>
              </a:solidFill>
              <a:latin typeface="@Batang"/>
              <a:ea typeface="@Batang"/>
              <a:cs typeface="@Batang"/>
            </a:rPr>
            <a:t>4°) Sauce poitrines: réduire le fonds de pigeon et mélanger avec le fonds brun 1/2 glace.</a:t>
          </a:r>
        </a:p>
        <a:p>
          <a:pPr algn="l" rtl="0">
            <a:defRPr sz="1000"/>
          </a:pPr>
          <a:endParaRPr lang="fr-FR" sz="1400" b="1" i="1" u="none" strike="noStrike" baseline="0">
            <a:solidFill>
              <a:srgbClr val="000000"/>
            </a:solidFill>
            <a:latin typeface="@Batang"/>
            <a:ea typeface="@Batang"/>
            <a:cs typeface="@Batang"/>
          </a:endParaRPr>
        </a:p>
        <a:p>
          <a:pPr algn="l" rtl="0">
            <a:defRPr sz="1000"/>
          </a:pPr>
          <a:r>
            <a:rPr lang="fr-FR" sz="1400" b="1" i="1" u="none" strike="noStrike" baseline="0">
              <a:solidFill>
                <a:srgbClr val="000000"/>
              </a:solidFill>
              <a:latin typeface="@Batang"/>
              <a:ea typeface="@Batang"/>
              <a:cs typeface="@Batang"/>
            </a:rPr>
            <a:t>5°) brochettes: piquer successivement des cubes de foies, de coeur, de gésier et de pomme golden. sauter au moment au beurre clarifié. flamber armagnac</a:t>
          </a:r>
        </a:p>
        <a:p>
          <a:pPr algn="l" rtl="0">
            <a:defRPr sz="1000"/>
          </a:pPr>
          <a:endParaRPr lang="fr-FR" sz="1400" b="1" i="1" u="none" strike="noStrike" baseline="0">
            <a:solidFill>
              <a:srgbClr val="000000"/>
            </a:solidFill>
            <a:latin typeface="@Batang"/>
            <a:ea typeface="@Batang"/>
            <a:cs typeface="@Batang"/>
          </a:endParaRPr>
        </a:p>
        <a:p>
          <a:pPr algn="l" rtl="0">
            <a:defRPr sz="1000"/>
          </a:pPr>
          <a:r>
            <a:rPr lang="fr-FR" sz="1400" b="1" i="1" u="none" strike="noStrike" baseline="0">
              <a:solidFill>
                <a:srgbClr val="000000"/>
              </a:solidFill>
              <a:latin typeface="@Batang"/>
              <a:ea typeface="@Batang"/>
              <a:cs typeface="@Batang"/>
            </a:rPr>
            <a:t>6°) tomates confites. monder en conservant la tige, séparer le chapeau du corps et confire à 80 °c</a:t>
          </a:r>
        </a:p>
        <a:p>
          <a:pPr algn="l" rtl="0">
            <a:defRPr sz="1000"/>
          </a:pPr>
          <a:endParaRPr lang="fr-FR" sz="1400" b="1" i="1" u="none" strike="noStrike" baseline="0">
            <a:solidFill>
              <a:srgbClr val="000000"/>
            </a:solidFill>
            <a:latin typeface="@Batang"/>
            <a:ea typeface="@Batang"/>
            <a:cs typeface="@Batang"/>
          </a:endParaRPr>
        </a:p>
        <a:p>
          <a:pPr algn="l" rtl="0">
            <a:defRPr sz="1000"/>
          </a:pPr>
          <a:r>
            <a:rPr lang="fr-FR" sz="1400" b="1" i="1" u="none" strike="noStrike" baseline="0">
              <a:solidFill>
                <a:srgbClr val="000000"/>
              </a:solidFill>
              <a:latin typeface="@Batang"/>
              <a:ea typeface="@Batang"/>
              <a:cs typeface="@Batang"/>
            </a:rPr>
            <a:t>7°) Pommes bouchon: tailler au cylindre 30 bouchons de 4 cm de hauteur. confire dans la graisse de canard. dorer comme une friture au moment. dresser une  tomate. sur chaque cylindre</a:t>
          </a:r>
        </a:p>
        <a:p>
          <a:pPr algn="l" rtl="0">
            <a:defRPr sz="1000"/>
          </a:pPr>
          <a:endParaRPr lang="fr-FR" sz="1000" b="1" i="1" u="none" strike="noStrike" baseline="0">
            <a:solidFill>
              <a:srgbClr val="000000"/>
            </a:solidFill>
            <a:latin typeface="@Batang"/>
            <a:ea typeface="@Batang"/>
            <a:cs typeface="@Batang"/>
          </a:endParaRPr>
        </a:p>
      </xdr:txBody>
    </xdr:sp>
    <xdr:clientData/>
  </xdr:twoCellAnchor>
  <xdr:twoCellAnchor>
    <xdr:from>
      <xdr:col>1</xdr:col>
      <xdr:colOff>47625</xdr:colOff>
      <xdr:row>2</xdr:row>
      <xdr:rowOff>152400</xdr:rowOff>
    </xdr:from>
    <xdr:to>
      <xdr:col>4</xdr:col>
      <xdr:colOff>361922</xdr:colOff>
      <xdr:row>3</xdr:row>
      <xdr:rowOff>1114440</xdr:rowOff>
    </xdr:to>
    <xdr:sp macro="" textlink="">
      <xdr:nvSpPr>
        <xdr:cNvPr id="3" name="AutoShape 14">
          <a:extLst>
            <a:ext uri="{FF2B5EF4-FFF2-40B4-BE49-F238E27FC236}">
              <a16:creationId xmlns:a16="http://schemas.microsoft.com/office/drawing/2014/main" id="{0FDBE418-4CD7-4976-9E4C-53A120C52452}"/>
            </a:ext>
          </a:extLst>
        </xdr:cNvPr>
        <xdr:cNvSpPr>
          <a:spLocks noChangeArrowheads="1"/>
        </xdr:cNvSpPr>
      </xdr:nvSpPr>
      <xdr:spPr bwMode="auto">
        <a:xfrm>
          <a:off x="428625" y="1000125"/>
          <a:ext cx="6057872" cy="1285890"/>
        </a:xfrm>
        <a:prstGeom prst="roundRect">
          <a:avLst>
            <a:gd name="adj" fmla="val 16667"/>
          </a:avLst>
        </a:prstGeom>
        <a:solidFill>
          <a:srgbClr val="FFFFFF"/>
        </a:solidFill>
        <a:ln w="9525">
          <a:solidFill>
            <a:srgbClr val="000000"/>
          </a:solidFill>
          <a:round/>
          <a:headEnd/>
          <a:tailEnd/>
        </a:ln>
      </xdr:spPr>
      <xdr:txBody>
        <a:bodyPr vertOverflow="clip" wrap="square" lIns="27432" tIns="32004" rIns="0" bIns="0" anchor="t" upright="1"/>
        <a:lstStyle/>
        <a:p>
          <a:pPr algn="l" rtl="0">
            <a:lnSpc>
              <a:spcPts val="1100"/>
            </a:lnSpc>
            <a:defRPr sz="1000"/>
          </a:pPr>
          <a:r>
            <a:rPr lang="fr-FR" sz="1000" b="0" i="1" strike="noStrike">
              <a:solidFill>
                <a:srgbClr val="000000"/>
              </a:solidFill>
              <a:latin typeface="@Batang"/>
            </a:rPr>
            <a:t>1/2 pigeonneau cuisiné de trois façons: la cuisse en râgout aux épices, la poitrine sautée et recouverte de croute d'épices accompagnée d'un fonds de pigeon, les abats en brochette. La garniture est composée d'une tomate confite entière et</a:t>
          </a:r>
          <a:r>
            <a:rPr lang="fr-FR" sz="1000" b="0" i="1" strike="noStrike" baseline="0">
              <a:solidFill>
                <a:srgbClr val="000000"/>
              </a:solidFill>
              <a:latin typeface="@Batang"/>
            </a:rPr>
            <a:t> de trois tonnelets de pommes de terre confites à la graisse de canard</a:t>
          </a:r>
          <a:r>
            <a:rPr lang="fr-FR" sz="1000" b="0" i="1" strike="noStrike">
              <a:solidFill>
                <a:srgbClr val="000000"/>
              </a:solidFill>
              <a:latin typeface="@Batang"/>
            </a:rPr>
            <a:t>.</a:t>
          </a:r>
        </a:p>
      </xdr:txBody>
    </xdr:sp>
    <xdr:clientData/>
  </xdr:twoCellAnchor>
  <xdr:twoCellAnchor editAs="oneCell">
    <xdr:from>
      <xdr:col>8</xdr:col>
      <xdr:colOff>209550</xdr:colOff>
      <xdr:row>1</xdr:row>
      <xdr:rowOff>514350</xdr:rowOff>
    </xdr:from>
    <xdr:to>
      <xdr:col>11</xdr:col>
      <xdr:colOff>762001</xdr:colOff>
      <xdr:row>3</xdr:row>
      <xdr:rowOff>1424195</xdr:rowOff>
    </xdr:to>
    <xdr:pic>
      <xdr:nvPicPr>
        <xdr:cNvPr id="4" name="Image 1">
          <a:extLst>
            <a:ext uri="{FF2B5EF4-FFF2-40B4-BE49-F238E27FC236}">
              <a16:creationId xmlns:a16="http://schemas.microsoft.com/office/drawing/2014/main" id="{73B561D9-53AA-4518-93DC-3FAA6DB0B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819150"/>
          <a:ext cx="3095626" cy="1776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209550</xdr:colOff>
      <xdr:row>3</xdr:row>
      <xdr:rowOff>571500</xdr:rowOff>
    </xdr:from>
    <xdr:to>
      <xdr:col>26</xdr:col>
      <xdr:colOff>47625</xdr:colOff>
      <xdr:row>3</xdr:row>
      <xdr:rowOff>933450</xdr:rowOff>
    </xdr:to>
    <xdr:sp macro="" textlink="">
      <xdr:nvSpPr>
        <xdr:cNvPr id="5" name="Oval 2">
          <a:extLst>
            <a:ext uri="{FF2B5EF4-FFF2-40B4-BE49-F238E27FC236}">
              <a16:creationId xmlns:a16="http://schemas.microsoft.com/office/drawing/2014/main" id="{B0D7E5E5-EC33-4211-8F8B-36788249EC85}"/>
            </a:ext>
          </a:extLst>
        </xdr:cNvPr>
        <xdr:cNvSpPr>
          <a:spLocks noChangeArrowheads="1"/>
        </xdr:cNvSpPr>
      </xdr:nvSpPr>
      <xdr:spPr bwMode="auto">
        <a:xfrm>
          <a:off x="21469350" y="1743075"/>
          <a:ext cx="1504950" cy="361950"/>
        </a:xfrm>
        <a:prstGeom prst="ellipse">
          <a:avLst/>
        </a:prstGeom>
        <a:solidFill>
          <a:srgbClr val="FFFFFF"/>
        </a:solidFill>
        <a:ln w="9525">
          <a:solidFill>
            <a:srgbClr val="000000"/>
          </a:solidFill>
          <a:round/>
          <a:headEnd/>
          <a:tailEnd/>
        </a:ln>
        <a:effectLst>
          <a:outerShdw dist="107763" dir="8100000" algn="ctr" rotWithShape="0">
            <a:srgbClr val="969696"/>
          </a:outerShdw>
        </a:effectLst>
      </xdr:spPr>
    </xdr:sp>
    <xdr:clientData/>
  </xdr:twoCellAnchor>
  <xdr:twoCellAnchor>
    <xdr:from>
      <xdr:col>15</xdr:col>
      <xdr:colOff>0</xdr:colOff>
      <xdr:row>4</xdr:row>
      <xdr:rowOff>307975</xdr:rowOff>
    </xdr:from>
    <xdr:to>
      <xdr:col>16</xdr:col>
      <xdr:colOff>2200709</xdr:colOff>
      <xdr:row>43</xdr:row>
      <xdr:rowOff>152406</xdr:rowOff>
    </xdr:to>
    <xdr:sp macro="" textlink="">
      <xdr:nvSpPr>
        <xdr:cNvPr id="6" name="Text Box 6">
          <a:extLst>
            <a:ext uri="{FF2B5EF4-FFF2-40B4-BE49-F238E27FC236}">
              <a16:creationId xmlns:a16="http://schemas.microsoft.com/office/drawing/2014/main" id="{17AD9AB1-C63B-480A-95DE-671CE2D5EB90}"/>
            </a:ext>
          </a:extLst>
        </xdr:cNvPr>
        <xdr:cNvSpPr txBox="1">
          <a:spLocks noChangeArrowheads="1"/>
        </xdr:cNvSpPr>
      </xdr:nvSpPr>
      <xdr:spPr bwMode="auto">
        <a:xfrm>
          <a:off x="15192375" y="2908300"/>
          <a:ext cx="4096184" cy="13369931"/>
        </a:xfrm>
        <a:prstGeom prst="rect">
          <a:avLst/>
        </a:prstGeom>
        <a:noFill/>
        <a:ln w="9525">
          <a:noFill/>
          <a:miter lim="800000"/>
          <a:headEnd/>
          <a:tailEnd/>
        </a:ln>
      </xdr:spPr>
      <xdr:txBody>
        <a:bodyPr vertOverflow="clip" wrap="square" lIns="27432" tIns="32004" rIns="0" bIns="0" anchor="t" upright="1"/>
        <a:lstStyle/>
        <a:p>
          <a:pPr algn="l" rtl="0">
            <a:defRPr sz="1000"/>
          </a:pPr>
          <a:r>
            <a:rPr lang="fr-FR" sz="1000" b="1" i="1" u="none" strike="noStrike" baseline="0">
              <a:solidFill>
                <a:srgbClr val="000000"/>
              </a:solidFill>
              <a:latin typeface="@Batang"/>
              <a:ea typeface="@Batang"/>
              <a:cs typeface="@Batang"/>
            </a:rPr>
            <a:t>1°) habiller et désosser les pigeons. Marquer un fond de pigeon avec les carcasses.  Réserver les cuisses, les poitrines et tailler les abats en cubes d'1 cm.</a:t>
          </a:r>
        </a:p>
        <a:p>
          <a:pPr algn="l" rtl="0">
            <a:defRPr sz="1000"/>
          </a:pPr>
          <a:endParaRPr lang="fr-FR" sz="1000" b="1" i="1" u="none" strike="noStrike" baseline="0">
            <a:solidFill>
              <a:srgbClr val="000000"/>
            </a:solidFill>
            <a:latin typeface="@Batang"/>
            <a:ea typeface="@Batang"/>
            <a:cs typeface="@Batang"/>
          </a:endParaRPr>
        </a:p>
        <a:p>
          <a:pPr algn="l" rtl="0">
            <a:defRPr sz="1000"/>
          </a:pPr>
          <a:r>
            <a:rPr lang="fr-FR" sz="1000" b="1" i="1" u="none" strike="noStrike" baseline="0">
              <a:solidFill>
                <a:srgbClr val="000000"/>
              </a:solidFill>
              <a:latin typeface="@Batang"/>
              <a:ea typeface="@Batang"/>
              <a:cs typeface="@Batang"/>
            </a:rPr>
            <a:t>2°) Les cuisses: marquer un ragout sur base gastrique aux épices et mouiller au fonds brun clair. terminer la sauce par réduction</a:t>
          </a:r>
        </a:p>
        <a:p>
          <a:pPr algn="l" rtl="0">
            <a:defRPr sz="1000"/>
          </a:pPr>
          <a:endParaRPr lang="fr-FR" sz="1000" b="1" i="1" u="none" strike="noStrike" baseline="0">
            <a:solidFill>
              <a:srgbClr val="000000"/>
            </a:solidFill>
            <a:latin typeface="@Batang"/>
            <a:ea typeface="@Batang"/>
            <a:cs typeface="@Batang"/>
          </a:endParaRPr>
        </a:p>
        <a:p>
          <a:pPr algn="l" rtl="0">
            <a:defRPr sz="1000"/>
          </a:pPr>
          <a:r>
            <a:rPr lang="fr-FR" sz="1000" b="1" i="1" u="none" strike="noStrike" baseline="0">
              <a:solidFill>
                <a:srgbClr val="000000"/>
              </a:solidFill>
              <a:latin typeface="@Batang"/>
              <a:ea typeface="@Batang"/>
              <a:cs typeface="@Batang"/>
            </a:rPr>
            <a:t>3°) Les poitrines: peler et sauter "vert cuit". </a:t>
          </a:r>
        </a:p>
        <a:p>
          <a:pPr algn="l" rtl="0">
            <a:defRPr sz="1000"/>
          </a:pPr>
          <a:r>
            <a:rPr lang="fr-FR" sz="1000" b="1" i="1" u="none" strike="noStrike" baseline="0">
              <a:solidFill>
                <a:srgbClr val="000000"/>
              </a:solidFill>
              <a:latin typeface="@Batang"/>
              <a:ea typeface="@Batang"/>
              <a:cs typeface="@Batang"/>
            </a:rPr>
            <a:t>réaliser une croute d'épices au pain de mie et beurre pommade. étaler entre deux feuille de papier sulfurisées, prendre au grand froid.</a:t>
          </a:r>
        </a:p>
        <a:p>
          <a:pPr algn="l" rtl="0">
            <a:defRPr sz="1000"/>
          </a:pPr>
          <a:endParaRPr lang="fr-FR" sz="1000" b="1" i="1" u="none" strike="noStrike" baseline="0">
            <a:solidFill>
              <a:srgbClr val="000000"/>
            </a:solidFill>
            <a:latin typeface="@Batang"/>
            <a:ea typeface="@Batang"/>
            <a:cs typeface="@Batang"/>
          </a:endParaRPr>
        </a:p>
        <a:p>
          <a:pPr algn="l" rtl="0">
            <a:defRPr sz="1000"/>
          </a:pPr>
          <a:r>
            <a:rPr lang="fr-FR" sz="1000" b="1" i="1" u="none" strike="noStrike" baseline="0">
              <a:solidFill>
                <a:srgbClr val="000000"/>
              </a:solidFill>
              <a:latin typeface="@Batang"/>
              <a:ea typeface="@Batang"/>
              <a:cs typeface="@Batang"/>
            </a:rPr>
            <a:t>4°) Sauce poitrines: réduire le fonds de pigeon et mélanger avec le fonds brun 1/2 glace.</a:t>
          </a:r>
        </a:p>
        <a:p>
          <a:pPr algn="l" rtl="0">
            <a:defRPr sz="1000"/>
          </a:pPr>
          <a:endParaRPr lang="fr-FR" sz="1000" b="1" i="1" u="none" strike="noStrike" baseline="0">
            <a:solidFill>
              <a:srgbClr val="000000"/>
            </a:solidFill>
            <a:latin typeface="@Batang"/>
            <a:ea typeface="@Batang"/>
            <a:cs typeface="@Batang"/>
          </a:endParaRPr>
        </a:p>
        <a:p>
          <a:pPr algn="l" rtl="0">
            <a:defRPr sz="1000"/>
          </a:pPr>
          <a:r>
            <a:rPr lang="fr-FR" sz="1000" b="1" i="1" u="none" strike="noStrike" baseline="0">
              <a:solidFill>
                <a:srgbClr val="000000"/>
              </a:solidFill>
              <a:latin typeface="@Batang"/>
              <a:ea typeface="@Batang"/>
              <a:cs typeface="@Batang"/>
            </a:rPr>
            <a:t>5°) brochettes: piquer successivement des cubes de foies, de coeur, de gésier et de pomme golden. sauter au moment au beurre clarifié. flamber armagnac</a:t>
          </a:r>
        </a:p>
        <a:p>
          <a:pPr algn="l" rtl="0">
            <a:defRPr sz="1000"/>
          </a:pPr>
          <a:endParaRPr lang="fr-FR" sz="1000" b="1" i="1" u="none" strike="noStrike" baseline="0">
            <a:solidFill>
              <a:srgbClr val="000000"/>
            </a:solidFill>
            <a:latin typeface="@Batang"/>
            <a:ea typeface="@Batang"/>
            <a:cs typeface="@Batang"/>
          </a:endParaRPr>
        </a:p>
        <a:p>
          <a:pPr algn="l" rtl="0">
            <a:defRPr sz="1000"/>
          </a:pPr>
          <a:r>
            <a:rPr lang="fr-FR" sz="1000" b="1" i="1" u="none" strike="noStrike" baseline="0">
              <a:solidFill>
                <a:srgbClr val="000000"/>
              </a:solidFill>
              <a:latin typeface="@Batang"/>
              <a:ea typeface="@Batang"/>
              <a:cs typeface="@Batang"/>
            </a:rPr>
            <a:t>6°) tomates confites. monder en conservant la tige, séparer le chapeau du corps et confire à 80 °c</a:t>
          </a:r>
        </a:p>
        <a:p>
          <a:pPr algn="l" rtl="0">
            <a:defRPr sz="1000"/>
          </a:pPr>
          <a:endParaRPr lang="fr-FR" sz="1000" b="1" i="1" u="none" strike="noStrike" baseline="0">
            <a:solidFill>
              <a:srgbClr val="000000"/>
            </a:solidFill>
            <a:latin typeface="@Batang"/>
            <a:ea typeface="@Batang"/>
            <a:cs typeface="@Batang"/>
          </a:endParaRPr>
        </a:p>
        <a:p>
          <a:pPr algn="l" rtl="0">
            <a:defRPr sz="1000"/>
          </a:pPr>
          <a:r>
            <a:rPr lang="fr-FR" sz="1000" b="1" i="1" u="none" strike="noStrike" baseline="0">
              <a:solidFill>
                <a:srgbClr val="000000"/>
              </a:solidFill>
              <a:latin typeface="@Batang"/>
              <a:ea typeface="@Batang"/>
              <a:cs typeface="@Batang"/>
            </a:rPr>
            <a:t>7°) Pommes bouchon: tailler au cylindre 30 bouchons de 4 cm de hauteur. confire dans la graisse de canard. dorer comme une friture au moment. dresser une  tomate. sur chaque cylindre</a:t>
          </a:r>
        </a:p>
        <a:p>
          <a:pPr algn="l" rtl="0">
            <a:defRPr sz="1000"/>
          </a:pPr>
          <a:endParaRPr lang="fr-FR" sz="1000" b="1" i="1" u="none" strike="noStrike" baseline="0">
            <a:solidFill>
              <a:srgbClr val="000000"/>
            </a:solidFill>
            <a:latin typeface="@Batang"/>
            <a:ea typeface="@Batang"/>
            <a:cs typeface="@Batang"/>
          </a:endParaRPr>
        </a:p>
      </xdr:txBody>
    </xdr:sp>
    <xdr:clientData/>
  </xdr:twoCellAnchor>
  <xdr:twoCellAnchor>
    <xdr:from>
      <xdr:col>16</xdr:col>
      <xdr:colOff>47625</xdr:colOff>
      <xdr:row>2</xdr:row>
      <xdr:rowOff>152400</xdr:rowOff>
    </xdr:from>
    <xdr:to>
      <xdr:col>19</xdr:col>
      <xdr:colOff>361922</xdr:colOff>
      <xdr:row>3</xdr:row>
      <xdr:rowOff>1114440</xdr:rowOff>
    </xdr:to>
    <xdr:sp macro="" textlink="">
      <xdr:nvSpPr>
        <xdr:cNvPr id="7" name="AutoShape 14">
          <a:extLst>
            <a:ext uri="{FF2B5EF4-FFF2-40B4-BE49-F238E27FC236}">
              <a16:creationId xmlns:a16="http://schemas.microsoft.com/office/drawing/2014/main" id="{9A4C3801-4B06-4771-9A67-CB838F48AAF0}"/>
            </a:ext>
          </a:extLst>
        </xdr:cNvPr>
        <xdr:cNvSpPr>
          <a:spLocks noChangeArrowheads="1"/>
        </xdr:cNvSpPr>
      </xdr:nvSpPr>
      <xdr:spPr bwMode="auto">
        <a:xfrm>
          <a:off x="17287875" y="1000125"/>
          <a:ext cx="3638522" cy="1285890"/>
        </a:xfrm>
        <a:prstGeom prst="roundRect">
          <a:avLst>
            <a:gd name="adj" fmla="val 16667"/>
          </a:avLst>
        </a:prstGeom>
        <a:solidFill>
          <a:srgbClr val="FFFFFF"/>
        </a:solidFill>
        <a:ln w="9525">
          <a:solidFill>
            <a:srgbClr val="000000"/>
          </a:solidFill>
          <a:round/>
          <a:headEnd/>
          <a:tailEnd/>
        </a:ln>
      </xdr:spPr>
      <xdr:txBody>
        <a:bodyPr vertOverflow="clip" wrap="square" lIns="27432" tIns="32004" rIns="0" bIns="0" anchor="t" upright="1"/>
        <a:lstStyle/>
        <a:p>
          <a:pPr algn="l" rtl="0">
            <a:lnSpc>
              <a:spcPts val="1100"/>
            </a:lnSpc>
            <a:defRPr sz="1000"/>
          </a:pPr>
          <a:r>
            <a:rPr lang="fr-FR" sz="1000" b="0" i="1" strike="noStrike">
              <a:solidFill>
                <a:srgbClr val="000000"/>
              </a:solidFill>
              <a:latin typeface="@Batang"/>
            </a:rPr>
            <a:t>1/2 pigeonneau cuisiné de trois façons: la cuisse en râgout aux épices, la poitrine sautée et recouverte de croute d'épices accompagnée d'un fonds de pigeon, les abats en brochette. La garniture est composée d'une tomate confite entière et</a:t>
          </a:r>
          <a:r>
            <a:rPr lang="fr-FR" sz="1000" b="0" i="1" strike="noStrike" baseline="0">
              <a:solidFill>
                <a:srgbClr val="000000"/>
              </a:solidFill>
              <a:latin typeface="@Batang"/>
            </a:rPr>
            <a:t> de trois tonnelets de pommes de terre confites à la graisse de canard</a:t>
          </a:r>
          <a:r>
            <a:rPr lang="fr-FR" sz="1000" b="0" i="1" strike="noStrike">
              <a:solidFill>
                <a:srgbClr val="000000"/>
              </a:solidFill>
              <a:latin typeface="@Batang"/>
            </a:rPr>
            <a:t>.</a:t>
          </a:r>
        </a:p>
      </xdr:txBody>
    </xdr:sp>
    <xdr:clientData/>
  </xdr:twoCellAnchor>
  <xdr:oneCellAnchor>
    <xdr:from>
      <xdr:col>20</xdr:col>
      <xdr:colOff>9525</xdr:colOff>
      <xdr:row>2</xdr:row>
      <xdr:rowOff>9525</xdr:rowOff>
    </xdr:from>
    <xdr:ext cx="2192482" cy="1255568"/>
    <xdr:pic>
      <xdr:nvPicPr>
        <xdr:cNvPr id="8" name="Image 1">
          <a:extLst>
            <a:ext uri="{FF2B5EF4-FFF2-40B4-BE49-F238E27FC236}">
              <a16:creationId xmlns:a16="http://schemas.microsoft.com/office/drawing/2014/main" id="{7617E7F9-9CFA-43F8-8644-4234CBCA82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00" y="857250"/>
          <a:ext cx="2192482" cy="1255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C6386A95-3356-4317-B3DD-9837E686000D}"/>
            </a:ext>
          </a:extLst>
        </xdr:cNvPr>
        <xdr:cNvSpPr txBox="1">
          <a:spLocks noChangeArrowheads="1"/>
        </xdr:cNvSpPr>
      </xdr:nvSpPr>
      <xdr:spPr bwMode="auto">
        <a:xfrm>
          <a:off x="0" y="3409950"/>
          <a:ext cx="262890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3</xdr:row>
      <xdr:rowOff>19050</xdr:rowOff>
    </xdr:from>
    <xdr:to>
      <xdr:col>4</xdr:col>
      <xdr:colOff>247624</xdr:colOff>
      <xdr:row>3</xdr:row>
      <xdr:rowOff>1304925</xdr:rowOff>
    </xdr:to>
    <xdr:sp macro="" textlink="">
      <xdr:nvSpPr>
        <xdr:cNvPr id="3" name="AutoShape 14">
          <a:extLst>
            <a:ext uri="{FF2B5EF4-FFF2-40B4-BE49-F238E27FC236}">
              <a16:creationId xmlns:a16="http://schemas.microsoft.com/office/drawing/2014/main" id="{520A32B0-5C46-41CB-AC46-EDC2C132F996}"/>
            </a:ext>
          </a:extLst>
        </xdr:cNvPr>
        <xdr:cNvSpPr>
          <a:spLocks noChangeArrowheads="1"/>
        </xdr:cNvSpPr>
      </xdr:nvSpPr>
      <xdr:spPr bwMode="auto">
        <a:xfrm>
          <a:off x="314325" y="1190625"/>
          <a:ext cx="6057874" cy="1285875"/>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risotto</a:t>
          </a:r>
          <a:r>
            <a:rPr lang="fr-FR" baseline="0"/>
            <a:t> au fond blanc de volaille, servi crémeux dans une assiette demi sphère, surmonté de 3 noix de saint jacques piquées de truffes et sautées. Pour terminer un jus réduit de volaille tranché à l'huile de truffe est versé en cordon à la surface du risotto.</a:t>
          </a:r>
          <a:endParaRPr lang="fr-FR"/>
        </a:p>
      </xdr:txBody>
    </xdr:sp>
    <xdr:clientData/>
  </xdr:twoCellAnchor>
  <xdr:twoCellAnchor>
    <xdr:from>
      <xdr:col>0</xdr:col>
      <xdr:colOff>0</xdr:colOff>
      <xdr:row>4</xdr:row>
      <xdr:rowOff>603250</xdr:rowOff>
    </xdr:from>
    <xdr:to>
      <xdr:col>2</xdr:col>
      <xdr:colOff>5485</xdr:colOff>
      <xdr:row>44</xdr:row>
      <xdr:rowOff>38100</xdr:rowOff>
    </xdr:to>
    <xdr:sp macro="" textlink="">
      <xdr:nvSpPr>
        <xdr:cNvPr id="4" name="AutoShape 14">
          <a:extLst>
            <a:ext uri="{FF2B5EF4-FFF2-40B4-BE49-F238E27FC236}">
              <a16:creationId xmlns:a16="http://schemas.microsoft.com/office/drawing/2014/main" id="{033DE43E-6B02-4D87-9678-318936A0A7B3}"/>
            </a:ext>
          </a:extLst>
        </xdr:cNvPr>
        <xdr:cNvSpPr>
          <a:spLocks noChangeArrowheads="1"/>
        </xdr:cNvSpPr>
      </xdr:nvSpPr>
      <xdr:spPr bwMode="auto">
        <a:xfrm>
          <a:off x="0" y="3203575"/>
          <a:ext cx="2634385" cy="13284200"/>
        </a:xfrm>
        <a:prstGeom prst="roundRect">
          <a:avLst>
            <a:gd name="adj" fmla="val 16667"/>
          </a:avLst>
        </a:prstGeom>
        <a:solidFill>
          <a:srgbClr val="FFFFFF"/>
        </a:solidFill>
        <a:ln w="9525">
          <a:solidFill>
            <a:srgbClr val="000000"/>
          </a:solidFill>
          <a:round/>
          <a:headEnd/>
          <a:tailEnd/>
        </a:ln>
      </xdr:spPr>
      <xdr:txBody>
        <a:bodyPr/>
        <a:lstStyle/>
        <a:p>
          <a:pPr algn="l" rtl="0">
            <a:lnSpc>
              <a:spcPts val="1100"/>
            </a:lnSpc>
            <a:defRPr sz="1000"/>
          </a:pPr>
          <a:r>
            <a:rPr lang="fr-FR" sz="1100" b="0" i="0" u="none" strike="noStrike" baseline="0">
              <a:solidFill>
                <a:srgbClr val="000000"/>
              </a:solidFill>
              <a:latin typeface="Calibri"/>
              <a:ea typeface="Calibri"/>
              <a:cs typeface="Calibri"/>
            </a:rPr>
            <a:t>1) mettre le riz arborio cru avec les truffes 24 heures avant dans une boite hermétique au frais </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2) Marquer le fond de volaille avec les carcasses du plat principal. Colorer à peine avant le mouillement. 2 litres</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3) Préparer les saint jacques: dénerver, piquer chaque pièce d'un fin bâtonnet de truffe. (Hacher les parures, réserver pour le risotto) A l'envoi, sauter les saint jacques à la poêle anti adhésive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4) Jus tranché : Réduire en demi glace le fond restant et émulsionner avec de l'huile truffe. réserver au bain marie </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5) risotto:( infuser les parures de truffes hachées dans la crème 3 heures avant) nacrer le riz avec les oignons , mouiller à hauteur avec le fond bouillant, couvrir,remouiller  jusqu'à obtention de la cuisson. terminer avec la crème semi montée et terminer avec le parmesan concassé. dresser aussitôt.</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Dressage:dans une assiette demi sphère chaude, dresser une louche de risotto, disposer les saint jacques, un cordon de jus et le cerfeuil.</a:t>
          </a:r>
        </a:p>
        <a:p>
          <a:pPr algn="l" rtl="0">
            <a:lnSpc>
              <a:spcPts val="1000"/>
            </a:lnSpc>
            <a:defRPr sz="1000"/>
          </a:pPr>
          <a:endParaRPr lang="fr-FR" sz="1100" b="0" i="0" u="none" strike="noStrike" baseline="0">
            <a:solidFill>
              <a:srgbClr val="000000"/>
            </a:solidFill>
            <a:latin typeface="Calibri"/>
            <a:ea typeface="Calibri"/>
            <a:cs typeface="Calibri"/>
          </a:endParaRPr>
        </a:p>
        <a:p>
          <a:pPr algn="l" rtl="0">
            <a:lnSpc>
              <a:spcPts val="900"/>
            </a:lnSpc>
            <a:defRPr sz="1000"/>
          </a:pPr>
          <a:endParaRPr lang="fr-FR" sz="1100" b="0" i="0" u="none" strike="noStrike" baseline="0">
            <a:solidFill>
              <a:srgbClr val="000000"/>
            </a:solidFill>
            <a:latin typeface="Calibri"/>
            <a:ea typeface="Calibri"/>
            <a:cs typeface="Calibri"/>
          </a:endParaRPr>
        </a:p>
      </xdr:txBody>
    </xdr:sp>
    <xdr:clientData/>
  </xdr:twoCellAnchor>
  <xdr:twoCellAnchor>
    <xdr:from>
      <xdr:col>15</xdr:col>
      <xdr:colOff>0</xdr:colOff>
      <xdr:row>5</xdr:row>
      <xdr:rowOff>0</xdr:rowOff>
    </xdr:from>
    <xdr:to>
      <xdr:col>17</xdr:col>
      <xdr:colOff>0</xdr:colOff>
      <xdr:row>45</xdr:row>
      <xdr:rowOff>0</xdr:rowOff>
    </xdr:to>
    <xdr:sp macro="" textlink="">
      <xdr:nvSpPr>
        <xdr:cNvPr id="5" name="Text Box 6">
          <a:extLst>
            <a:ext uri="{FF2B5EF4-FFF2-40B4-BE49-F238E27FC236}">
              <a16:creationId xmlns:a16="http://schemas.microsoft.com/office/drawing/2014/main" id="{C6F2A2D8-62B6-4C07-8265-422C64A708CB}"/>
            </a:ext>
          </a:extLst>
        </xdr:cNvPr>
        <xdr:cNvSpPr txBox="1">
          <a:spLocks noChangeArrowheads="1"/>
        </xdr:cNvSpPr>
      </xdr:nvSpPr>
      <xdr:spPr bwMode="auto">
        <a:xfrm>
          <a:off x="15192375" y="3409950"/>
          <a:ext cx="409575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47625</xdr:colOff>
      <xdr:row>2</xdr:row>
      <xdr:rowOff>152400</xdr:rowOff>
    </xdr:from>
    <xdr:to>
      <xdr:col>19</xdr:col>
      <xdr:colOff>361924</xdr:colOff>
      <xdr:row>3</xdr:row>
      <xdr:rowOff>1114425</xdr:rowOff>
    </xdr:to>
    <xdr:sp macro="" textlink="">
      <xdr:nvSpPr>
        <xdr:cNvPr id="6" name="AutoShape 14">
          <a:extLst>
            <a:ext uri="{FF2B5EF4-FFF2-40B4-BE49-F238E27FC236}">
              <a16:creationId xmlns:a16="http://schemas.microsoft.com/office/drawing/2014/main" id="{BE8919CE-EC56-40FA-80DA-65D357604990}"/>
            </a:ext>
          </a:extLst>
        </xdr:cNvPr>
        <xdr:cNvSpPr>
          <a:spLocks noChangeArrowheads="1"/>
        </xdr:cNvSpPr>
      </xdr:nvSpPr>
      <xdr:spPr bwMode="auto">
        <a:xfrm>
          <a:off x="17287875" y="1000125"/>
          <a:ext cx="3676624" cy="1285875"/>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risotto</a:t>
          </a:r>
          <a:r>
            <a:rPr lang="fr-FR" baseline="0"/>
            <a:t> au fond blanc de volaille, servi crémeux dans une assiette demi sphère, surmonté de 3 noix de saint jacques piquées de truffes et sautées. Pour terminer un jus réduit de volaille tranché à l'huile de truffe est versé en cordon à la surface du risotto.</a:t>
          </a:r>
          <a:endParaRPr lang="fr-FR"/>
        </a:p>
      </xdr:txBody>
    </xdr:sp>
    <xdr:clientData/>
  </xdr:twoCellAnchor>
  <xdr:twoCellAnchor>
    <xdr:from>
      <xdr:col>15</xdr:col>
      <xdr:colOff>0</xdr:colOff>
      <xdr:row>4</xdr:row>
      <xdr:rowOff>298450</xdr:rowOff>
    </xdr:from>
    <xdr:to>
      <xdr:col>17</xdr:col>
      <xdr:colOff>5485</xdr:colOff>
      <xdr:row>45</xdr:row>
      <xdr:rowOff>136550</xdr:rowOff>
    </xdr:to>
    <xdr:sp macro="" textlink="">
      <xdr:nvSpPr>
        <xdr:cNvPr id="7" name="AutoShape 14">
          <a:extLst>
            <a:ext uri="{FF2B5EF4-FFF2-40B4-BE49-F238E27FC236}">
              <a16:creationId xmlns:a16="http://schemas.microsoft.com/office/drawing/2014/main" id="{817B7651-2908-4C6C-8D0D-74F634FC39D4}"/>
            </a:ext>
          </a:extLst>
        </xdr:cNvPr>
        <xdr:cNvSpPr>
          <a:spLocks noChangeArrowheads="1"/>
        </xdr:cNvSpPr>
      </xdr:nvSpPr>
      <xdr:spPr bwMode="auto">
        <a:xfrm>
          <a:off x="15192375" y="2898775"/>
          <a:ext cx="4101235" cy="14011300"/>
        </a:xfrm>
        <a:prstGeom prst="roundRect">
          <a:avLst>
            <a:gd name="adj" fmla="val 16667"/>
          </a:avLst>
        </a:prstGeom>
        <a:solidFill>
          <a:srgbClr val="FFFFFF"/>
        </a:solidFill>
        <a:ln w="9525">
          <a:solidFill>
            <a:srgbClr val="000000"/>
          </a:solidFill>
          <a:round/>
          <a:headEnd/>
          <a:tailEnd/>
        </a:ln>
      </xdr:spPr>
      <xdr:txBody>
        <a:bodyPr/>
        <a:lstStyle/>
        <a:p>
          <a:pPr algn="l" rtl="0">
            <a:lnSpc>
              <a:spcPts val="1100"/>
            </a:lnSpc>
            <a:defRPr sz="1000"/>
          </a:pPr>
          <a:r>
            <a:rPr lang="fr-FR" sz="1100" b="0" i="0" u="none" strike="noStrike" baseline="0">
              <a:solidFill>
                <a:srgbClr val="000000"/>
              </a:solidFill>
              <a:latin typeface="Calibri"/>
              <a:ea typeface="Calibri"/>
              <a:cs typeface="Calibri"/>
            </a:rPr>
            <a:t>1) mettre le riz arborio cru avec les truffes 24 heures avant dans une boite hermétique au frais </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2) Marquer le fond de volaille avec les carcasses du plat principal. Colorer à peine avant le mouillement. 2 litres</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3) Préparer les saint jacques: dénerver, piquer chaque pièce d'un fin bâtonnet de truffe. (Hacher les parures, réserver pour le risotto) A l'envoi, sauter les saint jacques à la poêle anti adhésive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4) Jus tranché : Réduire en demi glace le fond restant et émulsionner avec de l'huile truffe. réserver au bain marie </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5) risotto:( infuser les parures de truffes hachées dans la crème 3 heures avant) nacrer le riz avec les oignons , mouiller à hauteur avec le fond bouillant, couvrir,remouiller  jusqu'à obtention de la cuisson. terminer avec la crème semi montée et terminer avec le parmesan concassé. dresser aussitôt.</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Dressage:dans une assiette demi sphère chaude, dresser une louche de risotto, disposer les saint jacques, un cordon de jus et le cerfeuil.</a:t>
          </a:r>
        </a:p>
        <a:p>
          <a:pPr algn="l" rtl="0">
            <a:lnSpc>
              <a:spcPts val="1000"/>
            </a:lnSpc>
            <a:defRPr sz="1000"/>
          </a:pPr>
          <a:endParaRPr lang="fr-FR" sz="1100" b="0" i="0" u="none" strike="noStrike" baseline="0">
            <a:solidFill>
              <a:srgbClr val="000000"/>
            </a:solidFill>
            <a:latin typeface="Calibri"/>
            <a:ea typeface="Calibri"/>
            <a:cs typeface="Calibri"/>
          </a:endParaRPr>
        </a:p>
        <a:p>
          <a:pPr algn="l" rtl="0">
            <a:lnSpc>
              <a:spcPts val="900"/>
            </a:lnSpc>
            <a:defRPr sz="1000"/>
          </a:pPr>
          <a:endParaRPr lang="fr-FR" sz="1100" b="0" i="0" u="none" strike="noStrike" baseline="0">
            <a:solidFill>
              <a:srgbClr val="000000"/>
            </a:solidFill>
            <a:latin typeface="Calibri"/>
            <a:ea typeface="Calibri"/>
            <a:cs typeface="Calibri"/>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4</xdr:row>
      <xdr:rowOff>314326</xdr:rowOff>
    </xdr:from>
    <xdr:to>
      <xdr:col>1</xdr:col>
      <xdr:colOff>2209800</xdr:colOff>
      <xdr:row>44</xdr:row>
      <xdr:rowOff>28576</xdr:rowOff>
    </xdr:to>
    <xdr:sp macro="" textlink="">
      <xdr:nvSpPr>
        <xdr:cNvPr id="2" name="Text Box 2">
          <a:extLst>
            <a:ext uri="{FF2B5EF4-FFF2-40B4-BE49-F238E27FC236}">
              <a16:creationId xmlns:a16="http://schemas.microsoft.com/office/drawing/2014/main" id="{12341456-C905-4918-A0A6-193414E32424}"/>
            </a:ext>
          </a:extLst>
        </xdr:cNvPr>
        <xdr:cNvSpPr txBox="1">
          <a:spLocks noChangeArrowheads="1"/>
        </xdr:cNvSpPr>
      </xdr:nvSpPr>
      <xdr:spPr bwMode="auto">
        <a:xfrm>
          <a:off x="390525" y="2905126"/>
          <a:ext cx="2200275" cy="13563600"/>
        </a:xfrm>
        <a:prstGeom prst="rect">
          <a:avLst/>
        </a:prstGeom>
        <a:noFill/>
        <a:ln w="9525">
          <a:noFill/>
          <a:round/>
          <a:headEnd/>
          <a:tailEnd/>
        </a:ln>
        <a:effectLst/>
      </xdr:spPr>
    </xdr:sp>
    <xdr:clientData/>
  </xdr:twoCellAnchor>
  <xdr:twoCellAnchor>
    <xdr:from>
      <xdr:col>1</xdr:col>
      <xdr:colOff>95250</xdr:colOff>
      <xdr:row>3</xdr:row>
      <xdr:rowOff>95250</xdr:rowOff>
    </xdr:from>
    <xdr:to>
      <xdr:col>4</xdr:col>
      <xdr:colOff>400050</xdr:colOff>
      <xdr:row>3</xdr:row>
      <xdr:rowOff>1381125</xdr:rowOff>
    </xdr:to>
    <xdr:sp macro="" textlink="">
      <xdr:nvSpPr>
        <xdr:cNvPr id="3" name="AutoShape 3">
          <a:extLst>
            <a:ext uri="{FF2B5EF4-FFF2-40B4-BE49-F238E27FC236}">
              <a16:creationId xmlns:a16="http://schemas.microsoft.com/office/drawing/2014/main" id="{F8BBB4FC-7D97-4306-B41A-4CF1AE8FC1F0}"/>
            </a:ext>
          </a:extLst>
        </xdr:cNvPr>
        <xdr:cNvSpPr>
          <a:spLocks noChangeArrowheads="1"/>
        </xdr:cNvSpPr>
      </xdr:nvSpPr>
      <xdr:spPr bwMode="auto">
        <a:xfrm>
          <a:off x="476250" y="1257300"/>
          <a:ext cx="6048375" cy="1285875"/>
        </a:xfrm>
        <a:prstGeom prst="roundRect">
          <a:avLst>
            <a:gd name="adj" fmla="val 16667"/>
          </a:avLst>
        </a:prstGeom>
        <a:solidFill>
          <a:srgbClr val="FFFFFF"/>
        </a:solidFill>
        <a:ln w="9360">
          <a:solidFill>
            <a:srgbClr val="000000"/>
          </a:solidFill>
          <a:miter lim="800000"/>
          <a:headEnd/>
          <a:tailEnd/>
        </a:ln>
        <a:effectLst/>
      </xdr:spPr>
      <xdr:txBody>
        <a:bodyPr anchor="ctr"/>
        <a:lstStyle/>
        <a:p>
          <a:pPr algn="ctr"/>
          <a:r>
            <a:rPr lang="fr-FR"/>
            <a:t>Rouget</a:t>
          </a:r>
          <a:r>
            <a:rPr lang="fr-FR" baseline="0"/>
            <a:t> barbet à la plancha, tanin d'irouleguy, canelloni d'herbes au greuil de brebis, piquillo de pommes olives.</a:t>
          </a:r>
          <a:endParaRPr lang="fr-FR"/>
        </a:p>
      </xdr:txBody>
    </xdr:sp>
    <xdr:clientData/>
  </xdr:twoCellAnchor>
  <xdr:twoCellAnchor>
    <xdr:from>
      <xdr:col>1</xdr:col>
      <xdr:colOff>28575</xdr:colOff>
      <xdr:row>5</xdr:row>
      <xdr:rowOff>9525</xdr:rowOff>
    </xdr:from>
    <xdr:to>
      <xdr:col>1</xdr:col>
      <xdr:colOff>2209800</xdr:colOff>
      <xdr:row>44</xdr:row>
      <xdr:rowOff>123825</xdr:rowOff>
    </xdr:to>
    <xdr:sp macro="" textlink="">
      <xdr:nvSpPr>
        <xdr:cNvPr id="4" name="ZoneTexte 3">
          <a:extLst>
            <a:ext uri="{FF2B5EF4-FFF2-40B4-BE49-F238E27FC236}">
              <a16:creationId xmlns:a16="http://schemas.microsoft.com/office/drawing/2014/main" id="{B2FD7F0E-EAA1-4436-A198-70775E57E836}"/>
            </a:ext>
          </a:extLst>
        </xdr:cNvPr>
        <xdr:cNvSpPr txBox="1"/>
      </xdr:nvSpPr>
      <xdr:spPr>
        <a:xfrm>
          <a:off x="409575" y="3409950"/>
          <a:ext cx="2181225" cy="1315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1) </a:t>
          </a:r>
          <a:r>
            <a:rPr lang="fr-FR" sz="1100" b="1"/>
            <a:t>Preparer</a:t>
          </a:r>
          <a:r>
            <a:rPr lang="fr-FR" sz="1100" b="1" baseline="0"/>
            <a:t> le poisson : </a:t>
          </a:r>
          <a:r>
            <a:rPr lang="fr-FR" sz="1100" baseline="0"/>
            <a:t>Ecailler, vider, étêter. Desarêter les filets en gardant les filets reliés par la nagoire caudale. Pré-cuire reserver sur plaque huilée. A la commande terminer à la salamandre.</a:t>
          </a:r>
        </a:p>
        <a:p>
          <a:endParaRPr lang="fr-FR" sz="1100" baseline="0"/>
        </a:p>
        <a:p>
          <a:r>
            <a:rPr lang="fr-FR" sz="1100" baseline="0"/>
            <a:t>2) </a:t>
          </a:r>
          <a:r>
            <a:rPr lang="fr-FR" sz="1100" b="1" baseline="0"/>
            <a:t>Sauce tanin d'irouleguy : </a:t>
          </a:r>
          <a:r>
            <a:rPr lang="fr-FR" sz="1100" baseline="0"/>
            <a:t>Réaliser une réduction a sec du vin rouge. Monter peu avant le service au beurre froid.</a:t>
          </a:r>
        </a:p>
        <a:p>
          <a:endParaRPr lang="fr-FR" sz="1100" baseline="0"/>
        </a:p>
        <a:p>
          <a:pPr marL="0" marR="0" indent="0" defTabSz="914400" eaLnBrk="1" fontAlgn="auto" latinLnBrk="0" hangingPunct="1">
            <a:lnSpc>
              <a:spcPct val="100000"/>
            </a:lnSpc>
            <a:spcBef>
              <a:spcPts val="0"/>
            </a:spcBef>
            <a:spcAft>
              <a:spcPts val="0"/>
            </a:spcAft>
            <a:buClrTx/>
            <a:buSzTx/>
            <a:buFontTx/>
            <a:buNone/>
            <a:tabLst/>
            <a:defRPr/>
          </a:pPr>
          <a:r>
            <a:rPr lang="fr-FR" sz="1100" baseline="0"/>
            <a:t>3) </a:t>
          </a:r>
          <a:r>
            <a:rPr lang="fr-FR" sz="1100" b="1" baseline="0"/>
            <a:t>Canelloni d'herbes : </a:t>
          </a:r>
          <a:r>
            <a:rPr lang="fr-FR" sz="1100" baseline="0"/>
            <a:t>Réaliser un mélange d'herbes (roquette, épinards...). Cuire à l'anglaise avec  du thym et de l'ail. Ajouter le greuil de brebis et les oeufs. Pocher les feuilles de pâtes et les égoutter. </a:t>
          </a:r>
          <a:r>
            <a:rPr lang="fr-FR" sz="1100">
              <a:solidFill>
                <a:schemeClr val="dk1"/>
              </a:solidFill>
              <a:latin typeface="+mn-lt"/>
              <a:ea typeface="+mn-ea"/>
              <a:cs typeface="+mn-cs"/>
            </a:rPr>
            <a:t>Dans chaque feuille déposer un rouleau d’herbes, rouler en forme de cannelloni. Saupoudrer de parmesan râpé chauffer à la salamandre au moment.</a:t>
          </a:r>
        </a:p>
        <a:p>
          <a:pPr marL="0" marR="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latin typeface="+mn-lt"/>
              <a:ea typeface="+mn-ea"/>
              <a:cs typeface="+mn-cs"/>
            </a:rPr>
            <a:t>4) </a:t>
          </a:r>
          <a:r>
            <a:rPr lang="fr-FR" sz="1100" b="1" baseline="0">
              <a:solidFill>
                <a:schemeClr val="dk1"/>
              </a:solidFill>
              <a:latin typeface="+mn-lt"/>
              <a:ea typeface="+mn-ea"/>
              <a:cs typeface="+mn-cs"/>
            </a:rPr>
            <a:t>Piquillo de pommes au jambon cru :</a:t>
          </a:r>
          <a:r>
            <a:rPr lang="fr-FR" sz="1100" baseline="0">
              <a:solidFill>
                <a:schemeClr val="dk1"/>
              </a:solidFill>
              <a:latin typeface="+mn-lt"/>
              <a:ea typeface="+mn-ea"/>
              <a:cs typeface="+mn-cs"/>
            </a:rPr>
            <a:t> Egoutter les piments. Les farcir avec la pulpe de pommes de terre montée à l'huile d'olive et garnie d'une brunoise de jambon de bayonne. Réserver sur papier sulfurisé. Chauffer au four à la commande et lustrer à l'envoi.</a:t>
          </a:r>
        </a:p>
        <a:p>
          <a:pPr marL="0" marR="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latin typeface="+mn-lt"/>
              <a:ea typeface="+mn-ea"/>
              <a:cs typeface="+mn-cs"/>
            </a:rPr>
            <a:t>5) </a:t>
          </a:r>
          <a:r>
            <a:rPr lang="fr-FR" sz="1100" b="1" baseline="0">
              <a:solidFill>
                <a:schemeClr val="dk1"/>
              </a:solidFill>
              <a:latin typeface="+mn-lt"/>
              <a:ea typeface="+mn-ea"/>
              <a:cs typeface="+mn-cs"/>
            </a:rPr>
            <a:t>Decor :</a:t>
          </a:r>
          <a:r>
            <a:rPr lang="fr-FR" sz="1100" baseline="0">
              <a:solidFill>
                <a:schemeClr val="dk1"/>
              </a:solidFill>
              <a:latin typeface="+mn-lt"/>
              <a:ea typeface="+mn-ea"/>
              <a:cs typeface="+mn-cs"/>
            </a:rPr>
            <a:t> cerfeuil et julienne de jambon séchée.</a:t>
          </a:r>
          <a:endParaRPr lang="fr-FR" sz="1100" baseline="0"/>
        </a:p>
      </xdr:txBody>
    </xdr:sp>
    <xdr:clientData/>
  </xdr:twoCellAnchor>
  <xdr:twoCellAnchor editAs="oneCell">
    <xdr:from>
      <xdr:col>7</xdr:col>
      <xdr:colOff>600075</xdr:colOff>
      <xdr:row>2</xdr:row>
      <xdr:rowOff>78923</xdr:rowOff>
    </xdr:from>
    <xdr:to>
      <xdr:col>9</xdr:col>
      <xdr:colOff>485775</xdr:colOff>
      <xdr:row>3</xdr:row>
      <xdr:rowOff>1402570</xdr:rowOff>
    </xdr:to>
    <xdr:pic>
      <xdr:nvPicPr>
        <xdr:cNvPr id="5" name="Image 4">
          <a:extLst>
            <a:ext uri="{FF2B5EF4-FFF2-40B4-BE49-F238E27FC236}">
              <a16:creationId xmlns:a16="http://schemas.microsoft.com/office/drawing/2014/main" id="{7DD3643F-1337-45E4-A95F-63589E0CA39B}"/>
            </a:ext>
          </a:extLst>
        </xdr:cNvPr>
        <xdr:cNvPicPr>
          <a:picLocks noChangeAspect="1"/>
        </xdr:cNvPicPr>
      </xdr:nvPicPr>
      <xdr:blipFill>
        <a:blip xmlns:r="http://schemas.openxmlformats.org/officeDocument/2006/relationships" r:embed="rId1"/>
        <a:stretch>
          <a:fillRect/>
        </a:stretch>
      </xdr:blipFill>
      <xdr:spPr>
        <a:xfrm>
          <a:off x="9267825" y="926648"/>
          <a:ext cx="1581150" cy="1637972"/>
        </a:xfrm>
        <a:prstGeom prst="rect">
          <a:avLst/>
        </a:prstGeom>
      </xdr:spPr>
    </xdr:pic>
    <xdr:clientData/>
  </xdr:twoCellAnchor>
  <xdr:twoCellAnchor>
    <xdr:from>
      <xdr:col>21</xdr:col>
      <xdr:colOff>209550</xdr:colOff>
      <xdr:row>3</xdr:row>
      <xdr:rowOff>571500</xdr:rowOff>
    </xdr:from>
    <xdr:to>
      <xdr:col>26</xdr:col>
      <xdr:colOff>47625</xdr:colOff>
      <xdr:row>3</xdr:row>
      <xdr:rowOff>942975</xdr:rowOff>
    </xdr:to>
    <xdr:sp macro="" textlink="">
      <xdr:nvSpPr>
        <xdr:cNvPr id="6" name="Oval 1">
          <a:extLst>
            <a:ext uri="{FF2B5EF4-FFF2-40B4-BE49-F238E27FC236}">
              <a16:creationId xmlns:a16="http://schemas.microsoft.com/office/drawing/2014/main" id="{17BC9ECB-3A52-423E-BEC2-117DB3C9BF74}"/>
            </a:ext>
          </a:extLst>
        </xdr:cNvPr>
        <xdr:cNvSpPr>
          <a:spLocks noChangeArrowheads="1"/>
        </xdr:cNvSpPr>
      </xdr:nvSpPr>
      <xdr:spPr bwMode="auto">
        <a:xfrm>
          <a:off x="24631650" y="1733550"/>
          <a:ext cx="1885950" cy="371475"/>
        </a:xfrm>
        <a:prstGeom prst="ellipse">
          <a:avLst/>
        </a:prstGeom>
        <a:solidFill>
          <a:srgbClr val="FFFFFF"/>
        </a:solidFill>
        <a:ln w="9360">
          <a:solidFill>
            <a:srgbClr val="000000"/>
          </a:solidFill>
          <a:miter lim="800000"/>
          <a:headEnd/>
          <a:tailEnd/>
        </a:ln>
        <a:effectLst>
          <a:outerShdw dist="107933" dir="8100000" algn="ctr" rotWithShape="0">
            <a:srgbClr val="969696"/>
          </a:outerShdw>
        </a:effectLst>
      </xdr:spPr>
    </xdr:sp>
    <xdr:clientData/>
  </xdr:twoCellAnchor>
  <xdr:twoCellAnchor>
    <xdr:from>
      <xdr:col>16</xdr:col>
      <xdr:colOff>9525</xdr:colOff>
      <xdr:row>4</xdr:row>
      <xdr:rowOff>314325</xdr:rowOff>
    </xdr:from>
    <xdr:to>
      <xdr:col>16</xdr:col>
      <xdr:colOff>2209800</xdr:colOff>
      <xdr:row>50</xdr:row>
      <xdr:rowOff>38100</xdr:rowOff>
    </xdr:to>
    <xdr:sp macro="" textlink="">
      <xdr:nvSpPr>
        <xdr:cNvPr id="7" name="Text Box 2">
          <a:extLst>
            <a:ext uri="{FF2B5EF4-FFF2-40B4-BE49-F238E27FC236}">
              <a16:creationId xmlns:a16="http://schemas.microsoft.com/office/drawing/2014/main" id="{8661AC3F-03DB-4849-9BA5-7299E2F5D0B2}"/>
            </a:ext>
          </a:extLst>
        </xdr:cNvPr>
        <xdr:cNvSpPr txBox="1">
          <a:spLocks noChangeArrowheads="1"/>
        </xdr:cNvSpPr>
      </xdr:nvSpPr>
      <xdr:spPr bwMode="auto">
        <a:xfrm>
          <a:off x="20297775" y="2905125"/>
          <a:ext cx="2038350" cy="15516225"/>
        </a:xfrm>
        <a:prstGeom prst="rect">
          <a:avLst/>
        </a:prstGeom>
        <a:noFill/>
        <a:ln w="9525">
          <a:noFill/>
          <a:round/>
          <a:headEnd/>
          <a:tailEnd/>
        </a:ln>
        <a:effectLst/>
      </xdr:spPr>
    </xdr:sp>
    <xdr:clientData/>
  </xdr:twoCellAnchor>
  <xdr:twoCellAnchor>
    <xdr:from>
      <xdr:col>16</xdr:col>
      <xdr:colOff>57150</xdr:colOff>
      <xdr:row>2</xdr:row>
      <xdr:rowOff>142875</xdr:rowOff>
    </xdr:from>
    <xdr:to>
      <xdr:col>19</xdr:col>
      <xdr:colOff>361950</xdr:colOff>
      <xdr:row>3</xdr:row>
      <xdr:rowOff>1114425</xdr:rowOff>
    </xdr:to>
    <xdr:sp macro="" textlink="">
      <xdr:nvSpPr>
        <xdr:cNvPr id="8" name="AutoShape 3">
          <a:extLst>
            <a:ext uri="{FF2B5EF4-FFF2-40B4-BE49-F238E27FC236}">
              <a16:creationId xmlns:a16="http://schemas.microsoft.com/office/drawing/2014/main" id="{C363B329-A866-420C-B134-4469B40E39E4}"/>
            </a:ext>
          </a:extLst>
        </xdr:cNvPr>
        <xdr:cNvSpPr>
          <a:spLocks noChangeArrowheads="1"/>
        </xdr:cNvSpPr>
      </xdr:nvSpPr>
      <xdr:spPr bwMode="auto">
        <a:xfrm>
          <a:off x="20345400" y="990600"/>
          <a:ext cx="3667125" cy="1285875"/>
        </a:xfrm>
        <a:prstGeom prst="roundRect">
          <a:avLst>
            <a:gd name="adj" fmla="val 16667"/>
          </a:avLst>
        </a:prstGeom>
        <a:solidFill>
          <a:srgbClr val="FFFFFF"/>
        </a:solidFill>
        <a:ln w="9360">
          <a:solidFill>
            <a:srgbClr val="000000"/>
          </a:solidFill>
          <a:miter lim="800000"/>
          <a:headEnd/>
          <a:tailEnd/>
        </a:ln>
        <a:effectLst/>
      </xdr:spPr>
      <xdr:txBody>
        <a:bodyPr anchor="ctr"/>
        <a:lstStyle/>
        <a:p>
          <a:pPr algn="ctr"/>
          <a:r>
            <a:rPr lang="fr-FR"/>
            <a:t>Rouget</a:t>
          </a:r>
          <a:r>
            <a:rPr lang="fr-FR" baseline="0"/>
            <a:t> barbet à la plancha, tanin d'irouleguy, canelloni d'herbes au greuil de brebis, piquillo de pommes olives.</a:t>
          </a:r>
          <a:endParaRPr lang="fr-FR"/>
        </a:p>
      </xdr:txBody>
    </xdr:sp>
    <xdr:clientData/>
  </xdr:twoCellAnchor>
  <xdr:twoCellAnchor>
    <xdr:from>
      <xdr:col>16</xdr:col>
      <xdr:colOff>28575</xdr:colOff>
      <xdr:row>5</xdr:row>
      <xdr:rowOff>9525</xdr:rowOff>
    </xdr:from>
    <xdr:to>
      <xdr:col>17</xdr:col>
      <xdr:colOff>0</xdr:colOff>
      <xdr:row>45</xdr:row>
      <xdr:rowOff>257175</xdr:rowOff>
    </xdr:to>
    <xdr:sp macro="" textlink="">
      <xdr:nvSpPr>
        <xdr:cNvPr id="9" name="ZoneTexte 8">
          <a:extLst>
            <a:ext uri="{FF2B5EF4-FFF2-40B4-BE49-F238E27FC236}">
              <a16:creationId xmlns:a16="http://schemas.microsoft.com/office/drawing/2014/main" id="{DE3A8DBB-ED9F-4809-892B-476D43A32241}"/>
            </a:ext>
          </a:extLst>
        </xdr:cNvPr>
        <xdr:cNvSpPr txBox="1"/>
      </xdr:nvSpPr>
      <xdr:spPr>
        <a:xfrm>
          <a:off x="20316825" y="3409950"/>
          <a:ext cx="2019300" cy="13611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1) </a:t>
          </a:r>
          <a:r>
            <a:rPr lang="fr-FR" sz="1100" b="1"/>
            <a:t>Preparer</a:t>
          </a:r>
          <a:r>
            <a:rPr lang="fr-FR" sz="1100" b="1" baseline="0"/>
            <a:t> le poisson : </a:t>
          </a:r>
          <a:r>
            <a:rPr lang="fr-FR" sz="1100" baseline="0"/>
            <a:t>Ecailler, vider, étêter. Desarêter les filets en gardant les filets reliés par la nagoire caudale. Pré-cuire reserver sur plaque huilée. A la commande terminer à la salamandre.</a:t>
          </a:r>
        </a:p>
        <a:p>
          <a:endParaRPr lang="fr-FR" sz="1100" baseline="0"/>
        </a:p>
        <a:p>
          <a:r>
            <a:rPr lang="fr-FR" sz="1100" baseline="0"/>
            <a:t>2) </a:t>
          </a:r>
          <a:r>
            <a:rPr lang="fr-FR" sz="1100" b="1" baseline="0"/>
            <a:t>Sauce tanin d'irouleguy : </a:t>
          </a:r>
          <a:r>
            <a:rPr lang="fr-FR" sz="1100" baseline="0"/>
            <a:t>Réaliser une réduction a sec du vin rouge. Monter peu avant le service au beurre froid.</a:t>
          </a:r>
        </a:p>
        <a:p>
          <a:endParaRPr lang="fr-FR" sz="1100" baseline="0"/>
        </a:p>
        <a:p>
          <a:pPr marL="0" marR="0" indent="0" defTabSz="914400" eaLnBrk="1" fontAlgn="auto" latinLnBrk="0" hangingPunct="1">
            <a:lnSpc>
              <a:spcPct val="100000"/>
            </a:lnSpc>
            <a:spcBef>
              <a:spcPts val="0"/>
            </a:spcBef>
            <a:spcAft>
              <a:spcPts val="0"/>
            </a:spcAft>
            <a:buClrTx/>
            <a:buSzTx/>
            <a:buFontTx/>
            <a:buNone/>
            <a:tabLst/>
            <a:defRPr/>
          </a:pPr>
          <a:r>
            <a:rPr lang="fr-FR" sz="1100" baseline="0"/>
            <a:t>3) </a:t>
          </a:r>
          <a:r>
            <a:rPr lang="fr-FR" sz="1100" b="1" baseline="0"/>
            <a:t>Canelloni d'herbes : </a:t>
          </a:r>
          <a:r>
            <a:rPr lang="fr-FR" sz="1100" baseline="0"/>
            <a:t>Réaliser un mélange d'herbes (roquette, épinards...). Cuire à l'anglaise avec  du thym et de l'ail. Ajouter le greuil de brebis et les oeufs. Pocher les feuilles de pâtes et les égoutter. </a:t>
          </a:r>
          <a:r>
            <a:rPr lang="fr-FR" sz="1100">
              <a:solidFill>
                <a:schemeClr val="dk1"/>
              </a:solidFill>
              <a:latin typeface="+mn-lt"/>
              <a:ea typeface="+mn-ea"/>
              <a:cs typeface="+mn-cs"/>
            </a:rPr>
            <a:t>Dans chaque feuille déposer un rouleau d’herbes, rouler en forme de cannelloni. Saupoudrer de parmesan râpé chauffer à la salamandre au moment.</a:t>
          </a:r>
        </a:p>
        <a:p>
          <a:pPr marL="0" marR="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latin typeface="+mn-lt"/>
              <a:ea typeface="+mn-ea"/>
              <a:cs typeface="+mn-cs"/>
            </a:rPr>
            <a:t>4) </a:t>
          </a:r>
          <a:r>
            <a:rPr lang="fr-FR" sz="1100" b="1" baseline="0">
              <a:solidFill>
                <a:schemeClr val="dk1"/>
              </a:solidFill>
              <a:latin typeface="+mn-lt"/>
              <a:ea typeface="+mn-ea"/>
              <a:cs typeface="+mn-cs"/>
            </a:rPr>
            <a:t>Piquillo de pommes au jambon cru :</a:t>
          </a:r>
          <a:r>
            <a:rPr lang="fr-FR" sz="1100" baseline="0">
              <a:solidFill>
                <a:schemeClr val="dk1"/>
              </a:solidFill>
              <a:latin typeface="+mn-lt"/>
              <a:ea typeface="+mn-ea"/>
              <a:cs typeface="+mn-cs"/>
            </a:rPr>
            <a:t> Egoutter les piments. Les farcir avec la pulpe de pommes de terre montée à l'huile d'olive et garnie d'une brunoise de jambon de bayonne. Réserver sur papier sulfurisé. Chauffer au four à la commande et lustrer à l'envoi.</a:t>
          </a:r>
        </a:p>
        <a:p>
          <a:pPr marL="0" marR="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latin typeface="+mn-lt"/>
              <a:ea typeface="+mn-ea"/>
              <a:cs typeface="+mn-cs"/>
            </a:rPr>
            <a:t>5) </a:t>
          </a:r>
          <a:r>
            <a:rPr lang="fr-FR" sz="1100" b="1" baseline="0">
              <a:solidFill>
                <a:schemeClr val="dk1"/>
              </a:solidFill>
              <a:latin typeface="+mn-lt"/>
              <a:ea typeface="+mn-ea"/>
              <a:cs typeface="+mn-cs"/>
            </a:rPr>
            <a:t>Decor :</a:t>
          </a:r>
          <a:r>
            <a:rPr lang="fr-FR" sz="1100" baseline="0">
              <a:solidFill>
                <a:schemeClr val="dk1"/>
              </a:solidFill>
              <a:latin typeface="+mn-lt"/>
              <a:ea typeface="+mn-ea"/>
              <a:cs typeface="+mn-cs"/>
            </a:rPr>
            <a:t> cerfeuil et julienne de jambon séchée.</a:t>
          </a:r>
          <a:endParaRPr lang="fr-FR"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B47130D9-A599-400A-91F4-A0A28F2888F4}"/>
            </a:ext>
          </a:extLst>
        </xdr:cNvPr>
        <xdr:cNvSpPr txBox="1">
          <a:spLocks noChangeArrowheads="1"/>
        </xdr:cNvSpPr>
      </xdr:nvSpPr>
      <xdr:spPr bwMode="auto">
        <a:xfrm>
          <a:off x="0" y="3409950"/>
          <a:ext cx="2628900" cy="13363575"/>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l" rtl="0">
            <a:defRPr sz="1000"/>
          </a:pPr>
          <a:r>
            <a:rPr lang="fr-FR" sz="1100" b="0" i="0" u="none" strike="noStrike" baseline="0">
              <a:solidFill>
                <a:srgbClr val="000000"/>
              </a:solidFill>
              <a:latin typeface="Calibri"/>
              <a:ea typeface="Calibri"/>
              <a:cs typeface="Calibri"/>
            </a:rPr>
            <a:t>1</a:t>
          </a:r>
          <a:r>
            <a:rPr lang="fr-FR" sz="1100" b="1" i="0" u="none" strike="noStrike" baseline="0">
              <a:solidFill>
                <a:srgbClr val="000000"/>
              </a:solidFill>
              <a:latin typeface="Calibri"/>
              <a:ea typeface="Calibri"/>
              <a:cs typeface="Calibri"/>
            </a:rPr>
            <a:t>) Compotée de rhubarbe</a:t>
          </a:r>
          <a:r>
            <a:rPr lang="fr-FR" sz="1100" b="0" i="0" u="none" strike="noStrike" baseline="0">
              <a:solidFill>
                <a:srgbClr val="000000"/>
              </a:solidFill>
              <a:latin typeface="Calibri"/>
              <a:ea typeface="Calibri"/>
              <a:cs typeface="Calibri"/>
            </a:rPr>
            <a:t>: éplucher la rhubarbe, émincer, macérer dans le sucre. étuver jusqu'à compotée avec un peu d'eau à couvert. refroidir.dresser au fond des verres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2) </a:t>
          </a:r>
          <a:r>
            <a:rPr lang="fr-FR" sz="1100" b="1" i="0" u="none" strike="noStrike" baseline="0">
              <a:solidFill>
                <a:srgbClr val="000000"/>
              </a:solidFill>
              <a:latin typeface="Calibri"/>
              <a:ea typeface="Calibri"/>
              <a:cs typeface="Calibri"/>
            </a:rPr>
            <a:t>Mousse réglisse</a:t>
          </a:r>
          <a:r>
            <a:rPr lang="fr-FR" sz="1100" b="0" i="0" u="none" strike="noStrike" baseline="0">
              <a:solidFill>
                <a:srgbClr val="000000"/>
              </a:solidFill>
              <a:latin typeface="Calibri"/>
              <a:ea typeface="Calibri"/>
              <a:cs typeface="Calibri"/>
            </a:rPr>
            <a:t>: réaliser une crème anglaise, dissoudre la réglisse à chaud, adjoindre la gélatine ramollie. ajouter progressivement à la crème fouettée. mouler sur la compotée de rhubarbe. prendre au froid.</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3) </a:t>
          </a:r>
          <a:r>
            <a:rPr lang="fr-FR" sz="1100" b="1" i="0" u="none" strike="noStrike" baseline="0">
              <a:solidFill>
                <a:srgbClr val="000000"/>
              </a:solidFill>
              <a:latin typeface="Calibri"/>
              <a:ea typeface="Calibri"/>
              <a:cs typeface="Calibri"/>
            </a:rPr>
            <a:t>Fruits rouges</a:t>
          </a:r>
          <a:r>
            <a:rPr lang="fr-FR" sz="1100" b="0" i="0" u="none" strike="noStrike" baseline="0">
              <a:solidFill>
                <a:srgbClr val="000000"/>
              </a:solidFill>
              <a:latin typeface="Calibri"/>
              <a:ea typeface="Calibri"/>
              <a:cs typeface="Calibri"/>
            </a:rPr>
            <a:t>: disposer les fruits rouges en couronne sur le haut de la mousse réglisse, réaliser un salpicon de fraises.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4) </a:t>
          </a:r>
          <a:r>
            <a:rPr lang="fr-FR" sz="1100" b="1" i="0" u="none" strike="noStrike" baseline="0">
              <a:solidFill>
                <a:srgbClr val="000000"/>
              </a:solidFill>
              <a:latin typeface="Calibri"/>
              <a:ea typeface="Calibri"/>
              <a:cs typeface="Calibri"/>
            </a:rPr>
            <a:t>opaline</a:t>
          </a:r>
          <a:r>
            <a:rPr lang="fr-FR" sz="1100" b="0" i="0" u="none" strike="noStrike" baseline="0">
              <a:solidFill>
                <a:srgbClr val="000000"/>
              </a:solidFill>
              <a:latin typeface="Calibri"/>
              <a:ea typeface="Calibri"/>
              <a:cs typeface="Calibri"/>
            </a:rPr>
            <a:t> : disposer la plaque pochoir huilée sur silpat, sucrer , enfourner à 160 °c, refroidir, démouler.</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5) sacristains: abaisser le feuilletage sur un lit de sucre semoule,  détailler des bandes de 2 cm de large, tortilloner, dorer, enfourner à 180 °c , retailler à la longueur souhaitée.</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Finition, coller le verre sur une assiette avec un peu de glucose</a:t>
          </a:r>
        </a:p>
        <a:p>
          <a:pPr algn="l" rtl="0">
            <a:lnSpc>
              <a:spcPts val="1200"/>
            </a:lnSpc>
            <a:defRPr sz="1000"/>
          </a:pPr>
          <a:endParaRPr lang="fr-FR" sz="1100" b="0" i="0" u="none" strike="noStrike" baseline="0">
            <a:solidFill>
              <a:srgbClr val="000000"/>
            </a:solidFill>
            <a:latin typeface="Calibri"/>
            <a:ea typeface="Calibri"/>
            <a:cs typeface="Calibri"/>
          </a:endParaRPr>
        </a:p>
      </xdr:txBody>
    </xdr:sp>
    <xdr:clientData/>
  </xdr:twoCellAnchor>
  <xdr:twoCellAnchor>
    <xdr:from>
      <xdr:col>1</xdr:col>
      <xdr:colOff>92075</xdr:colOff>
      <xdr:row>2</xdr:row>
      <xdr:rowOff>158750</xdr:rowOff>
    </xdr:from>
    <xdr:to>
      <xdr:col>5</xdr:col>
      <xdr:colOff>43126</xdr:colOff>
      <xdr:row>3</xdr:row>
      <xdr:rowOff>1117630</xdr:rowOff>
    </xdr:to>
    <xdr:sp macro="" textlink="">
      <xdr:nvSpPr>
        <xdr:cNvPr id="3" name="AutoShape 14">
          <a:extLst>
            <a:ext uri="{FF2B5EF4-FFF2-40B4-BE49-F238E27FC236}">
              <a16:creationId xmlns:a16="http://schemas.microsoft.com/office/drawing/2014/main" id="{3E6EC0D8-0DF4-4AF3-9E40-2FF4F006E034}"/>
            </a:ext>
          </a:extLst>
        </xdr:cNvPr>
        <xdr:cNvSpPr>
          <a:spLocks noChangeArrowheads="1"/>
        </xdr:cNvSpPr>
      </xdr:nvSpPr>
      <xdr:spPr bwMode="auto">
        <a:xfrm>
          <a:off x="473075" y="1006475"/>
          <a:ext cx="6542351" cy="1282730"/>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rtlCol="0"/>
        <a:lstStyle/>
        <a:p>
          <a:pPr algn="l">
            <a:lnSpc>
              <a:spcPts val="1100"/>
            </a:lnSpc>
          </a:pPr>
          <a:r>
            <a:rPr lang="fr-FR" sz="1400"/>
            <a:t>verre à short drink  rempli</a:t>
          </a:r>
          <a:r>
            <a:rPr lang="fr-FR" sz="1400" baseline="0"/>
            <a:t> en couches successives de 4 éléments: au fond une compotée de rhubarbe vanillée, une mousse réglisse, des fruits rouges frais rangés, une opaline de sucre cuit et un sacristain feuilleté.</a:t>
          </a:r>
          <a:r>
            <a:rPr lang="fr-FR" sz="1400"/>
            <a:t> </a:t>
          </a:r>
        </a:p>
      </xdr:txBody>
    </xdr:sp>
    <xdr:clientData/>
  </xdr:twoCellAnchor>
  <xdr:twoCellAnchor editAs="oneCell">
    <xdr:from>
      <xdr:col>6</xdr:col>
      <xdr:colOff>723900</xdr:colOff>
      <xdr:row>2</xdr:row>
      <xdr:rowOff>152400</xdr:rowOff>
    </xdr:from>
    <xdr:to>
      <xdr:col>10</xdr:col>
      <xdr:colOff>171450</xdr:colOff>
      <xdr:row>3</xdr:row>
      <xdr:rowOff>1342943</xdr:rowOff>
    </xdr:to>
    <xdr:pic>
      <xdr:nvPicPr>
        <xdr:cNvPr id="4" name="Image 1">
          <a:extLst>
            <a:ext uri="{FF2B5EF4-FFF2-40B4-BE49-F238E27FC236}">
              <a16:creationId xmlns:a16="http://schemas.microsoft.com/office/drawing/2014/main" id="{A31B3EBE-F234-4A13-AA5F-F8D5BF1C6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000125"/>
          <a:ext cx="2838450" cy="1514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5</xdr:row>
      <xdr:rowOff>0</xdr:rowOff>
    </xdr:from>
    <xdr:to>
      <xdr:col>17</xdr:col>
      <xdr:colOff>0</xdr:colOff>
      <xdr:row>45</xdr:row>
      <xdr:rowOff>0</xdr:rowOff>
    </xdr:to>
    <xdr:sp macro="" textlink="">
      <xdr:nvSpPr>
        <xdr:cNvPr id="5" name="Text Box 6">
          <a:extLst>
            <a:ext uri="{FF2B5EF4-FFF2-40B4-BE49-F238E27FC236}">
              <a16:creationId xmlns:a16="http://schemas.microsoft.com/office/drawing/2014/main" id="{61AACDC1-6F23-4178-9CB6-A9867CDED387}"/>
            </a:ext>
          </a:extLst>
        </xdr:cNvPr>
        <xdr:cNvSpPr txBox="1">
          <a:spLocks noChangeArrowheads="1"/>
        </xdr:cNvSpPr>
      </xdr:nvSpPr>
      <xdr:spPr bwMode="auto">
        <a:xfrm>
          <a:off x="15192375" y="3409950"/>
          <a:ext cx="4095750" cy="13363575"/>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l" rtl="0">
            <a:defRPr sz="1000"/>
          </a:pPr>
          <a:r>
            <a:rPr lang="fr-FR" sz="1100" b="0" i="0" u="none" strike="noStrike" baseline="0">
              <a:solidFill>
                <a:srgbClr val="000000"/>
              </a:solidFill>
              <a:latin typeface="Calibri"/>
              <a:ea typeface="Calibri"/>
              <a:cs typeface="Calibri"/>
            </a:rPr>
            <a:t>1</a:t>
          </a:r>
          <a:r>
            <a:rPr lang="fr-FR" sz="1100" b="1" i="0" u="none" strike="noStrike" baseline="0">
              <a:solidFill>
                <a:srgbClr val="000000"/>
              </a:solidFill>
              <a:latin typeface="Calibri"/>
              <a:ea typeface="Calibri"/>
              <a:cs typeface="Calibri"/>
            </a:rPr>
            <a:t>) Compotée de rhubarbe</a:t>
          </a:r>
          <a:r>
            <a:rPr lang="fr-FR" sz="1100" b="0" i="0" u="none" strike="noStrike" baseline="0">
              <a:solidFill>
                <a:srgbClr val="000000"/>
              </a:solidFill>
              <a:latin typeface="Calibri"/>
              <a:ea typeface="Calibri"/>
              <a:cs typeface="Calibri"/>
            </a:rPr>
            <a:t>: éplucher la rhubarbe, émincer, macérer dans le sucre. étuver jusqu'à compotée avec un peu d'eau à couvert. refroidir.dresser au fond des verres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2) </a:t>
          </a:r>
          <a:r>
            <a:rPr lang="fr-FR" sz="1100" b="1" i="0" u="none" strike="noStrike" baseline="0">
              <a:solidFill>
                <a:srgbClr val="000000"/>
              </a:solidFill>
              <a:latin typeface="Calibri"/>
              <a:ea typeface="Calibri"/>
              <a:cs typeface="Calibri"/>
            </a:rPr>
            <a:t>Mousse réglisse</a:t>
          </a:r>
          <a:r>
            <a:rPr lang="fr-FR" sz="1100" b="0" i="0" u="none" strike="noStrike" baseline="0">
              <a:solidFill>
                <a:srgbClr val="000000"/>
              </a:solidFill>
              <a:latin typeface="Calibri"/>
              <a:ea typeface="Calibri"/>
              <a:cs typeface="Calibri"/>
            </a:rPr>
            <a:t>: réaliser une crème anglaise, dissoudre la réglisse à chaud, adjoindre la gélatine ramollie. ajouter progressivement à la crème fouettée. mouler sur la compotée de rhubarbe. prendre au froid.</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3) </a:t>
          </a:r>
          <a:r>
            <a:rPr lang="fr-FR" sz="1100" b="1" i="0" u="none" strike="noStrike" baseline="0">
              <a:solidFill>
                <a:srgbClr val="000000"/>
              </a:solidFill>
              <a:latin typeface="Calibri"/>
              <a:ea typeface="Calibri"/>
              <a:cs typeface="Calibri"/>
            </a:rPr>
            <a:t>Fruits rouges</a:t>
          </a:r>
          <a:r>
            <a:rPr lang="fr-FR" sz="1100" b="0" i="0" u="none" strike="noStrike" baseline="0">
              <a:solidFill>
                <a:srgbClr val="000000"/>
              </a:solidFill>
              <a:latin typeface="Calibri"/>
              <a:ea typeface="Calibri"/>
              <a:cs typeface="Calibri"/>
            </a:rPr>
            <a:t>: disposer les fruits rouges en couronne sur le haut de la mousse réglisse, réaliser un salpicon de fraises.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4) </a:t>
          </a:r>
          <a:r>
            <a:rPr lang="fr-FR" sz="1100" b="1" i="0" u="none" strike="noStrike" baseline="0">
              <a:solidFill>
                <a:srgbClr val="000000"/>
              </a:solidFill>
              <a:latin typeface="Calibri"/>
              <a:ea typeface="Calibri"/>
              <a:cs typeface="Calibri"/>
            </a:rPr>
            <a:t>opaline</a:t>
          </a:r>
          <a:r>
            <a:rPr lang="fr-FR" sz="1100" b="0" i="0" u="none" strike="noStrike" baseline="0">
              <a:solidFill>
                <a:srgbClr val="000000"/>
              </a:solidFill>
              <a:latin typeface="Calibri"/>
              <a:ea typeface="Calibri"/>
              <a:cs typeface="Calibri"/>
            </a:rPr>
            <a:t> : disposer la plaque pochoir huilée sur silpat, sucrer , enfourner à 160 °c, refroidir, démouler.</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5) sacristains: abaisser le feuilletage sur un lit de sucre semoule,  détailler des bandes de 2 cm de large, tortilloner, dorer, enfourner à 180 °c , retailler à la longueur souhaitée.</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Finition, coller le verre sur une assiette avec un peu de glucose</a:t>
          </a:r>
        </a:p>
        <a:p>
          <a:pPr algn="l" rtl="0">
            <a:lnSpc>
              <a:spcPts val="1200"/>
            </a:lnSpc>
            <a:defRPr sz="1000"/>
          </a:pPr>
          <a:endParaRPr lang="fr-FR" sz="1100" b="0" i="0" u="none" strike="noStrike" baseline="0">
            <a:solidFill>
              <a:srgbClr val="000000"/>
            </a:solidFill>
            <a:latin typeface="Calibri"/>
            <a:ea typeface="Calibri"/>
            <a:cs typeface="Calibri"/>
          </a:endParaRPr>
        </a:p>
      </xdr:txBody>
    </xdr:sp>
    <xdr:clientData/>
  </xdr:twoCellAnchor>
  <xdr:twoCellAnchor>
    <xdr:from>
      <xdr:col>16</xdr:col>
      <xdr:colOff>53975</xdr:colOff>
      <xdr:row>2</xdr:row>
      <xdr:rowOff>158750</xdr:rowOff>
    </xdr:from>
    <xdr:to>
      <xdr:col>20</xdr:col>
      <xdr:colOff>5026</xdr:colOff>
      <xdr:row>3</xdr:row>
      <xdr:rowOff>1117630</xdr:rowOff>
    </xdr:to>
    <xdr:sp macro="" textlink="">
      <xdr:nvSpPr>
        <xdr:cNvPr id="6" name="AutoShape 14">
          <a:extLst>
            <a:ext uri="{FF2B5EF4-FFF2-40B4-BE49-F238E27FC236}">
              <a16:creationId xmlns:a16="http://schemas.microsoft.com/office/drawing/2014/main" id="{22E14C20-F897-40A4-9052-9795B66C8023}"/>
            </a:ext>
          </a:extLst>
        </xdr:cNvPr>
        <xdr:cNvSpPr>
          <a:spLocks noChangeArrowheads="1"/>
        </xdr:cNvSpPr>
      </xdr:nvSpPr>
      <xdr:spPr bwMode="auto">
        <a:xfrm>
          <a:off x="17294225" y="1006475"/>
          <a:ext cx="3665801" cy="1282730"/>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rtlCol="0"/>
        <a:lstStyle/>
        <a:p>
          <a:pPr algn="l">
            <a:lnSpc>
              <a:spcPts val="1100"/>
            </a:lnSpc>
          </a:pPr>
          <a:r>
            <a:rPr lang="fr-FR"/>
            <a:t>verre à short drink  rempli</a:t>
          </a:r>
          <a:r>
            <a:rPr lang="fr-FR" baseline="0"/>
            <a:t> en couches successives de 4 éléments: au fond une compotée de rhubarbe vanillée, une mousse réglisse, des fruits rouges frais rangés, une opaline de sucre cuit et un sacristain feuilleté.</a:t>
          </a:r>
          <a:r>
            <a:rPr lang="fr-FR"/>
            <a:t> </a:t>
          </a:r>
        </a:p>
      </xdr:txBody>
    </xdr:sp>
    <xdr:clientData/>
  </xdr:twoCellAnchor>
  <xdr:oneCellAnchor>
    <xdr:from>
      <xdr:col>23</xdr:col>
      <xdr:colOff>133350</xdr:colOff>
      <xdr:row>1</xdr:row>
      <xdr:rowOff>161925</xdr:rowOff>
    </xdr:from>
    <xdr:ext cx="931409" cy="1429431"/>
    <xdr:pic>
      <xdr:nvPicPr>
        <xdr:cNvPr id="7" name="Image 1">
          <a:extLst>
            <a:ext uri="{FF2B5EF4-FFF2-40B4-BE49-F238E27FC236}">
              <a16:creationId xmlns:a16="http://schemas.microsoft.com/office/drawing/2014/main" id="{DE8D65D7-D0C9-425A-B4F3-C430C5D894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31325" y="466725"/>
          <a:ext cx="931409" cy="1429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E03AD8C1-3EE6-47CB-AC34-F66D3EB77D11}"/>
            </a:ext>
          </a:extLst>
        </xdr:cNvPr>
        <xdr:cNvSpPr txBox="1">
          <a:spLocks noChangeArrowheads="1"/>
        </xdr:cNvSpPr>
      </xdr:nvSpPr>
      <xdr:spPr bwMode="auto">
        <a:xfrm>
          <a:off x="0" y="3419475"/>
          <a:ext cx="2628900" cy="124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51746</xdr:colOff>
      <xdr:row>3</xdr:row>
      <xdr:rowOff>40195</xdr:rowOff>
    </xdr:from>
    <xdr:to>
      <xdr:col>4</xdr:col>
      <xdr:colOff>394646</xdr:colOff>
      <xdr:row>3</xdr:row>
      <xdr:rowOff>1021405</xdr:rowOff>
    </xdr:to>
    <xdr:sp macro="" textlink="">
      <xdr:nvSpPr>
        <xdr:cNvPr id="3" name="AutoShape 14">
          <a:extLst>
            <a:ext uri="{FF2B5EF4-FFF2-40B4-BE49-F238E27FC236}">
              <a16:creationId xmlns:a16="http://schemas.microsoft.com/office/drawing/2014/main" id="{973D39AF-9EC4-4155-9563-6DF7A4D0550D}"/>
            </a:ext>
          </a:extLst>
        </xdr:cNvPr>
        <xdr:cNvSpPr>
          <a:spLocks noChangeArrowheads="1"/>
        </xdr:cNvSpPr>
      </xdr:nvSpPr>
      <xdr:spPr bwMode="auto">
        <a:xfrm>
          <a:off x="432746" y="1211770"/>
          <a:ext cx="6086475" cy="981210"/>
        </a:xfrm>
        <a:prstGeom prst="roundRect">
          <a:avLst>
            <a:gd name="adj" fmla="val 16667"/>
          </a:avLst>
        </a:prstGeom>
        <a:solidFill>
          <a:srgbClr val="FFFFFF"/>
        </a:solidFill>
        <a:ln w="9525">
          <a:solidFill>
            <a:srgbClr val="000000"/>
          </a:solidFill>
          <a:round/>
          <a:headEnd/>
          <a:tailEnd/>
        </a:ln>
      </xdr:spPr>
      <xdr:txBody>
        <a:bodyPr/>
        <a:lstStyle/>
        <a:p>
          <a:pPr>
            <a:lnSpc>
              <a:spcPts val="900"/>
            </a:lnSpc>
          </a:pPr>
          <a:r>
            <a:rPr lang="fr-FR" sz="900"/>
            <a:t>Sphère</a:t>
          </a:r>
          <a:r>
            <a:rPr lang="fr-FR" sz="900" baseline="0"/>
            <a:t> de  7 cm de diamètre chocolat noir composée de deux demi sphères. la demi sphère inférieure est remplie aux deux tiers d'un appareil à bavarois banane, d'une ganache crémeuse chocolat blanc et truffes. La demi sphère supérieure et percée à l'emporte pièce rond de différents diamètres. la sphère est posée sur un lit de fressinettes émincées finement et caramélisées au sucre roux. la sauce chocolat chaud est versée devant le client par les trous de la demi sphère supérieure.</a:t>
          </a:r>
          <a:endParaRPr lang="fr-FR" sz="900"/>
        </a:p>
      </xdr:txBody>
    </xdr:sp>
    <xdr:clientData/>
  </xdr:twoCellAnchor>
  <xdr:twoCellAnchor>
    <xdr:from>
      <xdr:col>0</xdr:col>
      <xdr:colOff>0</xdr:colOff>
      <xdr:row>5</xdr:row>
      <xdr:rowOff>1</xdr:rowOff>
    </xdr:from>
    <xdr:to>
      <xdr:col>2</xdr:col>
      <xdr:colOff>6025</xdr:colOff>
      <xdr:row>45</xdr:row>
      <xdr:rowOff>91872</xdr:rowOff>
    </xdr:to>
    <xdr:sp macro="" textlink="">
      <xdr:nvSpPr>
        <xdr:cNvPr id="4" name="AutoShape 14">
          <a:extLst>
            <a:ext uri="{FF2B5EF4-FFF2-40B4-BE49-F238E27FC236}">
              <a16:creationId xmlns:a16="http://schemas.microsoft.com/office/drawing/2014/main" id="{D07E15F8-5BF8-4408-84AE-02C2ECD1DA2F}"/>
            </a:ext>
          </a:extLst>
        </xdr:cNvPr>
        <xdr:cNvSpPr>
          <a:spLocks noChangeArrowheads="1"/>
        </xdr:cNvSpPr>
      </xdr:nvSpPr>
      <xdr:spPr bwMode="auto">
        <a:xfrm>
          <a:off x="0" y="3419476"/>
          <a:ext cx="2634925" cy="12550571"/>
        </a:xfrm>
        <a:prstGeom prst="roundRect">
          <a:avLst>
            <a:gd name="adj" fmla="val 16667"/>
          </a:avLst>
        </a:prstGeom>
        <a:solidFill>
          <a:srgbClr val="FFFFFF"/>
        </a:solidFill>
        <a:ln w="9525">
          <a:solidFill>
            <a:srgbClr val="000000"/>
          </a:solidFill>
          <a:round/>
          <a:headEnd/>
          <a:tailEnd/>
        </a:ln>
      </xdr:spPr>
      <xdr:txBody>
        <a:bodyPr/>
        <a:lstStyle/>
        <a:p>
          <a:pPr algn="l" rtl="0">
            <a:defRPr sz="1000"/>
          </a:pPr>
          <a:r>
            <a:rPr lang="fr-FR" sz="1100" b="0" i="0" u="none" strike="noStrike" baseline="0">
              <a:solidFill>
                <a:srgbClr val="000000"/>
              </a:solidFill>
              <a:latin typeface="Calibri"/>
              <a:ea typeface="Calibri"/>
              <a:cs typeface="Calibri"/>
            </a:rPr>
            <a:t>1</a:t>
          </a:r>
          <a:r>
            <a:rPr lang="fr-FR" sz="1100" b="1" i="0" u="none" strike="noStrike" baseline="0">
              <a:solidFill>
                <a:srgbClr val="000000"/>
              </a:solidFill>
              <a:latin typeface="Calibri"/>
              <a:ea typeface="Calibri"/>
              <a:cs typeface="Calibri"/>
            </a:rPr>
            <a:t>) realiser les sphères :</a:t>
          </a:r>
          <a:r>
            <a:rPr lang="fr-FR" sz="1100" b="0" i="0" u="none" strike="noStrike" baseline="0">
              <a:solidFill>
                <a:srgbClr val="000000"/>
              </a:solidFill>
              <a:latin typeface="Calibri"/>
              <a:ea typeface="Calibri"/>
              <a:cs typeface="Calibri"/>
            </a:rPr>
            <a:t> fondre et tempérer le chocolat, mouler les demi spheres en moule polycarbonate.réserver en endroit sec. perforer chaque demi sphère supérieure avec un emporte pièce chauffé</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2) </a:t>
          </a:r>
          <a:r>
            <a:rPr lang="fr-FR" sz="1100" b="1" i="0" u="none" strike="noStrike" baseline="0">
              <a:solidFill>
                <a:srgbClr val="000000"/>
              </a:solidFill>
              <a:latin typeface="Calibri"/>
              <a:ea typeface="Calibri"/>
              <a:cs typeface="Calibri"/>
            </a:rPr>
            <a:t>Sauce chocolat: réaliser un sirop, tailler le chocolat en copeaux</a:t>
          </a: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3) </a:t>
          </a:r>
          <a:r>
            <a:rPr lang="fr-FR" sz="1100" b="1" i="0" u="none" strike="noStrike" baseline="0">
              <a:solidFill>
                <a:srgbClr val="000000"/>
              </a:solidFill>
              <a:latin typeface="Calibri"/>
              <a:ea typeface="Calibri"/>
              <a:cs typeface="Calibri"/>
            </a:rPr>
            <a:t>ganache chocolat blanc truffe: </a:t>
          </a:r>
          <a:r>
            <a:rPr lang="fr-FR" sz="1100" b="0" i="0" u="none" strike="noStrike" baseline="0">
              <a:solidFill>
                <a:srgbClr val="000000"/>
              </a:solidFill>
              <a:latin typeface="Calibri"/>
              <a:ea typeface="Calibri"/>
              <a:cs typeface="Calibri"/>
            </a:rPr>
            <a:t>: fondre le chocolat, adjoindre la crème chaude avec le beurre fondu, le sucre glace et un jaune d'oeuf, arômatiser au cognac et brisures de truffe hachée. laisser reposer mouler au fond des demi sphères calées sur alvéoles d'oeufs.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4 Mousse banane: réaliser une crème anglaise coller à la gélatine, arômatiser à la liqueur de banane, ajouter la crème fouettée dans la crème tempérée. mouler dans les sphères: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5) dressage: émincer les fressinettes dans la longueur, saupoudrer de sucre roux, caraméliser au chalumeau. poser la demi sphère, ajouter la glace, refermer. décorer d'un copeau de feuille d'or et décorer le fond de l'assiette au cornet de chocolat</a:t>
          </a:r>
        </a:p>
      </xdr:txBody>
    </xdr:sp>
    <xdr:clientData/>
  </xdr:twoCellAnchor>
  <xdr:twoCellAnchor editAs="oneCell">
    <xdr:from>
      <xdr:col>8</xdr:col>
      <xdr:colOff>638174</xdr:colOff>
      <xdr:row>2</xdr:row>
      <xdr:rowOff>73479</xdr:rowOff>
    </xdr:from>
    <xdr:to>
      <xdr:col>10</xdr:col>
      <xdr:colOff>735007</xdr:colOff>
      <xdr:row>3</xdr:row>
      <xdr:rowOff>1285875</xdr:rowOff>
    </xdr:to>
    <xdr:pic>
      <xdr:nvPicPr>
        <xdr:cNvPr id="5" name="Image 1">
          <a:extLst>
            <a:ext uri="{FF2B5EF4-FFF2-40B4-BE49-F238E27FC236}">
              <a16:creationId xmlns:a16="http://schemas.microsoft.com/office/drawing/2014/main" id="{0CCF9E05-B20F-43AB-BE3E-6FBCB9442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3649" y="921204"/>
          <a:ext cx="1792283" cy="153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5</xdr:row>
      <xdr:rowOff>0</xdr:rowOff>
    </xdr:from>
    <xdr:to>
      <xdr:col>17</xdr:col>
      <xdr:colOff>0</xdr:colOff>
      <xdr:row>45</xdr:row>
      <xdr:rowOff>0</xdr:rowOff>
    </xdr:to>
    <xdr:sp macro="" textlink="">
      <xdr:nvSpPr>
        <xdr:cNvPr id="6" name="Text Box 6">
          <a:extLst>
            <a:ext uri="{FF2B5EF4-FFF2-40B4-BE49-F238E27FC236}">
              <a16:creationId xmlns:a16="http://schemas.microsoft.com/office/drawing/2014/main" id="{6AEA584D-A0BC-4CD9-8FF1-FADC27008895}"/>
            </a:ext>
          </a:extLst>
        </xdr:cNvPr>
        <xdr:cNvSpPr txBox="1">
          <a:spLocks noChangeArrowheads="1"/>
        </xdr:cNvSpPr>
      </xdr:nvSpPr>
      <xdr:spPr bwMode="auto">
        <a:xfrm>
          <a:off x="14430375" y="3419475"/>
          <a:ext cx="4095750" cy="124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51746</xdr:colOff>
      <xdr:row>3</xdr:row>
      <xdr:rowOff>40195</xdr:rowOff>
    </xdr:from>
    <xdr:to>
      <xdr:col>19</xdr:col>
      <xdr:colOff>394646</xdr:colOff>
      <xdr:row>3</xdr:row>
      <xdr:rowOff>1021405</xdr:rowOff>
    </xdr:to>
    <xdr:sp macro="" textlink="">
      <xdr:nvSpPr>
        <xdr:cNvPr id="7" name="AutoShape 14">
          <a:extLst>
            <a:ext uri="{FF2B5EF4-FFF2-40B4-BE49-F238E27FC236}">
              <a16:creationId xmlns:a16="http://schemas.microsoft.com/office/drawing/2014/main" id="{74211CEE-08D5-497F-BA57-5712EEE75E94}"/>
            </a:ext>
          </a:extLst>
        </xdr:cNvPr>
        <xdr:cNvSpPr>
          <a:spLocks noChangeArrowheads="1"/>
        </xdr:cNvSpPr>
      </xdr:nvSpPr>
      <xdr:spPr bwMode="auto">
        <a:xfrm>
          <a:off x="16529996" y="1211770"/>
          <a:ext cx="3648075" cy="981210"/>
        </a:xfrm>
        <a:prstGeom prst="roundRect">
          <a:avLst>
            <a:gd name="adj" fmla="val 16667"/>
          </a:avLst>
        </a:prstGeom>
        <a:solidFill>
          <a:srgbClr val="FFFFFF"/>
        </a:solidFill>
        <a:ln w="9525">
          <a:solidFill>
            <a:srgbClr val="000000"/>
          </a:solidFill>
          <a:round/>
          <a:headEnd/>
          <a:tailEnd/>
        </a:ln>
      </xdr:spPr>
      <xdr:txBody>
        <a:bodyPr/>
        <a:lstStyle/>
        <a:p>
          <a:pPr>
            <a:lnSpc>
              <a:spcPts val="900"/>
            </a:lnSpc>
          </a:pPr>
          <a:r>
            <a:rPr lang="fr-FR" sz="900"/>
            <a:t>Sphère</a:t>
          </a:r>
          <a:r>
            <a:rPr lang="fr-FR" sz="900" baseline="0"/>
            <a:t> de  7 cm de diamètre chocolat noir composée de deux demi sphères. la demi sphère inférieure est remplie aux deux tiers d'un appareil à bavarois banane, d'une ganache crémeuse chocolat blanc et truffes. La demi sphère supérieure et percée à l'emporte pièce rond de différents diamètres. la sphère est posée sur un lit de fressinettes émincées finement et caramélisées au sucre roux. la sauce chocolat chaud est versée devant le client par les trous de la demi sphère supérieure.</a:t>
          </a:r>
          <a:endParaRPr lang="fr-FR" sz="900"/>
        </a:p>
      </xdr:txBody>
    </xdr:sp>
    <xdr:clientData/>
  </xdr:twoCellAnchor>
  <xdr:twoCellAnchor>
    <xdr:from>
      <xdr:col>15</xdr:col>
      <xdr:colOff>0</xdr:colOff>
      <xdr:row>5</xdr:row>
      <xdr:rowOff>1</xdr:rowOff>
    </xdr:from>
    <xdr:to>
      <xdr:col>17</xdr:col>
      <xdr:colOff>6025</xdr:colOff>
      <xdr:row>45</xdr:row>
      <xdr:rowOff>91872</xdr:rowOff>
    </xdr:to>
    <xdr:sp macro="" textlink="">
      <xdr:nvSpPr>
        <xdr:cNvPr id="8" name="AutoShape 14">
          <a:extLst>
            <a:ext uri="{FF2B5EF4-FFF2-40B4-BE49-F238E27FC236}">
              <a16:creationId xmlns:a16="http://schemas.microsoft.com/office/drawing/2014/main" id="{9C0DF263-6944-4574-A8C5-F1836125144E}"/>
            </a:ext>
          </a:extLst>
        </xdr:cNvPr>
        <xdr:cNvSpPr>
          <a:spLocks noChangeArrowheads="1"/>
        </xdr:cNvSpPr>
      </xdr:nvSpPr>
      <xdr:spPr bwMode="auto">
        <a:xfrm>
          <a:off x="14430375" y="3419476"/>
          <a:ext cx="4101775" cy="12550571"/>
        </a:xfrm>
        <a:prstGeom prst="roundRect">
          <a:avLst>
            <a:gd name="adj" fmla="val 16667"/>
          </a:avLst>
        </a:prstGeom>
        <a:solidFill>
          <a:srgbClr val="FFFFFF"/>
        </a:solidFill>
        <a:ln w="9525">
          <a:solidFill>
            <a:srgbClr val="000000"/>
          </a:solidFill>
          <a:round/>
          <a:headEnd/>
          <a:tailEnd/>
        </a:ln>
      </xdr:spPr>
      <xdr:txBody>
        <a:bodyPr/>
        <a:lstStyle/>
        <a:p>
          <a:pPr algn="l" rtl="0">
            <a:defRPr sz="1000"/>
          </a:pPr>
          <a:r>
            <a:rPr lang="fr-FR" sz="1100" b="0" i="0" u="none" strike="noStrike" baseline="0">
              <a:solidFill>
                <a:srgbClr val="000000"/>
              </a:solidFill>
              <a:latin typeface="Calibri"/>
              <a:ea typeface="Calibri"/>
              <a:cs typeface="Calibri"/>
            </a:rPr>
            <a:t>1</a:t>
          </a:r>
          <a:r>
            <a:rPr lang="fr-FR" sz="1100" b="1" i="0" u="none" strike="noStrike" baseline="0">
              <a:solidFill>
                <a:srgbClr val="000000"/>
              </a:solidFill>
              <a:latin typeface="Calibri"/>
              <a:ea typeface="Calibri"/>
              <a:cs typeface="Calibri"/>
            </a:rPr>
            <a:t>) realiser les sphères :</a:t>
          </a:r>
          <a:r>
            <a:rPr lang="fr-FR" sz="1100" b="0" i="0" u="none" strike="noStrike" baseline="0">
              <a:solidFill>
                <a:srgbClr val="000000"/>
              </a:solidFill>
              <a:latin typeface="Calibri"/>
              <a:ea typeface="Calibri"/>
              <a:cs typeface="Calibri"/>
            </a:rPr>
            <a:t> fondre et tempérer le chocolat, mouler les demi spheres en moule polycarbonate.réserver en endroit sec. perforer chaque demi sphère supérieure avec un emporte pièce chauffé</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2) </a:t>
          </a:r>
          <a:r>
            <a:rPr lang="fr-FR" sz="1100" b="1" i="0" u="none" strike="noStrike" baseline="0">
              <a:solidFill>
                <a:srgbClr val="000000"/>
              </a:solidFill>
              <a:latin typeface="Calibri"/>
              <a:ea typeface="Calibri"/>
              <a:cs typeface="Calibri"/>
            </a:rPr>
            <a:t>Sauce chocolat: réaliser un sirop, tailler le chocolat en copeaux</a:t>
          </a: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3) </a:t>
          </a:r>
          <a:r>
            <a:rPr lang="fr-FR" sz="1100" b="1" i="0" u="none" strike="noStrike" baseline="0">
              <a:solidFill>
                <a:srgbClr val="000000"/>
              </a:solidFill>
              <a:latin typeface="Calibri"/>
              <a:ea typeface="Calibri"/>
              <a:cs typeface="Calibri"/>
            </a:rPr>
            <a:t>ganache chocolat blanc truffe: </a:t>
          </a:r>
          <a:r>
            <a:rPr lang="fr-FR" sz="1100" b="0" i="0" u="none" strike="noStrike" baseline="0">
              <a:solidFill>
                <a:srgbClr val="000000"/>
              </a:solidFill>
              <a:latin typeface="Calibri"/>
              <a:ea typeface="Calibri"/>
              <a:cs typeface="Calibri"/>
            </a:rPr>
            <a:t>: fondre le chocolat, adjoindre la crème chaude avec le beurre fondu, le sucre glace et un jaune d'oeuf, arômatiser au cognac et brisures de truffe hachée. laisser reposer mouler au fond des demi sphères calées sur alvéoles d'oeufs.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4 Mousse banane: réaliser une crème anglaise coller à la gélatine, arômatiser à la liqueur de banane, ajouter la crème fouettée dans la crème tempérée. mouler dans les sphères: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5) dressage: émincer les fressinettes dans la longueur, saupoudrer de sucre roux, caraméliser au chalumeau. poser la demi sphère, ajouter la glace, refermer. décorer d'un copeau de feuille d'or et décorer le fond de l'assiette au cornet de chocolat</a:t>
          </a:r>
        </a:p>
      </xdr:txBody>
    </xdr:sp>
    <xdr:clientData/>
  </xdr:twoCellAnchor>
  <xdr:oneCellAnchor>
    <xdr:from>
      <xdr:col>22</xdr:col>
      <xdr:colOff>161925</xdr:colOff>
      <xdr:row>2</xdr:row>
      <xdr:rowOff>9525</xdr:rowOff>
    </xdr:from>
    <xdr:ext cx="1472321" cy="1257503"/>
    <xdr:pic>
      <xdr:nvPicPr>
        <xdr:cNvPr id="9" name="Image 1">
          <a:extLst>
            <a:ext uri="{FF2B5EF4-FFF2-40B4-BE49-F238E27FC236}">
              <a16:creationId xmlns:a16="http://schemas.microsoft.com/office/drawing/2014/main" id="{59B7CC0F-E88B-4B9D-94E0-302AB6D38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059775" y="857250"/>
          <a:ext cx="1472321" cy="12575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12</xdr:col>
      <xdr:colOff>142875</xdr:colOff>
      <xdr:row>34</xdr:row>
      <xdr:rowOff>171450</xdr:rowOff>
    </xdr:from>
    <xdr:to>
      <xdr:col>14</xdr:col>
      <xdr:colOff>104775</xdr:colOff>
      <xdr:row>41</xdr:row>
      <xdr:rowOff>148002</xdr:rowOff>
    </xdr:to>
    <xdr:pic>
      <xdr:nvPicPr>
        <xdr:cNvPr id="5" name="Image 4" descr="COMPRESSION version 2016">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5575" y="10563225"/>
          <a:ext cx="1790700" cy="164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676275</xdr:colOff>
      <xdr:row>2</xdr:row>
      <xdr:rowOff>228600</xdr:rowOff>
    </xdr:from>
    <xdr:to>
      <xdr:col>11</xdr:col>
      <xdr:colOff>514350</xdr:colOff>
      <xdr:row>3</xdr:row>
      <xdr:rowOff>1257300</xdr:rowOff>
    </xdr:to>
    <xdr:pic>
      <xdr:nvPicPr>
        <xdr:cNvPr id="4" name="Picture 15" descr="G:\ChF work\Ch. F\MAN\REPAS JAPON\100_0624.JPG">
          <a:extLst>
            <a:ext uri="{FF2B5EF4-FFF2-40B4-BE49-F238E27FC236}">
              <a16:creationId xmlns:a16="http://schemas.microsoft.com/office/drawing/2014/main" id="{A96968C8-BA69-4516-B858-4EC4780CF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3650" y="1000125"/>
          <a:ext cx="23812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3</xdr:row>
      <xdr:rowOff>419100</xdr:rowOff>
    </xdr:from>
    <xdr:to>
      <xdr:col>7</xdr:col>
      <xdr:colOff>676275</xdr:colOff>
      <xdr:row>3</xdr:row>
      <xdr:rowOff>1276349</xdr:rowOff>
    </xdr:to>
    <xdr:sp macro="" textlink="">
      <xdr:nvSpPr>
        <xdr:cNvPr id="11" name="Oval 2">
          <a:extLst>
            <a:ext uri="{FF2B5EF4-FFF2-40B4-BE49-F238E27FC236}">
              <a16:creationId xmlns:a16="http://schemas.microsoft.com/office/drawing/2014/main" id="{036FFD75-243A-442D-966A-485FB46CD0B8}"/>
            </a:ext>
          </a:extLst>
        </xdr:cNvPr>
        <xdr:cNvSpPr>
          <a:spLocks noChangeArrowheads="1"/>
        </xdr:cNvSpPr>
      </xdr:nvSpPr>
      <xdr:spPr bwMode="auto">
        <a:xfrm>
          <a:off x="7162800" y="1504950"/>
          <a:ext cx="2143125" cy="85724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a:effectLst>
          <a:outerShdw blurRad="63500" dist="107763" dir="8100000" algn="ctr" rotWithShape="0">
            <a:srgbClr xmlns:mc="http://schemas.openxmlformats.org/markup-compatibility/2006" xmlns:a14="http://schemas.microsoft.com/office/drawing/2010/main" val="969696" mc:Ignorable="a14" a14:legacySpreadsheetColorIndex="55">
              <a:alpha val="74998"/>
            </a:srgbClr>
          </a:outerShdw>
        </a:effectLst>
      </xdr:spPr>
      <xdr:txBody>
        <a:bodyPr rtlCol="0"/>
        <a:lstStyle/>
        <a:p>
          <a:endParaRPr lang="fr-FR"/>
        </a:p>
      </xdr:txBody>
    </xdr:sp>
    <xdr:clientData/>
  </xdr:twoCellAnchor>
  <xdr:twoCellAnchor>
    <xdr:from>
      <xdr:col>5</xdr:col>
      <xdr:colOff>485775</xdr:colOff>
      <xdr:row>3</xdr:row>
      <xdr:rowOff>657225</xdr:rowOff>
    </xdr:from>
    <xdr:to>
      <xdr:col>7</xdr:col>
      <xdr:colOff>638176</xdr:colOff>
      <xdr:row>3</xdr:row>
      <xdr:rowOff>1143000</xdr:rowOff>
    </xdr:to>
    <xdr:sp macro="" textlink="">
      <xdr:nvSpPr>
        <xdr:cNvPr id="12" name="Oval 1">
          <a:extLst>
            <a:ext uri="{FF2B5EF4-FFF2-40B4-BE49-F238E27FC236}">
              <a16:creationId xmlns:a16="http://schemas.microsoft.com/office/drawing/2014/main" id="{3EDCC1C7-3A0E-48F3-94EF-F26E4B60650F}"/>
            </a:ext>
          </a:extLst>
        </xdr:cNvPr>
        <xdr:cNvSpPr>
          <a:spLocks noChangeArrowheads="1"/>
        </xdr:cNvSpPr>
      </xdr:nvSpPr>
      <xdr:spPr bwMode="auto">
        <a:xfrm>
          <a:off x="7419975" y="1743075"/>
          <a:ext cx="1847851" cy="4857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142876</xdr:colOff>
      <xdr:row>43</xdr:row>
      <xdr:rowOff>28575</xdr:rowOff>
    </xdr:from>
    <xdr:to>
      <xdr:col>1</xdr:col>
      <xdr:colOff>1933576</xdr:colOff>
      <xdr:row>51</xdr:row>
      <xdr:rowOff>100377</xdr:rowOff>
    </xdr:to>
    <xdr:pic>
      <xdr:nvPicPr>
        <xdr:cNvPr id="3" name="Image 2" descr="COMPRESSION version 2016">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6" y="3124200"/>
          <a:ext cx="1790700" cy="164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21</xdr:col>
      <xdr:colOff>2133600</xdr:colOff>
      <xdr:row>70</xdr:row>
      <xdr:rowOff>95250</xdr:rowOff>
    </xdr:from>
    <xdr:to>
      <xdr:col>22</xdr:col>
      <xdr:colOff>648058</xdr:colOff>
      <xdr:row>71</xdr:row>
      <xdr:rowOff>95278</xdr:rowOff>
    </xdr:to>
    <xdr:pic>
      <xdr:nvPicPr>
        <xdr:cNvPr id="2" name="Imag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517350" y="18459450"/>
          <a:ext cx="2562583" cy="228628"/>
        </a:xfrm>
        <a:prstGeom prst="rect">
          <a:avLst/>
        </a:prstGeom>
      </xdr:spPr>
    </xdr:pic>
    <xdr:clientData/>
  </xdr:twoCellAnchor>
  <xdr:twoCellAnchor editAs="oneCell">
    <xdr:from>
      <xdr:col>21</xdr:col>
      <xdr:colOff>2047874</xdr:colOff>
      <xdr:row>72</xdr:row>
      <xdr:rowOff>209549</xdr:rowOff>
    </xdr:from>
    <xdr:to>
      <xdr:col>22</xdr:col>
      <xdr:colOff>647874</xdr:colOff>
      <xdr:row>79</xdr:row>
      <xdr:rowOff>28575</xdr:rowOff>
    </xdr:to>
    <xdr:pic>
      <xdr:nvPicPr>
        <xdr:cNvPr id="3" name="Imag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31624" y="19030949"/>
          <a:ext cx="2648125" cy="1419226"/>
        </a:xfrm>
        <a:prstGeom prst="rect">
          <a:avLst/>
        </a:prstGeom>
      </xdr:spPr>
    </xdr:pic>
    <xdr:clientData/>
  </xdr:twoCellAnchor>
  <xdr:twoCellAnchor editAs="oneCell">
    <xdr:from>
      <xdr:col>18</xdr:col>
      <xdr:colOff>552449</xdr:colOff>
      <xdr:row>135</xdr:row>
      <xdr:rowOff>38099</xdr:rowOff>
    </xdr:from>
    <xdr:to>
      <xdr:col>22</xdr:col>
      <xdr:colOff>200024</xdr:colOff>
      <xdr:row>143</xdr:row>
      <xdr:rowOff>104774</xdr:rowOff>
    </xdr:to>
    <xdr:pic>
      <xdr:nvPicPr>
        <xdr:cNvPr id="4" name="Image 3">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373974" y="33261299"/>
          <a:ext cx="6257925" cy="18954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390525</xdr:colOff>
      <xdr:row>399</xdr:row>
      <xdr:rowOff>114300</xdr:rowOff>
    </xdr:from>
    <xdr:to>
      <xdr:col>4</xdr:col>
      <xdr:colOff>723900</xdr:colOff>
      <xdr:row>408</xdr:row>
      <xdr:rowOff>161925</xdr:rowOff>
    </xdr:to>
    <xdr:pic>
      <xdr:nvPicPr>
        <xdr:cNvPr id="2" name="Picture 3" descr="http://www.educastream.com/IMG/Image/volumes21a.pn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98574225"/>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809</xdr:row>
      <xdr:rowOff>95250</xdr:rowOff>
    </xdr:from>
    <xdr:to>
      <xdr:col>2</xdr:col>
      <xdr:colOff>171450</xdr:colOff>
      <xdr:row>817</xdr:row>
      <xdr:rowOff>34391</xdr:rowOff>
    </xdr:to>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2708550"/>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822</xdr:row>
      <xdr:rowOff>66675</xdr:rowOff>
    </xdr:from>
    <xdr:to>
      <xdr:col>2</xdr:col>
      <xdr:colOff>666750</xdr:colOff>
      <xdr:row>825</xdr:row>
      <xdr:rowOff>0</xdr:rowOff>
    </xdr:to>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858994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829</xdr:row>
      <xdr:rowOff>28575</xdr:rowOff>
    </xdr:from>
    <xdr:to>
      <xdr:col>2</xdr:col>
      <xdr:colOff>409575</xdr:colOff>
      <xdr:row>831</xdr:row>
      <xdr:rowOff>209550</xdr:rowOff>
    </xdr:to>
    <xdr:pic>
      <xdr:nvPicPr>
        <xdr:cNvPr id="5" name="Imag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875948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836</xdr:row>
      <xdr:rowOff>19050</xdr:rowOff>
    </xdr:from>
    <xdr:to>
      <xdr:col>2</xdr:col>
      <xdr:colOff>409575</xdr:colOff>
      <xdr:row>838</xdr:row>
      <xdr:rowOff>200025</xdr:rowOff>
    </xdr:to>
    <xdr:pic>
      <xdr:nvPicPr>
        <xdr:cNvPr id="6" name="Imag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89318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820</xdr:row>
      <xdr:rowOff>0</xdr:rowOff>
    </xdr:from>
    <xdr:to>
      <xdr:col>1</xdr:col>
      <xdr:colOff>676275</xdr:colOff>
      <xdr:row>823</xdr:row>
      <xdr:rowOff>38100</xdr:rowOff>
    </xdr:to>
    <xdr:pic>
      <xdr:nvPicPr>
        <xdr:cNvPr id="7" name="Image 8">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5337450"/>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823</xdr:row>
      <xdr:rowOff>76200</xdr:rowOff>
    </xdr:from>
    <xdr:to>
      <xdr:col>3</xdr:col>
      <xdr:colOff>762000</xdr:colOff>
      <xdr:row>825</xdr:row>
      <xdr:rowOff>171450</xdr:rowOff>
    </xdr:to>
    <xdr:pic>
      <xdr:nvPicPr>
        <xdr:cNvPr id="8" name="Image 13">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86156600"/>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829</xdr:row>
      <xdr:rowOff>228600</xdr:rowOff>
    </xdr:from>
    <xdr:to>
      <xdr:col>3</xdr:col>
      <xdr:colOff>676275</xdr:colOff>
      <xdr:row>832</xdr:row>
      <xdr:rowOff>85725</xdr:rowOff>
    </xdr:to>
    <xdr:pic>
      <xdr:nvPicPr>
        <xdr:cNvPr id="9" name="Image 1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87794900"/>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836</xdr:row>
      <xdr:rowOff>28575</xdr:rowOff>
    </xdr:from>
    <xdr:to>
      <xdr:col>2</xdr:col>
      <xdr:colOff>409575</xdr:colOff>
      <xdr:row>838</xdr:row>
      <xdr:rowOff>209550</xdr:rowOff>
    </xdr:to>
    <xdr:pic>
      <xdr:nvPicPr>
        <xdr:cNvPr id="10" name="Image 1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893284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836</xdr:row>
      <xdr:rowOff>238125</xdr:rowOff>
    </xdr:from>
    <xdr:to>
      <xdr:col>3</xdr:col>
      <xdr:colOff>714375</xdr:colOff>
      <xdr:row>839</xdr:row>
      <xdr:rowOff>104775</xdr:rowOff>
    </xdr:to>
    <xdr:pic>
      <xdr:nvPicPr>
        <xdr:cNvPr id="11" name="Image 2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89537975"/>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844</xdr:row>
      <xdr:rowOff>19050</xdr:rowOff>
    </xdr:from>
    <xdr:to>
      <xdr:col>2</xdr:col>
      <xdr:colOff>409575</xdr:colOff>
      <xdr:row>846</xdr:row>
      <xdr:rowOff>200025</xdr:rowOff>
    </xdr:to>
    <xdr:pic>
      <xdr:nvPicPr>
        <xdr:cNvPr id="12" name="Image 30">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1300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844</xdr:row>
      <xdr:rowOff>28575</xdr:rowOff>
    </xdr:from>
    <xdr:to>
      <xdr:col>2</xdr:col>
      <xdr:colOff>409575</xdr:colOff>
      <xdr:row>846</xdr:row>
      <xdr:rowOff>209550</xdr:rowOff>
    </xdr:to>
    <xdr:pic>
      <xdr:nvPicPr>
        <xdr:cNvPr id="13" name="Image 31">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13096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845</xdr:row>
      <xdr:rowOff>28575</xdr:rowOff>
    </xdr:from>
    <xdr:to>
      <xdr:col>3</xdr:col>
      <xdr:colOff>695325</xdr:colOff>
      <xdr:row>847</xdr:row>
      <xdr:rowOff>161925</xdr:rowOff>
    </xdr:to>
    <xdr:pic>
      <xdr:nvPicPr>
        <xdr:cNvPr id="14" name="Image 34">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1557275"/>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820</xdr:row>
      <xdr:rowOff>76200</xdr:rowOff>
    </xdr:from>
    <xdr:to>
      <xdr:col>7</xdr:col>
      <xdr:colOff>438150</xdr:colOff>
      <xdr:row>822</xdr:row>
      <xdr:rowOff>142875</xdr:rowOff>
    </xdr:to>
    <xdr:pic>
      <xdr:nvPicPr>
        <xdr:cNvPr id="15" name="Image 2">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5413650"/>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822</xdr:row>
      <xdr:rowOff>295275</xdr:rowOff>
    </xdr:from>
    <xdr:to>
      <xdr:col>7</xdr:col>
      <xdr:colOff>371475</xdr:colOff>
      <xdr:row>825</xdr:row>
      <xdr:rowOff>219075</xdr:rowOff>
    </xdr:to>
    <xdr:pic>
      <xdr:nvPicPr>
        <xdr:cNvPr id="16" name="Image 37">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8608040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826</xdr:row>
      <xdr:rowOff>0</xdr:rowOff>
    </xdr:from>
    <xdr:to>
      <xdr:col>7</xdr:col>
      <xdr:colOff>314325</xdr:colOff>
      <xdr:row>828</xdr:row>
      <xdr:rowOff>219075</xdr:rowOff>
    </xdr:to>
    <xdr:pic>
      <xdr:nvPicPr>
        <xdr:cNvPr id="17" name="Image 39">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868233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871</xdr:row>
      <xdr:rowOff>0</xdr:rowOff>
    </xdr:from>
    <xdr:to>
      <xdr:col>7</xdr:col>
      <xdr:colOff>314325</xdr:colOff>
      <xdr:row>874</xdr:row>
      <xdr:rowOff>142875</xdr:rowOff>
    </xdr:to>
    <xdr:pic>
      <xdr:nvPicPr>
        <xdr:cNvPr id="18" name="Image 40">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47230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830</xdr:row>
      <xdr:rowOff>0</xdr:rowOff>
    </xdr:from>
    <xdr:to>
      <xdr:col>7</xdr:col>
      <xdr:colOff>314325</xdr:colOff>
      <xdr:row>832</xdr:row>
      <xdr:rowOff>219075</xdr:rowOff>
    </xdr:to>
    <xdr:pic>
      <xdr:nvPicPr>
        <xdr:cNvPr id="19" name="Image 41">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878139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832</xdr:row>
      <xdr:rowOff>0</xdr:rowOff>
    </xdr:from>
    <xdr:to>
      <xdr:col>7</xdr:col>
      <xdr:colOff>314325</xdr:colOff>
      <xdr:row>834</xdr:row>
      <xdr:rowOff>219075</xdr:rowOff>
    </xdr:to>
    <xdr:pic>
      <xdr:nvPicPr>
        <xdr:cNvPr id="20" name="Image 43">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883092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833</xdr:row>
      <xdr:rowOff>276225</xdr:rowOff>
    </xdr:from>
    <xdr:to>
      <xdr:col>7</xdr:col>
      <xdr:colOff>352425</xdr:colOff>
      <xdr:row>836</xdr:row>
      <xdr:rowOff>219075</xdr:rowOff>
    </xdr:to>
    <xdr:pic>
      <xdr:nvPicPr>
        <xdr:cNvPr id="21" name="Image 44">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888045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1700-000016000000}"/>
            </a:ext>
          </a:extLst>
        </xdr:cNvPr>
        <xdr:cNvSpPr/>
      </xdr:nvSpPr>
      <xdr:spPr bwMode="auto">
        <a:xfrm>
          <a:off x="14020800" y="4743450"/>
          <a:ext cx="1895475" cy="59055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13</xdr:col>
      <xdr:colOff>895350</xdr:colOff>
      <xdr:row>23</xdr:row>
      <xdr:rowOff>95250</xdr:rowOff>
    </xdr:from>
    <xdr:to>
      <xdr:col>15</xdr:col>
      <xdr:colOff>1085850</xdr:colOff>
      <xdr:row>29</xdr:row>
      <xdr:rowOff>142875</xdr:rowOff>
    </xdr:to>
    <xdr:sp macro="" textlink="">
      <xdr:nvSpPr>
        <xdr:cNvPr id="23" name="AutoShape 1">
          <a:extLst>
            <a:ext uri="{FF2B5EF4-FFF2-40B4-BE49-F238E27FC236}">
              <a16:creationId xmlns:a16="http://schemas.microsoft.com/office/drawing/2014/main" id="{00000000-0008-0000-1700-000017000000}"/>
            </a:ext>
          </a:extLst>
        </xdr:cNvPr>
        <xdr:cNvSpPr>
          <a:spLocks noChangeArrowheads="1"/>
        </xdr:cNvSpPr>
      </xdr:nvSpPr>
      <xdr:spPr bwMode="auto">
        <a:xfrm>
          <a:off x="13716000" y="5629275"/>
          <a:ext cx="2000250" cy="122872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588</xdr:row>
      <xdr:rowOff>66675</xdr:rowOff>
    </xdr:from>
    <xdr:to>
      <xdr:col>16</xdr:col>
      <xdr:colOff>371475</xdr:colOff>
      <xdr:row>596</xdr:row>
      <xdr:rowOff>28575</xdr:rowOff>
    </xdr:to>
    <xdr:pic>
      <xdr:nvPicPr>
        <xdr:cNvPr id="24" name="Image 23" descr="Résultats de pourcentage dans la colonne D">
          <a:extLst>
            <a:ext uri="{FF2B5EF4-FFF2-40B4-BE49-F238E27FC236}">
              <a16:creationId xmlns:a16="http://schemas.microsoft.com/office/drawing/2014/main" id="{00000000-0008-0000-17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376934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xdr:row>
      <xdr:rowOff>114300</xdr:rowOff>
    </xdr:from>
    <xdr:to>
      <xdr:col>8</xdr:col>
      <xdr:colOff>734586</xdr:colOff>
      <xdr:row>533</xdr:row>
      <xdr:rowOff>47887</xdr:rowOff>
    </xdr:to>
    <xdr:pic>
      <xdr:nvPicPr>
        <xdr:cNvPr id="25" name="Image 24">
          <a:extLst>
            <a:ext uri="{FF2B5EF4-FFF2-40B4-BE49-F238E27FC236}">
              <a16:creationId xmlns:a16="http://schemas.microsoft.com/office/drawing/2014/main" id="{00000000-0008-0000-17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4215525"/>
          <a:ext cx="8316486" cy="1876687"/>
        </a:xfrm>
        <a:prstGeom prst="rect">
          <a:avLst/>
        </a:prstGeom>
      </xdr:spPr>
    </xdr:pic>
    <xdr:clientData/>
  </xdr:twoCellAnchor>
  <xdr:twoCellAnchor editAs="oneCell">
    <xdr:from>
      <xdr:col>3</xdr:col>
      <xdr:colOff>304800</xdr:colOff>
      <xdr:row>60</xdr:row>
      <xdr:rowOff>200025</xdr:rowOff>
    </xdr:from>
    <xdr:to>
      <xdr:col>3</xdr:col>
      <xdr:colOff>666750</xdr:colOff>
      <xdr:row>60</xdr:row>
      <xdr:rowOff>561975</xdr:rowOff>
    </xdr:to>
    <xdr:pic>
      <xdr:nvPicPr>
        <xdr:cNvPr id="26" name="Picture">
          <a:extLst>
            <a:ext uri="{FF2B5EF4-FFF2-40B4-BE49-F238E27FC236}">
              <a16:creationId xmlns:a16="http://schemas.microsoft.com/office/drawing/2014/main" id="{00000000-0008-0000-17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388745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60</xdr:row>
      <xdr:rowOff>180974</xdr:rowOff>
    </xdr:from>
    <xdr:to>
      <xdr:col>4</xdr:col>
      <xdr:colOff>647700</xdr:colOff>
      <xdr:row>60</xdr:row>
      <xdr:rowOff>552449</xdr:rowOff>
    </xdr:to>
    <xdr:pic>
      <xdr:nvPicPr>
        <xdr:cNvPr id="27" name="Picture">
          <a:extLst>
            <a:ext uri="{FF2B5EF4-FFF2-40B4-BE49-F238E27FC236}">
              <a16:creationId xmlns:a16="http://schemas.microsoft.com/office/drawing/2014/main" id="{00000000-0008-0000-17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3868399"/>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60</xdr:row>
      <xdr:rowOff>142874</xdr:rowOff>
    </xdr:from>
    <xdr:to>
      <xdr:col>5</xdr:col>
      <xdr:colOff>581025</xdr:colOff>
      <xdr:row>60</xdr:row>
      <xdr:rowOff>552449</xdr:rowOff>
    </xdr:to>
    <xdr:pic>
      <xdr:nvPicPr>
        <xdr:cNvPr id="28" name="Picture">
          <a:extLst>
            <a:ext uri="{FF2B5EF4-FFF2-40B4-BE49-F238E27FC236}">
              <a16:creationId xmlns:a16="http://schemas.microsoft.com/office/drawing/2014/main" id="{00000000-0008-0000-17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3830299"/>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60</xdr:row>
      <xdr:rowOff>171450</xdr:rowOff>
    </xdr:from>
    <xdr:to>
      <xdr:col>6</xdr:col>
      <xdr:colOff>523875</xdr:colOff>
      <xdr:row>60</xdr:row>
      <xdr:rowOff>561975</xdr:rowOff>
    </xdr:to>
    <xdr:pic>
      <xdr:nvPicPr>
        <xdr:cNvPr id="29" name="Picture">
          <a:extLst>
            <a:ext uri="{FF2B5EF4-FFF2-40B4-BE49-F238E27FC236}">
              <a16:creationId xmlns:a16="http://schemas.microsoft.com/office/drawing/2014/main" id="{00000000-0008-0000-17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385887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60</xdr:row>
      <xdr:rowOff>161925</xdr:rowOff>
    </xdr:from>
    <xdr:to>
      <xdr:col>7</xdr:col>
      <xdr:colOff>533400</xdr:colOff>
      <xdr:row>60</xdr:row>
      <xdr:rowOff>533400</xdr:rowOff>
    </xdr:to>
    <xdr:pic>
      <xdr:nvPicPr>
        <xdr:cNvPr id="30" name="Picture">
          <a:extLst>
            <a:ext uri="{FF2B5EF4-FFF2-40B4-BE49-F238E27FC236}">
              <a16:creationId xmlns:a16="http://schemas.microsoft.com/office/drawing/2014/main" id="{00000000-0008-0000-17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3849350"/>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60</xdr:row>
      <xdr:rowOff>190500</xdr:rowOff>
    </xdr:from>
    <xdr:to>
      <xdr:col>8</xdr:col>
      <xdr:colOff>571500</xdr:colOff>
      <xdr:row>60</xdr:row>
      <xdr:rowOff>552450</xdr:rowOff>
    </xdr:to>
    <xdr:pic>
      <xdr:nvPicPr>
        <xdr:cNvPr id="31" name="Picture">
          <a:extLst>
            <a:ext uri="{FF2B5EF4-FFF2-40B4-BE49-F238E27FC236}">
              <a16:creationId xmlns:a16="http://schemas.microsoft.com/office/drawing/2014/main" id="{00000000-0008-0000-17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3877925"/>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60</xdr:row>
      <xdr:rowOff>180975</xdr:rowOff>
    </xdr:from>
    <xdr:to>
      <xdr:col>9</xdr:col>
      <xdr:colOff>552450</xdr:colOff>
      <xdr:row>60</xdr:row>
      <xdr:rowOff>533400</xdr:rowOff>
    </xdr:to>
    <xdr:pic>
      <xdr:nvPicPr>
        <xdr:cNvPr id="32" name="Picture">
          <a:extLst>
            <a:ext uri="{FF2B5EF4-FFF2-40B4-BE49-F238E27FC236}">
              <a16:creationId xmlns:a16="http://schemas.microsoft.com/office/drawing/2014/main" id="{00000000-0008-0000-17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3868400"/>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60</xdr:row>
      <xdr:rowOff>171450</xdr:rowOff>
    </xdr:from>
    <xdr:to>
      <xdr:col>10</xdr:col>
      <xdr:colOff>476250</xdr:colOff>
      <xdr:row>60</xdr:row>
      <xdr:rowOff>542925</xdr:rowOff>
    </xdr:to>
    <xdr:pic>
      <xdr:nvPicPr>
        <xdr:cNvPr id="33" name="Picture">
          <a:extLst>
            <a:ext uri="{FF2B5EF4-FFF2-40B4-BE49-F238E27FC236}">
              <a16:creationId xmlns:a16="http://schemas.microsoft.com/office/drawing/2014/main" id="{00000000-0008-0000-17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385887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60</xdr:row>
      <xdr:rowOff>180975</xdr:rowOff>
    </xdr:from>
    <xdr:to>
      <xdr:col>2</xdr:col>
      <xdr:colOff>781050</xdr:colOff>
      <xdr:row>60</xdr:row>
      <xdr:rowOff>561975</xdr:rowOff>
    </xdr:to>
    <xdr:pic>
      <xdr:nvPicPr>
        <xdr:cNvPr id="34" name="Picture">
          <a:extLst>
            <a:ext uri="{FF2B5EF4-FFF2-40B4-BE49-F238E27FC236}">
              <a16:creationId xmlns:a16="http://schemas.microsoft.com/office/drawing/2014/main" id="{00000000-0008-0000-17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3868400"/>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184</xdr:row>
      <xdr:rowOff>133350</xdr:rowOff>
    </xdr:from>
    <xdr:to>
      <xdr:col>5</xdr:col>
      <xdr:colOff>209549</xdr:colOff>
      <xdr:row>194</xdr:row>
      <xdr:rowOff>219075</xdr:rowOff>
    </xdr:to>
    <xdr:graphicFrame macro="">
      <xdr:nvGraphicFramePr>
        <xdr:cNvPr id="35" name="Diagramme 34">
          <a:extLst>
            <a:ext uri="{FF2B5EF4-FFF2-40B4-BE49-F238E27FC236}">
              <a16:creationId xmlns:a16="http://schemas.microsoft.com/office/drawing/2014/main" id="{00000000-0008-0000-17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212</xdr:row>
      <xdr:rowOff>117476</xdr:rowOff>
    </xdr:from>
    <xdr:to>
      <xdr:col>3</xdr:col>
      <xdr:colOff>1000125</xdr:colOff>
      <xdr:row>213</xdr:row>
      <xdr:rowOff>89279</xdr:rowOff>
    </xdr:to>
    <xdr:pic>
      <xdr:nvPicPr>
        <xdr:cNvPr id="36" name="Image 35">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1181001"/>
          <a:ext cx="2301875" cy="1505328"/>
        </a:xfrm>
        <a:prstGeom prst="rect">
          <a:avLst/>
        </a:prstGeom>
      </xdr:spPr>
    </xdr:pic>
    <xdr:clientData/>
  </xdr:twoCellAnchor>
  <xdr:twoCellAnchor editAs="oneCell">
    <xdr:from>
      <xdr:col>10</xdr:col>
      <xdr:colOff>342900</xdr:colOff>
      <xdr:row>212</xdr:row>
      <xdr:rowOff>247650</xdr:rowOff>
    </xdr:from>
    <xdr:to>
      <xdr:col>12</xdr:col>
      <xdr:colOff>466725</xdr:colOff>
      <xdr:row>212</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17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1311175"/>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212</xdr:row>
      <xdr:rowOff>231778</xdr:rowOff>
    </xdr:from>
    <xdr:to>
      <xdr:col>16</xdr:col>
      <xdr:colOff>466725</xdr:colOff>
      <xdr:row>212</xdr:row>
      <xdr:rowOff>1368434</xdr:rowOff>
    </xdr:to>
    <xdr:pic>
      <xdr:nvPicPr>
        <xdr:cNvPr id="38" name="Image 37">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1295303"/>
          <a:ext cx="1987548" cy="1136656"/>
        </a:xfrm>
        <a:prstGeom prst="rect">
          <a:avLst/>
        </a:prstGeom>
      </xdr:spPr>
    </xdr:pic>
    <xdr:clientData/>
  </xdr:twoCellAnchor>
  <xdr:twoCellAnchor editAs="oneCell">
    <xdr:from>
      <xdr:col>1</xdr:col>
      <xdr:colOff>323850</xdr:colOff>
      <xdr:row>253</xdr:row>
      <xdr:rowOff>152400</xdr:rowOff>
    </xdr:from>
    <xdr:to>
      <xdr:col>3</xdr:col>
      <xdr:colOff>676617</xdr:colOff>
      <xdr:row>264</xdr:row>
      <xdr:rowOff>105149</xdr:rowOff>
    </xdr:to>
    <xdr:pic>
      <xdr:nvPicPr>
        <xdr:cNvPr id="39" name="Image 38">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3217425"/>
          <a:ext cx="2448267" cy="2676899"/>
        </a:xfrm>
        <a:prstGeom prst="rect">
          <a:avLst/>
        </a:prstGeom>
      </xdr:spPr>
    </xdr:pic>
    <xdr:clientData/>
  </xdr:twoCellAnchor>
  <xdr:twoCellAnchor editAs="oneCell">
    <xdr:from>
      <xdr:col>3</xdr:col>
      <xdr:colOff>971550</xdr:colOff>
      <xdr:row>256</xdr:row>
      <xdr:rowOff>0</xdr:rowOff>
    </xdr:from>
    <xdr:to>
      <xdr:col>6</xdr:col>
      <xdr:colOff>428988</xdr:colOff>
      <xdr:row>262</xdr:row>
      <xdr:rowOff>200260</xdr:rowOff>
    </xdr:to>
    <xdr:pic>
      <xdr:nvPicPr>
        <xdr:cNvPr id="40" name="Image 39">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3807975"/>
          <a:ext cx="2600688" cy="16861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5BC010BE-21E0-4ABF-9A97-99E0F8D93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50FDB2B9-B7E5-41B7-8990-9A307F217F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CE4FA63D-E722-4DEB-B87A-BD1C617E8A6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00155956-6FD3-47D2-816D-78B1BE2446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B37B06F8-C18C-4F11-AF14-4D03C37754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682B3B04-A4CE-4B7B-A4EB-54860BBBEF4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A72E7920-84F8-4261-8007-09AC651A09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CD17372E-A855-4C3D-B23F-92C2EC5CCC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646560BB-9A45-469F-BA2B-9BB7185B7B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350E3895-A054-4892-9FC4-4C411520E8B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9E416286-1971-4198-84DF-D1BE075C66E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3F598DAF-FF5C-4325-A86E-1FCE2EBE5F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7843CA96-2495-4404-A63C-9BD404915E4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DB19FDF9-6F68-4D6D-AEE1-F8E324E53C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5744D44D-7668-4092-9FC5-F4A18B37DD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AB712361-B7E1-4CCA-A9A4-1C351214A1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7C244C0B-8A01-444D-A801-8DDECD52FF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313C1C25-A5D4-4E5D-9D9C-DB4BE8DA8E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A49BE734-63E3-4310-9F21-221DE10753A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EC8B2C5B-3F0B-40A5-AD06-1BF418F615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F722621A-5F54-4BB1-9A0E-2E94DD430F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0876F95D-C577-4543-B08A-50C2903007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F558CA03-7ADC-4E98-A171-69E4995E4DE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D4ECCC88-EDD2-4D35-8163-724E0586054F}"/>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78E4D59A-E46D-468E-8766-82F995606D5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7F56DED6-F7E5-494C-99D7-D0DFB6A62B3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D304DEDD-7B41-4A24-B86C-D3B941D0864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8AA19A8A-9974-465E-AAB6-A53872E4D72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3500363B-0CCE-49FB-A178-44B437EFE7B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972DDBE5-E853-4779-9233-4C50AC0F1F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0B595DF2-BFA1-4B9C-8618-EEBC1F9F394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CD6E4866-22BE-4CE1-896E-92FCDE2DC5E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0EB6EB5F-8C52-43AF-8580-BF010DE26E7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6B93F0FD-86B9-4535-ABBF-9C7467164937}"/>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C0994289-7F43-480C-96D2-F858098CFE3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3AD21798-0357-42A2-A9EF-8DA218FFF76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6FFF5DA8-6D28-4D6B-8E1D-9F28EBD07D0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82B50588-6DA3-4BD8-82D2-D8DB734733A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DE7A9669-051A-4F1E-980A-B58AABB35D5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ACAEC9B5-7E67-41E7-A341-05EFCC180F95}"/>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DC1D3250-F2EF-436B-A2A0-CD49C5F1541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9EAA19CC-C539-4C0A-9FB1-8B441CAC65B8}"/>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FC08C2FF-CFCF-43B6-98C1-B3D32F0869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70863D3A-1322-4383-9D9F-53B7463A97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427CD103-8B36-4B41-B382-E10F8DE535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801E8221-9A85-4448-88D1-BC349C393F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333F6874-6723-45B5-8585-17C0320B9CC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C6D359B6-AB8A-45A4-AE23-A7415FE9E3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0D14908E-477D-47F5-9734-B3F82C47165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9A1F5E3F-ED62-4B34-9967-6FA8719A2A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B54F6220-51AA-4511-BDDF-5EDD51F9623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2498F740-3AB3-45EC-A3FB-150692EAEB3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828675</xdr:colOff>
      <xdr:row>85</xdr:row>
      <xdr:rowOff>0</xdr:rowOff>
    </xdr:from>
    <xdr:to>
      <xdr:col>16</xdr:col>
      <xdr:colOff>581025</xdr:colOff>
      <xdr:row>91</xdr:row>
      <xdr:rowOff>66675</xdr:rowOff>
    </xdr:to>
    <xdr:sp macro="" textlink="">
      <xdr:nvSpPr>
        <xdr:cNvPr id="2" name="Freeform 90">
          <a:extLst>
            <a:ext uri="{FF2B5EF4-FFF2-40B4-BE49-F238E27FC236}">
              <a16:creationId xmlns:a16="http://schemas.microsoft.com/office/drawing/2014/main" id="{00000000-0008-0000-0400-000002000000}"/>
            </a:ext>
          </a:extLst>
        </xdr:cNvPr>
        <xdr:cNvSpPr>
          <a:spLocks/>
        </xdr:cNvSpPr>
      </xdr:nvSpPr>
      <xdr:spPr bwMode="auto">
        <a:xfrm>
          <a:off x="10506075" y="30089475"/>
          <a:ext cx="4867275" cy="3038475"/>
        </a:xfrm>
        <a:custGeom>
          <a:avLst/>
          <a:gdLst>
            <a:gd name="T0" fmla="*/ 2147483646 w 178"/>
            <a:gd name="T1" fmla="*/ 2147483646 h 118"/>
            <a:gd name="T2" fmla="*/ 2147483646 w 178"/>
            <a:gd name="T3" fmla="*/ 2147483646 h 118"/>
            <a:gd name="T4" fmla="*/ 2147483646 w 178"/>
            <a:gd name="T5" fmla="*/ 2147483646 h 118"/>
            <a:gd name="T6" fmla="*/ 2147483646 w 178"/>
            <a:gd name="T7" fmla="*/ 2147483646 h 118"/>
            <a:gd name="T8" fmla="*/ 2147483646 w 178"/>
            <a:gd name="T9" fmla="*/ 2147483646 h 118"/>
            <a:gd name="T10" fmla="*/ 2147483646 w 178"/>
            <a:gd name="T11" fmla="*/ 2147483646 h 118"/>
            <a:gd name="T12" fmla="*/ 2147483646 w 178"/>
            <a:gd name="T13" fmla="*/ 2147483646 h 118"/>
            <a:gd name="T14" fmla="*/ 2147483646 w 178"/>
            <a:gd name="T15" fmla="*/ 2147483646 h 118"/>
            <a:gd name="T16" fmla="*/ 2147483646 w 178"/>
            <a:gd name="T17" fmla="*/ 2147483646 h 118"/>
            <a:gd name="T18" fmla="*/ 2147483646 w 178"/>
            <a:gd name="T19" fmla="*/ 2147483646 h 118"/>
            <a:gd name="T20" fmla="*/ 2147483646 w 178"/>
            <a:gd name="T21" fmla="*/ 2147483646 h 118"/>
            <a:gd name="T22" fmla="*/ 2147483646 w 178"/>
            <a:gd name="T23" fmla="*/ 2147483646 h 11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8"/>
            <a:gd name="T37" fmla="*/ 0 h 118"/>
            <a:gd name="T38" fmla="*/ 178 w 178"/>
            <a:gd name="T39" fmla="*/ 118 h 11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8" h="118">
              <a:moveTo>
                <a:pt x="93" y="110"/>
              </a:moveTo>
              <a:cubicBezTo>
                <a:pt x="122" y="110"/>
                <a:pt x="152" y="111"/>
                <a:pt x="165" y="110"/>
              </a:cubicBezTo>
              <a:cubicBezTo>
                <a:pt x="178" y="109"/>
                <a:pt x="175" y="118"/>
                <a:pt x="173" y="102"/>
              </a:cubicBezTo>
              <a:cubicBezTo>
                <a:pt x="171" y="86"/>
                <a:pt x="162" y="32"/>
                <a:pt x="155" y="16"/>
              </a:cubicBezTo>
              <a:cubicBezTo>
                <a:pt x="148" y="0"/>
                <a:pt x="143" y="7"/>
                <a:pt x="134" y="5"/>
              </a:cubicBezTo>
              <a:cubicBezTo>
                <a:pt x="125" y="3"/>
                <a:pt x="119" y="4"/>
                <a:pt x="103" y="4"/>
              </a:cubicBezTo>
              <a:cubicBezTo>
                <a:pt x="87" y="4"/>
                <a:pt x="50" y="2"/>
                <a:pt x="36" y="5"/>
              </a:cubicBezTo>
              <a:cubicBezTo>
                <a:pt x="22" y="8"/>
                <a:pt x="22" y="15"/>
                <a:pt x="18" y="23"/>
              </a:cubicBezTo>
              <a:cubicBezTo>
                <a:pt x="14" y="31"/>
                <a:pt x="12" y="43"/>
                <a:pt x="9" y="56"/>
              </a:cubicBezTo>
              <a:cubicBezTo>
                <a:pt x="6" y="69"/>
                <a:pt x="0" y="92"/>
                <a:pt x="2" y="101"/>
              </a:cubicBezTo>
              <a:cubicBezTo>
                <a:pt x="4" y="110"/>
                <a:pt x="1" y="107"/>
                <a:pt x="19" y="108"/>
              </a:cubicBezTo>
              <a:cubicBezTo>
                <a:pt x="37" y="109"/>
                <a:pt x="93" y="108"/>
                <a:pt x="108" y="108"/>
              </a:cubicBezTo>
            </a:path>
          </a:pathLst>
        </a:custGeom>
        <a:noFill/>
        <a:ln w="31750" cap="flat" cmpd="sng">
          <a:solidFill>
            <a:srgbClr val="339933"/>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86</xdr:row>
      <xdr:rowOff>123825</xdr:rowOff>
    </xdr:from>
    <xdr:to>
      <xdr:col>16</xdr:col>
      <xdr:colOff>76200</xdr:colOff>
      <xdr:row>89</xdr:row>
      <xdr:rowOff>123825</xdr:rowOff>
    </xdr:to>
    <xdr:sp macro="" textlink="">
      <xdr:nvSpPr>
        <xdr:cNvPr id="3" name="Freeform 92">
          <a:extLst>
            <a:ext uri="{FF2B5EF4-FFF2-40B4-BE49-F238E27FC236}">
              <a16:creationId xmlns:a16="http://schemas.microsoft.com/office/drawing/2014/main" id="{00000000-0008-0000-0400-000003000000}"/>
            </a:ext>
          </a:extLst>
        </xdr:cNvPr>
        <xdr:cNvSpPr>
          <a:spLocks/>
        </xdr:cNvSpPr>
      </xdr:nvSpPr>
      <xdr:spPr bwMode="auto">
        <a:xfrm>
          <a:off x="10868025" y="30708600"/>
          <a:ext cx="4000500" cy="1485900"/>
        </a:xfrm>
        <a:custGeom>
          <a:avLst/>
          <a:gdLst>
            <a:gd name="T0" fmla="*/ 2147483646 w 141"/>
            <a:gd name="T1" fmla="*/ 2147483646 h 30"/>
            <a:gd name="T2" fmla="*/ 0 w 141"/>
            <a:gd name="T3" fmla="*/ 2147483646 h 30"/>
            <a:gd name="T4" fmla="*/ 2147483646 w 141"/>
            <a:gd name="T5" fmla="*/ 2147483646 h 30"/>
            <a:gd name="T6" fmla="*/ 2147483646 w 141"/>
            <a:gd name="T7" fmla="*/ 2147483646 h 30"/>
            <a:gd name="T8" fmla="*/ 2147483646 w 141"/>
            <a:gd name="T9" fmla="*/ 2147483646 h 30"/>
            <a:gd name="T10" fmla="*/ 2147483646 w 141"/>
            <a:gd name="T11" fmla="*/ 0 h 30"/>
            <a:gd name="T12" fmla="*/ 2147483646 w 141"/>
            <a:gd name="T13" fmla="*/ 2147483646 h 30"/>
            <a:gd name="T14" fmla="*/ 2147483646 w 141"/>
            <a:gd name="T15" fmla="*/ 2147483646 h 30"/>
            <a:gd name="T16" fmla="*/ 2147483646 w 141"/>
            <a:gd name="T17" fmla="*/ 2147483646 h 3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41"/>
            <a:gd name="T28" fmla="*/ 0 h 30"/>
            <a:gd name="T29" fmla="*/ 141 w 141"/>
            <a:gd name="T30" fmla="*/ 30 h 3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41" h="30">
              <a:moveTo>
                <a:pt x="12" y="6"/>
              </a:moveTo>
              <a:lnTo>
                <a:pt x="0" y="30"/>
              </a:lnTo>
              <a:lnTo>
                <a:pt x="141" y="30"/>
              </a:lnTo>
              <a:lnTo>
                <a:pt x="135" y="8"/>
              </a:lnTo>
              <a:lnTo>
                <a:pt x="126" y="1"/>
              </a:lnTo>
              <a:lnTo>
                <a:pt x="83" y="0"/>
              </a:lnTo>
              <a:lnTo>
                <a:pt x="27" y="1"/>
              </a:lnTo>
              <a:lnTo>
                <a:pt x="19" y="2"/>
              </a:lnTo>
              <a:lnTo>
                <a:pt x="12" y="6"/>
              </a:lnTo>
              <a:close/>
            </a:path>
          </a:pathLst>
        </a:custGeom>
        <a:solidFill>
          <a:srgbClr val="FF3300"/>
        </a:solidFill>
        <a:ln w="9525" cap="flat" cmpd="sng">
          <a:solidFill>
            <a:srgbClr val="000000"/>
          </a:solidFill>
          <a:prstDash val="solid"/>
          <a:round/>
          <a:headEnd/>
          <a:tailEnd/>
        </a:ln>
      </xdr:spPr>
    </xdr:sp>
    <xdr:clientData/>
  </xdr:twoCellAnchor>
  <xdr:twoCellAnchor>
    <xdr:from>
      <xdr:col>12</xdr:col>
      <xdr:colOff>47625</xdr:colOff>
      <xdr:row>86</xdr:row>
      <xdr:rowOff>438150</xdr:rowOff>
    </xdr:from>
    <xdr:to>
      <xdr:col>12</xdr:col>
      <xdr:colOff>590550</xdr:colOff>
      <xdr:row>87</xdr:row>
      <xdr:rowOff>190500</xdr:rowOff>
    </xdr:to>
    <xdr:grpSp>
      <xdr:nvGrpSpPr>
        <xdr:cNvPr id="4" name="Group 95">
          <a:extLst>
            <a:ext uri="{FF2B5EF4-FFF2-40B4-BE49-F238E27FC236}">
              <a16:creationId xmlns:a16="http://schemas.microsoft.com/office/drawing/2014/main" id="{00000000-0008-0000-0400-000004000000}"/>
            </a:ext>
          </a:extLst>
        </xdr:cNvPr>
        <xdr:cNvGrpSpPr>
          <a:grpSpLocks/>
        </xdr:cNvGrpSpPr>
      </xdr:nvGrpSpPr>
      <xdr:grpSpPr bwMode="auto">
        <a:xfrm>
          <a:off x="11383936" y="31261675"/>
          <a:ext cx="542925" cy="252022"/>
          <a:chOff x="934" y="142"/>
          <a:chExt cx="24" cy="18"/>
        </a:xfrm>
      </xdr:grpSpPr>
      <xdr:sp macro="" textlink="">
        <xdr:nvSpPr>
          <xdr:cNvPr id="5" name="Oval 93">
            <a:extLst>
              <a:ext uri="{FF2B5EF4-FFF2-40B4-BE49-F238E27FC236}">
                <a16:creationId xmlns:a16="http://schemas.microsoft.com/office/drawing/2014/main" id="{00000000-0008-0000-0400-000005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6" name="Oval 94">
            <a:extLst>
              <a:ext uri="{FF2B5EF4-FFF2-40B4-BE49-F238E27FC236}">
                <a16:creationId xmlns:a16="http://schemas.microsoft.com/office/drawing/2014/main" id="{00000000-0008-0000-0400-000006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11</xdr:col>
      <xdr:colOff>733425</xdr:colOff>
      <xdr:row>88</xdr:row>
      <xdr:rowOff>0</xdr:rowOff>
    </xdr:from>
    <xdr:to>
      <xdr:col>12</xdr:col>
      <xdr:colOff>457200</xdr:colOff>
      <xdr:row>88</xdr:row>
      <xdr:rowOff>247650</xdr:rowOff>
    </xdr:to>
    <xdr:grpSp>
      <xdr:nvGrpSpPr>
        <xdr:cNvPr id="7" name="Group 95">
          <a:extLst>
            <a:ext uri="{FF2B5EF4-FFF2-40B4-BE49-F238E27FC236}">
              <a16:creationId xmlns:a16="http://schemas.microsoft.com/office/drawing/2014/main" id="{00000000-0008-0000-0400-000007000000}"/>
            </a:ext>
          </a:extLst>
        </xdr:cNvPr>
        <xdr:cNvGrpSpPr>
          <a:grpSpLocks/>
        </xdr:cNvGrpSpPr>
      </xdr:nvGrpSpPr>
      <xdr:grpSpPr bwMode="auto">
        <a:xfrm>
          <a:off x="11242155" y="31822869"/>
          <a:ext cx="551356" cy="247650"/>
          <a:chOff x="934" y="142"/>
          <a:chExt cx="24" cy="18"/>
        </a:xfrm>
      </xdr:grpSpPr>
      <xdr:sp macro="" textlink="">
        <xdr:nvSpPr>
          <xdr:cNvPr id="8" name="Oval 93">
            <a:extLst>
              <a:ext uri="{FF2B5EF4-FFF2-40B4-BE49-F238E27FC236}">
                <a16:creationId xmlns:a16="http://schemas.microsoft.com/office/drawing/2014/main" id="{00000000-0008-0000-0400-000008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9" name="Oval 94">
            <a:extLst>
              <a:ext uri="{FF2B5EF4-FFF2-40B4-BE49-F238E27FC236}">
                <a16:creationId xmlns:a16="http://schemas.microsoft.com/office/drawing/2014/main" id="{00000000-0008-0000-0400-000009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13</xdr:col>
      <xdr:colOff>590550</xdr:colOff>
      <xdr:row>88</xdr:row>
      <xdr:rowOff>0</xdr:rowOff>
    </xdr:from>
    <xdr:to>
      <xdr:col>14</xdr:col>
      <xdr:colOff>314325</xdr:colOff>
      <xdr:row>88</xdr:row>
      <xdr:rowOff>247650</xdr:rowOff>
    </xdr:to>
    <xdr:grpSp>
      <xdr:nvGrpSpPr>
        <xdr:cNvPr id="10" name="Group 95">
          <a:extLst>
            <a:ext uri="{FF2B5EF4-FFF2-40B4-BE49-F238E27FC236}">
              <a16:creationId xmlns:a16="http://schemas.microsoft.com/office/drawing/2014/main" id="{00000000-0008-0000-0400-00000A000000}"/>
            </a:ext>
          </a:extLst>
        </xdr:cNvPr>
        <xdr:cNvGrpSpPr>
          <a:grpSpLocks/>
        </xdr:cNvGrpSpPr>
      </xdr:nvGrpSpPr>
      <xdr:grpSpPr bwMode="auto">
        <a:xfrm>
          <a:off x="12754443" y="31822869"/>
          <a:ext cx="551357" cy="247650"/>
          <a:chOff x="934" y="142"/>
          <a:chExt cx="24" cy="18"/>
        </a:xfrm>
      </xdr:grpSpPr>
      <xdr:sp macro="" textlink="">
        <xdr:nvSpPr>
          <xdr:cNvPr id="11" name="Oval 93">
            <a:extLst>
              <a:ext uri="{FF2B5EF4-FFF2-40B4-BE49-F238E27FC236}">
                <a16:creationId xmlns:a16="http://schemas.microsoft.com/office/drawing/2014/main" id="{00000000-0008-0000-0400-00000B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12" name="Oval 94">
            <a:extLst>
              <a:ext uri="{FF2B5EF4-FFF2-40B4-BE49-F238E27FC236}">
                <a16:creationId xmlns:a16="http://schemas.microsoft.com/office/drawing/2014/main" id="{00000000-0008-0000-0400-00000C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12</xdr:col>
      <xdr:colOff>762000</xdr:colOff>
      <xdr:row>87</xdr:row>
      <xdr:rowOff>466725</xdr:rowOff>
    </xdr:from>
    <xdr:to>
      <xdr:col>13</xdr:col>
      <xdr:colOff>476250</xdr:colOff>
      <xdr:row>88</xdr:row>
      <xdr:rowOff>219075</xdr:rowOff>
    </xdr:to>
    <xdr:grpSp>
      <xdr:nvGrpSpPr>
        <xdr:cNvPr id="13" name="Group 95">
          <a:extLst>
            <a:ext uri="{FF2B5EF4-FFF2-40B4-BE49-F238E27FC236}">
              <a16:creationId xmlns:a16="http://schemas.microsoft.com/office/drawing/2014/main" id="{00000000-0008-0000-0400-00000D000000}"/>
            </a:ext>
          </a:extLst>
        </xdr:cNvPr>
        <xdr:cNvGrpSpPr>
          <a:grpSpLocks/>
        </xdr:cNvGrpSpPr>
      </xdr:nvGrpSpPr>
      <xdr:grpSpPr bwMode="auto">
        <a:xfrm>
          <a:off x="12098311" y="31789922"/>
          <a:ext cx="541832" cy="252022"/>
          <a:chOff x="934" y="142"/>
          <a:chExt cx="24" cy="18"/>
        </a:xfrm>
      </xdr:grpSpPr>
      <xdr:sp macro="" textlink="">
        <xdr:nvSpPr>
          <xdr:cNvPr id="14" name="Oval 93">
            <a:extLst>
              <a:ext uri="{FF2B5EF4-FFF2-40B4-BE49-F238E27FC236}">
                <a16:creationId xmlns:a16="http://schemas.microsoft.com/office/drawing/2014/main" id="{00000000-0008-0000-0400-00000E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15" name="Oval 94">
            <a:extLst>
              <a:ext uri="{FF2B5EF4-FFF2-40B4-BE49-F238E27FC236}">
                <a16:creationId xmlns:a16="http://schemas.microsoft.com/office/drawing/2014/main" id="{00000000-0008-0000-0400-00000F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14</xdr:col>
      <xdr:colOff>323850</xdr:colOff>
      <xdr:row>86</xdr:row>
      <xdr:rowOff>438150</xdr:rowOff>
    </xdr:from>
    <xdr:to>
      <xdr:col>15</xdr:col>
      <xdr:colOff>47625</xdr:colOff>
      <xdr:row>87</xdr:row>
      <xdr:rowOff>190500</xdr:rowOff>
    </xdr:to>
    <xdr:grpSp>
      <xdr:nvGrpSpPr>
        <xdr:cNvPr id="16" name="Group 95">
          <a:extLst>
            <a:ext uri="{FF2B5EF4-FFF2-40B4-BE49-F238E27FC236}">
              <a16:creationId xmlns:a16="http://schemas.microsoft.com/office/drawing/2014/main" id="{00000000-0008-0000-0400-000010000000}"/>
            </a:ext>
          </a:extLst>
        </xdr:cNvPr>
        <xdr:cNvGrpSpPr>
          <a:grpSpLocks/>
        </xdr:cNvGrpSpPr>
      </xdr:nvGrpSpPr>
      <xdr:grpSpPr bwMode="auto">
        <a:xfrm>
          <a:off x="13315325" y="31261675"/>
          <a:ext cx="551357" cy="252022"/>
          <a:chOff x="934" y="142"/>
          <a:chExt cx="24" cy="18"/>
        </a:xfrm>
      </xdr:grpSpPr>
      <xdr:sp macro="" textlink="">
        <xdr:nvSpPr>
          <xdr:cNvPr id="17" name="Oval 93">
            <a:extLst>
              <a:ext uri="{FF2B5EF4-FFF2-40B4-BE49-F238E27FC236}">
                <a16:creationId xmlns:a16="http://schemas.microsoft.com/office/drawing/2014/main" id="{00000000-0008-0000-0400-000011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18" name="Oval 94">
            <a:extLst>
              <a:ext uri="{FF2B5EF4-FFF2-40B4-BE49-F238E27FC236}">
                <a16:creationId xmlns:a16="http://schemas.microsoft.com/office/drawing/2014/main" id="{00000000-0008-0000-0400-000012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15</xdr:col>
      <xdr:colOff>190500</xdr:colOff>
      <xdr:row>87</xdr:row>
      <xdr:rowOff>0</xdr:rowOff>
    </xdr:from>
    <xdr:to>
      <xdr:col>15</xdr:col>
      <xdr:colOff>733425</xdr:colOff>
      <xdr:row>87</xdr:row>
      <xdr:rowOff>247650</xdr:rowOff>
    </xdr:to>
    <xdr:grpSp>
      <xdr:nvGrpSpPr>
        <xdr:cNvPr id="19" name="Group 95">
          <a:extLst>
            <a:ext uri="{FF2B5EF4-FFF2-40B4-BE49-F238E27FC236}">
              <a16:creationId xmlns:a16="http://schemas.microsoft.com/office/drawing/2014/main" id="{00000000-0008-0000-0400-000013000000}"/>
            </a:ext>
          </a:extLst>
        </xdr:cNvPr>
        <xdr:cNvGrpSpPr>
          <a:grpSpLocks/>
        </xdr:cNvGrpSpPr>
      </xdr:nvGrpSpPr>
      <xdr:grpSpPr bwMode="auto">
        <a:xfrm>
          <a:off x="14009557" y="31323197"/>
          <a:ext cx="542925" cy="247650"/>
          <a:chOff x="934" y="142"/>
          <a:chExt cx="24" cy="18"/>
        </a:xfrm>
      </xdr:grpSpPr>
      <xdr:sp macro="" textlink="">
        <xdr:nvSpPr>
          <xdr:cNvPr id="20" name="Oval 93">
            <a:extLst>
              <a:ext uri="{FF2B5EF4-FFF2-40B4-BE49-F238E27FC236}">
                <a16:creationId xmlns:a16="http://schemas.microsoft.com/office/drawing/2014/main" id="{00000000-0008-0000-0400-000014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21" name="Oval 94">
            <a:extLst>
              <a:ext uri="{FF2B5EF4-FFF2-40B4-BE49-F238E27FC236}">
                <a16:creationId xmlns:a16="http://schemas.microsoft.com/office/drawing/2014/main" id="{00000000-0008-0000-0400-000015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13</xdr:col>
      <xdr:colOff>533400</xdr:colOff>
      <xdr:row>86</xdr:row>
      <xdr:rowOff>438150</xdr:rowOff>
    </xdr:from>
    <xdr:to>
      <xdr:col>14</xdr:col>
      <xdr:colOff>247650</xdr:colOff>
      <xdr:row>87</xdr:row>
      <xdr:rowOff>190500</xdr:rowOff>
    </xdr:to>
    <xdr:grpSp>
      <xdr:nvGrpSpPr>
        <xdr:cNvPr id="22" name="Group 95">
          <a:extLst>
            <a:ext uri="{FF2B5EF4-FFF2-40B4-BE49-F238E27FC236}">
              <a16:creationId xmlns:a16="http://schemas.microsoft.com/office/drawing/2014/main" id="{00000000-0008-0000-0400-000016000000}"/>
            </a:ext>
          </a:extLst>
        </xdr:cNvPr>
        <xdr:cNvGrpSpPr>
          <a:grpSpLocks/>
        </xdr:cNvGrpSpPr>
      </xdr:nvGrpSpPr>
      <xdr:grpSpPr bwMode="auto">
        <a:xfrm>
          <a:off x="12697293" y="31261675"/>
          <a:ext cx="541832" cy="252022"/>
          <a:chOff x="934" y="142"/>
          <a:chExt cx="24" cy="18"/>
        </a:xfrm>
      </xdr:grpSpPr>
      <xdr:sp macro="" textlink="">
        <xdr:nvSpPr>
          <xdr:cNvPr id="23" name="Oval 93">
            <a:extLst>
              <a:ext uri="{FF2B5EF4-FFF2-40B4-BE49-F238E27FC236}">
                <a16:creationId xmlns:a16="http://schemas.microsoft.com/office/drawing/2014/main" id="{00000000-0008-0000-0400-000017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24" name="Oval 94">
            <a:extLst>
              <a:ext uri="{FF2B5EF4-FFF2-40B4-BE49-F238E27FC236}">
                <a16:creationId xmlns:a16="http://schemas.microsoft.com/office/drawing/2014/main" id="{00000000-0008-0000-0400-000018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12</xdr:col>
      <xdr:colOff>666750</xdr:colOff>
      <xdr:row>87</xdr:row>
      <xdr:rowOff>0</xdr:rowOff>
    </xdr:from>
    <xdr:to>
      <xdr:col>13</xdr:col>
      <xdr:colOff>390525</xdr:colOff>
      <xdr:row>87</xdr:row>
      <xdr:rowOff>247650</xdr:rowOff>
    </xdr:to>
    <xdr:grpSp>
      <xdr:nvGrpSpPr>
        <xdr:cNvPr id="25" name="Group 95">
          <a:extLst>
            <a:ext uri="{FF2B5EF4-FFF2-40B4-BE49-F238E27FC236}">
              <a16:creationId xmlns:a16="http://schemas.microsoft.com/office/drawing/2014/main" id="{00000000-0008-0000-0400-000019000000}"/>
            </a:ext>
          </a:extLst>
        </xdr:cNvPr>
        <xdr:cNvGrpSpPr>
          <a:grpSpLocks/>
        </xdr:cNvGrpSpPr>
      </xdr:nvGrpSpPr>
      <xdr:grpSpPr bwMode="auto">
        <a:xfrm>
          <a:off x="12003061" y="31323197"/>
          <a:ext cx="551357" cy="247650"/>
          <a:chOff x="934" y="142"/>
          <a:chExt cx="24" cy="18"/>
        </a:xfrm>
      </xdr:grpSpPr>
      <xdr:sp macro="" textlink="">
        <xdr:nvSpPr>
          <xdr:cNvPr id="26" name="Oval 93">
            <a:extLst>
              <a:ext uri="{FF2B5EF4-FFF2-40B4-BE49-F238E27FC236}">
                <a16:creationId xmlns:a16="http://schemas.microsoft.com/office/drawing/2014/main" id="{00000000-0008-0000-0400-00001A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27" name="Oval 94">
            <a:extLst>
              <a:ext uri="{FF2B5EF4-FFF2-40B4-BE49-F238E27FC236}">
                <a16:creationId xmlns:a16="http://schemas.microsoft.com/office/drawing/2014/main" id="{00000000-0008-0000-0400-00001B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14</xdr:col>
      <xdr:colOff>457200</xdr:colOff>
      <xdr:row>88</xdr:row>
      <xdr:rowOff>0</xdr:rowOff>
    </xdr:from>
    <xdr:to>
      <xdr:col>15</xdr:col>
      <xdr:colOff>171450</xdr:colOff>
      <xdr:row>88</xdr:row>
      <xdr:rowOff>247650</xdr:rowOff>
    </xdr:to>
    <xdr:grpSp>
      <xdr:nvGrpSpPr>
        <xdr:cNvPr id="28" name="Group 95">
          <a:extLst>
            <a:ext uri="{FF2B5EF4-FFF2-40B4-BE49-F238E27FC236}">
              <a16:creationId xmlns:a16="http://schemas.microsoft.com/office/drawing/2014/main" id="{00000000-0008-0000-0400-00001C000000}"/>
            </a:ext>
          </a:extLst>
        </xdr:cNvPr>
        <xdr:cNvGrpSpPr>
          <a:grpSpLocks/>
        </xdr:cNvGrpSpPr>
      </xdr:nvGrpSpPr>
      <xdr:grpSpPr bwMode="auto">
        <a:xfrm>
          <a:off x="13448675" y="31822869"/>
          <a:ext cx="541832" cy="247650"/>
          <a:chOff x="934" y="142"/>
          <a:chExt cx="24" cy="18"/>
        </a:xfrm>
      </xdr:grpSpPr>
      <xdr:sp macro="" textlink="">
        <xdr:nvSpPr>
          <xdr:cNvPr id="29" name="Oval 93">
            <a:extLst>
              <a:ext uri="{FF2B5EF4-FFF2-40B4-BE49-F238E27FC236}">
                <a16:creationId xmlns:a16="http://schemas.microsoft.com/office/drawing/2014/main" id="{00000000-0008-0000-0400-00001D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30" name="Oval 94">
            <a:extLst>
              <a:ext uri="{FF2B5EF4-FFF2-40B4-BE49-F238E27FC236}">
                <a16:creationId xmlns:a16="http://schemas.microsoft.com/office/drawing/2014/main" id="{00000000-0008-0000-0400-00001E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twoCellAnchor>
    <xdr:from>
      <xdr:col>15</xdr:col>
      <xdr:colOff>247650</xdr:colOff>
      <xdr:row>88</xdr:row>
      <xdr:rowOff>0</xdr:rowOff>
    </xdr:from>
    <xdr:to>
      <xdr:col>15</xdr:col>
      <xdr:colOff>800100</xdr:colOff>
      <xdr:row>88</xdr:row>
      <xdr:rowOff>247650</xdr:rowOff>
    </xdr:to>
    <xdr:grpSp>
      <xdr:nvGrpSpPr>
        <xdr:cNvPr id="31" name="Group 95">
          <a:extLst>
            <a:ext uri="{FF2B5EF4-FFF2-40B4-BE49-F238E27FC236}">
              <a16:creationId xmlns:a16="http://schemas.microsoft.com/office/drawing/2014/main" id="{00000000-0008-0000-0400-00001F000000}"/>
            </a:ext>
          </a:extLst>
        </xdr:cNvPr>
        <xdr:cNvGrpSpPr>
          <a:grpSpLocks/>
        </xdr:cNvGrpSpPr>
      </xdr:nvGrpSpPr>
      <xdr:grpSpPr bwMode="auto">
        <a:xfrm>
          <a:off x="14066707" y="31822869"/>
          <a:ext cx="552450" cy="247650"/>
          <a:chOff x="934" y="142"/>
          <a:chExt cx="24" cy="18"/>
        </a:xfrm>
      </xdr:grpSpPr>
      <xdr:sp macro="" textlink="">
        <xdr:nvSpPr>
          <xdr:cNvPr id="32" name="Oval 93">
            <a:extLst>
              <a:ext uri="{FF2B5EF4-FFF2-40B4-BE49-F238E27FC236}">
                <a16:creationId xmlns:a16="http://schemas.microsoft.com/office/drawing/2014/main" id="{00000000-0008-0000-0400-000020000000}"/>
              </a:ext>
            </a:extLst>
          </xdr:cNvPr>
          <xdr:cNvSpPr>
            <a:spLocks noChangeArrowheads="1"/>
          </xdr:cNvSpPr>
        </xdr:nvSpPr>
        <xdr:spPr bwMode="auto">
          <a:xfrm>
            <a:off x="934" y="142"/>
            <a:ext cx="24" cy="18"/>
          </a:xfrm>
          <a:prstGeom prst="ellipse">
            <a:avLst/>
          </a:prstGeom>
          <a:gradFill rotWithShape="0">
            <a:gsLst>
              <a:gs pos="0">
                <a:srgbClr val="FFFFFF"/>
              </a:gs>
              <a:gs pos="100000">
                <a:srgbClr val="FF8080"/>
              </a:gs>
            </a:gsLst>
            <a:lin ang="5400000" scaled="1"/>
          </a:gradFill>
          <a:ln w="9525">
            <a:solidFill>
              <a:srgbClr val="000000"/>
            </a:solidFill>
            <a:round/>
            <a:headEnd/>
            <a:tailEnd/>
          </a:ln>
        </xdr:spPr>
      </xdr:sp>
      <xdr:sp macro="" textlink="">
        <xdr:nvSpPr>
          <xdr:cNvPr id="33" name="Oval 94">
            <a:extLst>
              <a:ext uri="{FF2B5EF4-FFF2-40B4-BE49-F238E27FC236}">
                <a16:creationId xmlns:a16="http://schemas.microsoft.com/office/drawing/2014/main" id="{00000000-0008-0000-0400-000021000000}"/>
              </a:ext>
            </a:extLst>
          </xdr:cNvPr>
          <xdr:cNvSpPr>
            <a:spLocks noChangeArrowheads="1"/>
          </xdr:cNvSpPr>
        </xdr:nvSpPr>
        <xdr:spPr bwMode="auto">
          <a:xfrm>
            <a:off x="942" y="146"/>
            <a:ext cx="7" cy="5"/>
          </a:xfrm>
          <a:prstGeom prst="ellipse">
            <a:avLst/>
          </a:prstGeom>
          <a:solidFill>
            <a:srgbClr val="FFFFFF"/>
          </a:solidFill>
          <a:ln w="9525">
            <a:solidFill>
              <a:srgbClr val="000000"/>
            </a:solidFill>
            <a:round/>
            <a:headEnd/>
            <a:tailEnd/>
          </a:ln>
        </xdr:spPr>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5</xdr:row>
      <xdr:rowOff>206375</xdr:rowOff>
    </xdr:from>
    <xdr:to>
      <xdr:col>2</xdr:col>
      <xdr:colOff>0</xdr:colOff>
      <xdr:row>44</xdr:row>
      <xdr:rowOff>47625</xdr:rowOff>
    </xdr:to>
    <xdr:sp macro="" textlink="">
      <xdr:nvSpPr>
        <xdr:cNvPr id="2" name="Text Box 6">
          <a:extLst>
            <a:ext uri="{FF2B5EF4-FFF2-40B4-BE49-F238E27FC236}">
              <a16:creationId xmlns:a16="http://schemas.microsoft.com/office/drawing/2014/main" id="{573109E8-8FBD-4185-B92D-E937772E0067}"/>
            </a:ext>
          </a:extLst>
        </xdr:cNvPr>
        <xdr:cNvSpPr txBox="1">
          <a:spLocks noChangeArrowheads="1"/>
        </xdr:cNvSpPr>
      </xdr:nvSpPr>
      <xdr:spPr bwMode="auto">
        <a:xfrm>
          <a:off x="393700" y="3606800"/>
          <a:ext cx="2235200" cy="12880975"/>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fr-FR" sz="1100" b="1" i="1" u="none" strike="noStrike" baseline="0">
              <a:solidFill>
                <a:srgbClr val="000000"/>
              </a:solidFill>
              <a:latin typeface="@Batang"/>
              <a:ea typeface="@Batang"/>
              <a:cs typeface="@Batang"/>
            </a:rPr>
            <a:t>1) tomates</a:t>
          </a:r>
        </a:p>
        <a:p>
          <a:pPr algn="l" rtl="0">
            <a:defRPr sz="1000"/>
          </a:pPr>
          <a:r>
            <a:rPr lang="fr-FR" sz="1100" b="0" i="1" u="none" strike="noStrike" baseline="0">
              <a:solidFill>
                <a:srgbClr val="000000"/>
              </a:solidFill>
              <a:latin typeface="@Batang"/>
              <a:ea typeface="@Batang"/>
              <a:cs typeface="@Batang"/>
            </a:rPr>
            <a:t>Monder les tomates en coservant le pédoncule. Ouvrir côté pédoncule et réserver le chapeau, évider.</a:t>
          </a:r>
        </a:p>
        <a:p>
          <a:pPr algn="l" rtl="0">
            <a:defRPr sz="1000"/>
          </a:pPr>
          <a:r>
            <a:rPr lang="fr-FR" sz="1100" b="0" i="1" u="none" strike="noStrike" baseline="0">
              <a:solidFill>
                <a:srgbClr val="000000"/>
              </a:solidFill>
              <a:latin typeface="@Batang"/>
              <a:ea typeface="@Batang"/>
              <a:cs typeface="@Batang"/>
            </a:rPr>
            <a:t>Réserver sur papier absorbant.</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2) sorbet tomate</a:t>
          </a:r>
        </a:p>
        <a:p>
          <a:pPr algn="l" rtl="0">
            <a:defRPr sz="1000"/>
          </a:pPr>
          <a:r>
            <a:rPr lang="fr-FR" sz="1100" b="0" i="1" u="none" strike="noStrike" baseline="0">
              <a:solidFill>
                <a:srgbClr val="000000"/>
              </a:solidFill>
              <a:latin typeface="@Batang"/>
              <a:ea typeface="@Batang"/>
              <a:cs typeface="@Batang"/>
            </a:rPr>
            <a:t>Faire suer à l'huile d'olive les échalotes en mirepoix, ajouter les interieurs de tomate avec les tomates entières pelées. Ajouter ail écrasé, bouquet garni, sel fin, poivre. Laisser compoter, mixer, incorporer le glucose. assaisonner au tabasco et cardamome. Verser dans 4 bols à pacojet. Reserver au grand froid.  </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3) jus de basilic</a:t>
          </a:r>
        </a:p>
        <a:p>
          <a:pPr algn="l" rtl="0">
            <a:defRPr sz="1000"/>
          </a:pPr>
          <a:r>
            <a:rPr lang="fr-FR" sz="1100" b="0" i="1" u="none" strike="noStrike" baseline="0">
              <a:solidFill>
                <a:srgbClr val="000000"/>
              </a:solidFill>
              <a:latin typeface="@Batang"/>
              <a:ea typeface="@Batang"/>
              <a:cs typeface="@Batang"/>
            </a:rPr>
            <a:t>Mixer au robot coupe le basilic(réserver 45 sommités) avec les glaçons et l'huile d'olive. Passer au chinois étamine, réserver en pipette.</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4) Vinaigrette de chipirons</a:t>
          </a:r>
          <a:endParaRPr lang="fr-FR" sz="1100" b="0" i="1" u="none" strike="noStrike" baseline="0">
            <a:solidFill>
              <a:srgbClr val="000000"/>
            </a:solidFill>
            <a:latin typeface="@Batang"/>
            <a:ea typeface="@Batang"/>
            <a:cs typeface="@Batang"/>
          </a:endParaRPr>
        </a:p>
        <a:p>
          <a:pPr algn="l" rtl="0">
            <a:defRPr sz="1000"/>
          </a:pPr>
          <a:r>
            <a:rPr lang="fr-FR" sz="1100" b="0" i="1" u="none" strike="noStrike" baseline="0">
              <a:solidFill>
                <a:srgbClr val="000000"/>
              </a:solidFill>
              <a:latin typeface="@Batang"/>
              <a:ea typeface="@Batang"/>
              <a:cs typeface="@Batang"/>
            </a:rPr>
            <a:t>Nettoyer les chipirons.Sauter à l'huile d'olive en faisant colorer. Déglacer au vinaigre balsamique et huile d'olive.</a:t>
          </a:r>
        </a:p>
        <a:p>
          <a:pPr algn="l" rtl="0">
            <a:defRPr sz="1000"/>
          </a:pPr>
          <a:r>
            <a:rPr lang="fr-FR" sz="1100" b="0" i="1" u="none" strike="noStrike" baseline="0">
              <a:solidFill>
                <a:srgbClr val="000000"/>
              </a:solidFill>
              <a:latin typeface="@Batang"/>
              <a:ea typeface="@Batang"/>
              <a:cs typeface="@Batang"/>
            </a:rPr>
            <a:t>Tailler les poivrons en brunoise.</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Finitions</a:t>
          </a:r>
        </a:p>
        <a:p>
          <a:pPr algn="l" rtl="0">
            <a:defRPr sz="1000"/>
          </a:pPr>
          <a:r>
            <a:rPr lang="fr-FR" sz="1100" b="0" i="1" u="none" strike="noStrike" baseline="0">
              <a:solidFill>
                <a:srgbClr val="000000"/>
              </a:solidFill>
              <a:latin typeface="@Batang"/>
              <a:ea typeface="@Batang"/>
              <a:cs typeface="@Batang"/>
            </a:rPr>
            <a:t>30min avant le service, pacosser le sorbet à la tomate piquant et remplir les tomates à la poche à douille unie. Reserver sur plaque au congélateur.Réserver les 45 sommités de basilic dans de l'eau froide sur le passe. A la commande, parsemer la vinaigrette de brunoise de poivrons.</a:t>
          </a:r>
        </a:p>
      </xdr:txBody>
    </xdr:sp>
    <xdr:clientData/>
  </xdr:twoCellAnchor>
  <xdr:twoCellAnchor>
    <xdr:from>
      <xdr:col>1</xdr:col>
      <xdr:colOff>101600</xdr:colOff>
      <xdr:row>3</xdr:row>
      <xdr:rowOff>206375</xdr:rowOff>
    </xdr:from>
    <xdr:to>
      <xdr:col>4</xdr:col>
      <xdr:colOff>444500</xdr:colOff>
      <xdr:row>3</xdr:row>
      <xdr:rowOff>1162050</xdr:rowOff>
    </xdr:to>
    <xdr:sp macro="" textlink="">
      <xdr:nvSpPr>
        <xdr:cNvPr id="3" name="AutoShape 14">
          <a:extLst>
            <a:ext uri="{FF2B5EF4-FFF2-40B4-BE49-F238E27FC236}">
              <a16:creationId xmlns:a16="http://schemas.microsoft.com/office/drawing/2014/main" id="{264BCF62-F849-4CD5-8B1E-DAA16B818555}"/>
            </a:ext>
          </a:extLst>
        </xdr:cNvPr>
        <xdr:cNvSpPr>
          <a:spLocks noChangeArrowheads="1"/>
        </xdr:cNvSpPr>
      </xdr:nvSpPr>
      <xdr:spPr bwMode="auto">
        <a:xfrm>
          <a:off x="482600" y="1368425"/>
          <a:ext cx="6086475" cy="955675"/>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200" b="0" i="1" u="none" strike="noStrike" baseline="0">
              <a:solidFill>
                <a:srgbClr val="000000"/>
              </a:solidFill>
              <a:latin typeface="@Batang"/>
              <a:ea typeface="@Batang"/>
              <a:cs typeface="@Batang"/>
            </a:rPr>
            <a:t>Tomate cocktail entière mondée garnie d'un sorbet piquant à la tomate et au tabasco. Elle est accompagnée d'un jus de basilic et assaisonnée d'une vinaigrette de chipirons déglacée au vinaigre balsamique.</a:t>
          </a:r>
        </a:p>
      </xdr:txBody>
    </xdr:sp>
    <xdr:clientData/>
  </xdr:twoCellAnchor>
  <xdr:twoCellAnchor>
    <xdr:from>
      <xdr:col>21</xdr:col>
      <xdr:colOff>241300</xdr:colOff>
      <xdr:row>3</xdr:row>
      <xdr:rowOff>571500</xdr:rowOff>
    </xdr:from>
    <xdr:to>
      <xdr:col>26</xdr:col>
      <xdr:colOff>50800</xdr:colOff>
      <xdr:row>3</xdr:row>
      <xdr:rowOff>939800</xdr:rowOff>
    </xdr:to>
    <xdr:sp macro="" textlink="">
      <xdr:nvSpPr>
        <xdr:cNvPr id="4" name="Oval 2">
          <a:extLst>
            <a:ext uri="{FF2B5EF4-FFF2-40B4-BE49-F238E27FC236}">
              <a16:creationId xmlns:a16="http://schemas.microsoft.com/office/drawing/2014/main" id="{123E9539-3763-4610-BCCF-241D08FB71CE}"/>
            </a:ext>
          </a:extLst>
        </xdr:cNvPr>
        <xdr:cNvSpPr>
          <a:spLocks noChangeArrowheads="1"/>
        </xdr:cNvSpPr>
      </xdr:nvSpPr>
      <xdr:spPr bwMode="auto">
        <a:xfrm>
          <a:off x="21396325" y="1733550"/>
          <a:ext cx="1381125" cy="3683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a:effectLst>
          <a:outerShdw blurRad="63500" dist="107763" dir="8100000" algn="ctr" rotWithShape="0">
            <a:srgbClr xmlns:mc="http://schemas.openxmlformats.org/markup-compatibility/2006" xmlns:a14="http://schemas.microsoft.com/office/drawing/2010/main" val="969696" mc:Ignorable="a14" a14:legacySpreadsheetColorIndex="55">
              <a:alpha val="74998"/>
            </a:srgbClr>
          </a:outerShdw>
        </a:effectLst>
      </xdr:spPr>
      <xdr:txBody>
        <a:bodyPr rtlCol="0"/>
        <a:lstStyle/>
        <a:p>
          <a:pPr algn="ctr"/>
          <a:endParaRPr lang="fr-FR"/>
        </a:p>
      </xdr:txBody>
    </xdr:sp>
    <xdr:clientData/>
  </xdr:twoCellAnchor>
  <xdr:twoCellAnchor>
    <xdr:from>
      <xdr:col>16</xdr:col>
      <xdr:colOff>12700</xdr:colOff>
      <xdr:row>4</xdr:row>
      <xdr:rowOff>292100</xdr:rowOff>
    </xdr:from>
    <xdr:to>
      <xdr:col>16</xdr:col>
      <xdr:colOff>2514600</xdr:colOff>
      <xdr:row>50</xdr:row>
      <xdr:rowOff>38100</xdr:rowOff>
    </xdr:to>
    <xdr:sp macro="" textlink="">
      <xdr:nvSpPr>
        <xdr:cNvPr id="5" name="Text Box 6">
          <a:extLst>
            <a:ext uri="{FF2B5EF4-FFF2-40B4-BE49-F238E27FC236}">
              <a16:creationId xmlns:a16="http://schemas.microsoft.com/office/drawing/2014/main" id="{FC4F53DE-B6DA-46F2-A052-52662561F897}"/>
            </a:ext>
          </a:extLst>
        </xdr:cNvPr>
        <xdr:cNvSpPr txBox="1">
          <a:spLocks noChangeArrowheads="1"/>
        </xdr:cNvSpPr>
      </xdr:nvSpPr>
      <xdr:spPr bwMode="auto">
        <a:xfrm>
          <a:off x="17252950" y="2882900"/>
          <a:ext cx="2035175" cy="155384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fr-FR" sz="1100" b="1" i="1" u="none" strike="noStrike" baseline="0">
              <a:solidFill>
                <a:srgbClr val="000000"/>
              </a:solidFill>
              <a:latin typeface="@Batang"/>
              <a:ea typeface="@Batang"/>
              <a:cs typeface="@Batang"/>
            </a:rPr>
            <a:t>1) tomates</a:t>
          </a:r>
        </a:p>
        <a:p>
          <a:pPr algn="l" rtl="0">
            <a:defRPr sz="1000"/>
          </a:pPr>
          <a:r>
            <a:rPr lang="fr-FR" sz="1100" b="0" i="1" u="none" strike="noStrike" baseline="0">
              <a:solidFill>
                <a:srgbClr val="000000"/>
              </a:solidFill>
              <a:latin typeface="@Batang"/>
              <a:ea typeface="@Batang"/>
              <a:cs typeface="@Batang"/>
            </a:rPr>
            <a:t>Monder les tomates en coservant le pédoncule. Ouvrir côté pédoncule et réserver le chapeau, évider.</a:t>
          </a:r>
        </a:p>
        <a:p>
          <a:pPr algn="l" rtl="0">
            <a:defRPr sz="1000"/>
          </a:pPr>
          <a:r>
            <a:rPr lang="fr-FR" sz="1100" b="0" i="1" u="none" strike="noStrike" baseline="0">
              <a:solidFill>
                <a:srgbClr val="000000"/>
              </a:solidFill>
              <a:latin typeface="@Batang"/>
              <a:ea typeface="@Batang"/>
              <a:cs typeface="@Batang"/>
            </a:rPr>
            <a:t>Réserver sur papier absorbant.</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2) sorbet tomate</a:t>
          </a:r>
        </a:p>
        <a:p>
          <a:pPr algn="l" rtl="0">
            <a:defRPr sz="1000"/>
          </a:pPr>
          <a:r>
            <a:rPr lang="fr-FR" sz="1100" b="0" i="1" u="none" strike="noStrike" baseline="0">
              <a:solidFill>
                <a:srgbClr val="000000"/>
              </a:solidFill>
              <a:latin typeface="@Batang"/>
              <a:ea typeface="@Batang"/>
              <a:cs typeface="@Batang"/>
            </a:rPr>
            <a:t>Faire suer à l'huile d'olive les échalotes en mirepoix, ajouter les interieurs de tomate avec les tomates entières pelées. Ajouter ail écrasé, bouquet garni, sel fin, poivre. Laisser compoter, mixer, incorporer le glucose. assaisonner au tabasco et cardamome. Verser dans 4 bols à pacojet. Reserver au grand froid.  </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3) jus de basilic</a:t>
          </a:r>
        </a:p>
        <a:p>
          <a:pPr algn="l" rtl="0">
            <a:defRPr sz="1000"/>
          </a:pPr>
          <a:r>
            <a:rPr lang="fr-FR" sz="1100" b="0" i="1" u="none" strike="noStrike" baseline="0">
              <a:solidFill>
                <a:srgbClr val="000000"/>
              </a:solidFill>
              <a:latin typeface="@Batang"/>
              <a:ea typeface="@Batang"/>
              <a:cs typeface="@Batang"/>
            </a:rPr>
            <a:t>Mixer au robot coupe le basilic(réserver 45 sommités) avec les glaçons et l'huile d'olive. Passer au chinois étamine, réserver en pipette.</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4) Vinaigrette de chipirons</a:t>
          </a:r>
          <a:endParaRPr lang="fr-FR" sz="1100" b="0" i="1" u="none" strike="noStrike" baseline="0">
            <a:solidFill>
              <a:srgbClr val="000000"/>
            </a:solidFill>
            <a:latin typeface="@Batang"/>
            <a:ea typeface="@Batang"/>
            <a:cs typeface="@Batang"/>
          </a:endParaRPr>
        </a:p>
        <a:p>
          <a:pPr algn="l" rtl="0">
            <a:defRPr sz="1000"/>
          </a:pPr>
          <a:r>
            <a:rPr lang="fr-FR" sz="1100" b="0" i="1" u="none" strike="noStrike" baseline="0">
              <a:solidFill>
                <a:srgbClr val="000000"/>
              </a:solidFill>
              <a:latin typeface="@Batang"/>
              <a:ea typeface="@Batang"/>
              <a:cs typeface="@Batang"/>
            </a:rPr>
            <a:t>Nettoyer les chipirons.Sauter à l'huile d'olive en faisant colorer. Déglacer au vinaigre balsamique et huile d'olive.</a:t>
          </a:r>
        </a:p>
        <a:p>
          <a:pPr algn="l" rtl="0">
            <a:defRPr sz="1000"/>
          </a:pPr>
          <a:r>
            <a:rPr lang="fr-FR" sz="1100" b="0" i="1" u="none" strike="noStrike" baseline="0">
              <a:solidFill>
                <a:srgbClr val="000000"/>
              </a:solidFill>
              <a:latin typeface="@Batang"/>
              <a:ea typeface="@Batang"/>
              <a:cs typeface="@Batang"/>
            </a:rPr>
            <a:t>Tailler les poivrons en brunoise.</a:t>
          </a:r>
        </a:p>
        <a:p>
          <a:pPr algn="l" rtl="0">
            <a:defRPr sz="1000"/>
          </a:pPr>
          <a:endParaRPr lang="fr-FR" sz="1100" b="0" i="1" u="none" strike="noStrike" baseline="0">
            <a:solidFill>
              <a:srgbClr val="000000"/>
            </a:solidFill>
            <a:latin typeface="@Batang"/>
            <a:ea typeface="@Batang"/>
            <a:cs typeface="@Batang"/>
          </a:endParaRPr>
        </a:p>
        <a:p>
          <a:pPr algn="l" rtl="0">
            <a:defRPr sz="1000"/>
          </a:pPr>
          <a:r>
            <a:rPr lang="fr-FR" sz="1100" b="1" i="1" u="none" strike="noStrike" baseline="0">
              <a:solidFill>
                <a:srgbClr val="000000"/>
              </a:solidFill>
              <a:latin typeface="@Batang"/>
              <a:ea typeface="@Batang"/>
              <a:cs typeface="@Batang"/>
            </a:rPr>
            <a:t>Finitions</a:t>
          </a:r>
        </a:p>
        <a:p>
          <a:pPr algn="l" rtl="0">
            <a:defRPr sz="1000"/>
          </a:pPr>
          <a:r>
            <a:rPr lang="fr-FR" sz="1100" b="0" i="1" u="none" strike="noStrike" baseline="0">
              <a:solidFill>
                <a:srgbClr val="000000"/>
              </a:solidFill>
              <a:latin typeface="@Batang"/>
              <a:ea typeface="@Batang"/>
              <a:cs typeface="@Batang"/>
            </a:rPr>
            <a:t>30min avant le service, pacosser le sorbet à la tomate piquant et remplir les tomates à la poche à douille unie. Reserver sur plaque au congélateur.Réserver les 45 sommités de basilic dans de l'eau froide sur le passe. A la commande, parsemer la vinaigrette de brunoise de poivrons.</a:t>
          </a:r>
        </a:p>
      </xdr:txBody>
    </xdr:sp>
    <xdr:clientData/>
  </xdr:twoCellAnchor>
  <xdr:twoCellAnchor>
    <xdr:from>
      <xdr:col>16</xdr:col>
      <xdr:colOff>63500</xdr:colOff>
      <xdr:row>2</xdr:row>
      <xdr:rowOff>139700</xdr:rowOff>
    </xdr:from>
    <xdr:to>
      <xdr:col>19</xdr:col>
      <xdr:colOff>406400</xdr:colOff>
      <xdr:row>3</xdr:row>
      <xdr:rowOff>1117600</xdr:rowOff>
    </xdr:to>
    <xdr:sp macro="" textlink="">
      <xdr:nvSpPr>
        <xdr:cNvPr id="6" name="AutoShape 14">
          <a:extLst>
            <a:ext uri="{FF2B5EF4-FFF2-40B4-BE49-F238E27FC236}">
              <a16:creationId xmlns:a16="http://schemas.microsoft.com/office/drawing/2014/main" id="{5D3BD23D-CA3D-45B9-A660-E94EFADC718B}"/>
            </a:ext>
          </a:extLst>
        </xdr:cNvPr>
        <xdr:cNvSpPr>
          <a:spLocks noChangeArrowheads="1"/>
        </xdr:cNvSpPr>
      </xdr:nvSpPr>
      <xdr:spPr bwMode="auto">
        <a:xfrm>
          <a:off x="17303750" y="987425"/>
          <a:ext cx="3562350" cy="1292225"/>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1" u="none" strike="noStrike" baseline="0">
              <a:solidFill>
                <a:srgbClr val="000000"/>
              </a:solidFill>
              <a:latin typeface="@Batang"/>
              <a:ea typeface="@Batang"/>
              <a:cs typeface="@Batang"/>
            </a:rPr>
            <a:t>Tomate cocktail entière mondée garnie d'un sorbet piquant à la tomate et au tabasco. Elle est accompagnée d'un jus de basilic et assaisonnée d'une vinaigrette de chipirons déglacée au vinaigre balsamique.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5C4424ED-F86A-483B-8391-5EDCE7E6CABD}"/>
            </a:ext>
          </a:extLst>
        </xdr:cNvPr>
        <xdr:cNvSpPr txBox="1">
          <a:spLocks noChangeArrowheads="1"/>
        </xdr:cNvSpPr>
      </xdr:nvSpPr>
      <xdr:spPr bwMode="auto">
        <a:xfrm>
          <a:off x="0" y="3095625"/>
          <a:ext cx="262890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47625</xdr:colOff>
      <xdr:row>2</xdr:row>
      <xdr:rowOff>152400</xdr:rowOff>
    </xdr:from>
    <xdr:to>
      <xdr:col>4</xdr:col>
      <xdr:colOff>361924</xdr:colOff>
      <xdr:row>3</xdr:row>
      <xdr:rowOff>1114425</xdr:rowOff>
    </xdr:to>
    <xdr:sp macro="" textlink="">
      <xdr:nvSpPr>
        <xdr:cNvPr id="3" name="AutoShape 14">
          <a:extLst>
            <a:ext uri="{FF2B5EF4-FFF2-40B4-BE49-F238E27FC236}">
              <a16:creationId xmlns:a16="http://schemas.microsoft.com/office/drawing/2014/main" id="{57222A86-1323-4E66-A5C9-03FB671B2309}"/>
            </a:ext>
          </a:extLst>
        </xdr:cNvPr>
        <xdr:cNvSpPr>
          <a:spLocks noChangeArrowheads="1"/>
        </xdr:cNvSpPr>
      </xdr:nvSpPr>
      <xdr:spPr bwMode="auto">
        <a:xfrm>
          <a:off x="428625" y="1000125"/>
          <a:ext cx="6057874" cy="1276350"/>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petite</a:t>
          </a:r>
          <a:r>
            <a:rPr lang="fr-FR" baseline="0"/>
            <a:t> escalope de foie gras  sautée à la poêle servie sur un lit de morilles étuvées au pineau. L'ensemble est  nappé d'une gelée tiède de pineau (gélifiée à l'agar-agar). Le tout est chapeauté d'une cuillère d'émulsion  de fonds blanc à l'extrait de truffe et d'une lame croustillante de poireau (séchée entre deux plaques au four)</a:t>
          </a:r>
          <a:endParaRPr lang="fr-FR"/>
        </a:p>
      </xdr:txBody>
    </xdr:sp>
    <xdr:clientData/>
  </xdr:twoCellAnchor>
  <xdr:twoCellAnchor>
    <xdr:from>
      <xdr:col>0</xdr:col>
      <xdr:colOff>1</xdr:colOff>
      <xdr:row>5</xdr:row>
      <xdr:rowOff>0</xdr:rowOff>
    </xdr:from>
    <xdr:to>
      <xdr:col>1</xdr:col>
      <xdr:colOff>2532785</xdr:colOff>
      <xdr:row>45</xdr:row>
      <xdr:rowOff>161925</xdr:rowOff>
    </xdr:to>
    <xdr:sp macro="" textlink="">
      <xdr:nvSpPr>
        <xdr:cNvPr id="4" name="AutoShape 14">
          <a:extLst>
            <a:ext uri="{FF2B5EF4-FFF2-40B4-BE49-F238E27FC236}">
              <a16:creationId xmlns:a16="http://schemas.microsoft.com/office/drawing/2014/main" id="{7FE47212-0D3E-464D-8B11-D5CEDE3D16EF}"/>
            </a:ext>
          </a:extLst>
        </xdr:cNvPr>
        <xdr:cNvSpPr>
          <a:spLocks noChangeArrowheads="1"/>
        </xdr:cNvSpPr>
      </xdr:nvSpPr>
      <xdr:spPr bwMode="auto">
        <a:xfrm>
          <a:off x="1" y="3095625"/>
          <a:ext cx="2628034" cy="13525500"/>
        </a:xfrm>
        <a:prstGeom prst="roundRect">
          <a:avLst>
            <a:gd name="adj" fmla="val 16667"/>
          </a:avLst>
        </a:prstGeom>
        <a:solidFill>
          <a:srgbClr val="FFFFFF"/>
        </a:solidFill>
        <a:ln w="9525">
          <a:solidFill>
            <a:srgbClr val="000000"/>
          </a:solidFill>
          <a:round/>
          <a:headEnd/>
          <a:tailEnd/>
        </a:ln>
      </xdr:spPr>
      <xdr:txBody>
        <a:bodyPr/>
        <a:lstStyle/>
        <a:p>
          <a:pPr algn="l" rtl="0">
            <a:lnSpc>
              <a:spcPts val="1100"/>
            </a:lnSpc>
            <a:defRPr sz="1000"/>
          </a:pPr>
          <a:r>
            <a:rPr lang="fr-FR" sz="1100" b="0" i="0" u="none" strike="noStrike" baseline="0">
              <a:solidFill>
                <a:srgbClr val="000000"/>
              </a:solidFill>
              <a:latin typeface="Calibri"/>
              <a:ea typeface="Calibri"/>
              <a:cs typeface="Calibri"/>
            </a:rPr>
            <a:t>1)Bouchée de foie gras aux morilles:</a:t>
          </a:r>
        </a:p>
        <a:p>
          <a:pPr algn="l" rtl="0">
            <a:lnSpc>
              <a:spcPts val="1100"/>
            </a:lnSpc>
            <a:defRPr sz="1000"/>
          </a:pPr>
          <a:r>
            <a:rPr lang="fr-FR" sz="1100" b="0" i="0" u="none" strike="noStrike" baseline="0">
              <a:solidFill>
                <a:srgbClr val="000000"/>
              </a:solidFill>
              <a:latin typeface="Calibri"/>
              <a:ea typeface="Calibri"/>
              <a:cs typeface="Calibri"/>
            </a:rPr>
            <a:t>tailler des escalopes de foie gras, assaisonner de quelques grains de gros sel . Sauter au moment.</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2) Etuvée de morilles: suer le blanc de poireau en paysanne, incorporer les morilles, mouiller avec un peu de pineau et fonds blanc. réserver au bain marie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3) Gelée tiède de pineau:  passer au thermomix le pineau 10 minutes  à  90 °c adjoindre l'agar agar à 20 grs au litre, mixer 10' à 100°C , couler dans les fonds de récipients. laisser prendre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4)Emulsion de truffe:</a:t>
          </a:r>
        </a:p>
        <a:p>
          <a:pPr algn="l" rtl="0">
            <a:lnSpc>
              <a:spcPts val="1100"/>
            </a:lnSpc>
            <a:defRPr sz="1000"/>
          </a:pPr>
          <a:r>
            <a:rPr lang="fr-FR" sz="1100" b="0" i="0" u="none" strike="noStrike" baseline="0">
              <a:solidFill>
                <a:srgbClr val="000000"/>
              </a:solidFill>
              <a:latin typeface="Calibri"/>
              <a:ea typeface="Calibri"/>
              <a:cs typeface="Calibri"/>
            </a:rPr>
            <a:t>préparer dans un bac de bonne hauteur et de fonds peu large, le fonds blanc de volaille, le lait, la lécithine de soja, mousser au disque émulsionneur au moment,  ajouter l'extrait de truffe. récupérer l'écume.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5) Croustillant de poireau:</a:t>
          </a:r>
        </a:p>
        <a:p>
          <a:pPr algn="l" rtl="0">
            <a:lnSpc>
              <a:spcPts val="1100"/>
            </a:lnSpc>
            <a:defRPr sz="1000"/>
          </a:pPr>
          <a:r>
            <a:rPr lang="fr-FR" sz="1100" b="0" i="0" u="none" strike="noStrike" baseline="0">
              <a:solidFill>
                <a:srgbClr val="000000"/>
              </a:solidFill>
              <a:latin typeface="Calibri"/>
              <a:ea typeface="Calibri"/>
              <a:cs typeface="Calibri"/>
            </a:rPr>
            <a:t>tailler des tronçons de  6cm de long et séparer en deux dans la longueur, effeuiller, pocher  3 minutes au sirop à 30 °baumé.</a:t>
          </a:r>
        </a:p>
        <a:p>
          <a:pPr algn="l" rtl="0">
            <a:lnSpc>
              <a:spcPts val="1100"/>
            </a:lnSpc>
            <a:defRPr sz="1000"/>
          </a:pPr>
          <a:r>
            <a:rPr lang="fr-FR" sz="1100" b="0" i="0" u="none" strike="noStrike" baseline="0">
              <a:solidFill>
                <a:srgbClr val="000000"/>
              </a:solidFill>
              <a:latin typeface="Calibri"/>
              <a:ea typeface="Calibri"/>
              <a:cs typeface="Calibri"/>
            </a:rPr>
            <a:t>plaquer sur papier sulfurisé, recouvrir d'une feuille de papier,  sécher au four à 80 °c , 3h00 environ.</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000"/>
            </a:lnSpc>
            <a:defRPr sz="1000"/>
          </a:pPr>
          <a:endParaRPr lang="fr-FR" sz="1100" b="0" i="0" u="none" strike="noStrike" baseline="0">
            <a:solidFill>
              <a:srgbClr val="000000"/>
            </a:solidFill>
            <a:latin typeface="Calibri"/>
            <a:ea typeface="Calibri"/>
            <a:cs typeface="Calibri"/>
          </a:endParaRPr>
        </a:p>
        <a:p>
          <a:pPr algn="l" rtl="0">
            <a:lnSpc>
              <a:spcPts val="1000"/>
            </a:lnSpc>
            <a:defRPr sz="1000"/>
          </a:pPr>
          <a:endParaRPr lang="fr-FR" sz="1100" b="0" i="0" u="none" strike="noStrike" baseline="0">
            <a:solidFill>
              <a:srgbClr val="000000"/>
            </a:solidFill>
            <a:latin typeface="Calibri"/>
            <a:ea typeface="Calibri"/>
            <a:cs typeface="Calibri"/>
          </a:endParaRPr>
        </a:p>
      </xdr:txBody>
    </xdr:sp>
    <xdr:clientData/>
  </xdr:twoCellAnchor>
  <xdr:twoCellAnchor editAs="oneCell">
    <xdr:from>
      <xdr:col>7</xdr:col>
      <xdr:colOff>200025</xdr:colOff>
      <xdr:row>2</xdr:row>
      <xdr:rowOff>28575</xdr:rowOff>
    </xdr:from>
    <xdr:to>
      <xdr:col>8</xdr:col>
      <xdr:colOff>781050</xdr:colOff>
      <xdr:row>3</xdr:row>
      <xdr:rowOff>942975</xdr:rowOff>
    </xdr:to>
    <xdr:pic>
      <xdr:nvPicPr>
        <xdr:cNvPr id="5" name="Image 1">
          <a:extLst>
            <a:ext uri="{FF2B5EF4-FFF2-40B4-BE49-F238E27FC236}">
              <a16:creationId xmlns:a16="http://schemas.microsoft.com/office/drawing/2014/main" id="{48611358-3F91-444E-9669-47409BAD1D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7775" y="876300"/>
          <a:ext cx="14287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5</xdr:row>
      <xdr:rowOff>0</xdr:rowOff>
    </xdr:from>
    <xdr:to>
      <xdr:col>17</xdr:col>
      <xdr:colOff>0</xdr:colOff>
      <xdr:row>45</xdr:row>
      <xdr:rowOff>0</xdr:rowOff>
    </xdr:to>
    <xdr:sp macro="" textlink="">
      <xdr:nvSpPr>
        <xdr:cNvPr id="6" name="Text Box 6">
          <a:extLst>
            <a:ext uri="{FF2B5EF4-FFF2-40B4-BE49-F238E27FC236}">
              <a16:creationId xmlns:a16="http://schemas.microsoft.com/office/drawing/2014/main" id="{1DC9673F-6C21-40DA-8CF7-1D54BBB68E03}"/>
            </a:ext>
          </a:extLst>
        </xdr:cNvPr>
        <xdr:cNvSpPr txBox="1">
          <a:spLocks noChangeArrowheads="1"/>
        </xdr:cNvSpPr>
      </xdr:nvSpPr>
      <xdr:spPr bwMode="auto">
        <a:xfrm>
          <a:off x="14430375" y="3095625"/>
          <a:ext cx="409575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47625</xdr:colOff>
      <xdr:row>2</xdr:row>
      <xdr:rowOff>152400</xdr:rowOff>
    </xdr:from>
    <xdr:to>
      <xdr:col>19</xdr:col>
      <xdr:colOff>361924</xdr:colOff>
      <xdr:row>3</xdr:row>
      <xdr:rowOff>1114425</xdr:rowOff>
    </xdr:to>
    <xdr:sp macro="" textlink="">
      <xdr:nvSpPr>
        <xdr:cNvPr id="7" name="AutoShape 14">
          <a:extLst>
            <a:ext uri="{FF2B5EF4-FFF2-40B4-BE49-F238E27FC236}">
              <a16:creationId xmlns:a16="http://schemas.microsoft.com/office/drawing/2014/main" id="{6F5A0A69-922B-48FB-B0B8-2FB80F0581D6}"/>
            </a:ext>
          </a:extLst>
        </xdr:cNvPr>
        <xdr:cNvSpPr>
          <a:spLocks noChangeArrowheads="1"/>
        </xdr:cNvSpPr>
      </xdr:nvSpPr>
      <xdr:spPr bwMode="auto">
        <a:xfrm>
          <a:off x="16525875" y="1000125"/>
          <a:ext cx="3676624" cy="1276350"/>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petite</a:t>
          </a:r>
          <a:r>
            <a:rPr lang="fr-FR" baseline="0"/>
            <a:t> escalope de foie gras  sautée à la poêle servie sur un lit de morilles étuvées au pineau. L'ensemble est  nappé d'une gelée tiède de pineau (gélifiée à l'agar-agar). Le tout est chapeauté d'une cuillère d'émulsion  de fonds blanc à l'extrait de truffe et d'une lame croustillante de poireau (séchée entre deux plaques au four)</a:t>
          </a:r>
          <a:endParaRPr lang="fr-FR"/>
        </a:p>
      </xdr:txBody>
    </xdr:sp>
    <xdr:clientData/>
  </xdr:twoCellAnchor>
  <xdr:twoCellAnchor>
    <xdr:from>
      <xdr:col>15</xdr:col>
      <xdr:colOff>1</xdr:colOff>
      <xdr:row>5</xdr:row>
      <xdr:rowOff>0</xdr:rowOff>
    </xdr:from>
    <xdr:to>
      <xdr:col>16</xdr:col>
      <xdr:colOff>2532785</xdr:colOff>
      <xdr:row>45</xdr:row>
      <xdr:rowOff>161925</xdr:rowOff>
    </xdr:to>
    <xdr:sp macro="" textlink="">
      <xdr:nvSpPr>
        <xdr:cNvPr id="8" name="AutoShape 14">
          <a:extLst>
            <a:ext uri="{FF2B5EF4-FFF2-40B4-BE49-F238E27FC236}">
              <a16:creationId xmlns:a16="http://schemas.microsoft.com/office/drawing/2014/main" id="{4080610E-C16B-4074-B4EC-6FFC61D81806}"/>
            </a:ext>
          </a:extLst>
        </xdr:cNvPr>
        <xdr:cNvSpPr>
          <a:spLocks noChangeArrowheads="1"/>
        </xdr:cNvSpPr>
      </xdr:nvSpPr>
      <xdr:spPr bwMode="auto">
        <a:xfrm>
          <a:off x="14430376" y="3095625"/>
          <a:ext cx="4094884" cy="13525500"/>
        </a:xfrm>
        <a:prstGeom prst="roundRect">
          <a:avLst>
            <a:gd name="adj" fmla="val 16667"/>
          </a:avLst>
        </a:prstGeom>
        <a:solidFill>
          <a:srgbClr val="FFFFFF"/>
        </a:solidFill>
        <a:ln w="9525">
          <a:solidFill>
            <a:srgbClr val="000000"/>
          </a:solidFill>
          <a:round/>
          <a:headEnd/>
          <a:tailEnd/>
        </a:ln>
      </xdr:spPr>
      <xdr:txBody>
        <a:bodyPr/>
        <a:lstStyle/>
        <a:p>
          <a:pPr algn="l" rtl="0">
            <a:lnSpc>
              <a:spcPts val="1100"/>
            </a:lnSpc>
            <a:defRPr sz="1000"/>
          </a:pPr>
          <a:r>
            <a:rPr lang="fr-FR" sz="1100" b="0" i="0" u="none" strike="noStrike" baseline="0">
              <a:solidFill>
                <a:srgbClr val="000000"/>
              </a:solidFill>
              <a:latin typeface="Calibri"/>
              <a:ea typeface="Calibri"/>
              <a:cs typeface="Calibri"/>
            </a:rPr>
            <a:t>1)Bouchée de foie gras aux morilles:</a:t>
          </a:r>
        </a:p>
        <a:p>
          <a:pPr algn="l" rtl="0">
            <a:lnSpc>
              <a:spcPts val="1100"/>
            </a:lnSpc>
            <a:defRPr sz="1000"/>
          </a:pPr>
          <a:r>
            <a:rPr lang="fr-FR" sz="1100" b="0" i="0" u="none" strike="noStrike" baseline="0">
              <a:solidFill>
                <a:srgbClr val="000000"/>
              </a:solidFill>
              <a:latin typeface="Calibri"/>
              <a:ea typeface="Calibri"/>
              <a:cs typeface="Calibri"/>
            </a:rPr>
            <a:t>tailler des escalopes de foie gras, assaisonner de quelques grains de gros sel . Sauter au moment.</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2) Etuvée de morilles: suer le blanc de poireau en paysanne, incorporer les morilles, mouiller avec un peu de pineau et fonds blanc. réserver au bain marie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3) Gelée tiède de pineau:  passer au thermomix le pineau 10 minutes  à  90 °c adjoindre l'agar agar à 20 grs au litre, mixer 10' à 100°C , couler dans les fonds de récipients. laisser prendre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4)Emulsion de truffe:</a:t>
          </a:r>
        </a:p>
        <a:p>
          <a:pPr algn="l" rtl="0">
            <a:lnSpc>
              <a:spcPts val="1100"/>
            </a:lnSpc>
            <a:defRPr sz="1000"/>
          </a:pPr>
          <a:r>
            <a:rPr lang="fr-FR" sz="1100" b="0" i="0" u="none" strike="noStrike" baseline="0">
              <a:solidFill>
                <a:srgbClr val="000000"/>
              </a:solidFill>
              <a:latin typeface="Calibri"/>
              <a:ea typeface="Calibri"/>
              <a:cs typeface="Calibri"/>
            </a:rPr>
            <a:t>préparer dans un bac de bonne hauteur et de fonds peu large, le fonds blanc de volaille, le lait, la lécithine de soja, mousser au disque émulsionneur au moment,  ajouter l'extrait de truffe. récupérer l'écume.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5) Croustillant de poireau:</a:t>
          </a:r>
        </a:p>
        <a:p>
          <a:pPr algn="l" rtl="0">
            <a:lnSpc>
              <a:spcPts val="1100"/>
            </a:lnSpc>
            <a:defRPr sz="1000"/>
          </a:pPr>
          <a:r>
            <a:rPr lang="fr-FR" sz="1100" b="0" i="0" u="none" strike="noStrike" baseline="0">
              <a:solidFill>
                <a:srgbClr val="000000"/>
              </a:solidFill>
              <a:latin typeface="Calibri"/>
              <a:ea typeface="Calibri"/>
              <a:cs typeface="Calibri"/>
            </a:rPr>
            <a:t>tailler des tronçons de  6cm de long et séparer en deux dans la longueur, effeuiller, pocher  3 minutes au sirop à 30 °baumé.</a:t>
          </a:r>
        </a:p>
        <a:p>
          <a:pPr algn="l" rtl="0">
            <a:lnSpc>
              <a:spcPts val="1100"/>
            </a:lnSpc>
            <a:defRPr sz="1000"/>
          </a:pPr>
          <a:r>
            <a:rPr lang="fr-FR" sz="1100" b="0" i="0" u="none" strike="noStrike" baseline="0">
              <a:solidFill>
                <a:srgbClr val="000000"/>
              </a:solidFill>
              <a:latin typeface="Calibri"/>
              <a:ea typeface="Calibri"/>
              <a:cs typeface="Calibri"/>
            </a:rPr>
            <a:t>plaquer sur papier sulfurisé, recouvrir d'une feuille de papier,  sécher au four à 80 °c , 3h00 environ.</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000"/>
            </a:lnSpc>
            <a:defRPr sz="1000"/>
          </a:pPr>
          <a:endParaRPr lang="fr-FR" sz="1100" b="0" i="0" u="none" strike="noStrike" baseline="0">
            <a:solidFill>
              <a:srgbClr val="000000"/>
            </a:solidFill>
            <a:latin typeface="Calibri"/>
            <a:ea typeface="Calibri"/>
            <a:cs typeface="Calibri"/>
          </a:endParaRPr>
        </a:p>
        <a:p>
          <a:pPr algn="l" rtl="0">
            <a:lnSpc>
              <a:spcPts val="1000"/>
            </a:lnSpc>
            <a:defRPr sz="1000"/>
          </a:pPr>
          <a:endParaRPr lang="fr-FR" sz="1100" b="0" i="0" u="none" strike="noStrike" baseline="0">
            <a:solidFill>
              <a:srgbClr val="000000"/>
            </a:solidFill>
            <a:latin typeface="Calibri"/>
            <a:ea typeface="Calibri"/>
            <a:cs typeface="Calibri"/>
          </a:endParaRPr>
        </a:p>
      </xdr:txBody>
    </xdr:sp>
    <xdr:clientData/>
  </xdr:twoCellAnchor>
  <xdr:oneCellAnchor>
    <xdr:from>
      <xdr:col>22</xdr:col>
      <xdr:colOff>200025</xdr:colOff>
      <xdr:row>2</xdr:row>
      <xdr:rowOff>28575</xdr:rowOff>
    </xdr:from>
    <xdr:ext cx="1428750" cy="1228725"/>
    <xdr:pic>
      <xdr:nvPicPr>
        <xdr:cNvPr id="9" name="Image 1">
          <a:extLst>
            <a:ext uri="{FF2B5EF4-FFF2-40B4-BE49-F238E27FC236}">
              <a16:creationId xmlns:a16="http://schemas.microsoft.com/office/drawing/2014/main" id="{5C54832B-9554-4587-919F-66C0286E7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59800" y="876300"/>
          <a:ext cx="14287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DDD3C72A-140F-4C7F-B2DF-3A7393ED2F1B}"/>
            </a:ext>
          </a:extLst>
        </xdr:cNvPr>
        <xdr:cNvSpPr txBox="1">
          <a:spLocks noChangeArrowheads="1"/>
        </xdr:cNvSpPr>
      </xdr:nvSpPr>
      <xdr:spPr bwMode="auto">
        <a:xfrm>
          <a:off x="0" y="3409950"/>
          <a:ext cx="262890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47625</xdr:colOff>
      <xdr:row>2</xdr:row>
      <xdr:rowOff>152400</xdr:rowOff>
    </xdr:from>
    <xdr:to>
      <xdr:col>4</xdr:col>
      <xdr:colOff>361924</xdr:colOff>
      <xdr:row>3</xdr:row>
      <xdr:rowOff>1114425</xdr:rowOff>
    </xdr:to>
    <xdr:sp macro="" textlink="">
      <xdr:nvSpPr>
        <xdr:cNvPr id="3" name="AutoShape 14">
          <a:extLst>
            <a:ext uri="{FF2B5EF4-FFF2-40B4-BE49-F238E27FC236}">
              <a16:creationId xmlns:a16="http://schemas.microsoft.com/office/drawing/2014/main" id="{2A337552-9E7F-498D-8B28-2970C56CD699}"/>
            </a:ext>
          </a:extLst>
        </xdr:cNvPr>
        <xdr:cNvSpPr>
          <a:spLocks noChangeArrowheads="1"/>
        </xdr:cNvSpPr>
      </xdr:nvSpPr>
      <xdr:spPr bwMode="auto">
        <a:xfrm>
          <a:off x="428625" y="1000125"/>
          <a:ext cx="6057874" cy="1285875"/>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2</a:t>
          </a:r>
          <a:r>
            <a:rPr lang="fr-FR" baseline="0"/>
            <a:t> </a:t>
          </a:r>
          <a:r>
            <a:rPr lang="fr-FR"/>
            <a:t>cromesquis de brie farci de truffe en forme de cube, frits et rangés en longueur avec un assortiment de légumes croquants  sur une bandelette de courgette marinée au sel. Pour accompagner un coulis de betterave rouge parfumé au baume de bouteville (vinaigre) vient s'ajouter .</a:t>
          </a:r>
        </a:p>
      </xdr:txBody>
    </xdr:sp>
    <xdr:clientData/>
  </xdr:twoCellAnchor>
  <xdr:twoCellAnchor>
    <xdr:from>
      <xdr:col>0</xdr:col>
      <xdr:colOff>1</xdr:colOff>
      <xdr:row>5</xdr:row>
      <xdr:rowOff>0</xdr:rowOff>
    </xdr:from>
    <xdr:to>
      <xdr:col>1</xdr:col>
      <xdr:colOff>2532785</xdr:colOff>
      <xdr:row>45</xdr:row>
      <xdr:rowOff>161925</xdr:rowOff>
    </xdr:to>
    <xdr:sp macro="" textlink="">
      <xdr:nvSpPr>
        <xdr:cNvPr id="4" name="AutoShape 14">
          <a:extLst>
            <a:ext uri="{FF2B5EF4-FFF2-40B4-BE49-F238E27FC236}">
              <a16:creationId xmlns:a16="http://schemas.microsoft.com/office/drawing/2014/main" id="{161486EC-5C05-4D6E-89DA-A0F5DE08C2D6}"/>
            </a:ext>
          </a:extLst>
        </xdr:cNvPr>
        <xdr:cNvSpPr>
          <a:spLocks noChangeArrowheads="1"/>
        </xdr:cNvSpPr>
      </xdr:nvSpPr>
      <xdr:spPr bwMode="auto">
        <a:xfrm>
          <a:off x="1" y="3409950"/>
          <a:ext cx="2628034" cy="13525500"/>
        </a:xfrm>
        <a:prstGeom prst="roundRect">
          <a:avLst>
            <a:gd name="adj" fmla="val 16667"/>
          </a:avLst>
        </a:prstGeom>
        <a:solidFill>
          <a:srgbClr val="FFFFFF"/>
        </a:solidFill>
        <a:ln w="9525">
          <a:solidFill>
            <a:srgbClr val="000000"/>
          </a:solidFill>
          <a:round/>
          <a:headEnd/>
          <a:tailEnd/>
        </a:ln>
      </xdr:spPr>
      <xdr:txBody>
        <a:bodyPr/>
        <a:lstStyle/>
        <a:p>
          <a:pPr algn="l" rtl="0">
            <a:lnSpc>
              <a:spcPts val="1100"/>
            </a:lnSpc>
            <a:defRPr sz="1000"/>
          </a:pPr>
          <a:r>
            <a:rPr lang="fr-FR" sz="1100" b="0" i="0" u="none" strike="noStrike" baseline="0">
              <a:solidFill>
                <a:srgbClr val="000000"/>
              </a:solidFill>
              <a:latin typeface="Calibri"/>
              <a:ea typeface="Calibri"/>
              <a:cs typeface="Calibri"/>
            </a:rPr>
            <a:t>1) CROMESQUIS:Ouvrir le brie en deux dans le sens de l'équateur et tapisser le coeur de lamelles de truffes 24h00 à l'avance en formant un carré. refermerle brie et réserver au frais. Le jour J: tailler le brie en carré, parer, et découper des cubes de 2,5 cm de section cubique. Paner à l'anglaise au balnc d'oeuf uniquement. Frire à la commande.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2 Légumes:</a:t>
          </a:r>
        </a:p>
        <a:p>
          <a:pPr algn="l" rtl="0">
            <a:lnSpc>
              <a:spcPts val="1100"/>
            </a:lnSpc>
            <a:defRPr sz="1000"/>
          </a:pPr>
          <a:r>
            <a:rPr lang="fr-FR" sz="1100" b="0" i="0" u="none" strike="noStrike" baseline="0">
              <a:solidFill>
                <a:srgbClr val="000000"/>
              </a:solidFill>
              <a:latin typeface="Calibri"/>
              <a:ea typeface="Calibri"/>
              <a:cs typeface="Calibri"/>
            </a:rPr>
            <a:t>Tailler les courgettes à la mandoline dans la longueur. mettre à dégorger au sel 1h. rincer, et éponger.</a:t>
          </a:r>
        </a:p>
        <a:p>
          <a:pPr algn="l" rtl="0">
            <a:lnSpc>
              <a:spcPts val="1100"/>
            </a:lnSpc>
            <a:defRPr sz="1000"/>
          </a:pPr>
          <a:r>
            <a:rPr lang="fr-FR" sz="1100" b="0" i="0" u="none" strike="noStrike" baseline="0">
              <a:solidFill>
                <a:srgbClr val="000000"/>
              </a:solidFill>
              <a:latin typeface="Calibri"/>
              <a:ea typeface="Calibri"/>
              <a:cs typeface="Calibri"/>
            </a:rPr>
            <a:t>Tailler des cylindres de carotte jaune au vide pomme. Blanchir.</a:t>
          </a:r>
        </a:p>
        <a:p>
          <a:pPr algn="l" rtl="0">
            <a:lnSpc>
              <a:spcPts val="1100"/>
            </a:lnSpc>
            <a:defRPr sz="1000"/>
          </a:pPr>
          <a:r>
            <a:rPr lang="fr-FR" sz="1100" b="0" i="0" u="none" strike="noStrike" baseline="0">
              <a:solidFill>
                <a:srgbClr val="000000"/>
              </a:solidFill>
              <a:latin typeface="Calibri"/>
              <a:ea typeface="Calibri"/>
              <a:cs typeface="Calibri"/>
            </a:rPr>
            <a:t>émincer la betterave shioga, réserver dans de l'eau. </a:t>
          </a:r>
        </a:p>
        <a:p>
          <a:pPr algn="l" rtl="0">
            <a:lnSpc>
              <a:spcPts val="1100"/>
            </a:lnSpc>
            <a:defRPr sz="1000"/>
          </a:pPr>
          <a:r>
            <a:rPr lang="fr-FR" sz="1100" b="0" i="0" u="none" strike="noStrike" baseline="0">
              <a:solidFill>
                <a:srgbClr val="000000"/>
              </a:solidFill>
              <a:latin typeface="Calibri"/>
              <a:ea typeface="Calibri"/>
              <a:cs typeface="Calibri"/>
            </a:rPr>
            <a:t>Blanchir les pois, réserver.</a:t>
          </a:r>
        </a:p>
        <a:p>
          <a:pPr algn="l" rtl="0">
            <a:lnSpc>
              <a:spcPts val="1100"/>
            </a:lnSpc>
            <a:defRPr sz="1000"/>
          </a:pPr>
          <a:r>
            <a:rPr lang="fr-FR" sz="1100" b="0" i="0" u="none" strike="noStrike" baseline="0">
              <a:solidFill>
                <a:srgbClr val="000000"/>
              </a:solidFill>
              <a:latin typeface="Calibri"/>
              <a:ea typeface="Calibri"/>
              <a:cs typeface="Calibri"/>
            </a:rPr>
            <a:t>Tailler les feuilles de poirée en pointe, réserver</a:t>
          </a:r>
        </a:p>
        <a:p>
          <a:pPr algn="l" rtl="0">
            <a:lnSpc>
              <a:spcPts val="1100"/>
            </a:lnSpc>
            <a:defRPr sz="1000"/>
          </a:pPr>
          <a:r>
            <a:rPr lang="fr-FR" sz="1100" b="0" i="0" u="none" strike="noStrike" baseline="0">
              <a:solidFill>
                <a:srgbClr val="000000"/>
              </a:solidFill>
              <a:latin typeface="Calibri"/>
              <a:ea typeface="Calibri"/>
              <a:cs typeface="Calibri"/>
            </a:rPr>
            <a:t>tailler trois lamelles de truffe par assiette à l'emporte pièce rond.</a:t>
          </a:r>
        </a:p>
        <a:p>
          <a:pPr algn="l" rtl="0">
            <a:lnSpc>
              <a:spcPts val="1100"/>
            </a:lnSpc>
            <a:defRPr sz="1000"/>
          </a:pPr>
          <a:r>
            <a:rPr lang="fr-FR" sz="1100" b="0" i="0" u="none" strike="noStrike" baseline="0">
              <a:solidFill>
                <a:srgbClr val="000000"/>
              </a:solidFill>
              <a:latin typeface="Calibri"/>
              <a:ea typeface="Calibri"/>
              <a:cs typeface="Calibri"/>
            </a:rPr>
            <a:t>tailler des carrées de tranches de betterave cuite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3) Huile truffe: blinder les pelures de truffes avec l'huile de pépins de raisins.</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4) Coulis de betterave: blinder les parures de betterave cuite et mélanger au vinaigre en pipette</a:t>
          </a:r>
        </a:p>
        <a:p>
          <a:pPr algn="l" rtl="0">
            <a:lnSpc>
              <a:spcPts val="13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300"/>
            </a:lnSpc>
            <a:defRPr sz="1000"/>
          </a:pPr>
          <a:endParaRPr lang="fr-FR" sz="1100" b="0" i="0" u="none" strike="noStrike" baseline="0">
            <a:solidFill>
              <a:srgbClr val="000000"/>
            </a:solidFill>
            <a:latin typeface="Calibri"/>
            <a:ea typeface="Calibri"/>
            <a:cs typeface="Calibri"/>
          </a:endParaRPr>
        </a:p>
      </xdr:txBody>
    </xdr:sp>
    <xdr:clientData/>
  </xdr:twoCellAnchor>
  <xdr:twoCellAnchor>
    <xdr:from>
      <xdr:col>15</xdr:col>
      <xdr:colOff>0</xdr:colOff>
      <xdr:row>5</xdr:row>
      <xdr:rowOff>0</xdr:rowOff>
    </xdr:from>
    <xdr:to>
      <xdr:col>17</xdr:col>
      <xdr:colOff>0</xdr:colOff>
      <xdr:row>45</xdr:row>
      <xdr:rowOff>0</xdr:rowOff>
    </xdr:to>
    <xdr:sp macro="" textlink="">
      <xdr:nvSpPr>
        <xdr:cNvPr id="5" name="Text Box 6">
          <a:extLst>
            <a:ext uri="{FF2B5EF4-FFF2-40B4-BE49-F238E27FC236}">
              <a16:creationId xmlns:a16="http://schemas.microsoft.com/office/drawing/2014/main" id="{39269DD6-859E-46BA-8BF0-77C7B7FF4FAD}"/>
            </a:ext>
          </a:extLst>
        </xdr:cNvPr>
        <xdr:cNvSpPr txBox="1">
          <a:spLocks noChangeArrowheads="1"/>
        </xdr:cNvSpPr>
      </xdr:nvSpPr>
      <xdr:spPr bwMode="auto">
        <a:xfrm>
          <a:off x="15192375" y="3409950"/>
          <a:ext cx="409575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47625</xdr:colOff>
      <xdr:row>2</xdr:row>
      <xdr:rowOff>152400</xdr:rowOff>
    </xdr:from>
    <xdr:to>
      <xdr:col>19</xdr:col>
      <xdr:colOff>361924</xdr:colOff>
      <xdr:row>3</xdr:row>
      <xdr:rowOff>1114425</xdr:rowOff>
    </xdr:to>
    <xdr:sp macro="" textlink="">
      <xdr:nvSpPr>
        <xdr:cNvPr id="6" name="AutoShape 14">
          <a:extLst>
            <a:ext uri="{FF2B5EF4-FFF2-40B4-BE49-F238E27FC236}">
              <a16:creationId xmlns:a16="http://schemas.microsoft.com/office/drawing/2014/main" id="{B7066D3B-E718-4122-857F-2ACD07B66A6C}"/>
            </a:ext>
          </a:extLst>
        </xdr:cNvPr>
        <xdr:cNvSpPr>
          <a:spLocks noChangeArrowheads="1"/>
        </xdr:cNvSpPr>
      </xdr:nvSpPr>
      <xdr:spPr bwMode="auto">
        <a:xfrm>
          <a:off x="17287875" y="1000125"/>
          <a:ext cx="3676624" cy="1285875"/>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2</a:t>
          </a:r>
          <a:r>
            <a:rPr lang="fr-FR" baseline="0"/>
            <a:t> </a:t>
          </a:r>
          <a:r>
            <a:rPr lang="fr-FR"/>
            <a:t>cromesquis de brie farci de truffe en forme de cube, frits et rangés en longueur avec un assortiment de légumes croquants  sur une bandelette de courgette marinée au sel. Pour accompagner un coulis de betterave rouge parfumé au baume de bouteville (vinaigre) vient s'ajouter .</a:t>
          </a:r>
        </a:p>
      </xdr:txBody>
    </xdr:sp>
    <xdr:clientData/>
  </xdr:twoCellAnchor>
  <xdr:twoCellAnchor>
    <xdr:from>
      <xdr:col>15</xdr:col>
      <xdr:colOff>1</xdr:colOff>
      <xdr:row>5</xdr:row>
      <xdr:rowOff>0</xdr:rowOff>
    </xdr:from>
    <xdr:to>
      <xdr:col>16</xdr:col>
      <xdr:colOff>2532785</xdr:colOff>
      <xdr:row>45</xdr:row>
      <xdr:rowOff>161925</xdr:rowOff>
    </xdr:to>
    <xdr:sp macro="" textlink="">
      <xdr:nvSpPr>
        <xdr:cNvPr id="7" name="AutoShape 14">
          <a:extLst>
            <a:ext uri="{FF2B5EF4-FFF2-40B4-BE49-F238E27FC236}">
              <a16:creationId xmlns:a16="http://schemas.microsoft.com/office/drawing/2014/main" id="{0B6ACF28-E5CC-42F6-AC03-E6BA49772B1E}"/>
            </a:ext>
          </a:extLst>
        </xdr:cNvPr>
        <xdr:cNvSpPr>
          <a:spLocks noChangeArrowheads="1"/>
        </xdr:cNvSpPr>
      </xdr:nvSpPr>
      <xdr:spPr bwMode="auto">
        <a:xfrm>
          <a:off x="15192376" y="3409950"/>
          <a:ext cx="4094884" cy="13525500"/>
        </a:xfrm>
        <a:prstGeom prst="roundRect">
          <a:avLst>
            <a:gd name="adj" fmla="val 16667"/>
          </a:avLst>
        </a:prstGeom>
        <a:solidFill>
          <a:srgbClr val="FFFFFF"/>
        </a:solidFill>
        <a:ln w="9525">
          <a:solidFill>
            <a:srgbClr val="000000"/>
          </a:solidFill>
          <a:round/>
          <a:headEnd/>
          <a:tailEnd/>
        </a:ln>
      </xdr:spPr>
      <xdr:txBody>
        <a:bodyPr/>
        <a:lstStyle/>
        <a:p>
          <a:pPr algn="l" rtl="0">
            <a:lnSpc>
              <a:spcPts val="1100"/>
            </a:lnSpc>
            <a:defRPr sz="1000"/>
          </a:pPr>
          <a:r>
            <a:rPr lang="fr-FR" sz="1100" b="0" i="0" u="none" strike="noStrike" baseline="0">
              <a:solidFill>
                <a:srgbClr val="000000"/>
              </a:solidFill>
              <a:latin typeface="Calibri"/>
              <a:ea typeface="Calibri"/>
              <a:cs typeface="Calibri"/>
            </a:rPr>
            <a:t>1) CROMESQUIS:Ouvrir le brie en deux dans le sens de l'équateur et tapisser le coeur de lamelles de truffes 24h00 à l'avance en formant un carré. refermerle brie et réserver au frais. Le jour J: tailler le brie en carré, parer, et découper des cubes de 2,5 cm de section cubique. Paner à l'anglaise au balnc d'oeuf uniquement. Frire à la commande.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2 Légumes:</a:t>
          </a:r>
        </a:p>
        <a:p>
          <a:pPr algn="l" rtl="0">
            <a:lnSpc>
              <a:spcPts val="1100"/>
            </a:lnSpc>
            <a:defRPr sz="1000"/>
          </a:pPr>
          <a:r>
            <a:rPr lang="fr-FR" sz="1100" b="0" i="0" u="none" strike="noStrike" baseline="0">
              <a:solidFill>
                <a:srgbClr val="000000"/>
              </a:solidFill>
              <a:latin typeface="Calibri"/>
              <a:ea typeface="Calibri"/>
              <a:cs typeface="Calibri"/>
            </a:rPr>
            <a:t>Tailler les courgettes à la mandoline dans la longueur. mettre à dégorger au sel 1h. rincer, et éponger.</a:t>
          </a:r>
        </a:p>
        <a:p>
          <a:pPr algn="l" rtl="0">
            <a:lnSpc>
              <a:spcPts val="1100"/>
            </a:lnSpc>
            <a:defRPr sz="1000"/>
          </a:pPr>
          <a:r>
            <a:rPr lang="fr-FR" sz="1100" b="0" i="0" u="none" strike="noStrike" baseline="0">
              <a:solidFill>
                <a:srgbClr val="000000"/>
              </a:solidFill>
              <a:latin typeface="Calibri"/>
              <a:ea typeface="Calibri"/>
              <a:cs typeface="Calibri"/>
            </a:rPr>
            <a:t>Tailler des cylindres de carotte jaune au vide pomme. Blanchir.</a:t>
          </a:r>
        </a:p>
        <a:p>
          <a:pPr algn="l" rtl="0">
            <a:lnSpc>
              <a:spcPts val="1100"/>
            </a:lnSpc>
            <a:defRPr sz="1000"/>
          </a:pPr>
          <a:r>
            <a:rPr lang="fr-FR" sz="1100" b="0" i="0" u="none" strike="noStrike" baseline="0">
              <a:solidFill>
                <a:srgbClr val="000000"/>
              </a:solidFill>
              <a:latin typeface="Calibri"/>
              <a:ea typeface="Calibri"/>
              <a:cs typeface="Calibri"/>
            </a:rPr>
            <a:t>émincer la betterave shioga, réserver dans de l'eau. </a:t>
          </a:r>
        </a:p>
        <a:p>
          <a:pPr algn="l" rtl="0">
            <a:lnSpc>
              <a:spcPts val="1100"/>
            </a:lnSpc>
            <a:defRPr sz="1000"/>
          </a:pPr>
          <a:r>
            <a:rPr lang="fr-FR" sz="1100" b="0" i="0" u="none" strike="noStrike" baseline="0">
              <a:solidFill>
                <a:srgbClr val="000000"/>
              </a:solidFill>
              <a:latin typeface="Calibri"/>
              <a:ea typeface="Calibri"/>
              <a:cs typeface="Calibri"/>
            </a:rPr>
            <a:t>Blanchir les pois, réserver.</a:t>
          </a:r>
        </a:p>
        <a:p>
          <a:pPr algn="l" rtl="0">
            <a:lnSpc>
              <a:spcPts val="1100"/>
            </a:lnSpc>
            <a:defRPr sz="1000"/>
          </a:pPr>
          <a:r>
            <a:rPr lang="fr-FR" sz="1100" b="0" i="0" u="none" strike="noStrike" baseline="0">
              <a:solidFill>
                <a:srgbClr val="000000"/>
              </a:solidFill>
              <a:latin typeface="Calibri"/>
              <a:ea typeface="Calibri"/>
              <a:cs typeface="Calibri"/>
            </a:rPr>
            <a:t>Tailler les feuilles de poirée en pointe, réserver</a:t>
          </a:r>
        </a:p>
        <a:p>
          <a:pPr algn="l" rtl="0">
            <a:lnSpc>
              <a:spcPts val="1100"/>
            </a:lnSpc>
            <a:defRPr sz="1000"/>
          </a:pPr>
          <a:r>
            <a:rPr lang="fr-FR" sz="1100" b="0" i="0" u="none" strike="noStrike" baseline="0">
              <a:solidFill>
                <a:srgbClr val="000000"/>
              </a:solidFill>
              <a:latin typeface="Calibri"/>
              <a:ea typeface="Calibri"/>
              <a:cs typeface="Calibri"/>
            </a:rPr>
            <a:t>tailler trois lamelles de truffe par assiette à l'emporte pièce rond.</a:t>
          </a:r>
        </a:p>
        <a:p>
          <a:pPr algn="l" rtl="0">
            <a:lnSpc>
              <a:spcPts val="1100"/>
            </a:lnSpc>
            <a:defRPr sz="1000"/>
          </a:pPr>
          <a:r>
            <a:rPr lang="fr-FR" sz="1100" b="0" i="0" u="none" strike="noStrike" baseline="0">
              <a:solidFill>
                <a:srgbClr val="000000"/>
              </a:solidFill>
              <a:latin typeface="Calibri"/>
              <a:ea typeface="Calibri"/>
              <a:cs typeface="Calibri"/>
            </a:rPr>
            <a:t>tailler des carrées de tranches de betterave cuite</a:t>
          </a:r>
        </a:p>
        <a:p>
          <a:pPr algn="l" rtl="0">
            <a:lnSpc>
              <a:spcPts val="11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3) Huile truffe: blinder les pelures de truffes avec l'huile de pépins de raisins.</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100"/>
            </a:lnSpc>
            <a:defRPr sz="1000"/>
          </a:pPr>
          <a:r>
            <a:rPr lang="fr-FR" sz="1100" b="0" i="0" u="none" strike="noStrike" baseline="0">
              <a:solidFill>
                <a:srgbClr val="000000"/>
              </a:solidFill>
              <a:latin typeface="Calibri"/>
              <a:ea typeface="Calibri"/>
              <a:cs typeface="Calibri"/>
            </a:rPr>
            <a:t>4) Coulis de betterave: blinder les parures de betterave cuite et mélanger au vinaigre en pipette</a:t>
          </a:r>
        </a:p>
        <a:p>
          <a:pPr algn="l" rtl="0">
            <a:lnSpc>
              <a:spcPts val="13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300"/>
            </a:lnSpc>
            <a:defRPr sz="1000"/>
          </a:pPr>
          <a:endParaRPr lang="fr-FR" sz="1100" b="0" i="0" u="none" strike="noStrike" baseline="0">
            <a:solidFill>
              <a:srgbClr val="000000"/>
            </a:solidFill>
            <a:latin typeface="Calibri"/>
            <a:ea typeface="Calibri"/>
            <a:cs typeface="Calibri"/>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336918C6-E8FB-4AF0-8F37-30C22550940E}"/>
            </a:ext>
          </a:extLst>
        </xdr:cNvPr>
        <xdr:cNvSpPr txBox="1">
          <a:spLocks noChangeArrowheads="1"/>
        </xdr:cNvSpPr>
      </xdr:nvSpPr>
      <xdr:spPr bwMode="auto">
        <a:xfrm>
          <a:off x="0" y="3409950"/>
          <a:ext cx="262890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47625</xdr:colOff>
      <xdr:row>2</xdr:row>
      <xdr:rowOff>304800</xdr:rowOff>
    </xdr:from>
    <xdr:to>
      <xdr:col>4</xdr:col>
      <xdr:colOff>361924</xdr:colOff>
      <xdr:row>3</xdr:row>
      <xdr:rowOff>1266825</xdr:rowOff>
    </xdr:to>
    <xdr:sp macro="" textlink="">
      <xdr:nvSpPr>
        <xdr:cNvPr id="3" name="AutoShape 14">
          <a:extLst>
            <a:ext uri="{FF2B5EF4-FFF2-40B4-BE49-F238E27FC236}">
              <a16:creationId xmlns:a16="http://schemas.microsoft.com/office/drawing/2014/main" id="{60353864-7BA1-4CA5-B372-6AAD4B1E627C}"/>
            </a:ext>
          </a:extLst>
        </xdr:cNvPr>
        <xdr:cNvSpPr>
          <a:spLocks noChangeArrowheads="1"/>
        </xdr:cNvSpPr>
      </xdr:nvSpPr>
      <xdr:spPr bwMode="auto">
        <a:xfrm>
          <a:off x="428625" y="1152525"/>
          <a:ext cx="6057874" cy="1285875"/>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Pause glacée  à la truffe et céleri</a:t>
          </a:r>
          <a:r>
            <a:rPr lang="fr-FR" baseline="0"/>
            <a:t> rave,</a:t>
          </a:r>
          <a:r>
            <a:rPr lang="fr-FR"/>
            <a:t> servie dans un verre à short drink sur fond de cognac</a:t>
          </a:r>
          <a:r>
            <a:rPr lang="fr-FR" baseline="0"/>
            <a:t> XO, surmontée d'une lamelle de truffe noire</a:t>
          </a:r>
          <a:endParaRPr lang="fr-FR"/>
        </a:p>
      </xdr:txBody>
    </xdr:sp>
    <xdr:clientData/>
  </xdr:twoCellAnchor>
  <xdr:twoCellAnchor>
    <xdr:from>
      <xdr:col>0</xdr:col>
      <xdr:colOff>0</xdr:colOff>
      <xdr:row>5</xdr:row>
      <xdr:rowOff>22225</xdr:rowOff>
    </xdr:from>
    <xdr:to>
      <xdr:col>2</xdr:col>
      <xdr:colOff>5485</xdr:colOff>
      <xdr:row>44</xdr:row>
      <xdr:rowOff>57150</xdr:rowOff>
    </xdr:to>
    <xdr:sp macro="" textlink="">
      <xdr:nvSpPr>
        <xdr:cNvPr id="4" name="AutoShape 14">
          <a:extLst>
            <a:ext uri="{FF2B5EF4-FFF2-40B4-BE49-F238E27FC236}">
              <a16:creationId xmlns:a16="http://schemas.microsoft.com/office/drawing/2014/main" id="{7C2E17FC-65CF-4F62-99B8-4AAD8CAEB02D}"/>
            </a:ext>
          </a:extLst>
        </xdr:cNvPr>
        <xdr:cNvSpPr>
          <a:spLocks noChangeArrowheads="1"/>
        </xdr:cNvSpPr>
      </xdr:nvSpPr>
      <xdr:spPr bwMode="auto">
        <a:xfrm>
          <a:off x="0" y="3432175"/>
          <a:ext cx="2634385" cy="13074650"/>
        </a:xfrm>
        <a:prstGeom prst="roundRect">
          <a:avLst>
            <a:gd name="adj" fmla="val 16667"/>
          </a:avLst>
        </a:prstGeom>
        <a:solidFill>
          <a:srgbClr val="FFFFFF"/>
        </a:solidFill>
        <a:ln w="9525">
          <a:solidFill>
            <a:srgbClr val="000000"/>
          </a:solidFill>
          <a:round/>
          <a:headEnd/>
          <a:tailEnd/>
        </a:ln>
      </xdr:spPr>
      <xdr:txBody>
        <a:bodyPr/>
        <a:lstStyle/>
        <a:p>
          <a:pPr algn="l" rtl="0">
            <a:lnSpc>
              <a:spcPts val="1200"/>
            </a:lnSpc>
            <a:defRPr sz="1000"/>
          </a:pPr>
          <a:r>
            <a:rPr lang="fr-FR" sz="1100" b="0" i="0" u="none" strike="noStrike" baseline="0">
              <a:solidFill>
                <a:srgbClr val="000000"/>
              </a:solidFill>
              <a:latin typeface="Calibri"/>
              <a:ea typeface="Calibri"/>
              <a:cs typeface="Calibri"/>
            </a:rPr>
            <a:t>1)Glace:  Tailler les truffes  en petite brunoise, ainsi que le céleri rave . Faire bouillir le lait et ajouter le céleri. Cuire à feu doux pendant 20 minutes et mixer au blindeur</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Blanchir les jaunes et le sucre, verser le mélange chaud dessus et ajouter la moitié des truffes . Cuire à la nappe . Verser le reste des truffes crues dans un bol a pacojet et verser l'appareil dessus . prendre au grand froid 12h00 et trubiner 10 minutes avant l'envoi.</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Dans un verre à short drink déposer une petite boule de glace, une lamelle de truffe et un peu de cognac.</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xdr:txBody>
    </xdr:sp>
    <xdr:clientData/>
  </xdr:twoCellAnchor>
  <xdr:twoCellAnchor>
    <xdr:from>
      <xdr:col>15</xdr:col>
      <xdr:colOff>0</xdr:colOff>
      <xdr:row>5</xdr:row>
      <xdr:rowOff>0</xdr:rowOff>
    </xdr:from>
    <xdr:to>
      <xdr:col>17</xdr:col>
      <xdr:colOff>0</xdr:colOff>
      <xdr:row>45</xdr:row>
      <xdr:rowOff>0</xdr:rowOff>
    </xdr:to>
    <xdr:sp macro="" textlink="">
      <xdr:nvSpPr>
        <xdr:cNvPr id="5" name="Text Box 6">
          <a:extLst>
            <a:ext uri="{FF2B5EF4-FFF2-40B4-BE49-F238E27FC236}">
              <a16:creationId xmlns:a16="http://schemas.microsoft.com/office/drawing/2014/main" id="{8E44710D-09D7-48B4-A96A-6F7E72E4A56D}"/>
            </a:ext>
          </a:extLst>
        </xdr:cNvPr>
        <xdr:cNvSpPr txBox="1">
          <a:spLocks noChangeArrowheads="1"/>
        </xdr:cNvSpPr>
      </xdr:nvSpPr>
      <xdr:spPr bwMode="auto">
        <a:xfrm>
          <a:off x="15192375" y="3409950"/>
          <a:ext cx="4095750" cy="133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47625</xdr:colOff>
      <xdr:row>2</xdr:row>
      <xdr:rowOff>152400</xdr:rowOff>
    </xdr:from>
    <xdr:to>
      <xdr:col>19</xdr:col>
      <xdr:colOff>361924</xdr:colOff>
      <xdr:row>3</xdr:row>
      <xdr:rowOff>1114425</xdr:rowOff>
    </xdr:to>
    <xdr:sp macro="" textlink="">
      <xdr:nvSpPr>
        <xdr:cNvPr id="6" name="AutoShape 14">
          <a:extLst>
            <a:ext uri="{FF2B5EF4-FFF2-40B4-BE49-F238E27FC236}">
              <a16:creationId xmlns:a16="http://schemas.microsoft.com/office/drawing/2014/main" id="{8C351CB7-B7BE-4793-9176-43575D80A6D9}"/>
            </a:ext>
          </a:extLst>
        </xdr:cNvPr>
        <xdr:cNvSpPr>
          <a:spLocks noChangeArrowheads="1"/>
        </xdr:cNvSpPr>
      </xdr:nvSpPr>
      <xdr:spPr bwMode="auto">
        <a:xfrm>
          <a:off x="17287875" y="1000125"/>
          <a:ext cx="3676624" cy="1285875"/>
        </a:xfrm>
        <a:prstGeom prst="roundRect">
          <a:avLst>
            <a:gd name="adj" fmla="val 16667"/>
          </a:avLst>
        </a:prstGeom>
        <a:solidFill>
          <a:srgbClr val="FFFFFF"/>
        </a:solidFill>
        <a:ln w="9525">
          <a:solidFill>
            <a:srgbClr val="000000"/>
          </a:solidFill>
          <a:round/>
          <a:headEnd/>
          <a:tailEnd/>
        </a:ln>
      </xdr:spPr>
      <xdr:txBody>
        <a:bodyPr/>
        <a:lstStyle/>
        <a:p>
          <a:pPr>
            <a:lnSpc>
              <a:spcPts val="1200"/>
            </a:lnSpc>
          </a:pPr>
          <a:r>
            <a:rPr lang="fr-FR"/>
            <a:t>Pause glacée  à la truffe et céleri</a:t>
          </a:r>
          <a:r>
            <a:rPr lang="fr-FR" baseline="0"/>
            <a:t> rave,</a:t>
          </a:r>
          <a:r>
            <a:rPr lang="fr-FR"/>
            <a:t> servie dans un verre à short drink sur fond de cognac</a:t>
          </a:r>
          <a:r>
            <a:rPr lang="fr-FR" baseline="0"/>
            <a:t> XO, surmontée d'une lamelle de truffe noire</a:t>
          </a:r>
          <a:endParaRPr lang="fr-FR"/>
        </a:p>
      </xdr:txBody>
    </xdr:sp>
    <xdr:clientData/>
  </xdr:twoCellAnchor>
  <xdr:twoCellAnchor>
    <xdr:from>
      <xdr:col>15</xdr:col>
      <xdr:colOff>0</xdr:colOff>
      <xdr:row>4</xdr:row>
      <xdr:rowOff>298450</xdr:rowOff>
    </xdr:from>
    <xdr:to>
      <xdr:col>17</xdr:col>
      <xdr:colOff>5485</xdr:colOff>
      <xdr:row>45</xdr:row>
      <xdr:rowOff>136550</xdr:rowOff>
    </xdr:to>
    <xdr:sp macro="" textlink="">
      <xdr:nvSpPr>
        <xdr:cNvPr id="7" name="AutoShape 14">
          <a:extLst>
            <a:ext uri="{FF2B5EF4-FFF2-40B4-BE49-F238E27FC236}">
              <a16:creationId xmlns:a16="http://schemas.microsoft.com/office/drawing/2014/main" id="{9E2EE201-0216-4F73-8EA2-01A150EC8E59}"/>
            </a:ext>
          </a:extLst>
        </xdr:cNvPr>
        <xdr:cNvSpPr>
          <a:spLocks noChangeArrowheads="1"/>
        </xdr:cNvSpPr>
      </xdr:nvSpPr>
      <xdr:spPr bwMode="auto">
        <a:xfrm>
          <a:off x="15192375" y="2898775"/>
          <a:ext cx="4101235" cy="14011300"/>
        </a:xfrm>
        <a:prstGeom prst="roundRect">
          <a:avLst>
            <a:gd name="adj" fmla="val 16667"/>
          </a:avLst>
        </a:prstGeom>
        <a:solidFill>
          <a:srgbClr val="FFFFFF"/>
        </a:solidFill>
        <a:ln w="9525">
          <a:solidFill>
            <a:srgbClr val="000000"/>
          </a:solidFill>
          <a:round/>
          <a:headEnd/>
          <a:tailEnd/>
        </a:ln>
      </xdr:spPr>
      <xdr:txBody>
        <a:bodyPr/>
        <a:lstStyle/>
        <a:p>
          <a:pPr algn="l" rtl="0">
            <a:lnSpc>
              <a:spcPts val="1200"/>
            </a:lnSpc>
            <a:defRPr sz="1000"/>
          </a:pPr>
          <a:r>
            <a:rPr lang="fr-FR" sz="1100" b="0" i="0" u="none" strike="noStrike" baseline="0">
              <a:solidFill>
                <a:srgbClr val="000000"/>
              </a:solidFill>
              <a:latin typeface="Calibri"/>
              <a:ea typeface="Calibri"/>
              <a:cs typeface="Calibri"/>
            </a:rPr>
            <a:t>1)Glace:  Tailler les truffes  en petite brunoise, ainsi que le céleri rave . Faire bouillir le lait et ajouter le céleri. Cuire à feu doux pendant 20 minutes et mixer au blindeur</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Blanchir les jaunes et le sucre, verser le mélange chaud dessus et ajouter la moitié des truffes . Cuire à la nappe . Verser le reste des truffes crues dans un bol a pacojet et verser l'appareil dessus . prendre au grand froid 12h00 et trubiner 10 minutes avant l'envoi.</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r>
            <a:rPr lang="fr-FR" sz="1100" b="0" i="0" u="none" strike="noStrike" baseline="0">
              <a:solidFill>
                <a:srgbClr val="000000"/>
              </a:solidFill>
              <a:latin typeface="Calibri"/>
              <a:ea typeface="Calibri"/>
              <a:cs typeface="Calibri"/>
            </a:rPr>
            <a:t>Dans un verre à short drink déposer une petite boule de glace, une lamelle de truffe et un peu de cognac.</a:t>
          </a: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a:p>
          <a:pPr algn="l" rtl="0">
            <a:lnSpc>
              <a:spcPts val="1200"/>
            </a:lnSpc>
            <a:defRPr sz="1000"/>
          </a:pPr>
          <a:endParaRPr lang="fr-FR" sz="1100" b="0" i="0" u="none" strike="noStrike" baseline="0">
            <a:solidFill>
              <a:srgbClr val="000000"/>
            </a:solidFill>
            <a:latin typeface="Calibri"/>
            <a:ea typeface="Calibri"/>
            <a:cs typeface="Calibri"/>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2" name="Text Box 6">
          <a:extLst>
            <a:ext uri="{FF2B5EF4-FFF2-40B4-BE49-F238E27FC236}">
              <a16:creationId xmlns:a16="http://schemas.microsoft.com/office/drawing/2014/main" id="{A5B44226-F05E-4F2A-A36E-EA83997C7A1B}"/>
            </a:ext>
          </a:extLst>
        </xdr:cNvPr>
        <xdr:cNvSpPr txBox="1">
          <a:spLocks noChangeArrowheads="1"/>
        </xdr:cNvSpPr>
      </xdr:nvSpPr>
      <xdr:spPr bwMode="auto">
        <a:xfrm>
          <a:off x="0" y="3324225"/>
          <a:ext cx="2628900" cy="12401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1) Réaliser le bouillon japonais: DASHI</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porter à ébullition 2 litres d'eau et infuser le kombe. Ajouter les copeaux de bonite séchée reporter à ébullition. Filtrer en foulant fortement.</a:t>
          </a:r>
        </a:p>
        <a:p>
          <a:pPr algn="l" rtl="0">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2) NIKUJYAGA</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tailler en fines lamelles l'entrecôte.</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Saisir à l'huile, caraméliser au sucre.</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déglacer avec le soja, le saké et le dashi.</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ajouter les carottes taillés en oblique.</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à mi cuisson , incorporer les pommes de terre taillées en cubes réguliers.</a:t>
          </a: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terminer la cuisson avec les haricots verts cuits à l'anglaise</a:t>
          </a:r>
        </a:p>
        <a:p>
          <a:pPr algn="l" rtl="0">
            <a:lnSpc>
              <a:spcPts val="1300"/>
            </a:lnSpc>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quelques minutes avant l'envoi ajouter le konnyaku taillé en bâtonnets.</a:t>
          </a:r>
        </a:p>
        <a:p>
          <a:pPr algn="l" rtl="0">
            <a:lnSpc>
              <a:spcPts val="1300"/>
            </a:lnSpc>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rectifier l'assaisonnement.</a:t>
          </a:r>
        </a:p>
        <a:p>
          <a:pPr algn="l" rtl="0">
            <a:lnSpc>
              <a:spcPts val="1300"/>
            </a:lnSpc>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3°) finition: tailler à la mandoline des tranches fines dans la longueur, de banane plantain, frire.</a:t>
          </a:r>
        </a:p>
        <a:p>
          <a:pPr algn="l" rtl="0">
            <a:lnSpc>
              <a:spcPts val="1300"/>
            </a:lnSpc>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300"/>
            </a:lnSpc>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tailler des disques de feuille de bananier et intercaler entre le bol et l'assiette support.</a:t>
          </a:r>
        </a:p>
        <a:p>
          <a:pPr algn="l" rtl="0">
            <a:defRPr sz="1000"/>
          </a:pPr>
          <a:endParaRPr lang="fr-FR" sz="12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300"/>
            </a:lnSpc>
            <a:defRPr sz="1000"/>
          </a:pPr>
          <a:r>
            <a:rPr lang="fr-FR" sz="1200" b="0" i="0" u="none" strike="noStrike" baseline="0">
              <a:solidFill>
                <a:srgbClr val="000000"/>
              </a:solidFill>
              <a:latin typeface="Arial" panose="020B0604020202020204" pitchFamily="34" charset="0"/>
              <a:ea typeface="Times New Roman"/>
              <a:cs typeface="Arial" panose="020B0604020202020204" pitchFamily="34" charset="0"/>
            </a:rPr>
            <a:t>dresser le pot au feu dans les bols, planter la lamelle de banane frite.</a:t>
          </a:r>
        </a:p>
      </xdr:txBody>
    </xdr:sp>
    <xdr:clientData/>
  </xdr:twoCellAnchor>
  <xdr:twoCellAnchor>
    <xdr:from>
      <xdr:col>1</xdr:col>
      <xdr:colOff>53975</xdr:colOff>
      <xdr:row>2</xdr:row>
      <xdr:rowOff>149225</xdr:rowOff>
    </xdr:from>
    <xdr:to>
      <xdr:col>4</xdr:col>
      <xdr:colOff>358775</xdr:colOff>
      <xdr:row>3</xdr:row>
      <xdr:rowOff>1117547</xdr:rowOff>
    </xdr:to>
    <xdr:sp macro="" textlink="">
      <xdr:nvSpPr>
        <xdr:cNvPr id="3" name="AutoShape 14">
          <a:extLst>
            <a:ext uri="{FF2B5EF4-FFF2-40B4-BE49-F238E27FC236}">
              <a16:creationId xmlns:a16="http://schemas.microsoft.com/office/drawing/2014/main" id="{C21903FB-2213-465C-B9E3-8AD73A909BEE}"/>
            </a:ext>
          </a:extLst>
        </xdr:cNvPr>
        <xdr:cNvSpPr>
          <a:spLocks noChangeArrowheads="1"/>
        </xdr:cNvSpPr>
      </xdr:nvSpPr>
      <xdr:spPr bwMode="auto">
        <a:xfrm>
          <a:off x="434975" y="1225550"/>
          <a:ext cx="6048375" cy="1282647"/>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0" u="none" strike="noStrike" baseline="0">
              <a:solidFill>
                <a:srgbClr val="000000"/>
              </a:solidFill>
              <a:latin typeface="Arial"/>
              <a:ea typeface="Arial"/>
              <a:cs typeface="Arial"/>
            </a:rPr>
            <a:t>Pot au feu de bœuf traditionnel, servi en bol japonais sur une feuille de bananier, agrémenté d'un lamelle de banane plantain taillée et frite apportant du croustillant.</a:t>
          </a:r>
        </a:p>
        <a:p>
          <a:pPr algn="l" rtl="0">
            <a:defRPr sz="1000"/>
          </a:pPr>
          <a:endParaRPr lang="fr-FR" sz="1000" b="0" i="0" u="none" strike="noStrike" baseline="0">
            <a:solidFill>
              <a:srgbClr val="000000"/>
            </a:solidFill>
            <a:latin typeface="Arial"/>
            <a:ea typeface="Arial"/>
            <a:cs typeface="Arial"/>
          </a:endParaRPr>
        </a:p>
      </xdr:txBody>
    </xdr:sp>
    <xdr:clientData/>
  </xdr:twoCellAnchor>
  <xdr:twoCellAnchor editAs="oneCell">
    <xdr:from>
      <xdr:col>6</xdr:col>
      <xdr:colOff>723900</xdr:colOff>
      <xdr:row>2</xdr:row>
      <xdr:rowOff>57150</xdr:rowOff>
    </xdr:from>
    <xdr:to>
      <xdr:col>9</xdr:col>
      <xdr:colOff>28575</xdr:colOff>
      <xdr:row>4</xdr:row>
      <xdr:rowOff>0</xdr:rowOff>
    </xdr:to>
    <xdr:pic>
      <xdr:nvPicPr>
        <xdr:cNvPr id="4" name="Picture 15" descr="G:\ChF work\Ch. F\MAN\REPAS JAPON\000_0003.JPG">
          <a:extLst>
            <a:ext uri="{FF2B5EF4-FFF2-40B4-BE49-F238E27FC236}">
              <a16:creationId xmlns:a16="http://schemas.microsoft.com/office/drawing/2014/main" id="{FF74C65F-349A-4DA0-BE5F-DED9B38860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133475"/>
          <a:ext cx="18478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346075</xdr:colOff>
      <xdr:row>2</xdr:row>
      <xdr:rowOff>123825</xdr:rowOff>
    </xdr:from>
    <xdr:to>
      <xdr:col>26</xdr:col>
      <xdr:colOff>320675</xdr:colOff>
      <xdr:row>3</xdr:row>
      <xdr:rowOff>698459</xdr:rowOff>
    </xdr:to>
    <xdr:sp macro="" textlink="">
      <xdr:nvSpPr>
        <xdr:cNvPr id="5" name="Oval 2">
          <a:extLst>
            <a:ext uri="{FF2B5EF4-FFF2-40B4-BE49-F238E27FC236}">
              <a16:creationId xmlns:a16="http://schemas.microsoft.com/office/drawing/2014/main" id="{D12CF5B1-4697-477B-B4D0-CDEFF6DC6358}"/>
            </a:ext>
          </a:extLst>
        </xdr:cNvPr>
        <xdr:cNvSpPr>
          <a:spLocks noChangeArrowheads="1"/>
        </xdr:cNvSpPr>
      </xdr:nvSpPr>
      <xdr:spPr bwMode="auto">
        <a:xfrm>
          <a:off x="20881975" y="1200150"/>
          <a:ext cx="1574800" cy="88895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a:effectLst>
          <a:outerShdw blurRad="63500" dist="107763" dir="8100000" algn="ctr" rotWithShape="0">
            <a:srgbClr xmlns:mc="http://schemas.openxmlformats.org/markup-compatibility/2006" xmlns:a14="http://schemas.microsoft.com/office/drawing/2010/main" val="969696" mc:Ignorable="a14" a14:legacySpreadsheetColorIndex="55">
              <a:alpha val="74998"/>
            </a:srgbClr>
          </a:outerShdw>
        </a:effectLst>
      </xdr:spPr>
      <xdr:txBody>
        <a:bodyPr rtlCol="0"/>
        <a:lstStyle/>
        <a:p>
          <a:endParaRPr lang="fr-FR"/>
        </a:p>
      </xdr:txBody>
    </xdr:sp>
    <xdr:clientData/>
  </xdr:twoCellAnchor>
  <xdr:twoCellAnchor>
    <xdr:from>
      <xdr:col>23</xdr:col>
      <xdr:colOff>66675</xdr:colOff>
      <xdr:row>3</xdr:row>
      <xdr:rowOff>38100</xdr:rowOff>
    </xdr:from>
    <xdr:to>
      <xdr:col>26</xdr:col>
      <xdr:colOff>209550</xdr:colOff>
      <xdr:row>3</xdr:row>
      <xdr:rowOff>619125</xdr:rowOff>
    </xdr:to>
    <xdr:sp macro="" textlink="">
      <xdr:nvSpPr>
        <xdr:cNvPr id="6" name="Oval 1">
          <a:extLst>
            <a:ext uri="{FF2B5EF4-FFF2-40B4-BE49-F238E27FC236}">
              <a16:creationId xmlns:a16="http://schemas.microsoft.com/office/drawing/2014/main" id="{9D82DEF1-E49C-43E6-801D-F6F3686C5794}"/>
            </a:ext>
          </a:extLst>
        </xdr:cNvPr>
        <xdr:cNvSpPr>
          <a:spLocks noChangeArrowheads="1"/>
        </xdr:cNvSpPr>
      </xdr:nvSpPr>
      <xdr:spPr bwMode="auto">
        <a:xfrm>
          <a:off x="21021675" y="1428750"/>
          <a:ext cx="1323975" cy="5810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15</xdr:col>
      <xdr:colOff>0</xdr:colOff>
      <xdr:row>5</xdr:row>
      <xdr:rowOff>0</xdr:rowOff>
    </xdr:from>
    <xdr:to>
      <xdr:col>17</xdr:col>
      <xdr:colOff>0</xdr:colOff>
      <xdr:row>45</xdr:row>
      <xdr:rowOff>0</xdr:rowOff>
    </xdr:to>
    <xdr:sp macro="" textlink="">
      <xdr:nvSpPr>
        <xdr:cNvPr id="7" name="Text Box 6">
          <a:extLst>
            <a:ext uri="{FF2B5EF4-FFF2-40B4-BE49-F238E27FC236}">
              <a16:creationId xmlns:a16="http://schemas.microsoft.com/office/drawing/2014/main" id="{127F841B-18C6-4DED-95F7-36955BA13B50}"/>
            </a:ext>
          </a:extLst>
        </xdr:cNvPr>
        <xdr:cNvSpPr txBox="1">
          <a:spLocks noChangeArrowheads="1"/>
        </xdr:cNvSpPr>
      </xdr:nvSpPr>
      <xdr:spPr bwMode="auto">
        <a:xfrm>
          <a:off x="15954375" y="3324225"/>
          <a:ext cx="2047875" cy="12401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1100" b="0" i="0" u="none" strike="noStrike" baseline="0">
              <a:solidFill>
                <a:srgbClr val="000000"/>
              </a:solidFill>
              <a:latin typeface="Times New Roman"/>
              <a:ea typeface="Times New Roman"/>
              <a:cs typeface="Times New Roman"/>
            </a:rPr>
            <a:t>1) Réaliser le bouillon japonais: DASHI</a:t>
          </a:r>
        </a:p>
        <a:p>
          <a:pPr algn="l" rtl="0">
            <a:defRPr sz="1000"/>
          </a:pPr>
          <a:r>
            <a:rPr lang="fr-FR" sz="1100" b="0" i="0" u="none" strike="noStrike" baseline="0">
              <a:solidFill>
                <a:srgbClr val="000000"/>
              </a:solidFill>
              <a:latin typeface="Times New Roman"/>
              <a:ea typeface="Times New Roman"/>
              <a:cs typeface="Times New Roman"/>
            </a:rPr>
            <a:t>porter à ébullition 2 litres d'eau et infuser le kombe. Ajouter les copeaux de bonite séchée reporter à ébullition. Filtrer en foulant fortement.</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2) NIKUJYAGA</a:t>
          </a:r>
        </a:p>
        <a:p>
          <a:pPr algn="l" rtl="0">
            <a:defRPr sz="1000"/>
          </a:pPr>
          <a:r>
            <a:rPr lang="fr-FR" sz="1100" b="0" i="0" u="none" strike="noStrike" baseline="0">
              <a:solidFill>
                <a:srgbClr val="000000"/>
              </a:solidFill>
              <a:latin typeface="Times New Roman"/>
              <a:ea typeface="Times New Roman"/>
              <a:cs typeface="Times New Roman"/>
            </a:rPr>
            <a:t>tailler en fines lamelles l'entrecôte.</a:t>
          </a:r>
        </a:p>
        <a:p>
          <a:pPr algn="l" rtl="0">
            <a:defRPr sz="1000"/>
          </a:pPr>
          <a:r>
            <a:rPr lang="fr-FR" sz="1100" b="0" i="0" u="none" strike="noStrike" baseline="0">
              <a:solidFill>
                <a:srgbClr val="000000"/>
              </a:solidFill>
              <a:latin typeface="Times New Roman"/>
              <a:ea typeface="Times New Roman"/>
              <a:cs typeface="Times New Roman"/>
            </a:rPr>
            <a:t>Saisir à l'huile, caraméliser au sucre.</a:t>
          </a:r>
        </a:p>
        <a:p>
          <a:pPr algn="l" rtl="0">
            <a:defRPr sz="1000"/>
          </a:pPr>
          <a:r>
            <a:rPr lang="fr-FR" sz="1100" b="0" i="0" u="none" strike="noStrike" baseline="0">
              <a:solidFill>
                <a:srgbClr val="000000"/>
              </a:solidFill>
              <a:latin typeface="Times New Roman"/>
              <a:ea typeface="Times New Roman"/>
              <a:cs typeface="Times New Roman"/>
            </a:rPr>
            <a:t>déglacer avec le soja, le saké et le dashi.</a:t>
          </a:r>
        </a:p>
        <a:p>
          <a:pPr algn="l" rtl="0">
            <a:defRPr sz="1000"/>
          </a:pPr>
          <a:r>
            <a:rPr lang="fr-FR" sz="1100" b="0" i="0" u="none" strike="noStrike" baseline="0">
              <a:solidFill>
                <a:srgbClr val="000000"/>
              </a:solidFill>
              <a:latin typeface="Times New Roman"/>
              <a:ea typeface="Times New Roman"/>
              <a:cs typeface="Times New Roman"/>
            </a:rPr>
            <a:t>ajouter les carottes taillés en oblique.</a:t>
          </a:r>
        </a:p>
        <a:p>
          <a:pPr algn="l" rtl="0">
            <a:defRPr sz="1000"/>
          </a:pPr>
          <a:r>
            <a:rPr lang="fr-FR" sz="1100" b="0" i="0" u="none" strike="noStrike" baseline="0">
              <a:solidFill>
                <a:srgbClr val="000000"/>
              </a:solidFill>
              <a:latin typeface="Times New Roman"/>
              <a:ea typeface="Times New Roman"/>
              <a:cs typeface="Times New Roman"/>
            </a:rPr>
            <a:t>à mi cuisson , incorporer les pommes de terre taillées en cubes réguliers.</a:t>
          </a:r>
        </a:p>
        <a:p>
          <a:pPr algn="l" rtl="0">
            <a:defRPr sz="1000"/>
          </a:pPr>
          <a:r>
            <a:rPr lang="fr-FR" sz="1100" b="0" i="0" u="none" strike="noStrike" baseline="0">
              <a:solidFill>
                <a:srgbClr val="000000"/>
              </a:solidFill>
              <a:latin typeface="Times New Roman"/>
              <a:ea typeface="Times New Roman"/>
              <a:cs typeface="Times New Roman"/>
            </a:rPr>
            <a:t>terminer la cuisson avec les haricots verts cuits à l'anglaise</a:t>
          </a:r>
        </a:p>
        <a:p>
          <a:pPr algn="l" rtl="0">
            <a:lnSpc>
              <a:spcPts val="1300"/>
            </a:lnSpc>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quelques minutes avant l'envoi ajouter le konnyaku taillé en bâtonnets.</a:t>
          </a:r>
        </a:p>
        <a:p>
          <a:pPr algn="l" rtl="0">
            <a:lnSpc>
              <a:spcPts val="1300"/>
            </a:lnSpc>
            <a:defRPr sz="1000"/>
          </a:pPr>
          <a:r>
            <a:rPr lang="fr-FR" sz="1100" b="0" i="0" u="none" strike="noStrike" baseline="0">
              <a:solidFill>
                <a:srgbClr val="000000"/>
              </a:solidFill>
              <a:latin typeface="Times New Roman"/>
              <a:ea typeface="Times New Roman"/>
              <a:cs typeface="Times New Roman"/>
            </a:rPr>
            <a:t>rectifier l'assaisonnement.</a:t>
          </a:r>
        </a:p>
        <a:p>
          <a:pPr algn="l" rtl="0">
            <a:lnSpc>
              <a:spcPts val="1300"/>
            </a:lnSpc>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3°) finition: tailler à la mandoline des tranches fines dans la longueur, de banane plantain, frire.</a:t>
          </a:r>
        </a:p>
        <a:p>
          <a:pPr algn="l" rtl="0">
            <a:lnSpc>
              <a:spcPts val="1300"/>
            </a:lnSpc>
            <a:defRPr sz="1000"/>
          </a:pPr>
          <a:endParaRPr lang="fr-FR" sz="1100" b="0" i="0" u="none" strike="noStrike" baseline="0">
            <a:solidFill>
              <a:srgbClr val="000000"/>
            </a:solidFill>
            <a:latin typeface="Times New Roman"/>
            <a:ea typeface="Times New Roman"/>
            <a:cs typeface="Times New Roman"/>
          </a:endParaRPr>
        </a:p>
        <a:p>
          <a:pPr algn="l" rtl="0">
            <a:lnSpc>
              <a:spcPts val="1300"/>
            </a:lnSpc>
            <a:defRPr sz="1000"/>
          </a:pPr>
          <a:r>
            <a:rPr lang="fr-FR" sz="1100" b="0" i="0" u="none" strike="noStrike" baseline="0">
              <a:solidFill>
                <a:srgbClr val="000000"/>
              </a:solidFill>
              <a:latin typeface="Times New Roman"/>
              <a:ea typeface="Times New Roman"/>
              <a:cs typeface="Times New Roman"/>
            </a:rPr>
            <a:t>tailler des disques de feuille de bananier et intercaler entre le bol et l'assiette support.</a:t>
          </a:r>
        </a:p>
        <a:p>
          <a:pPr algn="l" rtl="0">
            <a:defRPr sz="1000"/>
          </a:pPr>
          <a:endParaRPr lang="fr-FR" sz="1100" b="0" i="0" u="none" strike="noStrike" baseline="0">
            <a:solidFill>
              <a:srgbClr val="000000"/>
            </a:solidFill>
            <a:latin typeface="Times New Roman"/>
            <a:ea typeface="Times New Roman"/>
            <a:cs typeface="Times New Roman"/>
          </a:endParaRPr>
        </a:p>
        <a:p>
          <a:pPr algn="l" rtl="0">
            <a:lnSpc>
              <a:spcPts val="1300"/>
            </a:lnSpc>
            <a:defRPr sz="1000"/>
          </a:pPr>
          <a:r>
            <a:rPr lang="fr-FR" sz="1100" b="0" i="0" u="none" strike="noStrike" baseline="0">
              <a:solidFill>
                <a:srgbClr val="000000"/>
              </a:solidFill>
              <a:latin typeface="Times New Roman"/>
              <a:ea typeface="Times New Roman"/>
              <a:cs typeface="Times New Roman"/>
            </a:rPr>
            <a:t>dresser le pot au feu dans les bols, planter la lamelle de banane frite.</a:t>
          </a:r>
        </a:p>
      </xdr:txBody>
    </xdr:sp>
    <xdr:clientData/>
  </xdr:twoCellAnchor>
  <xdr:twoCellAnchor>
    <xdr:from>
      <xdr:col>16</xdr:col>
      <xdr:colOff>53975</xdr:colOff>
      <xdr:row>2</xdr:row>
      <xdr:rowOff>149225</xdr:rowOff>
    </xdr:from>
    <xdr:to>
      <xdr:col>19</xdr:col>
      <xdr:colOff>358775</xdr:colOff>
      <xdr:row>3</xdr:row>
      <xdr:rowOff>1117547</xdr:rowOff>
    </xdr:to>
    <xdr:sp macro="" textlink="">
      <xdr:nvSpPr>
        <xdr:cNvPr id="8" name="AutoShape 14">
          <a:extLst>
            <a:ext uri="{FF2B5EF4-FFF2-40B4-BE49-F238E27FC236}">
              <a16:creationId xmlns:a16="http://schemas.microsoft.com/office/drawing/2014/main" id="{53E48020-7FD1-41F7-82D8-E9449A73F5BF}"/>
            </a:ext>
          </a:extLst>
        </xdr:cNvPr>
        <xdr:cNvSpPr>
          <a:spLocks noChangeArrowheads="1"/>
        </xdr:cNvSpPr>
      </xdr:nvSpPr>
      <xdr:spPr bwMode="auto">
        <a:xfrm>
          <a:off x="16008350" y="1225550"/>
          <a:ext cx="3667125" cy="1282647"/>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0" u="none" strike="noStrike" baseline="0">
              <a:solidFill>
                <a:srgbClr val="000000"/>
              </a:solidFill>
              <a:latin typeface="Arial"/>
              <a:ea typeface="Arial"/>
              <a:cs typeface="Arial"/>
            </a:rPr>
            <a:t>Pot au feu de bœuf traditionnel, servi en bol japonais sur une feuille de bananier, agrémenté d'un lamelle de banane plantain taillée et frite apportant du croustillant.</a:t>
          </a:r>
        </a:p>
        <a:p>
          <a:pPr algn="l" rtl="0">
            <a:defRPr sz="1000"/>
          </a:pPr>
          <a:endParaRPr lang="fr-FR" sz="1000" b="0" i="0" u="none" strike="noStrike" baseline="0">
            <a:solidFill>
              <a:srgbClr val="000000"/>
            </a:solidFill>
            <a:latin typeface="Arial"/>
            <a:ea typeface="Arial"/>
            <a:cs typeface="Arial"/>
          </a:endParaRPr>
        </a:p>
      </xdr:txBody>
    </xdr:sp>
    <xdr:clientData/>
  </xdr:twoCellAnchor>
  <xdr:oneCellAnchor>
    <xdr:from>
      <xdr:col>22</xdr:col>
      <xdr:colOff>66675</xdr:colOff>
      <xdr:row>1</xdr:row>
      <xdr:rowOff>219075</xdr:rowOff>
    </xdr:from>
    <xdr:ext cx="1847850" cy="1381125"/>
    <xdr:pic>
      <xdr:nvPicPr>
        <xdr:cNvPr id="9" name="Picture 15" descr="G:\ChF work\Ch. F\MAN\REPAS JAPON\000_0003.JPG">
          <a:extLst>
            <a:ext uri="{FF2B5EF4-FFF2-40B4-BE49-F238E27FC236}">
              <a16:creationId xmlns:a16="http://schemas.microsoft.com/office/drawing/2014/main" id="{3F977EA1-5FAD-48F5-9288-9181F4273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02575" y="752475"/>
          <a:ext cx="18478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43</xdr:row>
      <xdr:rowOff>0</xdr:rowOff>
    </xdr:to>
    <xdr:sp macro="" textlink="">
      <xdr:nvSpPr>
        <xdr:cNvPr id="2" name="Text Box 6">
          <a:extLst>
            <a:ext uri="{FF2B5EF4-FFF2-40B4-BE49-F238E27FC236}">
              <a16:creationId xmlns:a16="http://schemas.microsoft.com/office/drawing/2014/main" id="{B60CAD34-50AF-4ADB-A959-7C03C59837BE}"/>
            </a:ext>
          </a:extLst>
        </xdr:cNvPr>
        <xdr:cNvSpPr txBox="1">
          <a:spLocks noChangeArrowheads="1"/>
        </xdr:cNvSpPr>
      </xdr:nvSpPr>
      <xdr:spPr bwMode="auto">
        <a:xfrm>
          <a:off x="0" y="3324225"/>
          <a:ext cx="2590800" cy="12715875"/>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 Cuire le riz à sushi à l'autocuiseur après rinçage jusqu'à clarté de l'eau. garder tiède. Arroser de saké et vinaigre de riz en fin de cuisson. </a:t>
          </a:r>
        </a:p>
        <a:p>
          <a:pPr algn="l" rtl="0">
            <a:lnSpc>
              <a:spcPts val="1200"/>
            </a:lnSpc>
            <a:defRPr sz="1000"/>
          </a:pPr>
          <a:endParaRPr lang="fr-FR" sz="14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2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 1°) NIGIRI Tailler le saumon et la daurade en fines lamelles. Réserver au frais.</a:t>
          </a:r>
        </a:p>
        <a:p>
          <a:pPr algn="l" rtl="0">
            <a:lnSpc>
              <a:spcPts val="12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Montage: dans le creux de la main poser le saumon , tirer un trait de wasabi, mouler le riz.</a:t>
          </a:r>
        </a:p>
        <a:p>
          <a:pPr algn="l" rtl="0">
            <a:defRPr sz="1000"/>
          </a:pPr>
          <a:endParaRPr lang="fr-FR" sz="14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2°) MAKI SUSHI: préparer les ingrédients en julienne, rouler sur tapis </a:t>
          </a:r>
        </a:p>
        <a:p>
          <a:pPr algn="l" rtl="0">
            <a:lnSpc>
              <a:spcPts val="12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tailler en 4 tronçons</a:t>
          </a:r>
        </a:p>
        <a:p>
          <a:pPr algn="l" rtl="0">
            <a:defRPr sz="1000"/>
          </a:pPr>
          <a:endParaRPr lang="fr-FR" sz="14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3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3°) CALIFORNIA ROLLS: procéder comme pour le Maki mais en inversant le riz et le nori. Cuire une crèpe épaisse d'oeuf battu refroidir, tailler en lanière</a:t>
          </a:r>
        </a:p>
        <a:p>
          <a:pPr algn="l" rtl="0">
            <a:lnSpc>
              <a:spcPts val="1300"/>
            </a:lnSpc>
            <a:defRPr sz="1000"/>
          </a:pPr>
          <a:endParaRPr lang="fr-FR" sz="14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3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4°) RAINBOW SUSHI: procéder comme pour le califronia roll mais farcir avec lanières de maquereau sashimi glacés de sauce unagi</a:t>
          </a:r>
        </a:p>
        <a:p>
          <a:pPr algn="l" rtl="0">
            <a:lnSpc>
              <a:spcPts val="13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SAUCE UNAGI: porter à ébullition le sucre , le soja et le saké, réduire à la nappe</a:t>
          </a:r>
        </a:p>
        <a:p>
          <a:pPr algn="l" rtl="0">
            <a:lnSpc>
              <a:spcPts val="1300"/>
            </a:lnSpc>
            <a:defRPr sz="1000"/>
          </a:pPr>
          <a:endParaRPr lang="fr-FR" sz="14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3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recouvrir le sushi de lamelles d'avocat et filmer . Au moment, napper au pinceau de sauce unagi pour faire briller. Tailler en 4 tronçons</a:t>
          </a:r>
        </a:p>
        <a:p>
          <a:pPr algn="l" rtl="0">
            <a:lnSpc>
              <a:spcPts val="1300"/>
            </a:lnSpc>
            <a:defRPr sz="1000"/>
          </a:pPr>
          <a:endParaRPr lang="fr-FR" sz="14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200"/>
            </a:lnSpc>
            <a:defRPr sz="1000"/>
          </a:pPr>
          <a:endParaRPr lang="fr-FR" sz="1400" b="0" i="0" u="none" strike="noStrike" baseline="0">
            <a:solidFill>
              <a:srgbClr val="000000"/>
            </a:solidFill>
            <a:latin typeface="Arial" panose="020B0604020202020204" pitchFamily="34" charset="0"/>
            <a:ea typeface="Times New Roman"/>
            <a:cs typeface="Arial" panose="020B0604020202020204" pitchFamily="34" charset="0"/>
          </a:endParaRPr>
        </a:p>
        <a:p>
          <a:pPr algn="l" rtl="0">
            <a:lnSpc>
              <a:spcPts val="13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5°) Sauce soja:</a:t>
          </a:r>
        </a:p>
        <a:p>
          <a:pPr algn="l" rtl="0">
            <a:lnSpc>
              <a:spcPts val="12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mélanger le sucre, le saké et le soja. porter doucement à ébullition, lier avc le miso.</a:t>
          </a:r>
        </a:p>
        <a:p>
          <a:pPr algn="l" rtl="0">
            <a:lnSpc>
              <a:spcPts val="1300"/>
            </a:lnSpc>
            <a:defRPr sz="1000"/>
          </a:pPr>
          <a:r>
            <a:rPr lang="fr-FR" sz="1400" b="0" i="0" u="none" strike="noStrike" baseline="0">
              <a:solidFill>
                <a:srgbClr val="000000"/>
              </a:solidFill>
              <a:latin typeface="Arial" panose="020B0604020202020204" pitchFamily="34" charset="0"/>
              <a:ea typeface="Times New Roman"/>
              <a:cs typeface="Arial" panose="020B0604020202020204" pitchFamily="34" charset="0"/>
            </a:rPr>
            <a:t>dresser en mini moule à oeuf au plat</a:t>
          </a:r>
        </a:p>
        <a:p>
          <a:pPr algn="l" rtl="0">
            <a:lnSpc>
              <a:spcPts val="1200"/>
            </a:lnSpc>
            <a:defRPr sz="1000"/>
          </a:pPr>
          <a:endParaRPr lang="fr-FR" sz="1100" b="0" i="0" u="none" strike="noStrike" baseline="0">
            <a:solidFill>
              <a:srgbClr val="000000"/>
            </a:solidFill>
            <a:latin typeface="Times New Roman"/>
            <a:ea typeface="Times New Roman"/>
            <a:cs typeface="Times New Roman"/>
          </a:endParaRPr>
        </a:p>
        <a:p>
          <a:pPr algn="l" rtl="0">
            <a:defRPr sz="1000"/>
          </a:pPr>
          <a:endParaRPr lang="fr-FR" sz="1100" b="0" i="0" u="none" strike="noStrike" baseline="0">
            <a:solidFill>
              <a:srgbClr val="000000"/>
            </a:solidFill>
            <a:latin typeface="Times New Roman"/>
            <a:ea typeface="Times New Roman"/>
            <a:cs typeface="Times New Roman"/>
          </a:endParaRPr>
        </a:p>
      </xdr:txBody>
    </xdr:sp>
    <xdr:clientData/>
  </xdr:twoCellAnchor>
  <xdr:twoCellAnchor>
    <xdr:from>
      <xdr:col>0</xdr:col>
      <xdr:colOff>187325</xdr:colOff>
      <xdr:row>3</xdr:row>
      <xdr:rowOff>25400</xdr:rowOff>
    </xdr:from>
    <xdr:to>
      <xdr:col>4</xdr:col>
      <xdr:colOff>282575</xdr:colOff>
      <xdr:row>3</xdr:row>
      <xdr:rowOff>1308047</xdr:rowOff>
    </xdr:to>
    <xdr:sp macro="" textlink="">
      <xdr:nvSpPr>
        <xdr:cNvPr id="3" name="AutoShape 14">
          <a:extLst>
            <a:ext uri="{FF2B5EF4-FFF2-40B4-BE49-F238E27FC236}">
              <a16:creationId xmlns:a16="http://schemas.microsoft.com/office/drawing/2014/main" id="{C770FF45-4C6A-4C32-8B2F-1ACEFE7B532A}"/>
            </a:ext>
          </a:extLst>
        </xdr:cNvPr>
        <xdr:cNvSpPr>
          <a:spLocks noChangeArrowheads="1"/>
        </xdr:cNvSpPr>
      </xdr:nvSpPr>
      <xdr:spPr bwMode="auto">
        <a:xfrm>
          <a:off x="187325" y="1111250"/>
          <a:ext cx="6181725" cy="1282647"/>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100" b="0" i="0" u="none" strike="noStrike" baseline="0">
              <a:solidFill>
                <a:srgbClr val="000000"/>
              </a:solidFill>
              <a:latin typeface="Arial"/>
              <a:ea typeface="Arial"/>
              <a:cs typeface="Arial"/>
            </a:rPr>
            <a:t>Assiette composée de 5 pièces , un sushi maki et deux nigiri au saumon et daurade, 1 california rolls, 1 rainbow sushi</a:t>
          </a:r>
        </a:p>
      </xdr:txBody>
    </xdr:sp>
    <xdr:clientData/>
  </xdr:twoCellAnchor>
  <xdr:twoCellAnchor editAs="oneCell">
    <xdr:from>
      <xdr:col>6</xdr:col>
      <xdr:colOff>762000</xdr:colOff>
      <xdr:row>2</xdr:row>
      <xdr:rowOff>190500</xdr:rowOff>
    </xdr:from>
    <xdr:to>
      <xdr:col>9</xdr:col>
      <xdr:colOff>600075</xdr:colOff>
      <xdr:row>3</xdr:row>
      <xdr:rowOff>1219200</xdr:rowOff>
    </xdr:to>
    <xdr:pic>
      <xdr:nvPicPr>
        <xdr:cNvPr id="4" name="Picture 15" descr="G:\ChF work\Ch. F\MAN\REPAS JAPON\100_0624.JPG">
          <a:extLst>
            <a:ext uri="{FF2B5EF4-FFF2-40B4-BE49-F238E27FC236}">
              <a16:creationId xmlns:a16="http://schemas.microsoft.com/office/drawing/2014/main" id="{DA449D5A-3847-4BC8-B7BD-71AF2F3262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962025"/>
          <a:ext cx="23812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346075</xdr:colOff>
      <xdr:row>2</xdr:row>
      <xdr:rowOff>123825</xdr:rowOff>
    </xdr:from>
    <xdr:to>
      <xdr:col>26</xdr:col>
      <xdr:colOff>291903</xdr:colOff>
      <xdr:row>3</xdr:row>
      <xdr:rowOff>698459</xdr:rowOff>
    </xdr:to>
    <xdr:sp macro="" textlink="">
      <xdr:nvSpPr>
        <xdr:cNvPr id="5" name="Oval 2">
          <a:extLst>
            <a:ext uri="{FF2B5EF4-FFF2-40B4-BE49-F238E27FC236}">
              <a16:creationId xmlns:a16="http://schemas.microsoft.com/office/drawing/2014/main" id="{883978B3-C4DA-48CE-ADD3-79A95330463F}"/>
            </a:ext>
          </a:extLst>
        </xdr:cNvPr>
        <xdr:cNvSpPr>
          <a:spLocks noChangeArrowheads="1"/>
        </xdr:cNvSpPr>
      </xdr:nvSpPr>
      <xdr:spPr bwMode="auto">
        <a:xfrm>
          <a:off x="20872450" y="895350"/>
          <a:ext cx="2993828" cy="88895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a:effectLst>
          <a:outerShdw blurRad="63500" dist="107763" dir="8100000" algn="ctr" rotWithShape="0">
            <a:srgbClr xmlns:mc="http://schemas.openxmlformats.org/markup-compatibility/2006" xmlns:a14="http://schemas.microsoft.com/office/drawing/2010/main" val="969696" mc:Ignorable="a14" a14:legacySpreadsheetColorIndex="55">
              <a:alpha val="74998"/>
            </a:srgbClr>
          </a:outerShdw>
        </a:effectLst>
      </xdr:spPr>
      <xdr:txBody>
        <a:bodyPr rtlCol="0"/>
        <a:lstStyle/>
        <a:p>
          <a:endParaRPr lang="fr-FR"/>
        </a:p>
      </xdr:txBody>
    </xdr:sp>
    <xdr:clientData/>
  </xdr:twoCellAnchor>
  <xdr:twoCellAnchor>
    <xdr:from>
      <xdr:col>23</xdr:col>
      <xdr:colOff>66675</xdr:colOff>
      <xdr:row>3</xdr:row>
      <xdr:rowOff>38100</xdr:rowOff>
    </xdr:from>
    <xdr:to>
      <xdr:col>26</xdr:col>
      <xdr:colOff>209550</xdr:colOff>
      <xdr:row>3</xdr:row>
      <xdr:rowOff>619125</xdr:rowOff>
    </xdr:to>
    <xdr:sp macro="" textlink="">
      <xdr:nvSpPr>
        <xdr:cNvPr id="6" name="Oval 1">
          <a:extLst>
            <a:ext uri="{FF2B5EF4-FFF2-40B4-BE49-F238E27FC236}">
              <a16:creationId xmlns:a16="http://schemas.microsoft.com/office/drawing/2014/main" id="{E85C8A78-DC3D-407F-978B-31AAB23B46AD}"/>
            </a:ext>
          </a:extLst>
        </xdr:cNvPr>
        <xdr:cNvSpPr>
          <a:spLocks noChangeArrowheads="1"/>
        </xdr:cNvSpPr>
      </xdr:nvSpPr>
      <xdr:spPr bwMode="auto">
        <a:xfrm>
          <a:off x="21355050" y="1123950"/>
          <a:ext cx="2428875" cy="5810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15</xdr:col>
      <xdr:colOff>0</xdr:colOff>
      <xdr:row>5</xdr:row>
      <xdr:rowOff>0</xdr:rowOff>
    </xdr:from>
    <xdr:to>
      <xdr:col>17</xdr:col>
      <xdr:colOff>0</xdr:colOff>
      <xdr:row>43</xdr:row>
      <xdr:rowOff>0</xdr:rowOff>
    </xdr:to>
    <xdr:sp macro="" textlink="">
      <xdr:nvSpPr>
        <xdr:cNvPr id="7" name="Text Box 6">
          <a:extLst>
            <a:ext uri="{FF2B5EF4-FFF2-40B4-BE49-F238E27FC236}">
              <a16:creationId xmlns:a16="http://schemas.microsoft.com/office/drawing/2014/main" id="{7ED6464F-2C79-4EF0-BB59-A49CB6A2D175}"/>
            </a:ext>
          </a:extLst>
        </xdr:cNvPr>
        <xdr:cNvSpPr txBox="1">
          <a:spLocks noChangeArrowheads="1"/>
        </xdr:cNvSpPr>
      </xdr:nvSpPr>
      <xdr:spPr bwMode="auto">
        <a:xfrm>
          <a:off x="15192375" y="3324225"/>
          <a:ext cx="1524000" cy="12715875"/>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fr-FR" sz="1100" b="0" i="0" u="none" strike="noStrike" baseline="0">
              <a:solidFill>
                <a:srgbClr val="000000"/>
              </a:solidFill>
              <a:latin typeface="Times New Roman"/>
              <a:ea typeface="Times New Roman"/>
              <a:cs typeface="Times New Roman"/>
            </a:rPr>
            <a:t> Cuire le riz à sushi à l'autocuiseur après rinçage jusqu'à clarté de l'eau. garder tiède. Arroser de saké et vinaigre de riz en fin de cuisson. </a:t>
          </a:r>
        </a:p>
        <a:p>
          <a:pPr algn="l" rtl="0">
            <a:lnSpc>
              <a:spcPts val="1200"/>
            </a:lnSpc>
            <a:defRPr sz="1000"/>
          </a:pPr>
          <a:endParaRPr lang="fr-FR" sz="1100" b="0" i="0" u="none" strike="noStrike" baseline="0">
            <a:solidFill>
              <a:srgbClr val="000000"/>
            </a:solidFill>
            <a:latin typeface="Times New Roman"/>
            <a:ea typeface="Times New Roman"/>
            <a:cs typeface="Times New Roman"/>
          </a:endParaRPr>
        </a:p>
        <a:p>
          <a:pPr algn="l" rtl="0">
            <a:lnSpc>
              <a:spcPts val="1200"/>
            </a:lnSpc>
            <a:defRPr sz="1000"/>
          </a:pPr>
          <a:r>
            <a:rPr lang="fr-FR" sz="1100" b="0" i="0" u="none" strike="noStrike" baseline="0">
              <a:solidFill>
                <a:srgbClr val="000000"/>
              </a:solidFill>
              <a:latin typeface="Times New Roman"/>
              <a:ea typeface="Times New Roman"/>
              <a:cs typeface="Times New Roman"/>
            </a:rPr>
            <a:t> 1°) NIGIRI Tailler le saumon et la daurade en fines lamelles. Réserver au frais.</a:t>
          </a:r>
        </a:p>
        <a:p>
          <a:pPr algn="l" rtl="0">
            <a:lnSpc>
              <a:spcPts val="1200"/>
            </a:lnSpc>
            <a:defRPr sz="1000"/>
          </a:pPr>
          <a:r>
            <a:rPr lang="fr-FR" sz="1100" b="0" i="0" u="none" strike="noStrike" baseline="0">
              <a:solidFill>
                <a:srgbClr val="000000"/>
              </a:solidFill>
              <a:latin typeface="Times New Roman"/>
              <a:ea typeface="Times New Roman"/>
              <a:cs typeface="Times New Roman"/>
            </a:rPr>
            <a:t>Montage: dans le creux de la main poser le saumon , tirer un trait de wasabi, mouler le riz.</a:t>
          </a:r>
        </a:p>
        <a:p>
          <a:pPr algn="l" rtl="0">
            <a:defRPr sz="1000"/>
          </a:pPr>
          <a:endParaRPr lang="fr-FR" sz="1100" b="0" i="0" u="none" strike="noStrike" baseline="0">
            <a:solidFill>
              <a:srgbClr val="000000"/>
            </a:solidFill>
            <a:latin typeface="Times New Roman"/>
            <a:ea typeface="Times New Roman"/>
            <a:cs typeface="Times New Roman"/>
          </a:endParaRPr>
        </a:p>
        <a:p>
          <a:pPr algn="l" rtl="0">
            <a:defRPr sz="1000"/>
          </a:pPr>
          <a:r>
            <a:rPr lang="fr-FR" sz="1100" b="0" i="0" u="none" strike="noStrike" baseline="0">
              <a:solidFill>
                <a:srgbClr val="000000"/>
              </a:solidFill>
              <a:latin typeface="Times New Roman"/>
              <a:ea typeface="Times New Roman"/>
              <a:cs typeface="Times New Roman"/>
            </a:rPr>
            <a:t>2°) MAKI SUSHI: préparer les ingrédients en julienne, rouler sur tapis </a:t>
          </a:r>
        </a:p>
        <a:p>
          <a:pPr algn="l" rtl="0">
            <a:lnSpc>
              <a:spcPts val="1200"/>
            </a:lnSpc>
            <a:defRPr sz="1000"/>
          </a:pPr>
          <a:r>
            <a:rPr lang="fr-FR" sz="1100" b="0" i="0" u="none" strike="noStrike" baseline="0">
              <a:solidFill>
                <a:srgbClr val="000000"/>
              </a:solidFill>
              <a:latin typeface="Times New Roman"/>
              <a:ea typeface="Times New Roman"/>
              <a:cs typeface="Times New Roman"/>
            </a:rPr>
            <a:t>tailler en 4 tronçons</a:t>
          </a:r>
        </a:p>
        <a:p>
          <a:pPr algn="l" rtl="0">
            <a:defRPr sz="1000"/>
          </a:pPr>
          <a:endParaRPr lang="fr-FR" sz="1100" b="0" i="0" u="none" strike="noStrike" baseline="0">
            <a:solidFill>
              <a:srgbClr val="000000"/>
            </a:solidFill>
            <a:latin typeface="Times New Roman"/>
            <a:ea typeface="Times New Roman"/>
            <a:cs typeface="Times New Roman"/>
          </a:endParaRPr>
        </a:p>
        <a:p>
          <a:pPr algn="l" rtl="0">
            <a:lnSpc>
              <a:spcPts val="1300"/>
            </a:lnSpc>
            <a:defRPr sz="1000"/>
          </a:pPr>
          <a:r>
            <a:rPr lang="fr-FR" sz="1100" b="0" i="0" u="none" strike="noStrike" baseline="0">
              <a:solidFill>
                <a:srgbClr val="000000"/>
              </a:solidFill>
              <a:latin typeface="Times New Roman"/>
              <a:ea typeface="Times New Roman"/>
              <a:cs typeface="Times New Roman"/>
            </a:rPr>
            <a:t>3°) CALIFORNIA ROLLS: procéder comme pour le Maki mais en inversant le riz et le nori. Cuire une crèpe épaisse d'oeuf battu refroidir, tailler en lanière</a:t>
          </a:r>
        </a:p>
        <a:p>
          <a:pPr algn="l" rtl="0">
            <a:lnSpc>
              <a:spcPts val="1300"/>
            </a:lnSpc>
            <a:defRPr sz="1000"/>
          </a:pPr>
          <a:endParaRPr lang="fr-FR" sz="1100" b="0" i="0" u="none" strike="noStrike" baseline="0">
            <a:solidFill>
              <a:srgbClr val="000000"/>
            </a:solidFill>
            <a:latin typeface="Times New Roman"/>
            <a:ea typeface="Times New Roman"/>
            <a:cs typeface="Times New Roman"/>
          </a:endParaRPr>
        </a:p>
        <a:p>
          <a:pPr algn="l" rtl="0">
            <a:lnSpc>
              <a:spcPts val="1300"/>
            </a:lnSpc>
            <a:defRPr sz="1000"/>
          </a:pPr>
          <a:r>
            <a:rPr lang="fr-FR" sz="1100" b="0" i="0" u="none" strike="noStrike" baseline="0">
              <a:solidFill>
                <a:srgbClr val="000000"/>
              </a:solidFill>
              <a:latin typeface="Times New Roman"/>
              <a:ea typeface="Times New Roman"/>
              <a:cs typeface="Times New Roman"/>
            </a:rPr>
            <a:t>4°) RAINBOW SUSHI: procéder comme pour le califronia roll mais farcir avec lanières de maquereau sashimi glacés de sauce unagi</a:t>
          </a:r>
        </a:p>
        <a:p>
          <a:pPr algn="l" rtl="0">
            <a:lnSpc>
              <a:spcPts val="1300"/>
            </a:lnSpc>
            <a:defRPr sz="1000"/>
          </a:pPr>
          <a:r>
            <a:rPr lang="fr-FR" sz="1100" b="0" i="0" u="none" strike="noStrike" baseline="0">
              <a:solidFill>
                <a:srgbClr val="000000"/>
              </a:solidFill>
              <a:latin typeface="Times New Roman"/>
              <a:ea typeface="Times New Roman"/>
              <a:cs typeface="Times New Roman"/>
            </a:rPr>
            <a:t>SAUCE UNAGI: porter à ébullition le sucre , le soja et le saké, réduire à la nappe</a:t>
          </a:r>
        </a:p>
        <a:p>
          <a:pPr algn="l" rtl="0">
            <a:lnSpc>
              <a:spcPts val="1300"/>
            </a:lnSpc>
            <a:defRPr sz="1000"/>
          </a:pPr>
          <a:endParaRPr lang="fr-FR" sz="1100" b="0" i="0" u="none" strike="noStrike" baseline="0">
            <a:solidFill>
              <a:srgbClr val="000000"/>
            </a:solidFill>
            <a:latin typeface="Times New Roman"/>
            <a:ea typeface="Times New Roman"/>
            <a:cs typeface="Times New Roman"/>
          </a:endParaRPr>
        </a:p>
        <a:p>
          <a:pPr algn="l" rtl="0">
            <a:lnSpc>
              <a:spcPts val="1300"/>
            </a:lnSpc>
            <a:defRPr sz="1000"/>
          </a:pPr>
          <a:r>
            <a:rPr lang="fr-FR" sz="1100" b="0" i="0" u="none" strike="noStrike" baseline="0">
              <a:solidFill>
                <a:srgbClr val="000000"/>
              </a:solidFill>
              <a:latin typeface="Times New Roman"/>
              <a:ea typeface="Times New Roman"/>
              <a:cs typeface="Times New Roman"/>
            </a:rPr>
            <a:t>recouvrir le sushi de lamelles d'avocat et filmer . Au moment, napper au pinceau de sauce unagi pour faire briller. Tailler en 4 tronçons</a:t>
          </a:r>
        </a:p>
        <a:p>
          <a:pPr algn="l" rtl="0">
            <a:lnSpc>
              <a:spcPts val="1300"/>
            </a:lnSpc>
            <a:defRPr sz="1000"/>
          </a:pPr>
          <a:endParaRPr lang="fr-FR" sz="1100" b="0" i="0" u="none" strike="noStrike" baseline="0">
            <a:solidFill>
              <a:srgbClr val="000000"/>
            </a:solidFill>
            <a:latin typeface="Times New Roman"/>
            <a:ea typeface="Times New Roman"/>
            <a:cs typeface="Times New Roman"/>
          </a:endParaRPr>
        </a:p>
        <a:p>
          <a:pPr algn="l" rtl="0">
            <a:lnSpc>
              <a:spcPts val="1200"/>
            </a:lnSpc>
            <a:defRPr sz="1000"/>
          </a:pPr>
          <a:endParaRPr lang="fr-FR" sz="1100" b="0" i="0" u="none" strike="noStrike" baseline="0">
            <a:solidFill>
              <a:srgbClr val="000000"/>
            </a:solidFill>
            <a:latin typeface="Times New Roman"/>
            <a:ea typeface="Times New Roman"/>
            <a:cs typeface="Times New Roman"/>
          </a:endParaRPr>
        </a:p>
        <a:p>
          <a:pPr algn="l" rtl="0">
            <a:lnSpc>
              <a:spcPts val="1300"/>
            </a:lnSpc>
            <a:defRPr sz="1000"/>
          </a:pPr>
          <a:r>
            <a:rPr lang="fr-FR" sz="1100" b="0" i="0" u="none" strike="noStrike" baseline="0">
              <a:solidFill>
                <a:srgbClr val="000000"/>
              </a:solidFill>
              <a:latin typeface="Times New Roman"/>
              <a:ea typeface="Times New Roman"/>
              <a:cs typeface="Times New Roman"/>
            </a:rPr>
            <a:t>5°) Sauce soja:</a:t>
          </a:r>
        </a:p>
        <a:p>
          <a:pPr algn="l" rtl="0">
            <a:lnSpc>
              <a:spcPts val="1200"/>
            </a:lnSpc>
            <a:defRPr sz="1000"/>
          </a:pPr>
          <a:r>
            <a:rPr lang="fr-FR" sz="1100" b="0" i="0" u="none" strike="noStrike" baseline="0">
              <a:solidFill>
                <a:srgbClr val="000000"/>
              </a:solidFill>
              <a:latin typeface="Times New Roman"/>
              <a:ea typeface="Times New Roman"/>
              <a:cs typeface="Times New Roman"/>
            </a:rPr>
            <a:t>mélanger le sucre, le saké et le soja. porter doucement à ébullition, lier avc le miso.</a:t>
          </a:r>
        </a:p>
        <a:p>
          <a:pPr algn="l" rtl="0">
            <a:lnSpc>
              <a:spcPts val="1300"/>
            </a:lnSpc>
            <a:defRPr sz="1000"/>
          </a:pPr>
          <a:r>
            <a:rPr lang="fr-FR" sz="1100" b="0" i="0" u="none" strike="noStrike" baseline="0">
              <a:solidFill>
                <a:srgbClr val="000000"/>
              </a:solidFill>
              <a:latin typeface="Times New Roman"/>
              <a:ea typeface="Times New Roman"/>
              <a:cs typeface="Times New Roman"/>
            </a:rPr>
            <a:t>dresser en mini moule à oeuf au plat</a:t>
          </a:r>
        </a:p>
        <a:p>
          <a:pPr algn="l" rtl="0">
            <a:lnSpc>
              <a:spcPts val="1200"/>
            </a:lnSpc>
            <a:defRPr sz="1000"/>
          </a:pPr>
          <a:endParaRPr lang="fr-FR" sz="1100" b="0" i="0" u="none" strike="noStrike" baseline="0">
            <a:solidFill>
              <a:srgbClr val="000000"/>
            </a:solidFill>
            <a:latin typeface="Times New Roman"/>
            <a:ea typeface="Times New Roman"/>
            <a:cs typeface="Times New Roman"/>
          </a:endParaRPr>
        </a:p>
        <a:p>
          <a:pPr algn="l" rtl="0">
            <a:defRPr sz="1000"/>
          </a:pPr>
          <a:endParaRPr lang="fr-FR" sz="1100" b="0" i="0" u="none" strike="noStrike" baseline="0">
            <a:solidFill>
              <a:srgbClr val="000000"/>
            </a:solidFill>
            <a:latin typeface="Times New Roman"/>
            <a:ea typeface="Times New Roman"/>
            <a:cs typeface="Times New Roman"/>
          </a:endParaRPr>
        </a:p>
      </xdr:txBody>
    </xdr:sp>
    <xdr:clientData/>
  </xdr:twoCellAnchor>
  <xdr:twoCellAnchor>
    <xdr:from>
      <xdr:col>16</xdr:col>
      <xdr:colOff>53975</xdr:colOff>
      <xdr:row>2</xdr:row>
      <xdr:rowOff>149225</xdr:rowOff>
    </xdr:from>
    <xdr:to>
      <xdr:col>19</xdr:col>
      <xdr:colOff>358775</xdr:colOff>
      <xdr:row>3</xdr:row>
      <xdr:rowOff>1117547</xdr:rowOff>
    </xdr:to>
    <xdr:sp macro="" textlink="">
      <xdr:nvSpPr>
        <xdr:cNvPr id="8" name="AutoShape 14">
          <a:extLst>
            <a:ext uri="{FF2B5EF4-FFF2-40B4-BE49-F238E27FC236}">
              <a16:creationId xmlns:a16="http://schemas.microsoft.com/office/drawing/2014/main" id="{A09E0EB7-FBF6-4034-9CB3-BBB141A3F2A4}"/>
            </a:ext>
          </a:extLst>
        </xdr:cNvPr>
        <xdr:cNvSpPr>
          <a:spLocks noChangeArrowheads="1"/>
        </xdr:cNvSpPr>
      </xdr:nvSpPr>
      <xdr:spPr bwMode="auto">
        <a:xfrm>
          <a:off x="16008350" y="920750"/>
          <a:ext cx="2590800" cy="1282647"/>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fr-FR" sz="1000" b="0" i="0" u="none" strike="noStrike" baseline="0">
              <a:solidFill>
                <a:srgbClr val="000000"/>
              </a:solidFill>
              <a:latin typeface="Arial"/>
              <a:ea typeface="Arial"/>
              <a:cs typeface="Arial"/>
            </a:rPr>
            <a:t>Assiette composée de 5 pièces , un sushi maki et deux nigiri au saumon et daurade, 1 california rolls, 1 rainbow sushi</a:t>
          </a:r>
        </a:p>
      </xdr:txBody>
    </xdr:sp>
    <xdr:clientData/>
  </xdr:twoCellAnchor>
  <xdr:twoCellAnchor editAs="oneCell">
    <xdr:from>
      <xdr:col>20</xdr:col>
      <xdr:colOff>47625</xdr:colOff>
      <xdr:row>1</xdr:row>
      <xdr:rowOff>247650</xdr:rowOff>
    </xdr:from>
    <xdr:to>
      <xdr:col>23</xdr:col>
      <xdr:colOff>142875</xdr:colOff>
      <xdr:row>3</xdr:row>
      <xdr:rowOff>733425</xdr:rowOff>
    </xdr:to>
    <xdr:pic>
      <xdr:nvPicPr>
        <xdr:cNvPr id="9" name="Picture 15" descr="G:\ChF work\Ch. F\MAN\REPAS JAPON\100_0624.JPG">
          <a:extLst>
            <a:ext uri="{FF2B5EF4-FFF2-40B4-BE49-F238E27FC236}">
              <a16:creationId xmlns:a16="http://schemas.microsoft.com/office/drawing/2014/main" id="{590EACA3-4AE8-41E4-BF7B-D341C03556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00" y="476250"/>
          <a:ext cx="23812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excel-exercice.com/somme-si-ens/" TargetMode="External"/><Relationship Id="rId18" Type="http://schemas.openxmlformats.org/officeDocument/2006/relationships/hyperlink" Target="https://www.youtube.com/watch?v=yk_ypXvUaHo" TargetMode="External"/><Relationship Id="rId26"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3" Type="http://schemas.openxmlformats.org/officeDocument/2006/relationships/hyperlink" Target="https://www.google.fr/search?q=piffom%C3%A9trie&amp;ie=utf-8&amp;oe=utf-8&amp;client=firefox-b&amp;gfe_rd=cr&amp;dcr=0&amp;ei=yYrYWZrKMYfAaMTIipgK" TargetMode="External"/><Relationship Id="rId21" Type="http://schemas.openxmlformats.org/officeDocument/2006/relationships/hyperlink" Target="https://www.youtube.com/watch?v=HoP5kZ-f-EA&amp;ab_channel=excelexercice" TargetMode="External"/><Relationship Id="rId34" Type="http://schemas.openxmlformats.org/officeDocument/2006/relationships/drawing" Target="../drawings/drawing1.xml"/><Relationship Id="rId7" Type="http://schemas.openxmlformats.org/officeDocument/2006/relationships/hyperlink" Target="https://www.youtube.com/c/TutoDeRien/playlists" TargetMode="External"/><Relationship Id="rId12"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17" Type="http://schemas.openxmlformats.org/officeDocument/2006/relationships/hyperlink" Target="https://www.superprof.fr/blog/conseils-pratiques-en-maths/" TargetMode="External"/><Relationship Id="rId25" Type="http://schemas.openxmlformats.org/officeDocument/2006/relationships/hyperlink" Target="https://www.youtube.com/watch?v=li4XNespLxg" TargetMode="External"/><Relationship Id="rId33" Type="http://schemas.openxmlformats.org/officeDocument/2006/relationships/printerSettings" Target="../printerSettings/printerSettings1.bin"/><Relationship Id="rId2" Type="http://schemas.openxmlformats.org/officeDocument/2006/relationships/hyperlink" Target="http://www.excel-downloads.com/remository/Download/Professionnels/Planification-et-gestion-de-projets/SPACE.html" TargetMode="External"/><Relationship Id="rId16" Type="http://schemas.openxmlformats.org/officeDocument/2006/relationships/hyperlink" Target="https://www.ionos.fr/digitalguide/web-marketing/vendre-sur-internet/fonction-si-excel/" TargetMode="External"/><Relationship Id="rId20" Type="http://schemas.openxmlformats.org/officeDocument/2006/relationships/hyperlink" Target="https://support.office.com/fr-fr/article/combiner-le-texte-de-deux-cellules-ou-plus-en-une-cellule-81ba0946-ce78-42ed-b3c3-21340eb164a6" TargetMode="External"/><Relationship Id="rId29" Type="http://schemas.openxmlformats.org/officeDocument/2006/relationships/hyperlink" Target="https://www.ionos.fr/digitalguide/web-marketing/vendre-sur-internet/alternatives-gratuites-a-microsoft-excel/" TargetMode="External"/><Relationship Id="rId1" Type="http://schemas.openxmlformats.org/officeDocument/2006/relationships/hyperlink" Target="http://www.excel-downloads.com/forum/111720-space.html" TargetMode="External"/><Relationship Id="rId6" Type="http://schemas.openxmlformats.org/officeDocument/2006/relationships/hyperlink" Target="https://support.microsoft.com/fr-fr/excel" TargetMode="External"/><Relationship Id="rId11" Type="http://schemas.openxmlformats.org/officeDocument/2006/relationships/hyperlink" Target="https://www.youtube.com/watch?v=li4XNespLxg" TargetMode="External"/><Relationship Id="rId24" Type="http://schemas.openxmlformats.org/officeDocument/2006/relationships/hyperlink" Target="https://www.youtube.com/watch?v=YfGrccEQGKk" TargetMode="External"/><Relationship Id="rId32" Type="http://schemas.openxmlformats.org/officeDocument/2006/relationships/hyperlink" Target="https://www.excel-exercice.com/" TargetMode="External"/><Relationship Id="rId5" Type="http://schemas.openxmlformats.org/officeDocument/2006/relationships/hyperlink" Target="https://www.youtube.com/c/K%C3%A9vinBrundu/videos" TargetMode="External"/><Relationship Id="rId15" Type="http://schemas.openxmlformats.org/officeDocument/2006/relationships/hyperlink" Target="https://www.ionos.fr/digitalguide/web-marketing/vendre-sur-internet/alternatives-gratuites-a-microsoft-excel/" TargetMode="External"/><Relationship Id="rId23" Type="http://schemas.openxmlformats.org/officeDocument/2006/relationships/hyperlink" Target="https://www.google.fr/search?q=piffom%C3%A9trie&amp;ie=utf-8&amp;oe=utf-8&amp;client=firefox-b&amp;gfe_rd=cr&amp;dcr=0&amp;ei=yYrYWZrKMYfAaMTIipgK" TargetMode="External"/><Relationship Id="rId28" Type="http://schemas.openxmlformats.org/officeDocument/2006/relationships/hyperlink" Target="https://forums.commentcamarche.net/forum/bureautique-25" TargetMode="External"/><Relationship Id="rId10" Type="http://schemas.openxmlformats.org/officeDocument/2006/relationships/hyperlink" Target="https://www.youtube.com/watch?v=YfGrccEQGKk" TargetMode="External"/><Relationship Id="rId19" Type="http://schemas.openxmlformats.org/officeDocument/2006/relationships/hyperlink" Target="https://www.informatique-bureautique.com/moodle/mod/page/view.php?id=5026" TargetMode="External"/><Relationship Id="rId31" Type="http://schemas.openxmlformats.org/officeDocument/2006/relationships/hyperlink" Target="https://www.superprof.fr/blog/conseils-pratiques-en-maths/" TargetMode="External"/><Relationship Id="rId4" Type="http://schemas.openxmlformats.org/officeDocument/2006/relationships/hyperlink" Target="https://www.youtube.com/watch?v=e2kzRDcW5iI" TargetMode="External"/><Relationship Id="rId9" Type="http://schemas.openxmlformats.org/officeDocument/2006/relationships/hyperlink" Target="https://www.youtube.com/user/ExcelExercice/videos" TargetMode="External"/><Relationship Id="rId14" Type="http://schemas.openxmlformats.org/officeDocument/2006/relationships/hyperlink" Target="https://forums.commentcamarche.net/forum/bureautique-25" TargetMode="External"/><Relationship Id="rId22" Type="http://schemas.openxmlformats.org/officeDocument/2006/relationships/hyperlink" Target="http://www.mdf-xlpages.com/modules/publisher/item.php?itemid=91" TargetMode="External"/><Relationship Id="rId27" Type="http://schemas.openxmlformats.org/officeDocument/2006/relationships/hyperlink" Target="https://www.excel-exercice.com/trouver-les-liens-externes-dun-classeur/" TargetMode="External"/><Relationship Id="rId30" Type="http://schemas.openxmlformats.org/officeDocument/2006/relationships/hyperlink" Target="https://www.ionos.fr/digitalguide/web-marketing/vendre-sur-internet/fonction-si-excel/" TargetMode="External"/><Relationship Id="rId8" Type="http://schemas.openxmlformats.org/officeDocument/2006/relationships/hyperlink" Target="https://www.youtube.com/channel/UCK4qfUuh9kpBByJFIMBPTtA/playlist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etab.ac-poitiers.fr/lycee-hotelier-la-rochelle/spip.php?rubrique7" TargetMode="External"/><Relationship Id="rId1" Type="http://schemas.openxmlformats.org/officeDocument/2006/relationships/hyperlink" Target="http://etab.ac-poitiers.fr/lycee-hotelier-la-rochelle/spip.php?auteur10" TargetMode="External"/><Relationship Id="rId4"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etab.ac-poitiers.fr/lycee-hotelier-la-rochelle/spip.php?auteur10"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etab.ac-poitiers.fr/lycee-hotelier-la-rochelle/spip.php?auteur1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etab.ac-poitiers.fr/lycee-hotelier-la-rochelle/spip.php?auteur1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etab.ac-poitiers.fr/lycee-hotelier-la-rochelle/spip.php?auteur10"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8" Type="http://schemas.openxmlformats.org/officeDocument/2006/relationships/hyperlink" Target="http://www.lh2t.com/" TargetMode="External"/><Relationship Id="rId3" Type="http://schemas.openxmlformats.org/officeDocument/2006/relationships/hyperlink" Target="http://etab.ac-poitiers.fr/lycee-hotelier-la-rochelle/spip.php?article64" TargetMode="External"/><Relationship Id="rId7" Type="http://schemas.openxmlformats.org/officeDocument/2006/relationships/hyperlink" Target="http://etab.ac-poitiers.fr/lycee-hotelier-la-rochelle/spip.php?article64" TargetMode="External"/><Relationship Id="rId2" Type="http://schemas.openxmlformats.org/officeDocument/2006/relationships/hyperlink" Target="http://www.cuisinealafrancaise.com/fr/2-poids-et-mesur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hyperlink" Target="http://etab.ac-poitiers.fr/lycee-hotelier-la-rochelle/spip.php?article64" TargetMode="External"/><Relationship Id="rId5" Type="http://schemas.openxmlformats.org/officeDocument/2006/relationships/hyperlink" Target="http://etab.ac-poitiers.fr/lycee-hotelier-la-rochelle/spip.php?article64" TargetMode="External"/><Relationship Id="rId10" Type="http://schemas.openxmlformats.org/officeDocument/2006/relationships/drawing" Target="../drawings/drawing19.xml"/><Relationship Id="rId4" Type="http://schemas.openxmlformats.org/officeDocument/2006/relationships/hyperlink" Target="http://etab.ac-poitiers.fr/lycee-hotelier-la-rochelle/spip.php?article64" TargetMode="External"/><Relationship Id="rId9"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etab.ac-poitiers.fr/lycee-hotelier-la-rochelle/spip.php?article64"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5" Type="http://schemas.openxmlformats.org/officeDocument/2006/relationships/drawing" Target="../drawings/drawing21.xml"/><Relationship Id="rId4"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3.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22.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3.xml"/><Relationship Id="rId4"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6.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24.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7.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2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8.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9.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facebook.com/pages/category/High-School/L-actualit%C3%A9-du-lyc%C3%A9e-h%C3%B4telier-de-Tahiti-366087313529039/" TargetMode="External"/><Relationship Id="rId2" Type="http://schemas.openxmlformats.org/officeDocument/2006/relationships/hyperlink" Target="http://etab.ac-poitiers.fr/lycee-hotelier-la-rochelle/spip.php?auteur10" TargetMode="External"/><Relationship Id="rId1" Type="http://schemas.openxmlformats.org/officeDocument/2006/relationships/hyperlink" Target="http://etab.ac-poitiers.fr/lycee-hotelier-la-rochelle/spip.php?rubrique7" TargetMode="External"/><Relationship Id="rId5" Type="http://schemas.openxmlformats.org/officeDocument/2006/relationships/printerSettings" Target="../printerSettings/printerSettings3.bin"/><Relationship Id="rId4" Type="http://schemas.openxmlformats.org/officeDocument/2006/relationships/hyperlink" Target="http://www.lh2t.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lh2t.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facebook.com/pages/category/High-School/L-actualit%C3%A9-du-lyc%C3%A9e-h%C3%B4telier-de-Tahiti-366087313529039/" TargetMode="External"/><Relationship Id="rId2" Type="http://schemas.openxmlformats.org/officeDocument/2006/relationships/hyperlink" Target="http://etab.ac-poitiers.fr/lycee-hotelier-la-rochelle/spip.php?auteur10" TargetMode="External"/><Relationship Id="rId1" Type="http://schemas.openxmlformats.org/officeDocument/2006/relationships/hyperlink" Target="http://etab.ac-poitiers.fr/lycee-hotelier-la-rochelle/spip.php?rubrique7" TargetMode="External"/><Relationship Id="rId5" Type="http://schemas.openxmlformats.org/officeDocument/2006/relationships/printerSettings" Target="../printerSettings/printerSettings5.bin"/><Relationship Id="rId4" Type="http://schemas.openxmlformats.org/officeDocument/2006/relationships/hyperlink" Target="http://www.lh2t.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lh2t.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etab.ac-poitiers.fr/lycee-hotelier-la-rochelle/spip.php?auteur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R143"/>
  <sheetViews>
    <sheetView showZeros="0" tabSelected="1" showWhiteSpace="0" zoomScale="61" zoomScaleNormal="61" zoomScalePageLayoutView="58" workbookViewId="0">
      <selection activeCell="AG16" sqref="AG16"/>
    </sheetView>
  </sheetViews>
  <sheetFormatPr baseColWidth="10" defaultRowHeight="15"/>
  <cols>
    <col min="1" max="1" width="14.5703125" style="9" customWidth="1"/>
    <col min="2" max="6" width="11.42578125" style="9"/>
    <col min="7" max="7" width="8" style="9" customWidth="1"/>
    <col min="8" max="11" width="11.42578125" style="9"/>
    <col min="12" max="16" width="11.42578125" style="10"/>
    <col min="17" max="18" width="11.42578125" style="5"/>
    <col min="19" max="19" width="16.140625" style="5" customWidth="1"/>
    <col min="20" max="20" width="11.42578125" style="5"/>
    <col min="21" max="21" width="14.42578125" style="5" customWidth="1"/>
    <col min="22" max="22" width="11.42578125" style="5"/>
    <col min="23" max="23" width="14.42578125" style="5" customWidth="1"/>
    <col min="24" max="24" width="16.85546875" style="5" customWidth="1"/>
    <col min="25" max="256" width="11.42578125" style="5"/>
    <col min="257" max="257" width="14.5703125" style="5" customWidth="1"/>
    <col min="258" max="262" width="11.42578125" style="5"/>
    <col min="263" max="263" width="8" style="5" customWidth="1"/>
    <col min="264" max="512" width="11.42578125" style="5"/>
    <col min="513" max="513" width="14.5703125" style="5" customWidth="1"/>
    <col min="514" max="518" width="11.42578125" style="5"/>
    <col min="519" max="519" width="8" style="5" customWidth="1"/>
    <col min="520" max="768" width="11.42578125" style="5"/>
    <col min="769" max="769" width="14.5703125" style="5" customWidth="1"/>
    <col min="770" max="774" width="11.42578125" style="5"/>
    <col min="775" max="775" width="8" style="5" customWidth="1"/>
    <col min="776" max="1024" width="11.42578125" style="5"/>
    <col min="1025" max="1025" width="14.5703125" style="5" customWidth="1"/>
    <col min="1026" max="1030" width="11.42578125" style="5"/>
    <col min="1031" max="1031" width="8" style="5" customWidth="1"/>
    <col min="1032" max="1280" width="11.42578125" style="5"/>
    <col min="1281" max="1281" width="14.5703125" style="5" customWidth="1"/>
    <col min="1282" max="1286" width="11.42578125" style="5"/>
    <col min="1287" max="1287" width="8" style="5" customWidth="1"/>
    <col min="1288" max="1536" width="11.42578125" style="5"/>
    <col min="1537" max="1537" width="14.5703125" style="5" customWidth="1"/>
    <col min="1538" max="1542" width="11.42578125" style="5"/>
    <col min="1543" max="1543" width="8" style="5" customWidth="1"/>
    <col min="1544" max="1792" width="11.42578125" style="5"/>
    <col min="1793" max="1793" width="14.5703125" style="5" customWidth="1"/>
    <col min="1794" max="1798" width="11.42578125" style="5"/>
    <col min="1799" max="1799" width="8" style="5" customWidth="1"/>
    <col min="1800" max="2048" width="11.42578125" style="5"/>
    <col min="2049" max="2049" width="14.5703125" style="5" customWidth="1"/>
    <col min="2050" max="2054" width="11.42578125" style="5"/>
    <col min="2055" max="2055" width="8" style="5" customWidth="1"/>
    <col min="2056" max="2304" width="11.42578125" style="5"/>
    <col min="2305" max="2305" width="14.5703125" style="5" customWidth="1"/>
    <col min="2306" max="2310" width="11.42578125" style="5"/>
    <col min="2311" max="2311" width="8" style="5" customWidth="1"/>
    <col min="2312" max="2560" width="11.42578125" style="5"/>
    <col min="2561" max="2561" width="14.5703125" style="5" customWidth="1"/>
    <col min="2562" max="2566" width="11.42578125" style="5"/>
    <col min="2567" max="2567" width="8" style="5" customWidth="1"/>
    <col min="2568" max="2816" width="11.42578125" style="5"/>
    <col min="2817" max="2817" width="14.5703125" style="5" customWidth="1"/>
    <col min="2818" max="2822" width="11.42578125" style="5"/>
    <col min="2823" max="2823" width="8" style="5" customWidth="1"/>
    <col min="2824" max="3072" width="11.42578125" style="5"/>
    <col min="3073" max="3073" width="14.5703125" style="5" customWidth="1"/>
    <col min="3074" max="3078" width="11.42578125" style="5"/>
    <col min="3079" max="3079" width="8" style="5" customWidth="1"/>
    <col min="3080" max="3328" width="11.42578125" style="5"/>
    <col min="3329" max="3329" width="14.5703125" style="5" customWidth="1"/>
    <col min="3330" max="3334" width="11.42578125" style="5"/>
    <col min="3335" max="3335" width="8" style="5" customWidth="1"/>
    <col min="3336" max="3584" width="11.42578125" style="5"/>
    <col min="3585" max="3585" width="14.5703125" style="5" customWidth="1"/>
    <col min="3586" max="3590" width="11.42578125" style="5"/>
    <col min="3591" max="3591" width="8" style="5" customWidth="1"/>
    <col min="3592" max="3840" width="11.42578125" style="5"/>
    <col min="3841" max="3841" width="14.5703125" style="5" customWidth="1"/>
    <col min="3842" max="3846" width="11.42578125" style="5"/>
    <col min="3847" max="3847" width="8" style="5" customWidth="1"/>
    <col min="3848" max="4096" width="11.42578125" style="5"/>
    <col min="4097" max="4097" width="14.5703125" style="5" customWidth="1"/>
    <col min="4098" max="4102" width="11.42578125" style="5"/>
    <col min="4103" max="4103" width="8" style="5" customWidth="1"/>
    <col min="4104" max="4352" width="11.42578125" style="5"/>
    <col min="4353" max="4353" width="14.5703125" style="5" customWidth="1"/>
    <col min="4354" max="4358" width="11.42578125" style="5"/>
    <col min="4359" max="4359" width="8" style="5" customWidth="1"/>
    <col min="4360" max="4608" width="11.42578125" style="5"/>
    <col min="4609" max="4609" width="14.5703125" style="5" customWidth="1"/>
    <col min="4610" max="4614" width="11.42578125" style="5"/>
    <col min="4615" max="4615" width="8" style="5" customWidth="1"/>
    <col min="4616" max="4864" width="11.42578125" style="5"/>
    <col min="4865" max="4865" width="14.5703125" style="5" customWidth="1"/>
    <col min="4866" max="4870" width="11.42578125" style="5"/>
    <col min="4871" max="4871" width="8" style="5" customWidth="1"/>
    <col min="4872" max="5120" width="11.42578125" style="5"/>
    <col min="5121" max="5121" width="14.5703125" style="5" customWidth="1"/>
    <col min="5122" max="5126" width="11.42578125" style="5"/>
    <col min="5127" max="5127" width="8" style="5" customWidth="1"/>
    <col min="5128" max="5376" width="11.42578125" style="5"/>
    <col min="5377" max="5377" width="14.5703125" style="5" customWidth="1"/>
    <col min="5378" max="5382" width="11.42578125" style="5"/>
    <col min="5383" max="5383" width="8" style="5" customWidth="1"/>
    <col min="5384" max="5632" width="11.42578125" style="5"/>
    <col min="5633" max="5633" width="14.5703125" style="5" customWidth="1"/>
    <col min="5634" max="5638" width="11.42578125" style="5"/>
    <col min="5639" max="5639" width="8" style="5" customWidth="1"/>
    <col min="5640" max="5888" width="11.42578125" style="5"/>
    <col min="5889" max="5889" width="14.5703125" style="5" customWidth="1"/>
    <col min="5890" max="5894" width="11.42578125" style="5"/>
    <col min="5895" max="5895" width="8" style="5" customWidth="1"/>
    <col min="5896" max="6144" width="11.42578125" style="5"/>
    <col min="6145" max="6145" width="14.5703125" style="5" customWidth="1"/>
    <col min="6146" max="6150" width="11.42578125" style="5"/>
    <col min="6151" max="6151" width="8" style="5" customWidth="1"/>
    <col min="6152" max="6400" width="11.42578125" style="5"/>
    <col min="6401" max="6401" width="14.5703125" style="5" customWidth="1"/>
    <col min="6402" max="6406" width="11.42578125" style="5"/>
    <col min="6407" max="6407" width="8" style="5" customWidth="1"/>
    <col min="6408" max="6656" width="11.42578125" style="5"/>
    <col min="6657" max="6657" width="14.5703125" style="5" customWidth="1"/>
    <col min="6658" max="6662" width="11.42578125" style="5"/>
    <col min="6663" max="6663" width="8" style="5" customWidth="1"/>
    <col min="6664" max="6912" width="11.42578125" style="5"/>
    <col min="6913" max="6913" width="14.5703125" style="5" customWidth="1"/>
    <col min="6914" max="6918" width="11.42578125" style="5"/>
    <col min="6919" max="6919" width="8" style="5" customWidth="1"/>
    <col min="6920" max="7168" width="11.42578125" style="5"/>
    <col min="7169" max="7169" width="14.5703125" style="5" customWidth="1"/>
    <col min="7170" max="7174" width="11.42578125" style="5"/>
    <col min="7175" max="7175" width="8" style="5" customWidth="1"/>
    <col min="7176" max="7424" width="11.42578125" style="5"/>
    <col min="7425" max="7425" width="14.5703125" style="5" customWidth="1"/>
    <col min="7426" max="7430" width="11.42578125" style="5"/>
    <col min="7431" max="7431" width="8" style="5" customWidth="1"/>
    <col min="7432" max="7680" width="11.42578125" style="5"/>
    <col min="7681" max="7681" width="14.5703125" style="5" customWidth="1"/>
    <col min="7682" max="7686" width="11.42578125" style="5"/>
    <col min="7687" max="7687" width="8" style="5" customWidth="1"/>
    <col min="7688" max="7936" width="11.42578125" style="5"/>
    <col min="7937" max="7937" width="14.5703125" style="5" customWidth="1"/>
    <col min="7938" max="7942" width="11.42578125" style="5"/>
    <col min="7943" max="7943" width="8" style="5" customWidth="1"/>
    <col min="7944" max="8192" width="11.42578125" style="5"/>
    <col min="8193" max="8193" width="14.5703125" style="5" customWidth="1"/>
    <col min="8194" max="8198" width="11.42578125" style="5"/>
    <col min="8199" max="8199" width="8" style="5" customWidth="1"/>
    <col min="8200" max="8448" width="11.42578125" style="5"/>
    <col min="8449" max="8449" width="14.5703125" style="5" customWidth="1"/>
    <col min="8450" max="8454" width="11.42578125" style="5"/>
    <col min="8455" max="8455" width="8" style="5" customWidth="1"/>
    <col min="8456" max="8704" width="11.42578125" style="5"/>
    <col min="8705" max="8705" width="14.5703125" style="5" customWidth="1"/>
    <col min="8706" max="8710" width="11.42578125" style="5"/>
    <col min="8711" max="8711" width="8" style="5" customWidth="1"/>
    <col min="8712" max="8960" width="11.42578125" style="5"/>
    <col min="8961" max="8961" width="14.5703125" style="5" customWidth="1"/>
    <col min="8962" max="8966" width="11.42578125" style="5"/>
    <col min="8967" max="8967" width="8" style="5" customWidth="1"/>
    <col min="8968" max="9216" width="11.42578125" style="5"/>
    <col min="9217" max="9217" width="14.5703125" style="5" customWidth="1"/>
    <col min="9218" max="9222" width="11.42578125" style="5"/>
    <col min="9223" max="9223" width="8" style="5" customWidth="1"/>
    <col min="9224" max="9472" width="11.42578125" style="5"/>
    <col min="9473" max="9473" width="14.5703125" style="5" customWidth="1"/>
    <col min="9474" max="9478" width="11.42578125" style="5"/>
    <col min="9479" max="9479" width="8" style="5" customWidth="1"/>
    <col min="9480" max="9728" width="11.42578125" style="5"/>
    <col min="9729" max="9729" width="14.5703125" style="5" customWidth="1"/>
    <col min="9730" max="9734" width="11.42578125" style="5"/>
    <col min="9735" max="9735" width="8" style="5" customWidth="1"/>
    <col min="9736" max="9984" width="11.42578125" style="5"/>
    <col min="9985" max="9985" width="14.5703125" style="5" customWidth="1"/>
    <col min="9986" max="9990" width="11.42578125" style="5"/>
    <col min="9991" max="9991" width="8" style="5" customWidth="1"/>
    <col min="9992" max="10240" width="11.42578125" style="5"/>
    <col min="10241" max="10241" width="14.5703125" style="5" customWidth="1"/>
    <col min="10242" max="10246" width="11.42578125" style="5"/>
    <col min="10247" max="10247" width="8" style="5" customWidth="1"/>
    <col min="10248" max="10496" width="11.42578125" style="5"/>
    <col min="10497" max="10497" width="14.5703125" style="5" customWidth="1"/>
    <col min="10498" max="10502" width="11.42578125" style="5"/>
    <col min="10503" max="10503" width="8" style="5" customWidth="1"/>
    <col min="10504" max="10752" width="11.42578125" style="5"/>
    <col min="10753" max="10753" width="14.5703125" style="5" customWidth="1"/>
    <col min="10754" max="10758" width="11.42578125" style="5"/>
    <col min="10759" max="10759" width="8" style="5" customWidth="1"/>
    <col min="10760" max="11008" width="11.42578125" style="5"/>
    <col min="11009" max="11009" width="14.5703125" style="5" customWidth="1"/>
    <col min="11010" max="11014" width="11.42578125" style="5"/>
    <col min="11015" max="11015" width="8" style="5" customWidth="1"/>
    <col min="11016" max="11264" width="11.42578125" style="5"/>
    <col min="11265" max="11265" width="14.5703125" style="5" customWidth="1"/>
    <col min="11266" max="11270" width="11.42578125" style="5"/>
    <col min="11271" max="11271" width="8" style="5" customWidth="1"/>
    <col min="11272" max="11520" width="11.42578125" style="5"/>
    <col min="11521" max="11521" width="14.5703125" style="5" customWidth="1"/>
    <col min="11522" max="11526" width="11.42578125" style="5"/>
    <col min="11527" max="11527" width="8" style="5" customWidth="1"/>
    <col min="11528" max="11776" width="11.42578125" style="5"/>
    <col min="11777" max="11777" width="14.5703125" style="5" customWidth="1"/>
    <col min="11778" max="11782" width="11.42578125" style="5"/>
    <col min="11783" max="11783" width="8" style="5" customWidth="1"/>
    <col min="11784" max="12032" width="11.42578125" style="5"/>
    <col min="12033" max="12033" width="14.5703125" style="5" customWidth="1"/>
    <col min="12034" max="12038" width="11.42578125" style="5"/>
    <col min="12039" max="12039" width="8" style="5" customWidth="1"/>
    <col min="12040" max="12288" width="11.42578125" style="5"/>
    <col min="12289" max="12289" width="14.5703125" style="5" customWidth="1"/>
    <col min="12290" max="12294" width="11.42578125" style="5"/>
    <col min="12295" max="12295" width="8" style="5" customWidth="1"/>
    <col min="12296" max="12544" width="11.42578125" style="5"/>
    <col min="12545" max="12545" width="14.5703125" style="5" customWidth="1"/>
    <col min="12546" max="12550" width="11.42578125" style="5"/>
    <col min="12551" max="12551" width="8" style="5" customWidth="1"/>
    <col min="12552" max="12800" width="11.42578125" style="5"/>
    <col min="12801" max="12801" width="14.5703125" style="5" customWidth="1"/>
    <col min="12802" max="12806" width="11.42578125" style="5"/>
    <col min="12807" max="12807" width="8" style="5" customWidth="1"/>
    <col min="12808" max="13056" width="11.42578125" style="5"/>
    <col min="13057" max="13057" width="14.5703125" style="5" customWidth="1"/>
    <col min="13058" max="13062" width="11.42578125" style="5"/>
    <col min="13063" max="13063" width="8" style="5" customWidth="1"/>
    <col min="13064" max="13312" width="11.42578125" style="5"/>
    <col min="13313" max="13313" width="14.5703125" style="5" customWidth="1"/>
    <col min="13314" max="13318" width="11.42578125" style="5"/>
    <col min="13319" max="13319" width="8" style="5" customWidth="1"/>
    <col min="13320" max="13568" width="11.42578125" style="5"/>
    <col min="13569" max="13569" width="14.5703125" style="5" customWidth="1"/>
    <col min="13570" max="13574" width="11.42578125" style="5"/>
    <col min="13575" max="13575" width="8" style="5" customWidth="1"/>
    <col min="13576" max="13824" width="11.42578125" style="5"/>
    <col min="13825" max="13825" width="14.5703125" style="5" customWidth="1"/>
    <col min="13826" max="13830" width="11.42578125" style="5"/>
    <col min="13831" max="13831" width="8" style="5" customWidth="1"/>
    <col min="13832" max="14080" width="11.42578125" style="5"/>
    <col min="14081" max="14081" width="14.5703125" style="5" customWidth="1"/>
    <col min="14082" max="14086" width="11.42578125" style="5"/>
    <col min="14087" max="14087" width="8" style="5" customWidth="1"/>
    <col min="14088" max="14336" width="11.42578125" style="5"/>
    <col min="14337" max="14337" width="14.5703125" style="5" customWidth="1"/>
    <col min="14338" max="14342" width="11.42578125" style="5"/>
    <col min="14343" max="14343" width="8" style="5" customWidth="1"/>
    <col min="14344" max="14592" width="11.42578125" style="5"/>
    <col min="14593" max="14593" width="14.5703125" style="5" customWidth="1"/>
    <col min="14594" max="14598" width="11.42578125" style="5"/>
    <col min="14599" max="14599" width="8" style="5" customWidth="1"/>
    <col min="14600" max="14848" width="11.42578125" style="5"/>
    <col min="14849" max="14849" width="14.5703125" style="5" customWidth="1"/>
    <col min="14850" max="14854" width="11.42578125" style="5"/>
    <col min="14855" max="14855" width="8" style="5" customWidth="1"/>
    <col min="14856" max="15104" width="11.42578125" style="5"/>
    <col min="15105" max="15105" width="14.5703125" style="5" customWidth="1"/>
    <col min="15106" max="15110" width="11.42578125" style="5"/>
    <col min="15111" max="15111" width="8" style="5" customWidth="1"/>
    <col min="15112" max="15360" width="11.42578125" style="5"/>
    <col min="15361" max="15361" width="14.5703125" style="5" customWidth="1"/>
    <col min="15362" max="15366" width="11.42578125" style="5"/>
    <col min="15367" max="15367" width="8" style="5" customWidth="1"/>
    <col min="15368" max="15616" width="11.42578125" style="5"/>
    <col min="15617" max="15617" width="14.5703125" style="5" customWidth="1"/>
    <col min="15618" max="15622" width="11.42578125" style="5"/>
    <col min="15623" max="15623" width="8" style="5" customWidth="1"/>
    <col min="15624" max="15872" width="11.42578125" style="5"/>
    <col min="15873" max="15873" width="14.5703125" style="5" customWidth="1"/>
    <col min="15874" max="15878" width="11.42578125" style="5"/>
    <col min="15879" max="15879" width="8" style="5" customWidth="1"/>
    <col min="15880" max="16128" width="11.42578125" style="5"/>
    <col min="16129" max="16129" width="14.5703125" style="5" customWidth="1"/>
    <col min="16130" max="16134" width="11.42578125" style="5"/>
    <col min="16135" max="16135" width="8" style="5" customWidth="1"/>
    <col min="16136" max="16384" width="11.42578125" style="5"/>
  </cols>
  <sheetData>
    <row r="1" spans="1:44" ht="51.75" customHeight="1">
      <c r="A1" s="1"/>
      <c r="B1" s="1"/>
      <c r="C1" s="1"/>
      <c r="D1" s="1"/>
      <c r="E1" s="1"/>
      <c r="F1" s="1"/>
      <c r="G1" s="1"/>
      <c r="H1" s="1"/>
      <c r="I1" s="1"/>
      <c r="J1" s="1"/>
      <c r="K1" s="1"/>
      <c r="L1" s="2"/>
      <c r="M1" s="2"/>
      <c r="N1" s="2"/>
      <c r="O1" s="2"/>
      <c r="P1" s="2"/>
      <c r="Q1" s="3"/>
      <c r="R1" s="3"/>
      <c r="S1" s="3"/>
      <c r="T1" s="3"/>
      <c r="U1" s="3"/>
      <c r="V1" s="3"/>
      <c r="W1" s="3"/>
      <c r="X1" s="3"/>
      <c r="Y1" s="3"/>
      <c r="Z1" s="3"/>
      <c r="AA1" s="3"/>
      <c r="AB1" s="3"/>
      <c r="AC1" s="3"/>
      <c r="AD1" s="4"/>
      <c r="AE1" s="4"/>
    </row>
    <row r="2" spans="1:44" ht="40.5" customHeight="1">
      <c r="A2" s="1"/>
      <c r="B2" s="11" t="s">
        <v>0</v>
      </c>
      <c r="C2" s="1"/>
      <c r="D2" s="1"/>
      <c r="E2" s="1"/>
      <c r="F2" s="1"/>
      <c r="G2" s="1"/>
      <c r="H2" s="1"/>
      <c r="I2" s="2"/>
      <c r="J2" s="1"/>
      <c r="K2" s="1"/>
      <c r="L2" s="2"/>
      <c r="M2" s="2"/>
      <c r="N2" s="2"/>
      <c r="O2" s="2"/>
      <c r="P2" s="2"/>
      <c r="Q2" s="3"/>
      <c r="R2" s="3"/>
      <c r="S2" s="2915"/>
      <c r="T2" s="2914"/>
      <c r="U2" s="2915" t="s">
        <v>2925</v>
      </c>
      <c r="V2" s="2914"/>
      <c r="W2" s="3"/>
      <c r="X2" s="3"/>
      <c r="Y2" s="3"/>
      <c r="Z2" s="3"/>
      <c r="AA2" s="3"/>
      <c r="AB2" s="3"/>
      <c r="AC2" s="3"/>
      <c r="AD2" s="4"/>
      <c r="AE2" s="4"/>
    </row>
    <row r="3" spans="1:44" ht="40.5" customHeight="1">
      <c r="A3" s="1"/>
      <c r="B3" s="6" t="s">
        <v>1</v>
      </c>
      <c r="C3" s="7"/>
      <c r="D3" s="1"/>
      <c r="E3" s="1"/>
      <c r="F3" s="1"/>
      <c r="G3" s="1"/>
      <c r="H3" s="1"/>
      <c r="I3" s="2"/>
      <c r="J3" s="1"/>
      <c r="K3" s="1"/>
      <c r="L3" s="2"/>
      <c r="M3" s="2"/>
      <c r="N3" s="2"/>
      <c r="O3" s="2"/>
      <c r="P3" s="2"/>
      <c r="Q3" s="3"/>
      <c r="R3" s="3"/>
      <c r="S3" s="2915"/>
      <c r="T3" s="2914"/>
      <c r="U3" s="2915" t="s">
        <v>2926</v>
      </c>
      <c r="V3" s="2914"/>
      <c r="W3" s="3"/>
      <c r="X3" s="3"/>
      <c r="Y3" s="3"/>
      <c r="Z3" s="3"/>
      <c r="AA3" s="3"/>
      <c r="AB3" s="3"/>
      <c r="AC3" s="3"/>
      <c r="AD3" s="4"/>
      <c r="AE3" s="4"/>
    </row>
    <row r="4" spans="1:44" ht="40.5" customHeight="1">
      <c r="A4" s="1"/>
      <c r="B4" s="6" t="s">
        <v>2923</v>
      </c>
      <c r="C4" s="7"/>
      <c r="D4" s="1"/>
      <c r="E4" s="1"/>
      <c r="F4" s="1"/>
      <c r="G4" s="1"/>
      <c r="H4" s="1"/>
      <c r="I4" s="2"/>
      <c r="J4" s="1"/>
      <c r="K4" s="1"/>
      <c r="L4" s="2"/>
      <c r="M4" s="2"/>
      <c r="N4" s="2"/>
      <c r="O4" s="2"/>
      <c r="P4" s="2"/>
      <c r="Q4" s="3"/>
      <c r="R4" s="3"/>
      <c r="S4" s="2912"/>
      <c r="T4" s="2913"/>
      <c r="U4" s="2912" t="s">
        <v>2924</v>
      </c>
      <c r="V4" s="2913"/>
      <c r="W4" s="3"/>
      <c r="X4" s="3"/>
      <c r="Y4" s="3"/>
      <c r="Z4" s="3"/>
      <c r="AA4" s="3"/>
      <c r="AB4" s="3"/>
      <c r="AC4" s="3"/>
      <c r="AD4" s="4"/>
      <c r="AE4" s="4"/>
    </row>
    <row r="5" spans="1:44" ht="40.5" customHeight="1">
      <c r="A5" s="1"/>
      <c r="B5" s="6" t="s">
        <v>2</v>
      </c>
      <c r="C5" s="7"/>
      <c r="D5" s="1"/>
      <c r="E5" s="1"/>
      <c r="F5" s="1"/>
      <c r="G5" s="1"/>
      <c r="H5" s="1"/>
      <c r="I5" s="2"/>
      <c r="J5" s="1"/>
      <c r="K5" s="1"/>
      <c r="L5" s="2"/>
      <c r="M5" s="2"/>
      <c r="N5" s="2"/>
      <c r="O5" s="2"/>
      <c r="P5" s="2"/>
      <c r="Q5" s="3"/>
      <c r="R5" s="3"/>
      <c r="S5" s="3"/>
      <c r="T5" s="3"/>
      <c r="U5" s="2915" t="s">
        <v>3258</v>
      </c>
      <c r="V5" s="3"/>
      <c r="W5" s="3"/>
      <c r="X5" s="3"/>
      <c r="Y5" s="3"/>
      <c r="Z5" s="3"/>
      <c r="AA5" s="3"/>
      <c r="AB5" s="3"/>
      <c r="AC5" s="3"/>
      <c r="AD5" s="4"/>
      <c r="AE5" s="4"/>
    </row>
    <row r="6" spans="1:44" ht="40.5" customHeight="1">
      <c r="A6" s="1"/>
      <c r="B6" s="6" t="s">
        <v>3</v>
      </c>
      <c r="C6" s="1"/>
      <c r="D6" s="1"/>
      <c r="E6" s="1"/>
      <c r="F6" s="1"/>
      <c r="G6" s="1"/>
      <c r="H6" s="1"/>
      <c r="I6" s="2"/>
      <c r="J6" s="1"/>
      <c r="K6" s="1"/>
      <c r="L6" s="2"/>
      <c r="M6" s="2"/>
      <c r="N6" s="2"/>
      <c r="O6" s="2"/>
      <c r="P6" s="2"/>
      <c r="Q6" s="3"/>
      <c r="R6" s="3"/>
      <c r="S6" s="3"/>
      <c r="T6" s="3"/>
      <c r="U6" s="2912" t="s">
        <v>3149</v>
      </c>
      <c r="V6" s="3"/>
      <c r="W6" s="3"/>
      <c r="X6" s="3"/>
      <c r="Y6" s="3"/>
      <c r="Z6" s="3"/>
      <c r="AA6" s="3"/>
      <c r="AB6" s="3"/>
      <c r="AC6" s="3"/>
      <c r="AD6" s="4"/>
      <c r="AE6" s="4"/>
    </row>
    <row r="7" spans="1:44" ht="40.5" customHeight="1">
      <c r="A7" s="1"/>
      <c r="B7" s="6"/>
      <c r="C7" s="1"/>
      <c r="D7" s="1"/>
      <c r="E7" s="1"/>
      <c r="F7" s="1"/>
      <c r="G7" s="1"/>
      <c r="H7" s="1"/>
      <c r="I7" s="2"/>
      <c r="J7" s="1"/>
      <c r="K7" s="1"/>
      <c r="L7" s="2"/>
      <c r="M7" s="2"/>
      <c r="N7" s="2"/>
      <c r="O7" s="2"/>
      <c r="P7" s="2"/>
      <c r="Q7" s="3"/>
      <c r="R7" s="3"/>
      <c r="S7" s="3"/>
      <c r="T7" s="3"/>
      <c r="U7" s="3"/>
      <c r="V7" s="3"/>
      <c r="W7" s="3"/>
      <c r="X7" s="3"/>
      <c r="Y7" s="3"/>
      <c r="Z7" s="3"/>
      <c r="AA7" s="3"/>
      <c r="AB7" s="3"/>
      <c r="AC7" s="3"/>
      <c r="AD7" s="4"/>
      <c r="AE7" s="4"/>
    </row>
    <row r="8" spans="1:44" s="801" customFormat="1" ht="40.5" customHeight="1">
      <c r="A8" s="8"/>
      <c r="B8" s="1080" t="s">
        <v>2757</v>
      </c>
      <c r="C8" s="8"/>
      <c r="D8" s="8"/>
      <c r="E8" s="8"/>
      <c r="F8" s="8"/>
      <c r="G8" s="8"/>
      <c r="H8" s="8"/>
      <c r="I8" s="2"/>
      <c r="J8" s="8"/>
      <c r="K8" s="8"/>
      <c r="L8" s="2"/>
      <c r="M8" s="2"/>
      <c r="N8" s="2"/>
      <c r="O8" s="2"/>
      <c r="P8" s="2"/>
      <c r="Q8" s="1080" t="s">
        <v>2758</v>
      </c>
      <c r="R8" s="1078"/>
      <c r="S8" s="1078"/>
      <c r="T8" s="1078"/>
      <c r="U8" s="1078"/>
      <c r="V8" s="1078"/>
      <c r="W8" s="1078"/>
      <c r="X8" s="1078"/>
      <c r="Y8" s="1078"/>
      <c r="Z8" s="4885" t="str">
        <f ca="1">"Page "&amp;_xlfn.SHEET()&amp;" sur "&amp;_xlfn.SHEETS()</f>
        <v>Page 1 sur 38</v>
      </c>
      <c r="AA8" s="4885"/>
      <c r="AB8" s="4885"/>
      <c r="AC8" s="1078"/>
      <c r="AD8" s="95"/>
      <c r="AE8" s="95"/>
      <c r="AF8" s="95"/>
      <c r="AG8" s="95"/>
      <c r="AH8" s="95"/>
      <c r="AI8" s="95"/>
      <c r="AJ8" s="95"/>
      <c r="AK8" s="95"/>
      <c r="AL8" s="95"/>
      <c r="AM8" s="95"/>
      <c r="AN8" s="95"/>
      <c r="AO8" s="95"/>
      <c r="AP8" s="95"/>
      <c r="AQ8" s="95"/>
      <c r="AR8" s="95"/>
    </row>
    <row r="9" spans="1:44" s="801" customFormat="1" ht="40.5" customHeight="1">
      <c r="A9" s="8"/>
      <c r="B9" s="1079"/>
      <c r="C9" s="1081" t="s">
        <v>2759</v>
      </c>
      <c r="D9" s="8"/>
      <c r="E9" s="1082" t="s">
        <v>2760</v>
      </c>
      <c r="F9" s="2"/>
      <c r="G9" s="1083" t="s">
        <v>2761</v>
      </c>
      <c r="H9" s="8"/>
      <c r="I9" s="2"/>
      <c r="J9" s="1084" t="s">
        <v>2762</v>
      </c>
      <c r="K9" s="8"/>
      <c r="L9" s="2"/>
      <c r="M9" s="2"/>
      <c r="N9" s="2"/>
      <c r="O9" s="2"/>
      <c r="P9" s="2"/>
      <c r="Q9" s="1085" t="s">
        <v>2763</v>
      </c>
      <c r="R9" s="1086"/>
      <c r="S9" s="1087">
        <v>15.5</v>
      </c>
      <c r="T9" s="1078"/>
      <c r="U9" s="1088">
        <v>15.5</v>
      </c>
      <c r="V9" s="1078"/>
      <c r="W9" s="1089">
        <v>15.5</v>
      </c>
      <c r="X9" s="1078"/>
      <c r="Y9" s="1078"/>
      <c r="Z9" s="1078"/>
      <c r="AA9" s="1078"/>
      <c r="AB9" s="1078"/>
      <c r="AC9" s="1078"/>
      <c r="AD9" s="95"/>
      <c r="AE9" s="95"/>
      <c r="AF9" s="95"/>
      <c r="AG9" s="95"/>
      <c r="AH9" s="95"/>
      <c r="AI9" s="95"/>
      <c r="AJ9" s="95"/>
      <c r="AK9" s="95"/>
      <c r="AL9" s="95"/>
      <c r="AM9" s="95"/>
      <c r="AN9" s="95"/>
      <c r="AO9" s="95"/>
      <c r="AP9" s="95"/>
      <c r="AQ9" s="95"/>
      <c r="AR9" s="95"/>
    </row>
    <row r="10" spans="1:44" s="801" customFormat="1" ht="40.5" customHeight="1">
      <c r="A10" s="8"/>
      <c r="B10" s="1079"/>
      <c r="C10" s="1081" t="s">
        <v>2764</v>
      </c>
      <c r="D10" s="8"/>
      <c r="E10" s="1082" t="s">
        <v>2765</v>
      </c>
      <c r="F10" s="2"/>
      <c r="G10" s="1083" t="s">
        <v>2766</v>
      </c>
      <c r="H10" s="8"/>
      <c r="I10" s="2"/>
      <c r="J10" s="1084" t="s">
        <v>2767</v>
      </c>
      <c r="K10" s="8"/>
      <c r="L10" s="2"/>
      <c r="M10" s="2"/>
      <c r="N10" s="2"/>
      <c r="O10" s="2"/>
      <c r="P10" s="2"/>
      <c r="Q10" s="1090" t="s">
        <v>2768</v>
      </c>
      <c r="R10" s="1086"/>
      <c r="S10" s="1082" t="s">
        <v>2769</v>
      </c>
      <c r="T10" s="1078"/>
      <c r="U10" s="1091" t="s">
        <v>2770</v>
      </c>
      <c r="V10" s="1078"/>
      <c r="W10" s="1082" t="s">
        <v>2771</v>
      </c>
      <c r="X10" s="1078"/>
      <c r="Y10" s="1078"/>
      <c r="Z10" s="1078"/>
      <c r="AA10" s="1078"/>
      <c r="AB10" s="1078"/>
      <c r="AC10" s="1078"/>
      <c r="AD10" s="95"/>
      <c r="AE10" s="95"/>
      <c r="AF10" s="95"/>
      <c r="AG10" s="95"/>
      <c r="AH10" s="95"/>
      <c r="AI10" s="95"/>
      <c r="AJ10" s="95"/>
      <c r="AK10" s="95"/>
      <c r="AL10" s="95"/>
      <c r="AM10" s="95"/>
      <c r="AN10" s="95"/>
      <c r="AO10" s="95"/>
      <c r="AP10" s="95"/>
      <c r="AQ10" s="95"/>
      <c r="AR10" s="95"/>
    </row>
    <row r="11" spans="1:44" s="801" customFormat="1" ht="40.5" customHeight="1">
      <c r="A11" s="8"/>
      <c r="B11" s="1079"/>
      <c r="C11" s="8"/>
      <c r="D11" s="8"/>
      <c r="E11" s="8"/>
      <c r="F11" s="8"/>
      <c r="G11" s="8"/>
      <c r="H11" s="8"/>
      <c r="I11" s="2"/>
      <c r="J11" s="8"/>
      <c r="K11" s="8"/>
      <c r="L11" s="2"/>
      <c r="M11" s="2"/>
      <c r="N11" s="2"/>
      <c r="O11" s="2"/>
      <c r="P11" s="2"/>
      <c r="Q11" s="1078"/>
      <c r="R11" s="1078"/>
      <c r="S11" s="1078"/>
      <c r="T11" s="1078"/>
      <c r="U11" s="1078"/>
      <c r="V11" s="1078"/>
      <c r="W11" s="1078"/>
      <c r="X11" s="1078"/>
      <c r="Y11" s="1078"/>
      <c r="Z11" s="1078"/>
      <c r="AA11" s="1078"/>
      <c r="AB11" s="1078"/>
      <c r="AC11" s="1078"/>
      <c r="AD11" s="95"/>
      <c r="AE11" s="95"/>
      <c r="AF11" s="95"/>
      <c r="AG11" s="95"/>
      <c r="AH11" s="95"/>
      <c r="AI11" s="95"/>
      <c r="AJ11" s="95"/>
      <c r="AK11" s="95"/>
      <c r="AL11" s="95"/>
      <c r="AM11" s="95"/>
      <c r="AN11" s="95"/>
      <c r="AO11" s="95"/>
      <c r="AP11" s="95"/>
      <c r="AQ11" s="95"/>
      <c r="AR11" s="95"/>
    </row>
    <row r="12" spans="1:44" s="801" customFormat="1" ht="40.5" customHeight="1">
      <c r="A12" s="8"/>
      <c r="B12" s="1080" t="s">
        <v>2772</v>
      </c>
      <c r="C12" s="8"/>
      <c r="D12" s="8"/>
      <c r="E12" s="8"/>
      <c r="F12" s="8"/>
      <c r="G12" s="8"/>
      <c r="H12" s="8"/>
      <c r="I12" s="2"/>
      <c r="J12" s="8"/>
      <c r="K12" s="8"/>
      <c r="L12" s="2"/>
      <c r="M12" s="2"/>
      <c r="N12" s="2"/>
      <c r="O12" s="2"/>
      <c r="P12" s="2"/>
      <c r="Q12" s="1078"/>
      <c r="R12" s="1078"/>
      <c r="S12" s="1078"/>
      <c r="T12" s="1078"/>
      <c r="U12" s="1078"/>
      <c r="V12" s="1078"/>
      <c r="W12" s="1078"/>
      <c r="X12" s="1078"/>
      <c r="Y12" s="1078"/>
      <c r="Z12" s="1078"/>
      <c r="AA12" s="1078"/>
      <c r="AB12" s="1078"/>
      <c r="AC12" s="1078"/>
      <c r="AD12" s="95"/>
      <c r="AE12" s="95"/>
      <c r="AF12" s="95"/>
      <c r="AG12" s="95"/>
      <c r="AH12" s="95"/>
      <c r="AI12" s="95"/>
      <c r="AJ12" s="95"/>
      <c r="AK12" s="95"/>
      <c r="AL12" s="95"/>
      <c r="AM12" s="95"/>
      <c r="AN12" s="95"/>
      <c r="AO12" s="95"/>
      <c r="AP12" s="95"/>
      <c r="AQ12" s="95"/>
      <c r="AR12" s="95"/>
    </row>
    <row r="13" spans="1:44" s="801" customFormat="1" ht="40.5" customHeight="1">
      <c r="A13" s="8"/>
      <c r="B13" s="1079"/>
      <c r="C13" s="1092" t="s">
        <v>2773</v>
      </c>
      <c r="D13" s="8"/>
      <c r="E13" s="8"/>
      <c r="F13" s="8"/>
      <c r="G13" s="8"/>
      <c r="H13" s="1093" t="s">
        <v>2774</v>
      </c>
      <c r="I13" s="1093"/>
      <c r="J13" s="8"/>
      <c r="K13" s="8"/>
      <c r="L13" s="2"/>
      <c r="M13" s="2"/>
      <c r="N13" s="2"/>
      <c r="O13" s="2"/>
      <c r="P13" s="1094" t="s">
        <v>2775</v>
      </c>
      <c r="Q13" s="1094"/>
      <c r="R13" s="1078"/>
      <c r="S13" s="1078"/>
      <c r="T13" s="1078"/>
      <c r="U13" s="1078"/>
      <c r="V13" s="1095" t="s">
        <v>2776</v>
      </c>
      <c r="W13" s="1095"/>
      <c r="X13" s="1078"/>
      <c r="Y13" s="1078"/>
      <c r="Z13" s="1078"/>
      <c r="AA13" s="1078"/>
      <c r="AB13" s="1078"/>
      <c r="AC13" s="1078"/>
      <c r="AD13" s="95"/>
      <c r="AE13" s="95"/>
      <c r="AF13" s="95"/>
      <c r="AG13" s="95"/>
      <c r="AH13" s="95"/>
      <c r="AI13" s="95"/>
      <c r="AJ13" s="95"/>
      <c r="AK13" s="95"/>
      <c r="AL13" s="95"/>
      <c r="AM13" s="95"/>
      <c r="AN13" s="95"/>
      <c r="AO13" s="95"/>
      <c r="AP13" s="95"/>
      <c r="AQ13" s="95"/>
      <c r="AR13" s="95"/>
    </row>
    <row r="14" spans="1:44" s="801" customFormat="1" ht="40.5" customHeight="1">
      <c r="A14" s="8"/>
      <c r="B14" s="1079"/>
      <c r="C14" s="1096" t="s">
        <v>2777</v>
      </c>
      <c r="D14" s="8"/>
      <c r="E14" s="8"/>
      <c r="F14" s="8"/>
      <c r="G14" s="8"/>
      <c r="H14" s="1097" t="s">
        <v>2778</v>
      </c>
      <c r="I14" s="1097"/>
      <c r="J14" s="8"/>
      <c r="K14" s="8"/>
      <c r="L14" s="2"/>
      <c r="M14" s="2"/>
      <c r="N14" s="2"/>
      <c r="O14" s="2"/>
      <c r="P14" s="1098" t="s">
        <v>2779</v>
      </c>
      <c r="Q14" s="1098"/>
      <c r="R14" s="1078"/>
      <c r="S14" s="1078"/>
      <c r="T14" s="1078"/>
      <c r="U14" s="1078"/>
      <c r="V14" s="1099" t="s">
        <v>2780</v>
      </c>
      <c r="W14" s="1099"/>
      <c r="X14" s="1078"/>
      <c r="Y14" s="1078"/>
      <c r="Z14" s="1078"/>
      <c r="AA14" s="1078"/>
      <c r="AB14" s="1078"/>
      <c r="AC14" s="1078"/>
      <c r="AD14" s="95"/>
      <c r="AE14" s="95"/>
      <c r="AF14" s="95"/>
      <c r="AG14" s="95"/>
      <c r="AH14" s="95"/>
      <c r="AI14" s="95"/>
      <c r="AJ14" s="95"/>
      <c r="AK14" s="95"/>
      <c r="AL14" s="95"/>
      <c r="AM14" s="95"/>
      <c r="AN14" s="95"/>
      <c r="AO14" s="95"/>
      <c r="AP14" s="95"/>
      <c r="AQ14" s="95"/>
      <c r="AR14" s="95"/>
    </row>
    <row r="15" spans="1:44" s="801" customFormat="1" ht="40.5" customHeight="1">
      <c r="A15" s="8"/>
      <c r="B15" s="1079"/>
      <c r="C15" s="1100" t="s">
        <v>2781</v>
      </c>
      <c r="D15" s="8"/>
      <c r="E15" s="8"/>
      <c r="F15" s="8"/>
      <c r="G15" s="8"/>
      <c r="H15" s="8"/>
      <c r="I15" s="2"/>
      <c r="J15" s="8"/>
      <c r="K15" s="8"/>
      <c r="L15" s="2"/>
      <c r="M15" s="2"/>
      <c r="N15" s="2"/>
      <c r="O15" s="2"/>
      <c r="P15" s="2"/>
      <c r="Q15" s="1078"/>
      <c r="R15" s="1078"/>
      <c r="S15" s="1078"/>
      <c r="T15" s="1078"/>
      <c r="U15" s="1078"/>
      <c r="V15" s="1078"/>
      <c r="W15" s="1078"/>
      <c r="X15" s="1078"/>
      <c r="Y15" s="1078"/>
      <c r="Z15" s="1078"/>
      <c r="AA15" s="1078"/>
      <c r="AB15" s="1078"/>
      <c r="AC15" s="1078"/>
      <c r="AD15" s="95"/>
      <c r="AE15" s="95"/>
      <c r="AF15" s="95"/>
      <c r="AG15" s="95"/>
      <c r="AH15" s="95"/>
      <c r="AI15" s="95"/>
      <c r="AJ15" s="95"/>
      <c r="AK15" s="95"/>
      <c r="AL15" s="95"/>
      <c r="AM15" s="95"/>
      <c r="AN15" s="95"/>
      <c r="AO15" s="95"/>
      <c r="AP15" s="95"/>
      <c r="AQ15" s="95"/>
      <c r="AR15" s="95"/>
    </row>
    <row r="16" spans="1:44" s="1104" customFormat="1" ht="40.5" customHeight="1">
      <c r="A16" s="1101"/>
      <c r="B16" s="1080" t="s">
        <v>2782</v>
      </c>
      <c r="C16" s="1101"/>
      <c r="D16" s="1101"/>
      <c r="E16" s="1101"/>
      <c r="F16" s="1101"/>
      <c r="G16" s="1101"/>
      <c r="H16" s="1101"/>
      <c r="I16" s="2"/>
      <c r="J16" s="1101"/>
      <c r="K16" s="1101"/>
      <c r="L16" s="2"/>
      <c r="M16" s="2"/>
      <c r="N16" s="2"/>
      <c r="O16" s="2"/>
      <c r="P16" s="2"/>
      <c r="Q16" s="1102"/>
      <c r="R16" s="1102"/>
      <c r="S16" s="1102"/>
      <c r="T16" s="1102"/>
      <c r="U16" s="1102"/>
      <c r="V16" s="1102"/>
      <c r="W16" s="1102"/>
      <c r="X16" s="1102"/>
      <c r="Y16" s="1102"/>
      <c r="Z16" s="1102"/>
      <c r="AA16" s="1102"/>
      <c r="AB16" s="1102"/>
      <c r="AC16" s="1102"/>
      <c r="AD16" s="95"/>
      <c r="AE16" s="95"/>
      <c r="AF16" s="95"/>
      <c r="AG16" s="95"/>
    </row>
    <row r="17" spans="1:33" s="1104" customFormat="1" ht="40.5" customHeight="1">
      <c r="A17" s="1101"/>
      <c r="B17" s="1105"/>
      <c r="C17" s="1106" t="s">
        <v>150</v>
      </c>
      <c r="D17" s="1107" t="s">
        <v>152</v>
      </c>
      <c r="E17" s="1108" t="s">
        <v>154</v>
      </c>
      <c r="F17" s="1109" t="s">
        <v>155</v>
      </c>
      <c r="G17" s="1110" t="s">
        <v>156</v>
      </c>
      <c r="H17" s="1111" t="s">
        <v>157</v>
      </c>
      <c r="I17" s="1112" t="s">
        <v>158</v>
      </c>
      <c r="J17" s="1113" t="s">
        <v>159</v>
      </c>
      <c r="K17" s="1114" t="s">
        <v>160</v>
      </c>
      <c r="L17" s="1115" t="s">
        <v>161</v>
      </c>
      <c r="M17" s="1116" t="s">
        <v>163</v>
      </c>
      <c r="N17" s="1117" t="s">
        <v>164</v>
      </c>
      <c r="O17" s="1118" t="s">
        <v>167</v>
      </c>
      <c r="P17" s="1109" t="s">
        <v>168</v>
      </c>
      <c r="Q17" s="1119" t="s">
        <v>169</v>
      </c>
      <c r="R17" s="1120" t="s">
        <v>170</v>
      </c>
      <c r="S17" s="1121" t="s">
        <v>171</v>
      </c>
      <c r="T17" s="1122" t="s">
        <v>172</v>
      </c>
      <c r="U17" s="1123" t="s">
        <v>173</v>
      </c>
      <c r="V17" s="1108" t="s">
        <v>174</v>
      </c>
      <c r="W17" s="1102"/>
      <c r="X17" s="1102"/>
      <c r="Y17" s="1102"/>
      <c r="Z17" s="1102"/>
      <c r="AA17" s="1102"/>
      <c r="AB17" s="1102"/>
      <c r="AC17" s="1102"/>
      <c r="AD17" s="95"/>
      <c r="AE17" s="95"/>
      <c r="AF17" s="95"/>
      <c r="AG17" s="95"/>
    </row>
    <row r="18" spans="1:33" s="1104" customFormat="1" ht="40.5" customHeight="1">
      <c r="A18" s="1101"/>
      <c r="B18" s="1105"/>
      <c r="C18" s="1101"/>
      <c r="D18" s="1101"/>
      <c r="E18" s="1101"/>
      <c r="F18" s="1101"/>
      <c r="G18" s="1101"/>
      <c r="H18" s="1101"/>
      <c r="I18" s="2"/>
      <c r="J18" s="1101"/>
      <c r="K18" s="1101"/>
      <c r="L18" s="2"/>
      <c r="M18" s="2"/>
      <c r="N18" s="2"/>
      <c r="O18" s="2"/>
      <c r="P18" s="2"/>
      <c r="Q18" s="1102"/>
      <c r="R18" s="1102"/>
      <c r="S18" s="1102"/>
      <c r="T18" s="1102"/>
      <c r="U18" s="1102"/>
      <c r="V18" s="1102"/>
      <c r="W18" s="1102"/>
      <c r="X18" s="1102"/>
      <c r="Y18" s="1102"/>
      <c r="Z18" s="1102"/>
      <c r="AA18" s="1102"/>
      <c r="AB18" s="1102"/>
      <c r="AC18" s="1102"/>
      <c r="AD18" s="95"/>
      <c r="AE18" s="95"/>
      <c r="AF18" s="95"/>
      <c r="AG18" s="95"/>
    </row>
    <row r="19" spans="1:33" s="1104" customFormat="1" ht="40.5" customHeight="1">
      <c r="A19" s="1101"/>
      <c r="B19" s="1105"/>
      <c r="C19" s="1124" t="s">
        <v>150</v>
      </c>
      <c r="D19" s="1124" t="s">
        <v>152</v>
      </c>
      <c r="E19" s="1124" t="s">
        <v>154</v>
      </c>
      <c r="F19" s="1124" t="s">
        <v>155</v>
      </c>
      <c r="G19" s="1124" t="s">
        <v>156</v>
      </c>
      <c r="H19" s="1124" t="s">
        <v>157</v>
      </c>
      <c r="I19" s="1124" t="s">
        <v>158</v>
      </c>
      <c r="J19" s="1124" t="s">
        <v>159</v>
      </c>
      <c r="K19" s="1124" t="s">
        <v>160</v>
      </c>
      <c r="L19" s="1124" t="s">
        <v>161</v>
      </c>
      <c r="M19" s="1124" t="s">
        <v>163</v>
      </c>
      <c r="N19" s="1124" t="s">
        <v>164</v>
      </c>
      <c r="O19" s="1124" t="s">
        <v>167</v>
      </c>
      <c r="P19" s="1124" t="s">
        <v>168</v>
      </c>
      <c r="Q19" s="1124" t="s">
        <v>169</v>
      </c>
      <c r="R19" s="1124" t="s">
        <v>170</v>
      </c>
      <c r="S19" s="1124" t="s">
        <v>171</v>
      </c>
      <c r="T19" s="1124" t="s">
        <v>172</v>
      </c>
      <c r="U19" s="1124" t="s">
        <v>173</v>
      </c>
      <c r="V19" s="1124" t="s">
        <v>174</v>
      </c>
      <c r="W19" s="1102"/>
      <c r="X19" s="1102"/>
      <c r="Y19" s="1102"/>
      <c r="Z19" s="1102"/>
      <c r="AA19" s="1102"/>
      <c r="AB19" s="1102"/>
      <c r="AC19" s="1102"/>
      <c r="AD19" s="95"/>
      <c r="AE19" s="95"/>
      <c r="AF19" s="95"/>
      <c r="AG19" s="95"/>
    </row>
    <row r="20" spans="1:33" s="1104" customFormat="1" ht="40.5" customHeight="1">
      <c r="A20" s="1101"/>
      <c r="B20" s="1105"/>
      <c r="C20" s="1101"/>
      <c r="D20" s="1101"/>
      <c r="E20" s="1101"/>
      <c r="F20" s="1101"/>
      <c r="G20" s="1101"/>
      <c r="H20" s="1101"/>
      <c r="I20" s="2"/>
      <c r="J20" s="1101"/>
      <c r="K20" s="1101"/>
      <c r="L20" s="2"/>
      <c r="M20" s="2"/>
      <c r="N20" s="2"/>
      <c r="O20" s="2"/>
      <c r="P20" s="2"/>
      <c r="Q20" s="1102"/>
      <c r="R20" s="1102"/>
      <c r="S20" s="1102"/>
      <c r="T20" s="1102"/>
      <c r="U20" s="1102"/>
      <c r="V20" s="1102"/>
      <c r="W20" s="1102"/>
      <c r="X20" s="1102"/>
      <c r="Y20" s="1102"/>
      <c r="Z20" s="1102"/>
      <c r="AA20" s="1102"/>
      <c r="AB20" s="1102"/>
      <c r="AC20" s="1102"/>
      <c r="AD20" s="95"/>
      <c r="AE20" s="95"/>
      <c r="AF20" s="95"/>
      <c r="AG20" s="95"/>
    </row>
    <row r="21" spans="1:33" s="1104" customFormat="1" ht="40.5" customHeight="1">
      <c r="A21" s="1101"/>
      <c r="B21" s="1105"/>
      <c r="C21" s="1125">
        <v>1</v>
      </c>
      <c r="D21" s="1125" t="s">
        <v>2783</v>
      </c>
      <c r="E21" s="1125" t="s">
        <v>2784</v>
      </c>
      <c r="F21" s="1125" t="s">
        <v>2785</v>
      </c>
      <c r="G21" s="1125" t="s">
        <v>2786</v>
      </c>
      <c r="H21" s="1125" t="s">
        <v>2787</v>
      </c>
      <c r="I21" s="1125" t="s">
        <v>2788</v>
      </c>
      <c r="J21" s="1125" t="s">
        <v>2789</v>
      </c>
      <c r="K21" s="1125" t="s">
        <v>2790</v>
      </c>
      <c r="L21" s="1125" t="s">
        <v>2791</v>
      </c>
      <c r="M21" s="1125" t="s">
        <v>2792</v>
      </c>
      <c r="N21" s="1125" t="s">
        <v>2793</v>
      </c>
      <c r="O21" s="1125" t="s">
        <v>2794</v>
      </c>
      <c r="P21" s="1125" t="s">
        <v>2795</v>
      </c>
      <c r="Q21" s="1125" t="s">
        <v>2796</v>
      </c>
      <c r="R21" s="1125" t="s">
        <v>2797</v>
      </c>
      <c r="S21" s="1125" t="s">
        <v>2798</v>
      </c>
      <c r="T21" s="1125" t="s">
        <v>2799</v>
      </c>
      <c r="U21" s="1125" t="s">
        <v>2800</v>
      </c>
      <c r="V21" s="1125" t="s">
        <v>2801</v>
      </c>
      <c r="W21" s="1102"/>
      <c r="X21" s="1102"/>
      <c r="Y21" s="1102"/>
      <c r="Z21" s="1102"/>
      <c r="AA21" s="1102"/>
      <c r="AB21" s="1102"/>
      <c r="AC21" s="1102"/>
      <c r="AD21" s="95"/>
      <c r="AE21" s="95"/>
      <c r="AF21" s="95"/>
      <c r="AG21" s="95"/>
    </row>
    <row r="22" spans="1:33" s="1104" customFormat="1" ht="40.5" customHeight="1">
      <c r="A22" s="1101"/>
      <c r="B22" s="1105"/>
      <c r="C22" s="1101"/>
      <c r="D22" s="1101"/>
      <c r="E22" s="1101"/>
      <c r="F22" s="1101"/>
      <c r="G22" s="1101"/>
      <c r="H22" s="1101"/>
      <c r="I22" s="2"/>
      <c r="J22" s="1101"/>
      <c r="K22" s="1101"/>
      <c r="L22" s="2"/>
      <c r="M22" s="2"/>
      <c r="N22" s="2"/>
      <c r="O22" s="2"/>
      <c r="P22" s="2"/>
      <c r="Q22" s="1102"/>
      <c r="R22" s="1102"/>
      <c r="S22" s="1102"/>
      <c r="T22" s="1102"/>
      <c r="U22" s="1102"/>
      <c r="V22" s="1102"/>
      <c r="W22" s="1102"/>
      <c r="X22" s="1102"/>
      <c r="Y22" s="1102"/>
      <c r="Z22" s="1102"/>
      <c r="AA22" s="1102"/>
      <c r="AB22" s="1102"/>
      <c r="AC22" s="1102"/>
      <c r="AD22" s="95"/>
      <c r="AE22" s="95"/>
      <c r="AF22" s="95"/>
      <c r="AG22" s="95"/>
    </row>
    <row r="23" spans="1:33" s="1104" customFormat="1" ht="40.5" customHeight="1">
      <c r="A23" s="1101"/>
      <c r="B23" s="1105"/>
      <c r="C23" s="1126">
        <v>1</v>
      </c>
      <c r="D23" s="1127">
        <v>2</v>
      </c>
      <c r="E23" s="1126">
        <v>3</v>
      </c>
      <c r="F23" s="1127">
        <v>4</v>
      </c>
      <c r="G23" s="1126">
        <v>5</v>
      </c>
      <c r="H23" s="1127">
        <v>6</v>
      </c>
      <c r="I23" s="1126">
        <v>7</v>
      </c>
      <c r="J23" s="1127">
        <v>8</v>
      </c>
      <c r="K23" s="1126">
        <v>9</v>
      </c>
      <c r="L23" s="1127">
        <v>10</v>
      </c>
      <c r="M23" s="1126">
        <v>11</v>
      </c>
      <c r="N23" s="1127">
        <v>12</v>
      </c>
      <c r="O23" s="1126">
        <v>13</v>
      </c>
      <c r="P23" s="1127">
        <v>14</v>
      </c>
      <c r="Q23" s="1126">
        <v>15</v>
      </c>
      <c r="R23" s="1127">
        <v>16</v>
      </c>
      <c r="S23" s="1126">
        <v>17</v>
      </c>
      <c r="T23" s="1127">
        <v>18</v>
      </c>
      <c r="U23" s="1126">
        <v>19</v>
      </c>
      <c r="V23" s="1127">
        <v>20</v>
      </c>
      <c r="W23" s="1102"/>
      <c r="X23" s="1102"/>
      <c r="Y23" s="1102"/>
      <c r="Z23" s="1102"/>
      <c r="AA23" s="1102"/>
      <c r="AB23" s="1102"/>
      <c r="AC23" s="1102"/>
      <c r="AD23" s="95"/>
      <c r="AE23" s="95"/>
      <c r="AF23" s="95"/>
      <c r="AG23" s="95"/>
    </row>
    <row r="24" spans="1:33" s="1104" customFormat="1" ht="40.5" customHeight="1">
      <c r="A24" s="1101"/>
      <c r="B24" s="1105"/>
      <c r="C24" s="1101"/>
      <c r="D24" s="1101"/>
      <c r="E24" s="1101"/>
      <c r="F24" s="1101"/>
      <c r="G24" s="1101"/>
      <c r="H24" s="1101"/>
      <c r="I24" s="2"/>
      <c r="J24" s="1101"/>
      <c r="K24" s="1101"/>
      <c r="L24" s="2"/>
      <c r="M24" s="2"/>
      <c r="N24" s="2"/>
      <c r="O24" s="2"/>
      <c r="P24" s="2"/>
      <c r="Q24" s="1102"/>
      <c r="R24" s="1102"/>
      <c r="S24" s="1102"/>
      <c r="T24" s="1102"/>
      <c r="U24" s="1102"/>
      <c r="V24" s="1102"/>
      <c r="W24" s="1102"/>
      <c r="X24" s="1102"/>
      <c r="Y24" s="1102"/>
      <c r="Z24" s="1102"/>
      <c r="AA24" s="1102"/>
      <c r="AB24" s="1102"/>
      <c r="AC24" s="1102"/>
      <c r="AD24" s="95"/>
      <c r="AE24" s="95"/>
      <c r="AF24" s="95"/>
      <c r="AG24" s="95"/>
    </row>
    <row r="25" spans="1:33" s="1104" customFormat="1" ht="40.5" customHeight="1">
      <c r="A25" s="1101"/>
      <c r="B25" s="1105"/>
      <c r="C25" s="3169" t="s">
        <v>3212</v>
      </c>
      <c r="D25" s="3170"/>
      <c r="E25" s="3170"/>
      <c r="F25" s="3170"/>
      <c r="G25" s="2"/>
      <c r="H25" s="2"/>
      <c r="I25" s="2"/>
      <c r="J25" s="2"/>
      <c r="K25" s="2"/>
      <c r="L25" s="3171" t="s">
        <v>3213</v>
      </c>
      <c r="M25" s="2"/>
      <c r="N25" s="2"/>
      <c r="O25" s="2"/>
      <c r="P25" s="2"/>
      <c r="Q25" s="1102"/>
      <c r="R25" s="3172"/>
      <c r="S25" s="1102"/>
      <c r="T25" s="1102"/>
      <c r="U25" s="1102"/>
      <c r="V25" s="1102"/>
      <c r="W25" s="1102"/>
      <c r="X25" s="1102"/>
      <c r="Y25" s="1102"/>
      <c r="Z25" s="1102"/>
      <c r="AA25" s="1102"/>
      <c r="AB25" s="1102"/>
      <c r="AC25" s="1102"/>
      <c r="AD25" s="95"/>
      <c r="AE25" s="95"/>
      <c r="AF25" s="95"/>
      <c r="AG25" s="95"/>
    </row>
    <row r="26" spans="1:33" s="1104" customFormat="1" ht="40.5" customHeight="1">
      <c r="A26" s="1101"/>
      <c r="B26" s="1105"/>
      <c r="C26" s="3173" t="s">
        <v>3214</v>
      </c>
      <c r="D26" s="3170"/>
      <c r="E26" s="3170"/>
      <c r="F26" s="3170"/>
      <c r="G26" s="3172"/>
      <c r="H26" s="3174"/>
      <c r="I26" s="3170"/>
      <c r="J26" s="3170"/>
      <c r="K26" s="1101"/>
      <c r="L26" s="2"/>
      <c r="M26" s="2"/>
      <c r="N26" s="2"/>
      <c r="O26" s="2"/>
      <c r="P26" s="2"/>
      <c r="Q26" s="1102"/>
      <c r="R26" s="1102"/>
      <c r="S26" s="1102"/>
      <c r="T26" s="1102"/>
      <c r="U26" s="1102"/>
      <c r="V26" s="1102"/>
      <c r="W26" s="1102"/>
      <c r="X26" s="1102"/>
      <c r="Y26" s="1102"/>
      <c r="Z26" s="1102"/>
      <c r="AA26" s="1102"/>
      <c r="AB26" s="1102"/>
      <c r="AC26" s="1102"/>
      <c r="AD26" s="95"/>
      <c r="AE26" s="95"/>
      <c r="AF26" s="95"/>
      <c r="AG26" s="95"/>
    </row>
    <row r="27" spans="1:33" s="1104" customFormat="1" ht="40.5" customHeight="1">
      <c r="A27" s="1101"/>
      <c r="B27" s="1105"/>
      <c r="C27" s="3175" t="s">
        <v>3215</v>
      </c>
      <c r="D27" s="3170"/>
      <c r="E27" s="3170"/>
      <c r="F27" s="3170"/>
      <c r="G27" s="3172"/>
      <c r="H27" s="3174"/>
      <c r="I27" s="3170"/>
      <c r="J27" s="3170"/>
      <c r="K27" s="1101"/>
      <c r="L27" s="2"/>
      <c r="M27" s="2"/>
      <c r="N27" s="2"/>
      <c r="O27" s="2"/>
      <c r="P27" s="2"/>
      <c r="Q27" s="1102"/>
      <c r="R27" s="1102"/>
      <c r="S27" s="1102"/>
      <c r="T27" s="1102"/>
      <c r="U27" s="1102"/>
      <c r="V27" s="1102"/>
      <c r="W27" s="1102"/>
      <c r="X27" s="1102"/>
      <c r="Y27" s="1102"/>
      <c r="Z27" s="1102"/>
      <c r="AA27" s="1102"/>
      <c r="AB27" s="1102"/>
      <c r="AC27" s="1102"/>
      <c r="AD27" s="95"/>
      <c r="AE27" s="95"/>
      <c r="AF27" s="95"/>
      <c r="AG27" s="95"/>
    </row>
    <row r="28" spans="1:33" s="1104" customFormat="1" ht="40.5" customHeight="1">
      <c r="A28" s="1101"/>
      <c r="B28" s="1105"/>
      <c r="C28" s="1101"/>
      <c r="D28" s="1101"/>
      <c r="E28" s="1101"/>
      <c r="F28" s="1101"/>
      <c r="G28" s="1101"/>
      <c r="H28" s="1101"/>
      <c r="I28" s="2"/>
      <c r="J28" s="1101"/>
      <c r="K28" s="1101"/>
      <c r="L28" s="2"/>
      <c r="M28" s="2"/>
      <c r="N28" s="2"/>
      <c r="O28" s="2"/>
      <c r="P28" s="2"/>
      <c r="Q28" s="1102"/>
      <c r="R28" s="1102"/>
      <c r="S28" s="1102"/>
      <c r="T28" s="1102"/>
      <c r="U28" s="1102"/>
      <c r="V28" s="1102"/>
      <c r="W28" s="1102"/>
      <c r="X28" s="1102"/>
      <c r="Y28" s="1102"/>
      <c r="Z28" s="1102"/>
      <c r="AA28" s="1102"/>
      <c r="AB28" s="1102"/>
      <c r="AC28" s="1102"/>
      <c r="AD28" s="95"/>
      <c r="AE28" s="95"/>
      <c r="AF28" s="95"/>
      <c r="AG28" s="95"/>
    </row>
    <row r="29" spans="1:33" s="1104" customFormat="1" ht="40.5" customHeight="1">
      <c r="A29" s="1101"/>
      <c r="B29" s="1080" t="s">
        <v>2802</v>
      </c>
      <c r="C29" s="1101"/>
      <c r="D29" s="1101"/>
      <c r="E29" s="1101"/>
      <c r="F29" s="1101"/>
      <c r="G29" s="1101"/>
      <c r="H29" s="1101"/>
      <c r="I29" s="2"/>
      <c r="J29" s="1101"/>
      <c r="K29" s="1101"/>
      <c r="L29" s="2"/>
      <c r="M29" s="2"/>
      <c r="N29" s="2"/>
      <c r="O29" s="2"/>
      <c r="P29" s="2"/>
      <c r="Q29" s="1102"/>
      <c r="R29" s="1080"/>
      <c r="S29" s="1080"/>
      <c r="T29" s="1102"/>
      <c r="U29" s="1102"/>
      <c r="V29" s="1102"/>
      <c r="W29" s="1102"/>
      <c r="X29" s="1102"/>
      <c r="Y29" s="1102"/>
      <c r="Z29" s="1102"/>
      <c r="AA29" s="1102"/>
      <c r="AB29" s="1102"/>
      <c r="AC29" s="1102"/>
      <c r="AD29" s="95"/>
      <c r="AE29" s="95"/>
      <c r="AF29" s="95"/>
      <c r="AG29" s="95"/>
    </row>
    <row r="30" spans="1:33" s="1104" customFormat="1" ht="40.5" customHeight="1">
      <c r="A30" s="1101"/>
      <c r="B30" s="1128" t="s">
        <v>2756</v>
      </c>
      <c r="C30" s="1128" t="s">
        <v>2803</v>
      </c>
      <c r="D30" s="1128" t="s">
        <v>2804</v>
      </c>
      <c r="E30" s="1128" t="s">
        <v>2805</v>
      </c>
      <c r="F30" s="1128" t="s">
        <v>58</v>
      </c>
      <c r="G30" s="1128" t="s">
        <v>2806</v>
      </c>
      <c r="H30" s="1128" t="s">
        <v>1379</v>
      </c>
      <c r="I30" s="1128" t="s">
        <v>2807</v>
      </c>
      <c r="J30" s="1128" t="s">
        <v>2808</v>
      </c>
      <c r="K30" s="1128" t="s">
        <v>2809</v>
      </c>
      <c r="L30" s="1128" t="s">
        <v>2810</v>
      </c>
      <c r="M30" s="1128" t="s">
        <v>2231</v>
      </c>
      <c r="N30" s="1128" t="s">
        <v>2206</v>
      </c>
      <c r="O30" s="1128" t="s">
        <v>2204</v>
      </c>
      <c r="P30" s="1128" t="s">
        <v>2811</v>
      </c>
      <c r="Q30" s="1128" t="s">
        <v>2812</v>
      </c>
      <c r="R30" s="1128" t="s">
        <v>2813</v>
      </c>
      <c r="S30" s="1128" t="s">
        <v>2814</v>
      </c>
      <c r="T30" s="1128" t="s">
        <v>2815</v>
      </c>
      <c r="U30" s="1128" t="s">
        <v>2816</v>
      </c>
      <c r="V30" s="1128"/>
      <c r="W30" s="1128"/>
      <c r="X30" s="1128"/>
      <c r="Y30" s="1128"/>
      <c r="Z30" s="1128"/>
      <c r="AA30" s="1128"/>
      <c r="AB30" s="1102"/>
      <c r="AC30" s="1102"/>
      <c r="AD30" s="95"/>
      <c r="AE30" s="95"/>
      <c r="AF30" s="95"/>
      <c r="AG30" s="95"/>
    </row>
    <row r="31" spans="1:33" s="1104" customFormat="1" ht="40.5" customHeight="1">
      <c r="A31" s="1101"/>
      <c r="B31" s="1080"/>
      <c r="C31" s="1101"/>
      <c r="D31" s="1101"/>
      <c r="E31" s="1101"/>
      <c r="F31" s="1101"/>
      <c r="G31" s="1101"/>
      <c r="H31" s="1101"/>
      <c r="I31" s="2"/>
      <c r="J31" s="1101"/>
      <c r="K31" s="1101"/>
      <c r="L31" s="2"/>
      <c r="M31" s="2"/>
      <c r="N31" s="2"/>
      <c r="O31" s="2"/>
      <c r="P31" s="2"/>
      <c r="Q31" s="1102"/>
      <c r="R31" s="1080"/>
      <c r="S31" s="3176"/>
      <c r="T31" s="1128"/>
      <c r="U31" s="1128"/>
      <c r="V31" s="1128"/>
      <c r="W31" s="1128"/>
      <c r="X31" s="1128"/>
      <c r="Y31" s="1128"/>
      <c r="Z31" s="1128"/>
      <c r="AA31" s="1128"/>
      <c r="AB31" s="1102"/>
      <c r="AC31" s="1102"/>
      <c r="AD31" s="95"/>
      <c r="AE31" s="95"/>
      <c r="AF31" s="95"/>
      <c r="AG31" s="95"/>
    </row>
    <row r="32" spans="1:33" s="1104" customFormat="1" ht="40.5" customHeight="1">
      <c r="A32" s="1101"/>
      <c r="B32" s="1105"/>
      <c r="C32" s="1129" t="s">
        <v>771</v>
      </c>
      <c r="D32" s="1130"/>
      <c r="E32" s="1102"/>
      <c r="F32" s="1131" t="s">
        <v>2818</v>
      </c>
      <c r="G32" s="1132"/>
      <c r="H32" s="1132"/>
      <c r="I32" s="1132"/>
      <c r="J32" s="1132"/>
      <c r="K32" s="1132"/>
      <c r="L32" s="1132"/>
      <c r="M32" s="1102"/>
      <c r="N32" s="1102"/>
      <c r="O32" s="2"/>
      <c r="P32" s="2"/>
      <c r="Q32" s="1102"/>
      <c r="R32" s="1102"/>
      <c r="S32" s="3176"/>
      <c r="T32" s="1128"/>
      <c r="U32" s="1128"/>
      <c r="V32" s="1128"/>
      <c r="W32" s="1128"/>
      <c r="X32" s="1128"/>
      <c r="Y32" s="1128"/>
      <c r="Z32" s="1128"/>
      <c r="AA32" s="1128"/>
      <c r="AB32" s="1102"/>
      <c r="AC32" s="1102"/>
      <c r="AD32" s="95"/>
      <c r="AE32" s="95"/>
      <c r="AF32" s="95"/>
      <c r="AG32" s="95"/>
    </row>
    <row r="33" spans="1:33" s="1104" customFormat="1" ht="40.5" customHeight="1">
      <c r="A33" s="1101"/>
      <c r="B33" s="1105"/>
      <c r="C33" s="1133">
        <v>3</v>
      </c>
      <c r="D33" s="1130"/>
      <c r="E33" s="1101"/>
      <c r="F33" s="1101"/>
      <c r="G33" s="1101"/>
      <c r="H33" s="2"/>
      <c r="I33" s="2"/>
      <c r="J33" s="2"/>
      <c r="K33" s="2"/>
      <c r="L33" s="2"/>
      <c r="M33" s="2"/>
      <c r="N33" s="2"/>
      <c r="O33" s="2"/>
      <c r="P33" s="2"/>
      <c r="Q33" s="1102"/>
      <c r="R33" s="1102"/>
      <c r="S33" s="3176"/>
      <c r="T33" s="1128"/>
      <c r="U33" s="1128"/>
      <c r="V33" s="1128"/>
      <c r="W33" s="1128"/>
      <c r="X33" s="1128"/>
      <c r="Y33" s="1128"/>
      <c r="Z33" s="1128"/>
      <c r="AA33" s="1128"/>
      <c r="AB33" s="1102"/>
      <c r="AC33" s="1102"/>
      <c r="AD33" s="95"/>
      <c r="AE33" s="95"/>
      <c r="AF33" s="95"/>
      <c r="AG33" s="95"/>
    </row>
    <row r="34" spans="1:33" s="1104" customFormat="1" ht="40.5" customHeight="1">
      <c r="A34" s="1101"/>
      <c r="B34" s="1105"/>
      <c r="C34" s="1101"/>
      <c r="D34" s="1101"/>
      <c r="E34" s="1101"/>
      <c r="F34" s="1101"/>
      <c r="G34" s="1101"/>
      <c r="H34" s="1137" t="s">
        <v>2819</v>
      </c>
      <c r="I34" s="1138"/>
      <c r="J34" s="1138"/>
      <c r="K34" s="1101"/>
      <c r="L34" s="2"/>
      <c r="M34" s="2"/>
      <c r="N34" s="1139" t="s">
        <v>783</v>
      </c>
      <c r="O34" s="3177" t="s">
        <v>784</v>
      </c>
      <c r="P34" s="1140" t="s">
        <v>22</v>
      </c>
      <c r="Q34" s="1102"/>
      <c r="R34" s="1102"/>
      <c r="S34" s="3176"/>
      <c r="T34" s="1128"/>
      <c r="U34" s="1128"/>
      <c r="V34" s="1128"/>
      <c r="W34" s="1128"/>
      <c r="X34" s="1128"/>
      <c r="Y34" s="1128"/>
      <c r="Z34" s="1128"/>
      <c r="AA34" s="1128"/>
      <c r="AB34" s="1102"/>
      <c r="AC34" s="1102"/>
      <c r="AD34" s="95"/>
      <c r="AE34" s="95"/>
      <c r="AF34" s="95"/>
      <c r="AG34" s="95"/>
    </row>
    <row r="35" spans="1:33" s="1104" customFormat="1" ht="40.5" customHeight="1">
      <c r="A35" s="1101"/>
      <c r="B35" s="1105"/>
      <c r="C35" s="1141" t="s">
        <v>774</v>
      </c>
      <c r="D35" s="1101"/>
      <c r="E35" s="1142"/>
      <c r="F35" s="1101"/>
      <c r="G35" s="1101"/>
      <c r="H35" s="1143" t="s">
        <v>776</v>
      </c>
      <c r="I35" s="1143" t="s">
        <v>777</v>
      </c>
      <c r="J35" s="1143" t="s">
        <v>780</v>
      </c>
      <c r="K35" s="1128" t="s">
        <v>2820</v>
      </c>
      <c r="L35" s="1102"/>
      <c r="M35" s="1102"/>
      <c r="N35" s="1141" t="s">
        <v>2821</v>
      </c>
      <c r="O35" s="1102"/>
      <c r="P35" s="1102"/>
      <c r="Q35" s="1102"/>
      <c r="R35" s="1102"/>
      <c r="S35" s="3176"/>
      <c r="T35" s="1128"/>
      <c r="U35" s="1128"/>
      <c r="V35" s="1128"/>
      <c r="W35" s="1128"/>
      <c r="X35" s="1128"/>
      <c r="Y35" s="1128"/>
      <c r="Z35" s="1128"/>
      <c r="AA35" s="1128"/>
      <c r="AB35" s="1102"/>
      <c r="AC35" s="1102"/>
      <c r="AD35" s="95"/>
      <c r="AE35" s="95"/>
      <c r="AF35" s="95"/>
      <c r="AG35" s="95"/>
    </row>
    <row r="36" spans="1:33" s="1104" customFormat="1" ht="40.5" customHeight="1">
      <c r="A36" s="1101"/>
      <c r="B36" s="1105"/>
      <c r="C36" s="1141" t="s">
        <v>773</v>
      </c>
      <c r="D36" s="1101"/>
      <c r="E36" s="1142"/>
      <c r="F36" s="1101"/>
      <c r="G36" s="1101"/>
      <c r="H36" s="1143" t="s">
        <v>778</v>
      </c>
      <c r="I36" s="1143" t="s">
        <v>779</v>
      </c>
      <c r="J36" s="1143" t="s">
        <v>781</v>
      </c>
      <c r="K36" s="1128" t="s">
        <v>2823</v>
      </c>
      <c r="L36" s="2"/>
      <c r="M36" s="2"/>
      <c r="N36" s="1139" t="s">
        <v>688</v>
      </c>
      <c r="O36" s="3177" t="s">
        <v>785</v>
      </c>
      <c r="P36" s="3177" t="s">
        <v>788</v>
      </c>
      <c r="Q36" s="1102"/>
      <c r="R36" s="1102"/>
      <c r="S36" s="3176"/>
      <c r="T36" s="1128"/>
      <c r="U36" s="1128"/>
      <c r="V36" s="1128"/>
      <c r="W36" s="1128"/>
      <c r="X36" s="1128"/>
      <c r="Y36" s="1128"/>
      <c r="Z36" s="1128"/>
      <c r="AA36" s="1128"/>
      <c r="AB36" s="1102"/>
      <c r="AC36" s="1102"/>
      <c r="AD36" s="95"/>
      <c r="AE36" s="95"/>
      <c r="AF36" s="95"/>
      <c r="AG36" s="95"/>
    </row>
    <row r="37" spans="1:33" s="1104" customFormat="1" ht="40.5" customHeight="1">
      <c r="A37" s="1101"/>
      <c r="B37" s="1105"/>
      <c r="C37" s="1141"/>
      <c r="D37" s="1101"/>
      <c r="E37" s="1141"/>
      <c r="F37" s="1146"/>
      <c r="G37" s="1141"/>
      <c r="H37" s="1141"/>
      <c r="I37" s="1101"/>
      <c r="J37" s="1101"/>
      <c r="K37" s="1101"/>
      <c r="L37" s="1101"/>
      <c r="M37" s="1101"/>
      <c r="N37" s="1101"/>
      <c r="O37" s="1101"/>
      <c r="P37" s="1102"/>
      <c r="Q37" s="1102"/>
      <c r="R37" s="1102"/>
      <c r="S37" s="3176"/>
      <c r="T37" s="1128"/>
      <c r="U37" s="1128"/>
      <c r="V37" s="1128"/>
      <c r="W37" s="1128"/>
      <c r="X37" s="1128"/>
      <c r="Y37" s="1128"/>
      <c r="Z37" s="1128"/>
      <c r="AA37" s="1128"/>
      <c r="AB37" s="1102"/>
      <c r="AC37" s="1102"/>
      <c r="AD37" s="95"/>
      <c r="AE37" s="95"/>
      <c r="AF37" s="95"/>
      <c r="AG37" s="95"/>
    </row>
    <row r="38" spans="1:33" s="1103" customFormat="1" ht="44.25" customHeight="1">
      <c r="A38" s="3033"/>
      <c r="B38" s="3034"/>
      <c r="C38" s="3035"/>
      <c r="D38" s="3036"/>
      <c r="E38" s="3036"/>
      <c r="F38" s="3037"/>
      <c r="G38" s="3037"/>
      <c r="H38" s="3037"/>
      <c r="I38" s="3037"/>
      <c r="J38" s="3038"/>
      <c r="K38" s="3035"/>
      <c r="L38" s="3035"/>
      <c r="M38" s="3035"/>
      <c r="N38" s="3035"/>
      <c r="O38" s="3035"/>
      <c r="P38" s="3035"/>
      <c r="Q38" s="3035"/>
      <c r="R38" s="3035"/>
      <c r="S38" s="3035"/>
      <c r="T38" s="3035"/>
      <c r="U38" s="3035"/>
      <c r="V38" s="3035"/>
      <c r="W38" s="3035"/>
      <c r="X38" s="3035"/>
      <c r="Y38" s="3035"/>
      <c r="Z38" s="3035"/>
      <c r="AA38" s="3035"/>
      <c r="AB38" s="3035"/>
      <c r="AC38" s="3035"/>
      <c r="AD38" s="95"/>
      <c r="AE38" s="95"/>
      <c r="AF38" s="95"/>
      <c r="AG38" s="95"/>
    </row>
    <row r="39" spans="1:33" s="1104" customFormat="1" ht="39.950000000000003" customHeight="1">
      <c r="A39" s="1101"/>
      <c r="B39" s="3163"/>
      <c r="C39" s="1150"/>
      <c r="D39" s="1152"/>
      <c r="E39" s="1152"/>
      <c r="F39" s="1152"/>
      <c r="G39" s="1152"/>
      <c r="H39" s="1152"/>
      <c r="I39" s="1152"/>
      <c r="J39" s="1152"/>
      <c r="K39" s="1152"/>
      <c r="L39" s="3039"/>
      <c r="M39" s="3039"/>
      <c r="N39" s="3039"/>
      <c r="O39" s="3039"/>
      <c r="P39" s="3039"/>
      <c r="Q39" s="1102"/>
      <c r="R39" s="1102"/>
      <c r="S39" s="1102"/>
      <c r="T39" s="1102"/>
      <c r="U39" s="1102"/>
      <c r="V39" s="1102"/>
      <c r="W39" s="1102"/>
      <c r="X39" s="1102"/>
      <c r="Y39" s="1102"/>
      <c r="Z39" s="1102"/>
      <c r="AA39" s="1102"/>
      <c r="AB39" s="1102"/>
      <c r="AC39" s="1102"/>
      <c r="AD39" s="95"/>
      <c r="AE39" s="95"/>
      <c r="AF39" s="95"/>
      <c r="AG39" s="95"/>
    </row>
    <row r="40" spans="1:33" s="1103" customFormat="1" ht="39.950000000000003" customHeight="1">
      <c r="A40" s="1101"/>
      <c r="B40" s="3163"/>
      <c r="C40" s="3178" t="s">
        <v>732</v>
      </c>
      <c r="D40" s="3179" t="s">
        <v>733</v>
      </c>
      <c r="E40" s="3179"/>
      <c r="F40" s="3179"/>
      <c r="G40" s="3179"/>
      <c r="H40" s="3179"/>
      <c r="I40" s="3179"/>
      <c r="J40" s="3179"/>
      <c r="K40" s="3179"/>
      <c r="L40" s="3179"/>
      <c r="M40" s="3179"/>
      <c r="N40" s="1102"/>
      <c r="O40" s="1102"/>
      <c r="P40" s="1102"/>
      <c r="Q40" s="1102"/>
      <c r="R40" s="1102"/>
      <c r="S40" s="1102"/>
      <c r="T40" s="1102"/>
      <c r="U40" s="1102"/>
      <c r="V40" s="1102"/>
      <c r="W40" s="1102"/>
      <c r="X40" s="1102"/>
      <c r="Y40" s="1102"/>
      <c r="Z40" s="1102"/>
      <c r="AA40" s="1102"/>
      <c r="AB40" s="1102"/>
      <c r="AC40" s="1102"/>
      <c r="AD40" s="95"/>
      <c r="AE40" s="95"/>
      <c r="AF40" s="95"/>
      <c r="AG40" s="95"/>
    </row>
    <row r="41" spans="1:33" s="1103" customFormat="1" ht="39.950000000000003" customHeight="1">
      <c r="A41" s="1101"/>
      <c r="B41" s="3163"/>
      <c r="C41" s="3180" t="s">
        <v>3216</v>
      </c>
      <c r="D41" s="3180"/>
      <c r="E41" s="1102"/>
      <c r="F41" s="1102"/>
      <c r="G41" s="1102"/>
      <c r="H41" s="1102"/>
      <c r="I41" s="1102"/>
      <c r="J41" s="1102"/>
      <c r="K41" s="1102"/>
      <c r="L41" s="1102"/>
      <c r="M41" s="1102"/>
      <c r="N41" s="1102"/>
      <c r="O41" s="1102"/>
      <c r="P41" s="1102"/>
      <c r="Q41" s="1102"/>
      <c r="R41" s="1102"/>
      <c r="S41" s="1102"/>
      <c r="T41" s="1102"/>
      <c r="U41" s="1102"/>
      <c r="V41" s="1102"/>
      <c r="W41" s="1102"/>
      <c r="X41" s="1102"/>
      <c r="Y41" s="1102"/>
      <c r="Z41" s="1102"/>
      <c r="AA41" s="1102"/>
      <c r="AB41" s="1102"/>
      <c r="AC41" s="1102"/>
      <c r="AD41" s="95"/>
      <c r="AE41" s="95"/>
      <c r="AF41" s="95"/>
      <c r="AG41" s="95"/>
    </row>
    <row r="42" spans="1:33" s="1103" customFormat="1" ht="39.950000000000003" customHeight="1">
      <c r="A42" s="1101"/>
      <c r="B42" s="3163"/>
      <c r="C42" s="3180" t="s">
        <v>2903</v>
      </c>
      <c r="D42" s="3180"/>
      <c r="E42" s="1102"/>
      <c r="F42" s="1102"/>
      <c r="G42" s="1102"/>
      <c r="H42" s="1102"/>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95"/>
      <c r="AE42" s="95"/>
      <c r="AF42" s="95"/>
      <c r="AG42" s="95"/>
    </row>
    <row r="43" spans="1:33" s="1103" customFormat="1" ht="39.950000000000003" customHeight="1">
      <c r="A43" s="1101"/>
      <c r="B43" s="3163"/>
      <c r="C43" s="3181" t="s">
        <v>2904</v>
      </c>
      <c r="D43" s="3182" t="s">
        <v>2906</v>
      </c>
      <c r="E43" s="3183"/>
      <c r="F43" s="3184"/>
      <c r="G43" s="3183"/>
      <c r="H43" s="3183"/>
      <c r="I43" s="3183"/>
      <c r="J43" s="3183"/>
      <c r="K43" s="3185"/>
      <c r="L43" s="3185"/>
      <c r="M43" s="3186"/>
      <c r="N43" s="3187" t="s">
        <v>2905</v>
      </c>
      <c r="O43" s="3187"/>
      <c r="P43" s="3188"/>
      <c r="Q43" s="3188"/>
      <c r="R43" s="3188"/>
      <c r="S43" s="3188"/>
      <c r="T43" s="3188"/>
      <c r="U43" s="3188"/>
      <c r="V43" s="3189"/>
      <c r="W43" s="2901"/>
      <c r="X43" s="2901"/>
      <c r="Y43" s="2901"/>
      <c r="Z43" s="2901"/>
      <c r="AA43" s="2901"/>
      <c r="AB43" s="2901"/>
      <c r="AC43" s="2901"/>
      <c r="AD43" s="95"/>
      <c r="AE43" s="95"/>
      <c r="AF43" s="95"/>
      <c r="AG43" s="95"/>
    </row>
    <row r="44" spans="1:33" s="1103" customFormat="1" ht="39.950000000000003" customHeight="1">
      <c r="A44" s="1101"/>
      <c r="B44" s="3163"/>
      <c r="C44" s="3181"/>
      <c r="D44" s="3182" t="s">
        <v>2907</v>
      </c>
      <c r="E44" s="3190"/>
      <c r="F44" s="3190"/>
      <c r="G44" s="3190"/>
      <c r="H44" s="3190"/>
      <c r="I44" s="3190"/>
      <c r="J44" s="3190"/>
      <c r="K44" s="3186"/>
      <c r="L44" s="3186"/>
      <c r="M44" s="3186"/>
      <c r="N44" s="3191"/>
      <c r="O44" s="3191"/>
      <c r="P44" s="3189"/>
      <c r="Q44" s="3189"/>
      <c r="R44" s="3189"/>
      <c r="S44" s="3189"/>
      <c r="T44" s="3189"/>
      <c r="U44" s="3189"/>
      <c r="V44" s="3189"/>
      <c r="W44" s="2901"/>
      <c r="X44" s="2901"/>
      <c r="Y44" s="2901"/>
      <c r="Z44" s="2901"/>
      <c r="AA44" s="2901"/>
      <c r="AB44" s="2901"/>
      <c r="AC44" s="2901"/>
      <c r="AD44" s="95"/>
      <c r="AE44" s="95"/>
      <c r="AF44" s="95"/>
      <c r="AG44" s="95"/>
    </row>
    <row r="45" spans="1:33" s="1103" customFormat="1" ht="39.950000000000003" customHeight="1">
      <c r="A45" s="1101"/>
      <c r="B45" s="3163"/>
      <c r="C45" s="3181"/>
      <c r="D45" s="3182" t="s">
        <v>2911</v>
      </c>
      <c r="E45" s="3183"/>
      <c r="F45" s="3183"/>
      <c r="G45" s="3183"/>
      <c r="H45" s="3183"/>
      <c r="I45" s="3190"/>
      <c r="J45" s="3183"/>
      <c r="K45" s="3185"/>
      <c r="L45" s="3185"/>
      <c r="M45" s="3185"/>
      <c r="N45" s="3187" t="s">
        <v>2910</v>
      </c>
      <c r="O45" s="3187"/>
      <c r="P45" s="3188"/>
      <c r="Q45" s="3188"/>
      <c r="R45" s="3188"/>
      <c r="S45" s="3188"/>
      <c r="T45" s="3188"/>
      <c r="U45" s="3188"/>
      <c r="V45" s="3189"/>
      <c r="W45" s="2901"/>
      <c r="X45" s="2901"/>
      <c r="Y45" s="2901"/>
      <c r="Z45" s="2901"/>
      <c r="AA45" s="2901"/>
      <c r="AB45" s="2901"/>
      <c r="AC45" s="2901"/>
      <c r="AD45" s="95"/>
      <c r="AE45" s="95"/>
      <c r="AF45" s="95"/>
      <c r="AG45" s="95"/>
    </row>
    <row r="46" spans="1:33" s="1103" customFormat="1" ht="39.950000000000003" customHeight="1">
      <c r="A46" s="1101"/>
      <c r="B46" s="3163"/>
      <c r="C46" s="3181"/>
      <c r="D46" s="3182" t="s">
        <v>2913</v>
      </c>
      <c r="E46" s="3190"/>
      <c r="F46" s="3183"/>
      <c r="G46" s="3183"/>
      <c r="H46" s="3183"/>
      <c r="I46" s="3183"/>
      <c r="J46" s="3183"/>
      <c r="K46" s="3185"/>
      <c r="L46" s="3185"/>
      <c r="M46" s="3185"/>
      <c r="N46" s="3187" t="s">
        <v>2912</v>
      </c>
      <c r="O46" s="3187"/>
      <c r="P46" s="3188"/>
      <c r="Q46" s="3188"/>
      <c r="R46" s="3188"/>
      <c r="S46" s="3188"/>
      <c r="T46" s="3188"/>
      <c r="U46" s="3188"/>
      <c r="V46" s="3189"/>
      <c r="W46" s="2901"/>
      <c r="X46" s="2901"/>
      <c r="Y46" s="2901"/>
      <c r="Z46" s="2901"/>
      <c r="AA46" s="2901"/>
      <c r="AB46" s="2901"/>
      <c r="AC46" s="2901"/>
      <c r="AD46" s="95"/>
      <c r="AE46" s="95"/>
      <c r="AF46" s="95"/>
      <c r="AG46" s="95"/>
    </row>
    <row r="47" spans="1:33" s="1103" customFormat="1" ht="39.950000000000003" customHeight="1">
      <c r="A47" s="1101"/>
      <c r="B47" s="3163"/>
      <c r="C47" s="3181"/>
      <c r="D47" s="3182" t="s">
        <v>2915</v>
      </c>
      <c r="E47" s="3183"/>
      <c r="F47" s="3183"/>
      <c r="G47" s="3183"/>
      <c r="H47" s="3190"/>
      <c r="I47" s="3183"/>
      <c r="J47" s="3183"/>
      <c r="K47" s="3185"/>
      <c r="L47" s="3185"/>
      <c r="M47" s="3185"/>
      <c r="N47" s="3187" t="s">
        <v>2914</v>
      </c>
      <c r="O47" s="3187"/>
      <c r="P47" s="3188"/>
      <c r="Q47" s="3188"/>
      <c r="R47" s="3188"/>
      <c r="S47" s="3188"/>
      <c r="T47" s="3188"/>
      <c r="U47" s="3188"/>
      <c r="V47" s="3189"/>
      <c r="W47" s="2901"/>
      <c r="X47" s="2901"/>
      <c r="Y47" s="2901"/>
      <c r="Z47" s="2901"/>
      <c r="AA47" s="2901"/>
      <c r="AB47" s="2901"/>
      <c r="AC47" s="2901"/>
      <c r="AD47" s="95"/>
      <c r="AE47" s="95"/>
      <c r="AF47" s="95"/>
      <c r="AG47" s="95"/>
    </row>
    <row r="48" spans="1:33" s="1103" customFormat="1" ht="39.950000000000003" customHeight="1">
      <c r="A48" s="1101"/>
      <c r="B48" s="3163"/>
      <c r="C48" s="3181"/>
      <c r="D48" s="3182" t="s">
        <v>2917</v>
      </c>
      <c r="E48" s="3190"/>
      <c r="F48" s="3183"/>
      <c r="G48" s="3183"/>
      <c r="H48" s="3183"/>
      <c r="I48" s="3183"/>
      <c r="J48" s="3183"/>
      <c r="K48" s="3185"/>
      <c r="L48" s="3185"/>
      <c r="M48" s="3185"/>
      <c r="N48" s="3187" t="s">
        <v>2916</v>
      </c>
      <c r="O48" s="3187"/>
      <c r="P48" s="3188"/>
      <c r="Q48" s="3188"/>
      <c r="R48" s="3188"/>
      <c r="S48" s="3188"/>
      <c r="T48" s="3188"/>
      <c r="U48" s="3188"/>
      <c r="V48" s="3189"/>
      <c r="W48" s="2901"/>
      <c r="X48" s="2901"/>
      <c r="Y48" s="2901"/>
      <c r="Z48" s="2901"/>
      <c r="AA48" s="2901"/>
      <c r="AB48" s="2901"/>
      <c r="AC48" s="2901"/>
      <c r="AD48" s="95"/>
      <c r="AE48" s="95"/>
      <c r="AF48" s="95"/>
      <c r="AG48" s="95"/>
    </row>
    <row r="49" spans="1:33" s="1103" customFormat="1" ht="39.950000000000003" customHeight="1">
      <c r="A49" s="1101"/>
      <c r="B49" s="3163"/>
      <c r="C49" s="3181"/>
      <c r="D49" s="3192" t="s">
        <v>2909</v>
      </c>
      <c r="E49" s="3183"/>
      <c r="F49" s="3183"/>
      <c r="G49" s="3190"/>
      <c r="H49" s="3183"/>
      <c r="I49" s="3193"/>
      <c r="J49" s="3183"/>
      <c r="K49" s="3185"/>
      <c r="L49" s="3185"/>
      <c r="M49" s="3185"/>
      <c r="N49" s="3187" t="s">
        <v>2908</v>
      </c>
      <c r="O49" s="3187"/>
      <c r="P49" s="3188"/>
      <c r="Q49" s="3188"/>
      <c r="R49" s="3188"/>
      <c r="S49" s="3188"/>
      <c r="T49" s="3188"/>
      <c r="U49" s="3188"/>
      <c r="V49" s="3189"/>
      <c r="W49" s="2901"/>
      <c r="X49" s="2901"/>
      <c r="Y49" s="2901"/>
      <c r="Z49" s="2901"/>
      <c r="AA49" s="2901"/>
      <c r="AB49" s="2901"/>
      <c r="AC49" s="2901"/>
      <c r="AD49" s="95"/>
      <c r="AE49" s="95"/>
      <c r="AF49" s="95"/>
      <c r="AG49" s="95"/>
    </row>
    <row r="50" spans="1:33" s="1103" customFormat="1" ht="39.950000000000003" customHeight="1">
      <c r="A50" s="1101"/>
      <c r="B50" s="3163"/>
      <c r="C50" s="3181"/>
      <c r="D50" s="3182" t="s">
        <v>2919</v>
      </c>
      <c r="E50" s="3190"/>
      <c r="F50" s="3183"/>
      <c r="G50" s="3183"/>
      <c r="H50" s="3183"/>
      <c r="I50" s="3183"/>
      <c r="J50" s="3183"/>
      <c r="K50" s="3185"/>
      <c r="L50" s="3185"/>
      <c r="M50" s="3185"/>
      <c r="N50" s="3187" t="s">
        <v>2918</v>
      </c>
      <c r="O50" s="3187"/>
      <c r="P50" s="3188"/>
      <c r="Q50" s="3188"/>
      <c r="R50" s="3188"/>
      <c r="S50" s="3188"/>
      <c r="T50" s="3188"/>
      <c r="U50" s="3188"/>
      <c r="V50" s="3189"/>
      <c r="W50" s="2901"/>
      <c r="X50" s="2901"/>
      <c r="Y50" s="2901"/>
      <c r="Z50" s="2901"/>
      <c r="AA50" s="2901"/>
      <c r="AB50" s="2901"/>
      <c r="AC50" s="2901"/>
      <c r="AD50" s="95"/>
      <c r="AE50" s="95"/>
      <c r="AF50" s="95"/>
      <c r="AG50" s="95"/>
    </row>
    <row r="51" spans="1:33" s="1103" customFormat="1" ht="39.950000000000003" customHeight="1">
      <c r="A51" s="1101"/>
      <c r="B51" s="3163"/>
      <c r="C51" s="1102"/>
      <c r="D51" s="2901"/>
      <c r="E51" s="2901"/>
      <c r="F51" s="2901"/>
      <c r="G51" s="2901"/>
      <c r="H51" s="2901"/>
      <c r="I51" s="2901"/>
      <c r="J51" s="2901"/>
      <c r="K51" s="2901"/>
      <c r="L51" s="2901"/>
      <c r="M51" s="2901"/>
      <c r="N51" s="2901"/>
      <c r="O51" s="2901"/>
      <c r="P51" s="2901"/>
      <c r="Q51" s="2901"/>
      <c r="R51" s="2901"/>
      <c r="S51" s="2901"/>
      <c r="T51" s="2901"/>
      <c r="U51" s="2901"/>
      <c r="V51" s="2901"/>
      <c r="W51" s="2901"/>
      <c r="X51" s="2901"/>
      <c r="Y51" s="2901"/>
      <c r="Z51" s="2901"/>
      <c r="AA51" s="2901"/>
      <c r="AB51" s="2901"/>
      <c r="AC51" s="2901"/>
      <c r="AD51" s="95"/>
      <c r="AE51" s="95"/>
      <c r="AF51" s="95"/>
      <c r="AG51" s="95"/>
    </row>
    <row r="52" spans="1:33" s="1103" customFormat="1" ht="39.950000000000003" customHeight="1">
      <c r="A52" s="1101"/>
      <c r="B52" s="3163"/>
      <c r="C52" s="3194" t="s">
        <v>732</v>
      </c>
      <c r="D52" s="3195" t="s">
        <v>4</v>
      </c>
      <c r="E52" s="3196"/>
      <c r="F52" s="3196"/>
      <c r="G52" s="3196"/>
      <c r="H52" s="3196"/>
      <c r="I52" s="3196"/>
      <c r="J52" s="3196"/>
      <c r="K52" s="3196"/>
      <c r="L52" s="3196"/>
      <c r="M52" s="3196"/>
      <c r="N52" s="3039"/>
      <c r="O52" s="3039"/>
      <c r="P52" s="3039"/>
      <c r="Q52" s="1102"/>
      <c r="R52" s="1102"/>
      <c r="S52" s="1102"/>
      <c r="T52" s="1102"/>
      <c r="U52" s="1102"/>
      <c r="V52" s="1102"/>
      <c r="W52" s="1102"/>
      <c r="X52" s="1102"/>
      <c r="Y52" s="1102"/>
      <c r="Z52" s="1102"/>
      <c r="AA52" s="1102"/>
      <c r="AB52" s="1102"/>
      <c r="AC52" s="1102"/>
      <c r="AD52" s="95"/>
      <c r="AE52" s="95"/>
      <c r="AF52" s="95"/>
      <c r="AG52" s="95"/>
    </row>
    <row r="53" spans="1:33" s="1103" customFormat="1" ht="39.950000000000003" customHeight="1">
      <c r="A53" s="1101"/>
      <c r="B53" s="3163"/>
      <c r="C53" s="1102"/>
      <c r="D53" s="3197" t="s">
        <v>2920</v>
      </c>
      <c r="E53" s="1102"/>
      <c r="F53" s="1102"/>
      <c r="G53" s="1102"/>
      <c r="H53" s="1102"/>
      <c r="I53" s="1102"/>
      <c r="J53" s="1102"/>
      <c r="K53" s="1102"/>
      <c r="L53" s="1102"/>
      <c r="M53" s="1102"/>
      <c r="N53" s="3039"/>
      <c r="O53" s="3039"/>
      <c r="P53" s="3039"/>
      <c r="Q53" s="1102"/>
      <c r="R53" s="1102"/>
      <c r="S53" s="1102"/>
      <c r="T53" s="1102"/>
      <c r="U53" s="1102"/>
      <c r="V53" s="1102"/>
      <c r="W53" s="1102"/>
      <c r="X53" s="1102"/>
      <c r="Y53" s="1102"/>
      <c r="Z53" s="1102"/>
      <c r="AA53" s="1102"/>
      <c r="AB53" s="1102"/>
      <c r="AC53" s="1102"/>
      <c r="AD53" s="95"/>
      <c r="AE53" s="95"/>
      <c r="AF53" s="95"/>
      <c r="AG53" s="95"/>
    </row>
    <row r="54" spans="1:33" s="1103" customFormat="1" ht="39.950000000000003" customHeight="1">
      <c r="A54" s="1101"/>
      <c r="B54" s="3163"/>
      <c r="C54" s="3198" t="s">
        <v>2904</v>
      </c>
      <c r="D54" s="3047" t="s">
        <v>2921</v>
      </c>
      <c r="E54" s="3048"/>
      <c r="F54" s="3048"/>
      <c r="G54" s="3048"/>
      <c r="H54" s="3048"/>
      <c r="I54" s="3048"/>
      <c r="J54" s="3048"/>
      <c r="K54" s="3048"/>
      <c r="L54" s="3048"/>
      <c r="M54" s="3048"/>
      <c r="N54" s="3039"/>
      <c r="O54" s="3039"/>
      <c r="P54" s="3039"/>
      <c r="Q54" s="1102"/>
      <c r="R54" s="1102"/>
      <c r="S54" s="1102"/>
      <c r="T54" s="1102"/>
      <c r="U54" s="1102"/>
      <c r="V54" s="1102"/>
      <c r="W54" s="1102"/>
      <c r="X54" s="1102"/>
      <c r="Y54" s="1102"/>
      <c r="Z54" s="1102"/>
      <c r="AA54" s="1102"/>
      <c r="AB54" s="1102"/>
      <c r="AC54" s="1102"/>
      <c r="AD54" s="95"/>
      <c r="AE54" s="95"/>
      <c r="AF54" s="95"/>
      <c r="AG54" s="95"/>
    </row>
    <row r="55" spans="1:33" s="1103" customFormat="1" ht="39.950000000000003" customHeight="1">
      <c r="A55" s="1101"/>
      <c r="B55" s="3163"/>
      <c r="C55" s="3198"/>
      <c r="D55" s="3047" t="s">
        <v>2922</v>
      </c>
      <c r="E55" s="3048"/>
      <c r="F55" s="3048"/>
      <c r="G55" s="3048"/>
      <c r="H55" s="3048"/>
      <c r="I55" s="3048"/>
      <c r="J55" s="3048"/>
      <c r="K55" s="3048"/>
      <c r="L55" s="3048"/>
      <c r="M55" s="3048"/>
      <c r="N55" s="3039"/>
      <c r="O55" s="3039"/>
      <c r="P55" s="3039"/>
      <c r="Q55" s="1102"/>
      <c r="R55" s="1102"/>
      <c r="S55" s="1102"/>
      <c r="T55" s="1102"/>
      <c r="U55" s="1102"/>
      <c r="V55" s="1102"/>
      <c r="W55" s="1102"/>
      <c r="X55" s="1102"/>
      <c r="Y55" s="1102"/>
      <c r="Z55" s="1102"/>
      <c r="AA55" s="1102"/>
      <c r="AB55" s="1102"/>
      <c r="AC55" s="1102"/>
      <c r="AD55" s="95"/>
      <c r="AE55" s="95"/>
      <c r="AF55" s="95"/>
      <c r="AG55" s="95"/>
    </row>
    <row r="56" spans="1:33" s="1103" customFormat="1" ht="39.950000000000003" customHeight="1">
      <c r="A56" s="1101"/>
      <c r="B56" s="3163"/>
      <c r="C56" s="3198"/>
      <c r="D56" s="3047" t="s">
        <v>2902</v>
      </c>
      <c r="E56" s="3048"/>
      <c r="F56" s="3048"/>
      <c r="G56" s="3048"/>
      <c r="H56" s="3048"/>
      <c r="I56" s="3048"/>
      <c r="J56" s="3048"/>
      <c r="K56" s="3048"/>
      <c r="L56" s="3048"/>
      <c r="M56" s="3048"/>
      <c r="N56" s="3039"/>
      <c r="O56" s="3039"/>
      <c r="P56" s="3039"/>
      <c r="Q56" s="1102"/>
      <c r="R56" s="1102"/>
      <c r="S56" s="1102"/>
      <c r="T56" s="1102"/>
      <c r="U56" s="1102"/>
      <c r="V56" s="1102"/>
      <c r="W56" s="1102"/>
      <c r="X56" s="1102"/>
      <c r="Y56" s="1102"/>
      <c r="Z56" s="1102"/>
      <c r="AA56" s="1102"/>
      <c r="AB56" s="1102"/>
      <c r="AC56" s="1102"/>
      <c r="AD56" s="95"/>
      <c r="AE56" s="95"/>
      <c r="AF56" s="95"/>
      <c r="AG56" s="95"/>
    </row>
    <row r="57" spans="1:33" s="1103" customFormat="1" ht="39.950000000000003" customHeight="1">
      <c r="A57" s="1101"/>
      <c r="B57" s="3163"/>
      <c r="C57" s="3198"/>
      <c r="D57" s="3047" t="s">
        <v>3217</v>
      </c>
      <c r="E57" s="3048"/>
      <c r="F57" s="3048"/>
      <c r="G57" s="3048"/>
      <c r="H57" s="3048"/>
      <c r="I57" s="3048"/>
      <c r="J57" s="3048"/>
      <c r="K57" s="3048"/>
      <c r="L57" s="3048"/>
      <c r="M57" s="3048"/>
      <c r="N57" s="3039"/>
      <c r="O57" s="3039"/>
      <c r="P57" s="3039"/>
      <c r="Q57" s="1102"/>
      <c r="R57" s="1102"/>
      <c r="S57" s="1102"/>
      <c r="T57" s="1102"/>
      <c r="U57" s="1102"/>
      <c r="V57" s="1102"/>
      <c r="W57" s="1102"/>
      <c r="X57" s="1102"/>
      <c r="Y57" s="1102"/>
      <c r="Z57" s="1102"/>
      <c r="AA57" s="1102"/>
      <c r="AB57" s="1102"/>
      <c r="AC57" s="1102"/>
      <c r="AD57" s="95"/>
      <c r="AE57" s="95"/>
      <c r="AF57" s="95"/>
      <c r="AG57" s="95"/>
    </row>
    <row r="58" spans="1:33" s="1103" customFormat="1" ht="39.950000000000003" customHeight="1">
      <c r="A58" s="1101"/>
      <c r="B58" s="3163"/>
      <c r="C58" s="3198"/>
      <c r="D58" s="3047" t="s">
        <v>3218</v>
      </c>
      <c r="E58" s="3048"/>
      <c r="F58" s="3048"/>
      <c r="G58" s="3048"/>
      <c r="H58" s="3048"/>
      <c r="I58" s="3048"/>
      <c r="J58" s="3048"/>
      <c r="K58" s="3048"/>
      <c r="L58" s="3048"/>
      <c r="M58" s="3048"/>
      <c r="N58" s="3039"/>
      <c r="O58" s="3039"/>
      <c r="P58" s="3039"/>
      <c r="Q58" s="1102"/>
      <c r="R58" s="1102"/>
      <c r="S58" s="1102"/>
      <c r="T58" s="1102"/>
      <c r="U58" s="1102"/>
      <c r="V58" s="1102"/>
      <c r="W58" s="1102"/>
      <c r="X58" s="1102"/>
      <c r="Y58" s="1102"/>
      <c r="Z58" s="1102"/>
      <c r="AA58" s="1102"/>
      <c r="AB58" s="1102"/>
      <c r="AC58" s="1102"/>
      <c r="AD58" s="95"/>
      <c r="AE58" s="95"/>
      <c r="AF58" s="95"/>
      <c r="AG58" s="95"/>
    </row>
    <row r="59" spans="1:33" s="1103" customFormat="1" ht="39.950000000000003" customHeight="1">
      <c r="A59" s="1101"/>
      <c r="B59" s="3163"/>
      <c r="C59" s="3198"/>
      <c r="D59" s="3047" t="s">
        <v>3219</v>
      </c>
      <c r="E59" s="3048"/>
      <c r="F59" s="3048"/>
      <c r="G59" s="3048"/>
      <c r="H59" s="3048"/>
      <c r="I59" s="3048"/>
      <c r="J59" s="3048"/>
      <c r="K59" s="3048"/>
      <c r="L59" s="3048"/>
      <c r="M59" s="3048"/>
      <c r="N59" s="3039"/>
      <c r="O59" s="3039"/>
      <c r="P59" s="3039"/>
      <c r="Q59" s="1102"/>
      <c r="R59" s="1102"/>
      <c r="S59" s="1102"/>
      <c r="T59" s="1102"/>
      <c r="U59" s="1102"/>
      <c r="V59" s="1102"/>
      <c r="W59" s="1102"/>
      <c r="X59" s="1102"/>
      <c r="Y59" s="1102"/>
      <c r="Z59" s="1102"/>
      <c r="AA59" s="1102"/>
      <c r="AB59" s="1102"/>
      <c r="AC59" s="1102"/>
      <c r="AD59" s="95"/>
      <c r="AE59" s="95"/>
      <c r="AF59" s="95"/>
      <c r="AG59" s="95"/>
    </row>
    <row r="60" spans="1:33" s="1103" customFormat="1" ht="39.950000000000003" customHeight="1">
      <c r="A60" s="1101"/>
      <c r="B60" s="3163"/>
      <c r="C60" s="3198"/>
      <c r="D60" s="3047" t="s">
        <v>3220</v>
      </c>
      <c r="E60" s="3048"/>
      <c r="F60" s="3048"/>
      <c r="G60" s="3048"/>
      <c r="H60" s="3048"/>
      <c r="I60" s="3048"/>
      <c r="J60" s="3048"/>
      <c r="K60" s="3048"/>
      <c r="L60" s="3048"/>
      <c r="M60" s="3048"/>
      <c r="N60" s="3039"/>
      <c r="O60" s="3039"/>
      <c r="P60" s="3039"/>
      <c r="Q60" s="1102"/>
      <c r="R60" s="1102"/>
      <c r="S60" s="1102"/>
      <c r="T60" s="1102"/>
      <c r="U60" s="1102"/>
      <c r="V60" s="1102"/>
      <c r="W60" s="1102"/>
      <c r="X60" s="1102"/>
      <c r="Y60" s="1102"/>
      <c r="Z60" s="1102"/>
      <c r="AA60" s="1102"/>
      <c r="AB60" s="1102"/>
      <c r="AC60" s="1102"/>
      <c r="AD60" s="95"/>
      <c r="AE60" s="95"/>
      <c r="AF60" s="95"/>
      <c r="AG60" s="95"/>
    </row>
    <row r="61" spans="1:33" s="1104" customFormat="1" ht="36.75" customHeight="1">
      <c r="A61" s="1101"/>
      <c r="B61" s="3163"/>
      <c r="C61" s="1150"/>
      <c r="D61" s="1152"/>
      <c r="E61" s="1152"/>
      <c r="F61" s="1152"/>
      <c r="G61" s="1152"/>
      <c r="H61" s="1152"/>
      <c r="I61" s="1152"/>
      <c r="J61" s="1152"/>
      <c r="K61" s="1152"/>
      <c r="L61" s="3039"/>
      <c r="M61" s="3039"/>
      <c r="N61" s="3039"/>
      <c r="O61" s="3039"/>
      <c r="P61" s="3039"/>
      <c r="Q61" s="1102"/>
      <c r="R61" s="1102"/>
      <c r="S61" s="1102"/>
      <c r="T61" s="1102"/>
      <c r="U61" s="1102"/>
      <c r="V61" s="1102"/>
      <c r="W61" s="1102"/>
      <c r="X61" s="1102"/>
      <c r="Y61" s="1102"/>
      <c r="Z61" s="1102"/>
      <c r="AA61" s="1102"/>
      <c r="AB61" s="1102"/>
      <c r="AC61" s="1102"/>
      <c r="AD61" s="95"/>
      <c r="AE61" s="95"/>
      <c r="AF61" s="95"/>
      <c r="AG61" s="95"/>
    </row>
    <row r="62" spans="1:33" s="1103" customFormat="1" ht="36.75" customHeight="1">
      <c r="A62" s="3040"/>
      <c r="B62" s="3041"/>
      <c r="C62" s="3198" t="s">
        <v>2354</v>
      </c>
      <c r="D62" s="3047" t="s">
        <v>3221</v>
      </c>
      <c r="E62" s="3048"/>
      <c r="F62" s="3048"/>
      <c r="G62" s="3048"/>
      <c r="H62" s="3048"/>
      <c r="I62" s="3048"/>
      <c r="J62" s="3048"/>
      <c r="K62" s="3048"/>
      <c r="L62" s="3048"/>
      <c r="M62" s="3048"/>
      <c r="N62" s="3050" t="s">
        <v>1239</v>
      </c>
      <c r="O62" s="3039"/>
      <c r="P62" s="3039"/>
      <c r="Q62" s="3050"/>
      <c r="R62" s="3027"/>
      <c r="S62" s="3027"/>
      <c r="T62" s="3027"/>
      <c r="U62" s="3027"/>
      <c r="V62" s="3027"/>
      <c r="W62" s="3027"/>
      <c r="X62" s="3027"/>
      <c r="Y62" s="1148"/>
      <c r="Z62" s="3027"/>
      <c r="AA62" s="1148"/>
      <c r="AB62" s="1102"/>
      <c r="AC62" s="1102"/>
    </row>
    <row r="63" spans="1:33" s="1103" customFormat="1" ht="36.75" customHeight="1">
      <c r="A63" s="3040"/>
      <c r="B63" s="3041"/>
      <c r="C63" s="3198" t="s">
        <v>2354</v>
      </c>
      <c r="D63" s="3047" t="s">
        <v>3222</v>
      </c>
      <c r="E63" s="3048"/>
      <c r="F63" s="3048"/>
      <c r="G63" s="3048"/>
      <c r="H63" s="3048"/>
      <c r="I63" s="3048"/>
      <c r="J63" s="3190"/>
      <c r="K63" s="3199"/>
      <c r="L63" s="3200"/>
      <c r="M63" s="3200"/>
      <c r="N63" s="3104" t="s">
        <v>3223</v>
      </c>
      <c r="O63" s="3039"/>
      <c r="P63" s="3039"/>
      <c r="Q63" s="3104"/>
      <c r="R63" s="3027"/>
      <c r="S63" s="3027"/>
      <c r="T63" s="3027"/>
      <c r="U63" s="3027"/>
      <c r="V63" s="3027"/>
      <c r="W63" s="3027"/>
      <c r="X63" s="3027"/>
      <c r="Y63" s="1148"/>
      <c r="Z63" s="3027"/>
      <c r="AA63" s="1148"/>
      <c r="AB63" s="1102"/>
      <c r="AC63" s="1102"/>
    </row>
    <row r="64" spans="1:33" s="1103" customFormat="1" ht="36.75" customHeight="1">
      <c r="A64" s="3040"/>
      <c r="B64" s="3041"/>
      <c r="C64" s="3198" t="s">
        <v>2354</v>
      </c>
      <c r="D64" s="3047" t="s">
        <v>3224</v>
      </c>
      <c r="E64" s="3048"/>
      <c r="F64" s="3048"/>
      <c r="G64" s="3190"/>
      <c r="H64" s="3201"/>
      <c r="I64" s="3190"/>
      <c r="J64" s="3201"/>
      <c r="K64" s="3199"/>
      <c r="L64" s="3200"/>
      <c r="M64" s="3200"/>
      <c r="N64" s="3104" t="s">
        <v>3225</v>
      </c>
      <c r="O64" s="3039"/>
      <c r="P64" s="3039"/>
      <c r="Q64" s="3104"/>
      <c r="R64" s="3027"/>
      <c r="S64" s="3027"/>
      <c r="T64" s="3027"/>
      <c r="U64" s="3027"/>
      <c r="V64" s="3027"/>
      <c r="W64" s="3027"/>
      <c r="X64" s="3027"/>
      <c r="Y64" s="1148"/>
      <c r="Z64" s="3027"/>
      <c r="AA64" s="1148"/>
      <c r="AB64" s="1102"/>
      <c r="AC64" s="1102"/>
    </row>
    <row r="65" spans="1:44" s="1103" customFormat="1" ht="36.75" customHeight="1">
      <c r="A65" s="3040"/>
      <c r="B65" s="3041"/>
      <c r="C65" s="3198" t="s">
        <v>2354</v>
      </c>
      <c r="D65" s="3047" t="s">
        <v>3226</v>
      </c>
      <c r="E65" s="3048"/>
      <c r="F65" s="3048"/>
      <c r="G65" s="3048"/>
      <c r="H65" s="3048"/>
      <c r="I65" s="3048"/>
      <c r="J65" s="3202"/>
      <c r="K65" s="3200"/>
      <c r="L65" s="3200"/>
      <c r="M65" s="3200"/>
      <c r="N65" s="3039"/>
      <c r="O65" s="3039"/>
      <c r="P65" s="3039"/>
      <c r="Q65" s="3050"/>
      <c r="R65" s="3027"/>
      <c r="S65" s="3027"/>
      <c r="T65" s="3027"/>
      <c r="U65" s="3027"/>
      <c r="V65" s="3027"/>
      <c r="W65" s="3027"/>
      <c r="X65" s="3027"/>
      <c r="Y65" s="1148"/>
      <c r="Z65" s="3027"/>
      <c r="AA65" s="1148"/>
      <c r="AB65" s="1102"/>
      <c r="AC65" s="1102"/>
    </row>
    <row r="66" spans="1:44" s="1103" customFormat="1" ht="36.75" customHeight="1">
      <c r="A66" s="3040"/>
      <c r="B66" s="3041"/>
      <c r="C66" s="3198" t="s">
        <v>732</v>
      </c>
      <c r="D66" s="3047" t="s">
        <v>3157</v>
      </c>
      <c r="E66" s="3048"/>
      <c r="F66" s="3048"/>
      <c r="G66" s="3048"/>
      <c r="H66" s="3048"/>
      <c r="I66" s="3048"/>
      <c r="J66" s="3048"/>
      <c r="K66" s="3048"/>
      <c r="L66" s="3048"/>
      <c r="M66" s="3203"/>
      <c r="N66" s="3039"/>
      <c r="O66" s="3039"/>
      <c r="P66" s="3039"/>
      <c r="Q66" s="3050"/>
      <c r="R66" s="3027"/>
      <c r="S66" s="3027"/>
      <c r="T66" s="3027"/>
      <c r="U66" s="3027"/>
      <c r="V66" s="3027"/>
      <c r="W66" s="3027"/>
      <c r="X66" s="3027"/>
      <c r="Y66" s="1148"/>
      <c r="Z66" s="3027"/>
      <c r="AA66" s="1148"/>
      <c r="AB66" s="1102"/>
      <c r="AC66" s="1102"/>
    </row>
    <row r="67" spans="1:44" s="1104" customFormat="1" ht="36.75" customHeight="1">
      <c r="A67" s="1101"/>
      <c r="B67" s="3163"/>
      <c r="C67" s="1150"/>
      <c r="D67" s="1152"/>
      <c r="E67" s="1152"/>
      <c r="F67" s="1152"/>
      <c r="G67" s="1152"/>
      <c r="H67" s="1152"/>
      <c r="I67" s="1152"/>
      <c r="J67" s="1152"/>
      <c r="K67" s="1152"/>
      <c r="L67" s="3039"/>
      <c r="M67" s="3039"/>
      <c r="N67" s="3039"/>
      <c r="O67" s="3039"/>
      <c r="P67" s="3039"/>
      <c r="Q67" s="1102"/>
      <c r="R67" s="1102"/>
      <c r="S67" s="1102"/>
      <c r="T67" s="1102"/>
      <c r="U67" s="1102"/>
      <c r="V67" s="1102"/>
      <c r="W67" s="1102"/>
      <c r="X67" s="1102"/>
      <c r="Y67" s="1102"/>
      <c r="Z67" s="1102"/>
      <c r="AA67" s="1102"/>
      <c r="AB67" s="1102"/>
      <c r="AC67" s="1102"/>
      <c r="AD67" s="1103"/>
      <c r="AE67" s="95"/>
      <c r="AF67" s="95"/>
      <c r="AG67" s="95"/>
    </row>
    <row r="68" spans="1:44" s="1103" customFormat="1" ht="39.950000000000003" customHeight="1">
      <c r="A68" s="1101"/>
      <c r="B68" s="3164" t="s">
        <v>5</v>
      </c>
      <c r="C68" s="1101"/>
      <c r="D68" s="1101"/>
      <c r="E68" s="1101"/>
      <c r="F68" s="1101"/>
      <c r="G68" s="1101"/>
      <c r="H68" s="1101"/>
      <c r="I68" s="1101"/>
      <c r="J68" s="1101"/>
      <c r="K68" s="1101"/>
      <c r="L68" s="1101"/>
      <c r="M68" s="1101"/>
      <c r="N68" s="1101"/>
      <c r="O68" s="1101"/>
      <c r="P68" s="1101"/>
      <c r="Q68" s="1101"/>
      <c r="R68" s="1101"/>
      <c r="S68" s="1102"/>
      <c r="T68" s="1102"/>
      <c r="U68" s="1102"/>
      <c r="V68" s="1102"/>
      <c r="W68" s="1102"/>
      <c r="X68" s="1102"/>
      <c r="Y68" s="1102"/>
      <c r="Z68" s="1102"/>
      <c r="AA68" s="1102"/>
      <c r="AB68" s="1102"/>
      <c r="AC68" s="1102"/>
      <c r="AE68" s="95"/>
      <c r="AF68" s="95"/>
      <c r="AG68" s="95"/>
    </row>
    <row r="69" spans="1:44" s="1103" customFormat="1" ht="39.950000000000003" customHeight="1">
      <c r="A69" s="1101"/>
      <c r="B69" s="3165" t="s">
        <v>6</v>
      </c>
      <c r="C69" s="1101"/>
      <c r="D69" s="1101"/>
      <c r="E69" s="1101"/>
      <c r="F69" s="1101"/>
      <c r="G69" s="1101"/>
      <c r="H69" s="1101"/>
      <c r="I69" s="1101"/>
      <c r="J69" s="1101"/>
      <c r="K69" s="1101"/>
      <c r="L69" s="1101"/>
      <c r="M69" s="1101"/>
      <c r="N69" s="1101"/>
      <c r="O69" s="1101"/>
      <c r="P69" s="1101"/>
      <c r="Q69" s="1101"/>
      <c r="R69" s="1101"/>
      <c r="S69" s="1102"/>
      <c r="T69" s="1102"/>
      <c r="U69" s="1102"/>
      <c r="V69" s="1102"/>
      <c r="W69" s="1102"/>
      <c r="X69" s="1102"/>
      <c r="Y69" s="1102"/>
      <c r="Z69" s="1102"/>
      <c r="AA69" s="1102"/>
      <c r="AB69" s="1102"/>
      <c r="AC69" s="1102"/>
      <c r="AE69" s="95"/>
      <c r="AF69" s="95"/>
      <c r="AG69" s="95"/>
    </row>
    <row r="70" spans="1:44" s="1104" customFormat="1" ht="39.950000000000003" customHeight="1">
      <c r="A70" s="1101"/>
      <c r="B70" s="3166" t="s">
        <v>2755</v>
      </c>
      <c r="C70" s="3167"/>
      <c r="D70" s="1101"/>
      <c r="E70" s="1101"/>
      <c r="F70" s="1101"/>
      <c r="G70" s="1101"/>
      <c r="H70" s="1101"/>
      <c r="I70" s="3039"/>
      <c r="J70" s="1101"/>
      <c r="K70" s="1101"/>
      <c r="L70" s="3039"/>
      <c r="M70" s="3039"/>
      <c r="N70" s="3039"/>
      <c r="O70" s="3039"/>
      <c r="P70" s="3039"/>
      <c r="Q70" s="1102"/>
      <c r="R70" s="1102"/>
      <c r="S70" s="1102"/>
      <c r="T70" s="1102"/>
      <c r="U70" s="1102"/>
      <c r="V70" s="1102"/>
      <c r="W70" s="3073"/>
      <c r="X70" s="1102"/>
      <c r="Y70" s="3168"/>
      <c r="Z70" s="1102"/>
      <c r="AA70" s="1102"/>
      <c r="AB70" s="1102"/>
      <c r="AC70" s="1102"/>
      <c r="AD70" s="1103"/>
      <c r="AE70" s="95"/>
      <c r="AF70" s="95"/>
      <c r="AG70" s="95"/>
      <c r="AH70" s="1103"/>
      <c r="AI70" s="1103"/>
      <c r="AJ70" s="1103"/>
      <c r="AK70" s="1103"/>
      <c r="AL70" s="1103"/>
      <c r="AM70" s="1103"/>
      <c r="AN70" s="1103"/>
      <c r="AO70" s="1103"/>
      <c r="AP70" s="1103"/>
      <c r="AQ70" s="1103"/>
      <c r="AR70" s="1103"/>
    </row>
    <row r="71" spans="1:44" s="1104" customFormat="1" ht="39.950000000000003" customHeight="1">
      <c r="A71" s="1101"/>
      <c r="B71" s="1105"/>
      <c r="C71" s="1101"/>
      <c r="D71" s="1101"/>
      <c r="E71" s="1101"/>
      <c r="F71" s="1101"/>
      <c r="G71" s="1101"/>
      <c r="H71" s="1101"/>
      <c r="I71" s="3039"/>
      <c r="J71" s="1101"/>
      <c r="K71" s="1101"/>
      <c r="L71" s="3039"/>
      <c r="M71" s="3039"/>
      <c r="N71" s="3039"/>
      <c r="O71" s="3039"/>
      <c r="P71" s="3039"/>
      <c r="Q71" s="1102"/>
      <c r="R71" s="1102"/>
      <c r="S71" s="1102"/>
      <c r="T71" s="1102"/>
      <c r="U71" s="1102"/>
      <c r="V71" s="1102"/>
      <c r="W71" s="1102"/>
      <c r="X71" s="1102"/>
      <c r="Y71" s="1102"/>
      <c r="Z71" s="1102"/>
      <c r="AA71" s="1102"/>
      <c r="AB71" s="1102"/>
      <c r="AC71" s="1102"/>
      <c r="AD71" s="1103"/>
      <c r="AE71" s="95"/>
      <c r="AF71" s="95"/>
      <c r="AG71" s="95"/>
      <c r="AH71" s="1103"/>
      <c r="AI71" s="1103"/>
      <c r="AJ71" s="1103"/>
      <c r="AK71" s="1103"/>
      <c r="AL71" s="1103"/>
      <c r="AM71" s="1103"/>
      <c r="AN71" s="1103"/>
      <c r="AO71" s="1103"/>
      <c r="AP71" s="1103"/>
      <c r="AQ71" s="1103"/>
      <c r="AR71" s="1103"/>
    </row>
    <row r="72" spans="1:44" s="1104" customFormat="1" ht="39.950000000000003" customHeight="1">
      <c r="A72" s="1101"/>
      <c r="B72" s="1080" t="s">
        <v>2825</v>
      </c>
      <c r="C72" s="1150"/>
      <c r="D72" s="1150"/>
      <c r="E72" s="1150"/>
      <c r="F72" s="1150"/>
      <c r="G72" s="1150"/>
      <c r="H72" s="1151"/>
      <c r="I72" s="1151"/>
      <c r="J72" s="1151"/>
      <c r="K72" s="1151"/>
      <c r="L72" s="3204"/>
      <c r="M72" s="3204"/>
      <c r="N72" s="3205"/>
      <c r="O72" s="3205"/>
      <c r="P72" s="3205"/>
      <c r="Q72" s="1102"/>
      <c r="R72" s="1102"/>
      <c r="S72" s="1102"/>
      <c r="T72" s="1102"/>
      <c r="U72" s="1102"/>
      <c r="V72" s="1102"/>
      <c r="W72" s="1102"/>
      <c r="X72" s="1102"/>
      <c r="Y72" s="1102"/>
      <c r="Z72" s="1102"/>
      <c r="AA72" s="1102"/>
      <c r="AB72" s="1102"/>
      <c r="AC72" s="1102"/>
      <c r="AD72" s="1103"/>
      <c r="AE72" s="95"/>
      <c r="AF72" s="95"/>
      <c r="AG72" s="95"/>
    </row>
    <row r="73" spans="1:44" s="1104" customFormat="1" ht="39.950000000000003" customHeight="1">
      <c r="A73" s="1101"/>
      <c r="B73" s="1150" t="s">
        <v>2826</v>
      </c>
      <c r="C73" s="1150"/>
      <c r="D73" s="1150"/>
      <c r="E73" s="1150"/>
      <c r="F73" s="1150"/>
      <c r="G73" s="1150"/>
      <c r="H73" s="1150"/>
      <c r="I73" s="1150"/>
      <c r="J73" s="1150"/>
      <c r="K73" s="1150"/>
      <c r="L73" s="3039"/>
      <c r="M73" s="3039"/>
      <c r="N73" s="3039"/>
      <c r="O73" s="3039"/>
      <c r="P73" s="3039"/>
      <c r="Q73" s="1102"/>
      <c r="R73" s="1102"/>
      <c r="S73" s="1102"/>
      <c r="T73" s="1102"/>
      <c r="U73" s="1102"/>
      <c r="V73" s="1102"/>
      <c r="W73" s="1102"/>
      <c r="X73" s="1102"/>
      <c r="Y73" s="1102"/>
      <c r="Z73" s="1102"/>
      <c r="AA73" s="1102"/>
      <c r="AB73" s="1102"/>
      <c r="AC73" s="1102"/>
      <c r="AD73" s="1103"/>
      <c r="AE73" s="95"/>
      <c r="AF73" s="95"/>
      <c r="AG73" s="95"/>
    </row>
    <row r="74" spans="1:44" s="1104" customFormat="1" ht="39.950000000000003" customHeight="1">
      <c r="A74" s="3178" t="s">
        <v>732</v>
      </c>
      <c r="B74" s="1150"/>
      <c r="C74" s="3285" t="s">
        <v>2827</v>
      </c>
      <c r="D74" s="3285"/>
      <c r="E74" s="3285"/>
      <c r="F74" s="3285"/>
      <c r="G74" s="3285"/>
      <c r="H74" s="3285"/>
      <c r="I74" s="3285"/>
      <c r="J74" s="3285"/>
      <c r="K74" s="3285"/>
      <c r="L74" s="3039"/>
      <c r="M74" s="3039"/>
      <c r="N74" s="3039"/>
      <c r="O74" s="3039"/>
      <c r="P74" s="3039"/>
      <c r="Q74" s="1102"/>
      <c r="R74" s="1102"/>
      <c r="S74" s="1102"/>
      <c r="T74" s="1102"/>
      <c r="U74" s="1102"/>
      <c r="V74" s="1102"/>
      <c r="W74" s="1102"/>
      <c r="X74" s="1102"/>
      <c r="Y74" s="1102"/>
      <c r="Z74" s="1102"/>
      <c r="AA74" s="1102"/>
      <c r="AB74" s="1102"/>
      <c r="AC74" s="1102"/>
      <c r="AD74" s="1103"/>
      <c r="AE74" s="95"/>
      <c r="AF74" s="95"/>
      <c r="AG74" s="95"/>
    </row>
    <row r="75" spans="1:44" s="1104" customFormat="1" ht="39.950000000000003" customHeight="1">
      <c r="A75" s="3178" t="s">
        <v>3227</v>
      </c>
      <c r="B75" s="3285" t="s">
        <v>2828</v>
      </c>
      <c r="C75" s="3285"/>
      <c r="D75" s="3285"/>
      <c r="E75" s="3285"/>
      <c r="F75" s="3285"/>
      <c r="G75" s="3285"/>
      <c r="H75" s="3285"/>
      <c r="I75" s="3285"/>
      <c r="J75" s="3285"/>
      <c r="K75" s="3285"/>
      <c r="L75" s="3285"/>
      <c r="M75" s="3285"/>
      <c r="N75" s="3285"/>
      <c r="O75" s="3285"/>
      <c r="P75" s="3285"/>
      <c r="Q75" s="3285"/>
      <c r="R75" s="3285"/>
      <c r="S75" s="3285"/>
      <c r="T75" s="3285"/>
      <c r="U75" s="3285"/>
      <c r="V75" s="3285"/>
      <c r="W75" s="1102"/>
      <c r="X75" s="1102"/>
      <c r="Y75" s="1102"/>
      <c r="Z75" s="1102"/>
      <c r="AA75" s="1102"/>
      <c r="AB75" s="1102"/>
      <c r="AC75" s="1102"/>
      <c r="AD75" s="1103"/>
      <c r="AE75" s="95"/>
      <c r="AF75" s="95"/>
      <c r="AG75" s="95"/>
    </row>
    <row r="76" spans="1:44" s="1104" customFormat="1" ht="39.950000000000003" customHeight="1">
      <c r="A76" s="1101"/>
      <c r="B76" s="1105"/>
      <c r="C76" s="1101"/>
      <c r="D76" s="1101"/>
      <c r="E76" s="1101"/>
      <c r="F76" s="1101"/>
      <c r="G76" s="1101"/>
      <c r="H76" s="1101"/>
      <c r="I76" s="3039"/>
      <c r="J76" s="1101"/>
      <c r="K76" s="1101"/>
      <c r="L76" s="3039"/>
      <c r="M76" s="3039"/>
      <c r="N76" s="3039"/>
      <c r="O76" s="3039"/>
      <c r="P76" s="3039"/>
      <c r="Q76" s="1102"/>
      <c r="R76" s="1102"/>
      <c r="S76" s="1102"/>
      <c r="T76" s="1102"/>
      <c r="U76" s="1102"/>
      <c r="V76" s="1102"/>
      <c r="W76" s="1102"/>
      <c r="X76" s="1102"/>
      <c r="Y76" s="1102"/>
      <c r="Z76" s="1102"/>
      <c r="AA76" s="1102"/>
      <c r="AB76" s="1102"/>
      <c r="AC76" s="1102"/>
      <c r="AD76" s="1103"/>
      <c r="AE76" s="95"/>
      <c r="AF76" s="95"/>
      <c r="AG76" s="95"/>
      <c r="AH76" s="1103"/>
      <c r="AI76" s="1103"/>
      <c r="AJ76" s="1103"/>
      <c r="AK76" s="1103"/>
      <c r="AL76" s="1103"/>
      <c r="AM76" s="1103"/>
      <c r="AN76" s="1103"/>
      <c r="AO76" s="1103"/>
      <c r="AP76" s="1103"/>
      <c r="AQ76" s="1103"/>
      <c r="AR76" s="1103"/>
    </row>
    <row r="77" spans="1:44" s="95" customFormat="1" ht="12.75">
      <c r="AB77" s="1103"/>
      <c r="AC77" s="1103"/>
      <c r="AD77" s="1103"/>
    </row>
    <row r="78" spans="1:44" s="95" customFormat="1" ht="12.75"/>
    <row r="79" spans="1:44" s="95" customFormat="1" ht="12.75"/>
    <row r="80" spans="1:44" s="95" customFormat="1" ht="12.75"/>
    <row r="81" s="95" customFormat="1" ht="12.75"/>
    <row r="82" s="95" customFormat="1" ht="12.75"/>
    <row r="83" s="95" customFormat="1" ht="12.75"/>
    <row r="84" s="95" customFormat="1" ht="12.75"/>
    <row r="85" s="95" customFormat="1" ht="12.75"/>
    <row r="86" s="95" customFormat="1" ht="12.75"/>
    <row r="87" s="95" customFormat="1" ht="12.75"/>
    <row r="88" s="95" customFormat="1" ht="12.75"/>
    <row r="89" s="95" customFormat="1" ht="12.75"/>
    <row r="90" s="95" customFormat="1" ht="12.75"/>
    <row r="91" s="95" customFormat="1" ht="12.75"/>
    <row r="92" s="95" customFormat="1" ht="12.75"/>
    <row r="93" s="95" customFormat="1" ht="12.75"/>
    <row r="94" s="95" customFormat="1" ht="12.75"/>
    <row r="95" s="95" customFormat="1" ht="12.75"/>
    <row r="96" s="95" customFormat="1" ht="12.75"/>
    <row r="97" s="95" customFormat="1" ht="12.75"/>
    <row r="98" s="95" customFormat="1" ht="12.75"/>
    <row r="99" s="95" customFormat="1" ht="12.75"/>
    <row r="100" s="95" customFormat="1" ht="12.75"/>
    <row r="101" s="95" customFormat="1" ht="12.75"/>
    <row r="102" s="95" customFormat="1" ht="12.75"/>
    <row r="103" s="95" customFormat="1" ht="12.75"/>
    <row r="104" s="95" customFormat="1" ht="12.75"/>
    <row r="105" s="95" customFormat="1" ht="12.75"/>
    <row r="106" s="95" customFormat="1" ht="12.75"/>
    <row r="107" s="95" customFormat="1" ht="12.75"/>
    <row r="108" s="95" customFormat="1" ht="12.75"/>
    <row r="109" s="95" customFormat="1" ht="12.75"/>
    <row r="110" s="95" customFormat="1" ht="12.75"/>
    <row r="111" s="95" customFormat="1" ht="12.75"/>
    <row r="112" s="95" customFormat="1" ht="12.75"/>
    <row r="113" s="95" customFormat="1" ht="12.75"/>
    <row r="114" s="95" customFormat="1" ht="12.75"/>
    <row r="115" s="95" customFormat="1" ht="12.75"/>
    <row r="116" s="95" customFormat="1" ht="12.75"/>
    <row r="117" s="95" customFormat="1" ht="12.75"/>
    <row r="118" s="95" customFormat="1" ht="12.75"/>
    <row r="119" s="95" customFormat="1" ht="12.75"/>
    <row r="120" s="95" customFormat="1" ht="12.75"/>
    <row r="121" s="95" customFormat="1" ht="12.75"/>
    <row r="122" s="95" customFormat="1" ht="12.75"/>
    <row r="123" s="95" customFormat="1" ht="12.75"/>
    <row r="124" s="95" customFormat="1" ht="12.75"/>
    <row r="125" s="95" customFormat="1" ht="12.75"/>
    <row r="126" s="95" customFormat="1" ht="12.75"/>
    <row r="127" s="95" customFormat="1" ht="12.75"/>
    <row r="128" s="95" customFormat="1" ht="12.75"/>
    <row r="129" s="95" customFormat="1" ht="12.75"/>
    <row r="130" s="95" customFormat="1" ht="12.75"/>
    <row r="131" s="95" customFormat="1" ht="12.75"/>
    <row r="132" s="95" customFormat="1" ht="12.75"/>
    <row r="133" s="95" customFormat="1" ht="12.75"/>
    <row r="134" s="95" customFormat="1" ht="12.75"/>
    <row r="135" s="95" customFormat="1" ht="12.75"/>
    <row r="136" s="95" customFormat="1" ht="12.75"/>
    <row r="137" s="95" customFormat="1" ht="12.75"/>
    <row r="138" s="95" customFormat="1" ht="12.75"/>
    <row r="139" s="95" customFormat="1" ht="12.75"/>
    <row r="140" s="95" customFormat="1" ht="12.75"/>
    <row r="141" s="95" customFormat="1" ht="12.75"/>
    <row r="142" s="95" customFormat="1" ht="12.75"/>
    <row r="143" s="95" customFormat="1" ht="12.75"/>
  </sheetData>
  <mergeCells count="2">
    <mergeCell ref="C74:K74"/>
    <mergeCell ref="B75:V75"/>
  </mergeCells>
  <hyperlinks>
    <hyperlink ref="C74" r:id="rId1" display="http://www.excel-downloads.com/forum/111720-space.html" xr:uid="{01562830-94DB-49DB-9681-ADF5E3AB0D53}"/>
    <hyperlink ref="B75" r:id="rId2" xr:uid="{F3D01C66-C6F0-4120-9D1F-58E1337803CA}"/>
    <hyperlink ref="B40" r:id="rId3" display="Les unités pifométriques" xr:uid="{823C6AA4-6D13-44B2-861D-7AA55D324D3E}"/>
    <hyperlink ref="D45" r:id="rId4" xr:uid="{B3F55B3C-AB78-4D5F-88D2-CFF390242FF8}"/>
    <hyperlink ref="D46" r:id="rId5" xr:uid="{CDC69708-14CD-4645-9015-911D1F42A15C}"/>
    <hyperlink ref="D47" r:id="rId6" xr:uid="{716D455E-7FB6-4BAF-9714-9E6A07FB91EF}"/>
    <hyperlink ref="D48" r:id="rId7" xr:uid="{7AF259A9-B4FF-4670-8F14-2EB265B6EE07}"/>
    <hyperlink ref="D50" r:id="rId8" xr:uid="{FFF3652A-4AD3-4CA0-A436-D1A6E4148DEE}"/>
    <hyperlink ref="D44" r:id="rId9" xr:uid="{81C648A2-35D5-46BF-B4C2-DC460C42CC39}"/>
    <hyperlink ref="B54" r:id="rId10" display="https://www.youtube.com/watch?v=YfGrccEQGKk" xr:uid="{18D78517-A466-4203-9804-9BECE4B401A8}"/>
    <hyperlink ref="B55" r:id="rId11" display="https://www.youtube.com/watch?v=li4XNespLxg" xr:uid="{5F9094DB-CABE-4ED1-9251-948946B8E2B6}"/>
    <hyperlink ref="B52:M52" r:id="rId12" display="Différence entre un fichier XLS et XLSX (ou XLSM)" xr:uid="{9635883A-8664-4F6C-8841-DD3FD710E2AA}"/>
    <hyperlink ref="D49" r:id="rId13" xr:uid="{D0DD148C-F1D1-4A5E-B849-166924B81B61}"/>
    <hyperlink ref="B57:H57" r:id="rId14" display="Forum Bureautique" xr:uid="{CB5F5F4B-6B9A-46B0-ADC4-2B50569CD812}"/>
    <hyperlink ref="B58:M58" r:id="rId15" display="Alternatives à Microsoft Excel : 5 programmes gratuits et convaincants" xr:uid="{5DC2B377-4E3C-4112-A5AB-CF5333C62CF5}"/>
    <hyperlink ref="B59:J59" r:id="rId16" display="Excel SI-ALORS: comment fonctionne la formule SI ?" xr:uid="{F6A34474-BF98-4EF5-9405-2EBA332874E4}"/>
    <hyperlink ref="B60:I60" r:id="rId17" display="Les 20 meilleurs Tricks Mathématiques" xr:uid="{4BFFF918-B306-4452-BD16-6FB043B8646D}"/>
    <hyperlink ref="D63" r:id="rId18" xr:uid="{265EBD3E-6D38-49F7-89F2-89FFC806F031}"/>
    <hyperlink ref="D64" r:id="rId19" xr:uid="{F6BC37C1-C233-478F-9594-56895B363431}"/>
    <hyperlink ref="D62" r:id="rId20" xr:uid="{45D1128D-016B-459E-8B1A-9F65A1E3FA8F}"/>
    <hyperlink ref="D65" r:id="rId21" xr:uid="{8975AA4D-A702-4DCC-9189-63E03C953C6C}"/>
    <hyperlink ref="D66" r:id="rId22" xr:uid="{2E540C96-A550-4DA8-93DC-7E5B349E31B2}"/>
    <hyperlink ref="D40" r:id="rId23" xr:uid="{68ABFA92-E218-4018-A0DB-01FEE7754856}"/>
    <hyperlink ref="D54" r:id="rId24" xr:uid="{50ECB79C-A9B3-45DC-9697-BB286343132B}"/>
    <hyperlink ref="D55" r:id="rId25" xr:uid="{21C5025F-742D-452D-9EA1-66140895F187}"/>
    <hyperlink ref="D52" r:id="rId26" xr:uid="{1A9C10F2-FFE4-4E25-85E9-21DEB1EECD7E}"/>
    <hyperlink ref="D56" r:id="rId27" xr:uid="{21957ADF-C6DC-40A8-A54B-882C59EE063F}"/>
    <hyperlink ref="D57" r:id="rId28" xr:uid="{B57644FD-CAF2-4513-96FB-F61F1DD305AB}"/>
    <hyperlink ref="D58" r:id="rId29" xr:uid="{F05E45ED-2DEC-4898-9C00-34391BD07A8C}"/>
    <hyperlink ref="D59" r:id="rId30" xr:uid="{E073A8A4-7804-4547-BBE8-85DFFB8D510F}"/>
    <hyperlink ref="D60" r:id="rId31" xr:uid="{07C2536B-0EBE-4A4C-8793-22D62E454D04}"/>
    <hyperlink ref="D43" r:id="rId32" xr:uid="{F406C91E-D547-4A1F-B700-66EFD7C278BF}"/>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33"/>
  <headerFooter alignWithMargins="0"/>
  <drawing r:id="rId3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20"/>
  <sheetViews>
    <sheetView showZeros="0" showWhiteSpace="0" zoomScale="61" zoomScaleNormal="61" zoomScalePageLayoutView="58" workbookViewId="0">
      <selection activeCell="T17" sqref="T17"/>
    </sheetView>
  </sheetViews>
  <sheetFormatPr baseColWidth="10" defaultRowHeight="15"/>
  <cols>
    <col min="1" max="1" width="3.28515625" style="1281" customWidth="1"/>
    <col min="2" max="2" width="6.85546875" style="1281" customWidth="1"/>
    <col min="3" max="3" width="46.5703125" style="1281" customWidth="1"/>
    <col min="4" max="4" width="13.28515625" style="1281" customWidth="1"/>
    <col min="5" max="5" width="13" style="1281" customWidth="1"/>
    <col min="6" max="15" width="12.42578125" style="1281" customWidth="1"/>
    <col min="16" max="16" width="14.5703125" style="1281" customWidth="1"/>
    <col min="17" max="17" width="10" style="1281" customWidth="1"/>
    <col min="18" max="18" width="11.7109375" style="1281" customWidth="1"/>
    <col min="19" max="19" width="1.85546875" style="1177" customWidth="1"/>
    <col min="20" max="20" width="11.42578125" style="1177"/>
    <col min="21" max="21" width="3.28515625" style="1281" customWidth="1"/>
    <col min="22" max="22" width="7.85546875" style="1281" customWidth="1"/>
    <col min="23" max="23" width="52.28515625" style="1281" customWidth="1"/>
    <col min="24" max="24" width="13.28515625" style="1281" customWidth="1"/>
    <col min="25" max="25" width="14.7109375" style="1281" customWidth="1"/>
    <col min="26" max="26" width="11" style="1281" customWidth="1"/>
    <col min="27" max="34" width="10.140625" style="1281" customWidth="1"/>
    <col min="35" max="35" width="12.42578125" style="1281" customWidth="1"/>
    <col min="36" max="36" width="16.42578125" style="1178" customWidth="1"/>
    <col min="37" max="37" width="18.85546875" style="1178" customWidth="1"/>
    <col min="38" max="38" width="10.42578125" style="1178" customWidth="1"/>
    <col min="39" max="40" width="11.42578125" style="1178"/>
    <col min="41" max="41" width="18" style="1178" customWidth="1"/>
    <col min="42" max="43" width="11.42578125" style="1178"/>
    <col min="44" max="44" width="8" style="1178" customWidth="1"/>
    <col min="45" max="45" width="11.42578125" style="1178"/>
    <col min="46" max="46" width="20.85546875" style="1178" customWidth="1"/>
    <col min="47" max="47" width="11.42578125" style="1178"/>
    <col min="48" max="48" width="36.7109375" style="1178" customWidth="1"/>
    <col min="49" max="53" width="11.42578125" style="1180"/>
    <col min="54" max="256" width="11.42578125" style="1177"/>
    <col min="257" max="257" width="3.28515625" style="1177" customWidth="1"/>
    <col min="258" max="258" width="6.85546875" style="1177" customWidth="1"/>
    <col min="259" max="259" width="46.5703125" style="1177" customWidth="1"/>
    <col min="260" max="260" width="13.28515625" style="1177" customWidth="1"/>
    <col min="261" max="261" width="13" style="1177" customWidth="1"/>
    <col min="262" max="271" width="12.42578125" style="1177" customWidth="1"/>
    <col min="272" max="272" width="14.5703125" style="1177" customWidth="1"/>
    <col min="273" max="273" width="10" style="1177" customWidth="1"/>
    <col min="274" max="274" width="11.7109375" style="1177" customWidth="1"/>
    <col min="275" max="275" width="1.85546875" style="1177" customWidth="1"/>
    <col min="276" max="276" width="11.42578125" style="1177"/>
    <col min="277" max="277" width="3.28515625" style="1177" customWidth="1"/>
    <col min="278" max="278" width="7.85546875" style="1177" customWidth="1"/>
    <col min="279" max="279" width="52.28515625" style="1177" customWidth="1"/>
    <col min="280" max="280" width="13.28515625" style="1177" customWidth="1"/>
    <col min="281" max="281" width="14.7109375" style="1177" customWidth="1"/>
    <col min="282" max="282" width="11" style="1177" customWidth="1"/>
    <col min="283" max="290" width="10.140625" style="1177" customWidth="1"/>
    <col min="291" max="291" width="12.42578125" style="1177" customWidth="1"/>
    <col min="292" max="292" width="16.42578125" style="1177" customWidth="1"/>
    <col min="293" max="293" width="18.85546875" style="1177" customWidth="1"/>
    <col min="294" max="294" width="10.42578125" style="1177" customWidth="1"/>
    <col min="295" max="296" width="11.42578125" style="1177"/>
    <col min="297" max="297" width="18" style="1177" customWidth="1"/>
    <col min="298" max="299" width="11.42578125" style="1177"/>
    <col min="300" max="300" width="8" style="1177" customWidth="1"/>
    <col min="301" max="301" width="11.42578125" style="1177"/>
    <col min="302" max="302" width="20.85546875" style="1177" customWidth="1"/>
    <col min="303" max="303" width="11.42578125" style="1177"/>
    <col min="304" max="304" width="36.7109375" style="1177" customWidth="1"/>
    <col min="305" max="512" width="11.42578125" style="1177"/>
    <col min="513" max="513" width="3.28515625" style="1177" customWidth="1"/>
    <col min="514" max="514" width="6.85546875" style="1177" customWidth="1"/>
    <col min="515" max="515" width="46.5703125" style="1177" customWidth="1"/>
    <col min="516" max="516" width="13.28515625" style="1177" customWidth="1"/>
    <col min="517" max="517" width="13" style="1177" customWidth="1"/>
    <col min="518" max="527" width="12.42578125" style="1177" customWidth="1"/>
    <col min="528" max="528" width="14.5703125" style="1177" customWidth="1"/>
    <col min="529" max="529" width="10" style="1177" customWidth="1"/>
    <col min="530" max="530" width="11.7109375" style="1177" customWidth="1"/>
    <col min="531" max="531" width="1.85546875" style="1177" customWidth="1"/>
    <col min="532" max="532" width="11.42578125" style="1177"/>
    <col min="533" max="533" width="3.28515625" style="1177" customWidth="1"/>
    <col min="534" max="534" width="7.85546875" style="1177" customWidth="1"/>
    <col min="535" max="535" width="52.28515625" style="1177" customWidth="1"/>
    <col min="536" max="536" width="13.28515625" style="1177" customWidth="1"/>
    <col min="537" max="537" width="14.7109375" style="1177" customWidth="1"/>
    <col min="538" max="538" width="11" style="1177" customWidth="1"/>
    <col min="539" max="546" width="10.140625" style="1177" customWidth="1"/>
    <col min="547" max="547" width="12.42578125" style="1177" customWidth="1"/>
    <col min="548" max="548" width="16.42578125" style="1177" customWidth="1"/>
    <col min="549" max="549" width="18.85546875" style="1177" customWidth="1"/>
    <col min="550" max="550" width="10.42578125" style="1177" customWidth="1"/>
    <col min="551" max="552" width="11.42578125" style="1177"/>
    <col min="553" max="553" width="18" style="1177" customWidth="1"/>
    <col min="554" max="555" width="11.42578125" style="1177"/>
    <col min="556" max="556" width="8" style="1177" customWidth="1"/>
    <col min="557" max="557" width="11.42578125" style="1177"/>
    <col min="558" max="558" width="20.85546875" style="1177" customWidth="1"/>
    <col min="559" max="559" width="11.42578125" style="1177"/>
    <col min="560" max="560" width="36.7109375" style="1177" customWidth="1"/>
    <col min="561" max="768" width="11.42578125" style="1177"/>
    <col min="769" max="769" width="3.28515625" style="1177" customWidth="1"/>
    <col min="770" max="770" width="6.85546875" style="1177" customWidth="1"/>
    <col min="771" max="771" width="46.5703125" style="1177" customWidth="1"/>
    <col min="772" max="772" width="13.28515625" style="1177" customWidth="1"/>
    <col min="773" max="773" width="13" style="1177" customWidth="1"/>
    <col min="774" max="783" width="12.42578125" style="1177" customWidth="1"/>
    <col min="784" max="784" width="14.5703125" style="1177" customWidth="1"/>
    <col min="785" max="785" width="10" style="1177" customWidth="1"/>
    <col min="786" max="786" width="11.7109375" style="1177" customWidth="1"/>
    <col min="787" max="787" width="1.85546875" style="1177" customWidth="1"/>
    <col min="788" max="788" width="11.42578125" style="1177"/>
    <col min="789" max="789" width="3.28515625" style="1177" customWidth="1"/>
    <col min="790" max="790" width="7.85546875" style="1177" customWidth="1"/>
    <col min="791" max="791" width="52.28515625" style="1177" customWidth="1"/>
    <col min="792" max="792" width="13.28515625" style="1177" customWidth="1"/>
    <col min="793" max="793" width="14.7109375" style="1177" customWidth="1"/>
    <col min="794" max="794" width="11" style="1177" customWidth="1"/>
    <col min="795" max="802" width="10.140625" style="1177" customWidth="1"/>
    <col min="803" max="803" width="12.42578125" style="1177" customWidth="1"/>
    <col min="804" max="804" width="16.42578125" style="1177" customWidth="1"/>
    <col min="805" max="805" width="18.85546875" style="1177" customWidth="1"/>
    <col min="806" max="806" width="10.42578125" style="1177" customWidth="1"/>
    <col min="807" max="808" width="11.42578125" style="1177"/>
    <col min="809" max="809" width="18" style="1177" customWidth="1"/>
    <col min="810" max="811" width="11.42578125" style="1177"/>
    <col min="812" max="812" width="8" style="1177" customWidth="1"/>
    <col min="813" max="813" width="11.42578125" style="1177"/>
    <col min="814" max="814" width="20.85546875" style="1177" customWidth="1"/>
    <col min="815" max="815" width="11.42578125" style="1177"/>
    <col min="816" max="816" width="36.7109375" style="1177" customWidth="1"/>
    <col min="817" max="1024" width="11.42578125" style="1177"/>
    <col min="1025" max="1025" width="3.28515625" style="1177" customWidth="1"/>
    <col min="1026" max="1026" width="6.85546875" style="1177" customWidth="1"/>
    <col min="1027" max="1027" width="46.5703125" style="1177" customWidth="1"/>
    <col min="1028" max="1028" width="13.28515625" style="1177" customWidth="1"/>
    <col min="1029" max="1029" width="13" style="1177" customWidth="1"/>
    <col min="1030" max="1039" width="12.42578125" style="1177" customWidth="1"/>
    <col min="1040" max="1040" width="14.5703125" style="1177" customWidth="1"/>
    <col min="1041" max="1041" width="10" style="1177" customWidth="1"/>
    <col min="1042" max="1042" width="11.7109375" style="1177" customWidth="1"/>
    <col min="1043" max="1043" width="1.85546875" style="1177" customWidth="1"/>
    <col min="1044" max="1044" width="11.42578125" style="1177"/>
    <col min="1045" max="1045" width="3.28515625" style="1177" customWidth="1"/>
    <col min="1046" max="1046" width="7.85546875" style="1177" customWidth="1"/>
    <col min="1047" max="1047" width="52.28515625" style="1177" customWidth="1"/>
    <col min="1048" max="1048" width="13.28515625" style="1177" customWidth="1"/>
    <col min="1049" max="1049" width="14.7109375" style="1177" customWidth="1"/>
    <col min="1050" max="1050" width="11" style="1177" customWidth="1"/>
    <col min="1051" max="1058" width="10.140625" style="1177" customWidth="1"/>
    <col min="1059" max="1059" width="12.42578125" style="1177" customWidth="1"/>
    <col min="1060" max="1060" width="16.42578125" style="1177" customWidth="1"/>
    <col min="1061" max="1061" width="18.85546875" style="1177" customWidth="1"/>
    <col min="1062" max="1062" width="10.42578125" style="1177" customWidth="1"/>
    <col min="1063" max="1064" width="11.42578125" style="1177"/>
    <col min="1065" max="1065" width="18" style="1177" customWidth="1"/>
    <col min="1066" max="1067" width="11.42578125" style="1177"/>
    <col min="1068" max="1068" width="8" style="1177" customWidth="1"/>
    <col min="1069" max="1069" width="11.42578125" style="1177"/>
    <col min="1070" max="1070" width="20.85546875" style="1177" customWidth="1"/>
    <col min="1071" max="1071" width="11.42578125" style="1177"/>
    <col min="1072" max="1072" width="36.7109375" style="1177" customWidth="1"/>
    <col min="1073" max="1280" width="11.42578125" style="1177"/>
    <col min="1281" max="1281" width="3.28515625" style="1177" customWidth="1"/>
    <col min="1282" max="1282" width="6.85546875" style="1177" customWidth="1"/>
    <col min="1283" max="1283" width="46.5703125" style="1177" customWidth="1"/>
    <col min="1284" max="1284" width="13.28515625" style="1177" customWidth="1"/>
    <col min="1285" max="1285" width="13" style="1177" customWidth="1"/>
    <col min="1286" max="1295" width="12.42578125" style="1177" customWidth="1"/>
    <col min="1296" max="1296" width="14.5703125" style="1177" customWidth="1"/>
    <col min="1297" max="1297" width="10" style="1177" customWidth="1"/>
    <col min="1298" max="1298" width="11.7109375" style="1177" customWidth="1"/>
    <col min="1299" max="1299" width="1.85546875" style="1177" customWidth="1"/>
    <col min="1300" max="1300" width="11.42578125" style="1177"/>
    <col min="1301" max="1301" width="3.28515625" style="1177" customWidth="1"/>
    <col min="1302" max="1302" width="7.85546875" style="1177" customWidth="1"/>
    <col min="1303" max="1303" width="52.28515625" style="1177" customWidth="1"/>
    <col min="1304" max="1304" width="13.28515625" style="1177" customWidth="1"/>
    <col min="1305" max="1305" width="14.7109375" style="1177" customWidth="1"/>
    <col min="1306" max="1306" width="11" style="1177" customWidth="1"/>
    <col min="1307" max="1314" width="10.140625" style="1177" customWidth="1"/>
    <col min="1315" max="1315" width="12.42578125" style="1177" customWidth="1"/>
    <col min="1316" max="1316" width="16.42578125" style="1177" customWidth="1"/>
    <col min="1317" max="1317" width="18.85546875" style="1177" customWidth="1"/>
    <col min="1318" max="1318" width="10.42578125" style="1177" customWidth="1"/>
    <col min="1319" max="1320" width="11.42578125" style="1177"/>
    <col min="1321" max="1321" width="18" style="1177" customWidth="1"/>
    <col min="1322" max="1323" width="11.42578125" style="1177"/>
    <col min="1324" max="1324" width="8" style="1177" customWidth="1"/>
    <col min="1325" max="1325" width="11.42578125" style="1177"/>
    <col min="1326" max="1326" width="20.85546875" style="1177" customWidth="1"/>
    <col min="1327" max="1327" width="11.42578125" style="1177"/>
    <col min="1328" max="1328" width="36.7109375" style="1177" customWidth="1"/>
    <col min="1329" max="1536" width="11.42578125" style="1177"/>
    <col min="1537" max="1537" width="3.28515625" style="1177" customWidth="1"/>
    <col min="1538" max="1538" width="6.85546875" style="1177" customWidth="1"/>
    <col min="1539" max="1539" width="46.5703125" style="1177" customWidth="1"/>
    <col min="1540" max="1540" width="13.28515625" style="1177" customWidth="1"/>
    <col min="1541" max="1541" width="13" style="1177" customWidth="1"/>
    <col min="1542" max="1551" width="12.42578125" style="1177" customWidth="1"/>
    <col min="1552" max="1552" width="14.5703125" style="1177" customWidth="1"/>
    <col min="1553" max="1553" width="10" style="1177" customWidth="1"/>
    <col min="1554" max="1554" width="11.7109375" style="1177" customWidth="1"/>
    <col min="1555" max="1555" width="1.85546875" style="1177" customWidth="1"/>
    <col min="1556" max="1556" width="11.42578125" style="1177"/>
    <col min="1557" max="1557" width="3.28515625" style="1177" customWidth="1"/>
    <col min="1558" max="1558" width="7.85546875" style="1177" customWidth="1"/>
    <col min="1559" max="1559" width="52.28515625" style="1177" customWidth="1"/>
    <col min="1560" max="1560" width="13.28515625" style="1177" customWidth="1"/>
    <col min="1561" max="1561" width="14.7109375" style="1177" customWidth="1"/>
    <col min="1562" max="1562" width="11" style="1177" customWidth="1"/>
    <col min="1563" max="1570" width="10.140625" style="1177" customWidth="1"/>
    <col min="1571" max="1571" width="12.42578125" style="1177" customWidth="1"/>
    <col min="1572" max="1572" width="16.42578125" style="1177" customWidth="1"/>
    <col min="1573" max="1573" width="18.85546875" style="1177" customWidth="1"/>
    <col min="1574" max="1574" width="10.42578125" style="1177" customWidth="1"/>
    <col min="1575" max="1576" width="11.42578125" style="1177"/>
    <col min="1577" max="1577" width="18" style="1177" customWidth="1"/>
    <col min="1578" max="1579" width="11.42578125" style="1177"/>
    <col min="1580" max="1580" width="8" style="1177" customWidth="1"/>
    <col min="1581" max="1581" width="11.42578125" style="1177"/>
    <col min="1582" max="1582" width="20.85546875" style="1177" customWidth="1"/>
    <col min="1583" max="1583" width="11.42578125" style="1177"/>
    <col min="1584" max="1584" width="36.7109375" style="1177" customWidth="1"/>
    <col min="1585" max="1792" width="11.42578125" style="1177"/>
    <col min="1793" max="1793" width="3.28515625" style="1177" customWidth="1"/>
    <col min="1794" max="1794" width="6.85546875" style="1177" customWidth="1"/>
    <col min="1795" max="1795" width="46.5703125" style="1177" customWidth="1"/>
    <col min="1796" max="1796" width="13.28515625" style="1177" customWidth="1"/>
    <col min="1797" max="1797" width="13" style="1177" customWidth="1"/>
    <col min="1798" max="1807" width="12.42578125" style="1177" customWidth="1"/>
    <col min="1808" max="1808" width="14.5703125" style="1177" customWidth="1"/>
    <col min="1809" max="1809" width="10" style="1177" customWidth="1"/>
    <col min="1810" max="1810" width="11.7109375" style="1177" customWidth="1"/>
    <col min="1811" max="1811" width="1.85546875" style="1177" customWidth="1"/>
    <col min="1812" max="1812" width="11.42578125" style="1177"/>
    <col min="1813" max="1813" width="3.28515625" style="1177" customWidth="1"/>
    <col min="1814" max="1814" width="7.85546875" style="1177" customWidth="1"/>
    <col min="1815" max="1815" width="52.28515625" style="1177" customWidth="1"/>
    <col min="1816" max="1816" width="13.28515625" style="1177" customWidth="1"/>
    <col min="1817" max="1817" width="14.7109375" style="1177" customWidth="1"/>
    <col min="1818" max="1818" width="11" style="1177" customWidth="1"/>
    <col min="1819" max="1826" width="10.140625" style="1177" customWidth="1"/>
    <col min="1827" max="1827" width="12.42578125" style="1177" customWidth="1"/>
    <col min="1828" max="1828" width="16.42578125" style="1177" customWidth="1"/>
    <col min="1829" max="1829" width="18.85546875" style="1177" customWidth="1"/>
    <col min="1830" max="1830" width="10.42578125" style="1177" customWidth="1"/>
    <col min="1831" max="1832" width="11.42578125" style="1177"/>
    <col min="1833" max="1833" width="18" style="1177" customWidth="1"/>
    <col min="1834" max="1835" width="11.42578125" style="1177"/>
    <col min="1836" max="1836" width="8" style="1177" customWidth="1"/>
    <col min="1837" max="1837" width="11.42578125" style="1177"/>
    <col min="1838" max="1838" width="20.85546875" style="1177" customWidth="1"/>
    <col min="1839" max="1839" width="11.42578125" style="1177"/>
    <col min="1840" max="1840" width="36.7109375" style="1177" customWidth="1"/>
    <col min="1841" max="2048" width="11.42578125" style="1177"/>
    <col min="2049" max="2049" width="3.28515625" style="1177" customWidth="1"/>
    <col min="2050" max="2050" width="6.85546875" style="1177" customWidth="1"/>
    <col min="2051" max="2051" width="46.5703125" style="1177" customWidth="1"/>
    <col min="2052" max="2052" width="13.28515625" style="1177" customWidth="1"/>
    <col min="2053" max="2053" width="13" style="1177" customWidth="1"/>
    <col min="2054" max="2063" width="12.42578125" style="1177" customWidth="1"/>
    <col min="2064" max="2064" width="14.5703125" style="1177" customWidth="1"/>
    <col min="2065" max="2065" width="10" style="1177" customWidth="1"/>
    <col min="2066" max="2066" width="11.7109375" style="1177" customWidth="1"/>
    <col min="2067" max="2067" width="1.85546875" style="1177" customWidth="1"/>
    <col min="2068" max="2068" width="11.42578125" style="1177"/>
    <col min="2069" max="2069" width="3.28515625" style="1177" customWidth="1"/>
    <col min="2070" max="2070" width="7.85546875" style="1177" customWidth="1"/>
    <col min="2071" max="2071" width="52.28515625" style="1177" customWidth="1"/>
    <col min="2072" max="2072" width="13.28515625" style="1177" customWidth="1"/>
    <col min="2073" max="2073" width="14.7109375" style="1177" customWidth="1"/>
    <col min="2074" max="2074" width="11" style="1177" customWidth="1"/>
    <col min="2075" max="2082" width="10.140625" style="1177" customWidth="1"/>
    <col min="2083" max="2083" width="12.42578125" style="1177" customWidth="1"/>
    <col min="2084" max="2084" width="16.42578125" style="1177" customWidth="1"/>
    <col min="2085" max="2085" width="18.85546875" style="1177" customWidth="1"/>
    <col min="2086" max="2086" width="10.42578125" style="1177" customWidth="1"/>
    <col min="2087" max="2088" width="11.42578125" style="1177"/>
    <col min="2089" max="2089" width="18" style="1177" customWidth="1"/>
    <col min="2090" max="2091" width="11.42578125" style="1177"/>
    <col min="2092" max="2092" width="8" style="1177" customWidth="1"/>
    <col min="2093" max="2093" width="11.42578125" style="1177"/>
    <col min="2094" max="2094" width="20.85546875" style="1177" customWidth="1"/>
    <col min="2095" max="2095" width="11.42578125" style="1177"/>
    <col min="2096" max="2096" width="36.7109375" style="1177" customWidth="1"/>
    <col min="2097" max="2304" width="11.42578125" style="1177"/>
    <col min="2305" max="2305" width="3.28515625" style="1177" customWidth="1"/>
    <col min="2306" max="2306" width="6.85546875" style="1177" customWidth="1"/>
    <col min="2307" max="2307" width="46.5703125" style="1177" customWidth="1"/>
    <col min="2308" max="2308" width="13.28515625" style="1177" customWidth="1"/>
    <col min="2309" max="2309" width="13" style="1177" customWidth="1"/>
    <col min="2310" max="2319" width="12.42578125" style="1177" customWidth="1"/>
    <col min="2320" max="2320" width="14.5703125" style="1177" customWidth="1"/>
    <col min="2321" max="2321" width="10" style="1177" customWidth="1"/>
    <col min="2322" max="2322" width="11.7109375" style="1177" customWidth="1"/>
    <col min="2323" max="2323" width="1.85546875" style="1177" customWidth="1"/>
    <col min="2324" max="2324" width="11.42578125" style="1177"/>
    <col min="2325" max="2325" width="3.28515625" style="1177" customWidth="1"/>
    <col min="2326" max="2326" width="7.85546875" style="1177" customWidth="1"/>
    <col min="2327" max="2327" width="52.28515625" style="1177" customWidth="1"/>
    <col min="2328" max="2328" width="13.28515625" style="1177" customWidth="1"/>
    <col min="2329" max="2329" width="14.7109375" style="1177" customWidth="1"/>
    <col min="2330" max="2330" width="11" style="1177" customWidth="1"/>
    <col min="2331" max="2338" width="10.140625" style="1177" customWidth="1"/>
    <col min="2339" max="2339" width="12.42578125" style="1177" customWidth="1"/>
    <col min="2340" max="2340" width="16.42578125" style="1177" customWidth="1"/>
    <col min="2341" max="2341" width="18.85546875" style="1177" customWidth="1"/>
    <col min="2342" max="2342" width="10.42578125" style="1177" customWidth="1"/>
    <col min="2343" max="2344" width="11.42578125" style="1177"/>
    <col min="2345" max="2345" width="18" style="1177" customWidth="1"/>
    <col min="2346" max="2347" width="11.42578125" style="1177"/>
    <col min="2348" max="2348" width="8" style="1177" customWidth="1"/>
    <col min="2349" max="2349" width="11.42578125" style="1177"/>
    <col min="2350" max="2350" width="20.85546875" style="1177" customWidth="1"/>
    <col min="2351" max="2351" width="11.42578125" style="1177"/>
    <col min="2352" max="2352" width="36.7109375" style="1177" customWidth="1"/>
    <col min="2353" max="2560" width="11.42578125" style="1177"/>
    <col min="2561" max="2561" width="3.28515625" style="1177" customWidth="1"/>
    <col min="2562" max="2562" width="6.85546875" style="1177" customWidth="1"/>
    <col min="2563" max="2563" width="46.5703125" style="1177" customWidth="1"/>
    <col min="2564" max="2564" width="13.28515625" style="1177" customWidth="1"/>
    <col min="2565" max="2565" width="13" style="1177" customWidth="1"/>
    <col min="2566" max="2575" width="12.42578125" style="1177" customWidth="1"/>
    <col min="2576" max="2576" width="14.5703125" style="1177" customWidth="1"/>
    <col min="2577" max="2577" width="10" style="1177" customWidth="1"/>
    <col min="2578" max="2578" width="11.7109375" style="1177" customWidth="1"/>
    <col min="2579" max="2579" width="1.85546875" style="1177" customWidth="1"/>
    <col min="2580" max="2580" width="11.42578125" style="1177"/>
    <col min="2581" max="2581" width="3.28515625" style="1177" customWidth="1"/>
    <col min="2582" max="2582" width="7.85546875" style="1177" customWidth="1"/>
    <col min="2583" max="2583" width="52.28515625" style="1177" customWidth="1"/>
    <col min="2584" max="2584" width="13.28515625" style="1177" customWidth="1"/>
    <col min="2585" max="2585" width="14.7109375" style="1177" customWidth="1"/>
    <col min="2586" max="2586" width="11" style="1177" customWidth="1"/>
    <col min="2587" max="2594" width="10.140625" style="1177" customWidth="1"/>
    <col min="2595" max="2595" width="12.42578125" style="1177" customWidth="1"/>
    <col min="2596" max="2596" width="16.42578125" style="1177" customWidth="1"/>
    <col min="2597" max="2597" width="18.85546875" style="1177" customWidth="1"/>
    <col min="2598" max="2598" width="10.42578125" style="1177" customWidth="1"/>
    <col min="2599" max="2600" width="11.42578125" style="1177"/>
    <col min="2601" max="2601" width="18" style="1177" customWidth="1"/>
    <col min="2602" max="2603" width="11.42578125" style="1177"/>
    <col min="2604" max="2604" width="8" style="1177" customWidth="1"/>
    <col min="2605" max="2605" width="11.42578125" style="1177"/>
    <col min="2606" max="2606" width="20.85546875" style="1177" customWidth="1"/>
    <col min="2607" max="2607" width="11.42578125" style="1177"/>
    <col min="2608" max="2608" width="36.7109375" style="1177" customWidth="1"/>
    <col min="2609" max="2816" width="11.42578125" style="1177"/>
    <col min="2817" max="2817" width="3.28515625" style="1177" customWidth="1"/>
    <col min="2818" max="2818" width="6.85546875" style="1177" customWidth="1"/>
    <col min="2819" max="2819" width="46.5703125" style="1177" customWidth="1"/>
    <col min="2820" max="2820" width="13.28515625" style="1177" customWidth="1"/>
    <col min="2821" max="2821" width="13" style="1177" customWidth="1"/>
    <col min="2822" max="2831" width="12.42578125" style="1177" customWidth="1"/>
    <col min="2832" max="2832" width="14.5703125" style="1177" customWidth="1"/>
    <col min="2833" max="2833" width="10" style="1177" customWidth="1"/>
    <col min="2834" max="2834" width="11.7109375" style="1177" customWidth="1"/>
    <col min="2835" max="2835" width="1.85546875" style="1177" customWidth="1"/>
    <col min="2836" max="2836" width="11.42578125" style="1177"/>
    <col min="2837" max="2837" width="3.28515625" style="1177" customWidth="1"/>
    <col min="2838" max="2838" width="7.85546875" style="1177" customWidth="1"/>
    <col min="2839" max="2839" width="52.28515625" style="1177" customWidth="1"/>
    <col min="2840" max="2840" width="13.28515625" style="1177" customWidth="1"/>
    <col min="2841" max="2841" width="14.7109375" style="1177" customWidth="1"/>
    <col min="2842" max="2842" width="11" style="1177" customWidth="1"/>
    <col min="2843" max="2850" width="10.140625" style="1177" customWidth="1"/>
    <col min="2851" max="2851" width="12.42578125" style="1177" customWidth="1"/>
    <col min="2852" max="2852" width="16.42578125" style="1177" customWidth="1"/>
    <col min="2853" max="2853" width="18.85546875" style="1177" customWidth="1"/>
    <col min="2854" max="2854" width="10.42578125" style="1177" customWidth="1"/>
    <col min="2855" max="2856" width="11.42578125" style="1177"/>
    <col min="2857" max="2857" width="18" style="1177" customWidth="1"/>
    <col min="2858" max="2859" width="11.42578125" style="1177"/>
    <col min="2860" max="2860" width="8" style="1177" customWidth="1"/>
    <col min="2861" max="2861" width="11.42578125" style="1177"/>
    <col min="2862" max="2862" width="20.85546875" style="1177" customWidth="1"/>
    <col min="2863" max="2863" width="11.42578125" style="1177"/>
    <col min="2864" max="2864" width="36.7109375" style="1177" customWidth="1"/>
    <col min="2865" max="3072" width="11.42578125" style="1177"/>
    <col min="3073" max="3073" width="3.28515625" style="1177" customWidth="1"/>
    <col min="3074" max="3074" width="6.85546875" style="1177" customWidth="1"/>
    <col min="3075" max="3075" width="46.5703125" style="1177" customWidth="1"/>
    <col min="3076" max="3076" width="13.28515625" style="1177" customWidth="1"/>
    <col min="3077" max="3077" width="13" style="1177" customWidth="1"/>
    <col min="3078" max="3087" width="12.42578125" style="1177" customWidth="1"/>
    <col min="3088" max="3088" width="14.5703125" style="1177" customWidth="1"/>
    <col min="3089" max="3089" width="10" style="1177" customWidth="1"/>
    <col min="3090" max="3090" width="11.7109375" style="1177" customWidth="1"/>
    <col min="3091" max="3091" width="1.85546875" style="1177" customWidth="1"/>
    <col min="3092" max="3092" width="11.42578125" style="1177"/>
    <col min="3093" max="3093" width="3.28515625" style="1177" customWidth="1"/>
    <col min="3094" max="3094" width="7.85546875" style="1177" customWidth="1"/>
    <col min="3095" max="3095" width="52.28515625" style="1177" customWidth="1"/>
    <col min="3096" max="3096" width="13.28515625" style="1177" customWidth="1"/>
    <col min="3097" max="3097" width="14.7109375" style="1177" customWidth="1"/>
    <col min="3098" max="3098" width="11" style="1177" customWidth="1"/>
    <col min="3099" max="3106" width="10.140625" style="1177" customWidth="1"/>
    <col min="3107" max="3107" width="12.42578125" style="1177" customWidth="1"/>
    <col min="3108" max="3108" width="16.42578125" style="1177" customWidth="1"/>
    <col min="3109" max="3109" width="18.85546875" style="1177" customWidth="1"/>
    <col min="3110" max="3110" width="10.42578125" style="1177" customWidth="1"/>
    <col min="3111" max="3112" width="11.42578125" style="1177"/>
    <col min="3113" max="3113" width="18" style="1177" customWidth="1"/>
    <col min="3114" max="3115" width="11.42578125" style="1177"/>
    <col min="3116" max="3116" width="8" style="1177" customWidth="1"/>
    <col min="3117" max="3117" width="11.42578125" style="1177"/>
    <col min="3118" max="3118" width="20.85546875" style="1177" customWidth="1"/>
    <col min="3119" max="3119" width="11.42578125" style="1177"/>
    <col min="3120" max="3120" width="36.7109375" style="1177" customWidth="1"/>
    <col min="3121" max="3328" width="11.42578125" style="1177"/>
    <col min="3329" max="3329" width="3.28515625" style="1177" customWidth="1"/>
    <col min="3330" max="3330" width="6.85546875" style="1177" customWidth="1"/>
    <col min="3331" max="3331" width="46.5703125" style="1177" customWidth="1"/>
    <col min="3332" max="3332" width="13.28515625" style="1177" customWidth="1"/>
    <col min="3333" max="3333" width="13" style="1177" customWidth="1"/>
    <col min="3334" max="3343" width="12.42578125" style="1177" customWidth="1"/>
    <col min="3344" max="3344" width="14.5703125" style="1177" customWidth="1"/>
    <col min="3345" max="3345" width="10" style="1177" customWidth="1"/>
    <col min="3346" max="3346" width="11.7109375" style="1177" customWidth="1"/>
    <col min="3347" max="3347" width="1.85546875" style="1177" customWidth="1"/>
    <col min="3348" max="3348" width="11.42578125" style="1177"/>
    <col min="3349" max="3349" width="3.28515625" style="1177" customWidth="1"/>
    <col min="3350" max="3350" width="7.85546875" style="1177" customWidth="1"/>
    <col min="3351" max="3351" width="52.28515625" style="1177" customWidth="1"/>
    <col min="3352" max="3352" width="13.28515625" style="1177" customWidth="1"/>
    <col min="3353" max="3353" width="14.7109375" style="1177" customWidth="1"/>
    <col min="3354" max="3354" width="11" style="1177" customWidth="1"/>
    <col min="3355" max="3362" width="10.140625" style="1177" customWidth="1"/>
    <col min="3363" max="3363" width="12.42578125" style="1177" customWidth="1"/>
    <col min="3364" max="3364" width="16.42578125" style="1177" customWidth="1"/>
    <col min="3365" max="3365" width="18.85546875" style="1177" customWidth="1"/>
    <col min="3366" max="3366" width="10.42578125" style="1177" customWidth="1"/>
    <col min="3367" max="3368" width="11.42578125" style="1177"/>
    <col min="3369" max="3369" width="18" style="1177" customWidth="1"/>
    <col min="3370" max="3371" width="11.42578125" style="1177"/>
    <col min="3372" max="3372" width="8" style="1177" customWidth="1"/>
    <col min="3373" max="3373" width="11.42578125" style="1177"/>
    <col min="3374" max="3374" width="20.85546875" style="1177" customWidth="1"/>
    <col min="3375" max="3375" width="11.42578125" style="1177"/>
    <col min="3376" max="3376" width="36.7109375" style="1177" customWidth="1"/>
    <col min="3377" max="3584" width="11.42578125" style="1177"/>
    <col min="3585" max="3585" width="3.28515625" style="1177" customWidth="1"/>
    <col min="3586" max="3586" width="6.85546875" style="1177" customWidth="1"/>
    <col min="3587" max="3587" width="46.5703125" style="1177" customWidth="1"/>
    <col min="3588" max="3588" width="13.28515625" style="1177" customWidth="1"/>
    <col min="3589" max="3589" width="13" style="1177" customWidth="1"/>
    <col min="3590" max="3599" width="12.42578125" style="1177" customWidth="1"/>
    <col min="3600" max="3600" width="14.5703125" style="1177" customWidth="1"/>
    <col min="3601" max="3601" width="10" style="1177" customWidth="1"/>
    <col min="3602" max="3602" width="11.7109375" style="1177" customWidth="1"/>
    <col min="3603" max="3603" width="1.85546875" style="1177" customWidth="1"/>
    <col min="3604" max="3604" width="11.42578125" style="1177"/>
    <col min="3605" max="3605" width="3.28515625" style="1177" customWidth="1"/>
    <col min="3606" max="3606" width="7.85546875" style="1177" customWidth="1"/>
    <col min="3607" max="3607" width="52.28515625" style="1177" customWidth="1"/>
    <col min="3608" max="3608" width="13.28515625" style="1177" customWidth="1"/>
    <col min="3609" max="3609" width="14.7109375" style="1177" customWidth="1"/>
    <col min="3610" max="3610" width="11" style="1177" customWidth="1"/>
    <col min="3611" max="3618" width="10.140625" style="1177" customWidth="1"/>
    <col min="3619" max="3619" width="12.42578125" style="1177" customWidth="1"/>
    <col min="3620" max="3620" width="16.42578125" style="1177" customWidth="1"/>
    <col min="3621" max="3621" width="18.85546875" style="1177" customWidth="1"/>
    <col min="3622" max="3622" width="10.42578125" style="1177" customWidth="1"/>
    <col min="3623" max="3624" width="11.42578125" style="1177"/>
    <col min="3625" max="3625" width="18" style="1177" customWidth="1"/>
    <col min="3626" max="3627" width="11.42578125" style="1177"/>
    <col min="3628" max="3628" width="8" style="1177" customWidth="1"/>
    <col min="3629" max="3629" width="11.42578125" style="1177"/>
    <col min="3630" max="3630" width="20.85546875" style="1177" customWidth="1"/>
    <col min="3631" max="3631" width="11.42578125" style="1177"/>
    <col min="3632" max="3632" width="36.7109375" style="1177" customWidth="1"/>
    <col min="3633" max="3840" width="11.42578125" style="1177"/>
    <col min="3841" max="3841" width="3.28515625" style="1177" customWidth="1"/>
    <col min="3842" max="3842" width="6.85546875" style="1177" customWidth="1"/>
    <col min="3843" max="3843" width="46.5703125" style="1177" customWidth="1"/>
    <col min="3844" max="3844" width="13.28515625" style="1177" customWidth="1"/>
    <col min="3845" max="3845" width="13" style="1177" customWidth="1"/>
    <col min="3846" max="3855" width="12.42578125" style="1177" customWidth="1"/>
    <col min="3856" max="3856" width="14.5703125" style="1177" customWidth="1"/>
    <col min="3857" max="3857" width="10" style="1177" customWidth="1"/>
    <col min="3858" max="3858" width="11.7109375" style="1177" customWidth="1"/>
    <col min="3859" max="3859" width="1.85546875" style="1177" customWidth="1"/>
    <col min="3860" max="3860" width="11.42578125" style="1177"/>
    <col min="3861" max="3861" width="3.28515625" style="1177" customWidth="1"/>
    <col min="3862" max="3862" width="7.85546875" style="1177" customWidth="1"/>
    <col min="3863" max="3863" width="52.28515625" style="1177" customWidth="1"/>
    <col min="3864" max="3864" width="13.28515625" style="1177" customWidth="1"/>
    <col min="3865" max="3865" width="14.7109375" style="1177" customWidth="1"/>
    <col min="3866" max="3866" width="11" style="1177" customWidth="1"/>
    <col min="3867" max="3874" width="10.140625" style="1177" customWidth="1"/>
    <col min="3875" max="3875" width="12.42578125" style="1177" customWidth="1"/>
    <col min="3876" max="3876" width="16.42578125" style="1177" customWidth="1"/>
    <col min="3877" max="3877" width="18.85546875" style="1177" customWidth="1"/>
    <col min="3878" max="3878" width="10.42578125" style="1177" customWidth="1"/>
    <col min="3879" max="3880" width="11.42578125" style="1177"/>
    <col min="3881" max="3881" width="18" style="1177" customWidth="1"/>
    <col min="3882" max="3883" width="11.42578125" style="1177"/>
    <col min="3884" max="3884" width="8" style="1177" customWidth="1"/>
    <col min="3885" max="3885" width="11.42578125" style="1177"/>
    <col min="3886" max="3886" width="20.85546875" style="1177" customWidth="1"/>
    <col min="3887" max="3887" width="11.42578125" style="1177"/>
    <col min="3888" max="3888" width="36.7109375" style="1177" customWidth="1"/>
    <col min="3889" max="4096" width="11.42578125" style="1177"/>
    <col min="4097" max="4097" width="3.28515625" style="1177" customWidth="1"/>
    <col min="4098" max="4098" width="6.85546875" style="1177" customWidth="1"/>
    <col min="4099" max="4099" width="46.5703125" style="1177" customWidth="1"/>
    <col min="4100" max="4100" width="13.28515625" style="1177" customWidth="1"/>
    <col min="4101" max="4101" width="13" style="1177" customWidth="1"/>
    <col min="4102" max="4111" width="12.42578125" style="1177" customWidth="1"/>
    <col min="4112" max="4112" width="14.5703125" style="1177" customWidth="1"/>
    <col min="4113" max="4113" width="10" style="1177" customWidth="1"/>
    <col min="4114" max="4114" width="11.7109375" style="1177" customWidth="1"/>
    <col min="4115" max="4115" width="1.85546875" style="1177" customWidth="1"/>
    <col min="4116" max="4116" width="11.42578125" style="1177"/>
    <col min="4117" max="4117" width="3.28515625" style="1177" customWidth="1"/>
    <col min="4118" max="4118" width="7.85546875" style="1177" customWidth="1"/>
    <col min="4119" max="4119" width="52.28515625" style="1177" customWidth="1"/>
    <col min="4120" max="4120" width="13.28515625" style="1177" customWidth="1"/>
    <col min="4121" max="4121" width="14.7109375" style="1177" customWidth="1"/>
    <col min="4122" max="4122" width="11" style="1177" customWidth="1"/>
    <col min="4123" max="4130" width="10.140625" style="1177" customWidth="1"/>
    <col min="4131" max="4131" width="12.42578125" style="1177" customWidth="1"/>
    <col min="4132" max="4132" width="16.42578125" style="1177" customWidth="1"/>
    <col min="4133" max="4133" width="18.85546875" style="1177" customWidth="1"/>
    <col min="4134" max="4134" width="10.42578125" style="1177" customWidth="1"/>
    <col min="4135" max="4136" width="11.42578125" style="1177"/>
    <col min="4137" max="4137" width="18" style="1177" customWidth="1"/>
    <col min="4138" max="4139" width="11.42578125" style="1177"/>
    <col min="4140" max="4140" width="8" style="1177" customWidth="1"/>
    <col min="4141" max="4141" width="11.42578125" style="1177"/>
    <col min="4142" max="4142" width="20.85546875" style="1177" customWidth="1"/>
    <col min="4143" max="4143" width="11.42578125" style="1177"/>
    <col min="4144" max="4144" width="36.7109375" style="1177" customWidth="1"/>
    <col min="4145" max="4352" width="11.42578125" style="1177"/>
    <col min="4353" max="4353" width="3.28515625" style="1177" customWidth="1"/>
    <col min="4354" max="4354" width="6.85546875" style="1177" customWidth="1"/>
    <col min="4355" max="4355" width="46.5703125" style="1177" customWidth="1"/>
    <col min="4356" max="4356" width="13.28515625" style="1177" customWidth="1"/>
    <col min="4357" max="4357" width="13" style="1177" customWidth="1"/>
    <col min="4358" max="4367" width="12.42578125" style="1177" customWidth="1"/>
    <col min="4368" max="4368" width="14.5703125" style="1177" customWidth="1"/>
    <col min="4369" max="4369" width="10" style="1177" customWidth="1"/>
    <col min="4370" max="4370" width="11.7109375" style="1177" customWidth="1"/>
    <col min="4371" max="4371" width="1.85546875" style="1177" customWidth="1"/>
    <col min="4372" max="4372" width="11.42578125" style="1177"/>
    <col min="4373" max="4373" width="3.28515625" style="1177" customWidth="1"/>
    <col min="4374" max="4374" width="7.85546875" style="1177" customWidth="1"/>
    <col min="4375" max="4375" width="52.28515625" style="1177" customWidth="1"/>
    <col min="4376" max="4376" width="13.28515625" style="1177" customWidth="1"/>
    <col min="4377" max="4377" width="14.7109375" style="1177" customWidth="1"/>
    <col min="4378" max="4378" width="11" style="1177" customWidth="1"/>
    <col min="4379" max="4386" width="10.140625" style="1177" customWidth="1"/>
    <col min="4387" max="4387" width="12.42578125" style="1177" customWidth="1"/>
    <col min="4388" max="4388" width="16.42578125" style="1177" customWidth="1"/>
    <col min="4389" max="4389" width="18.85546875" style="1177" customWidth="1"/>
    <col min="4390" max="4390" width="10.42578125" style="1177" customWidth="1"/>
    <col min="4391" max="4392" width="11.42578125" style="1177"/>
    <col min="4393" max="4393" width="18" style="1177" customWidth="1"/>
    <col min="4394" max="4395" width="11.42578125" style="1177"/>
    <col min="4396" max="4396" width="8" style="1177" customWidth="1"/>
    <col min="4397" max="4397" width="11.42578125" style="1177"/>
    <col min="4398" max="4398" width="20.85546875" style="1177" customWidth="1"/>
    <col min="4399" max="4399" width="11.42578125" style="1177"/>
    <col min="4400" max="4400" width="36.7109375" style="1177" customWidth="1"/>
    <col min="4401" max="4608" width="11.42578125" style="1177"/>
    <col min="4609" max="4609" width="3.28515625" style="1177" customWidth="1"/>
    <col min="4610" max="4610" width="6.85546875" style="1177" customWidth="1"/>
    <col min="4611" max="4611" width="46.5703125" style="1177" customWidth="1"/>
    <col min="4612" max="4612" width="13.28515625" style="1177" customWidth="1"/>
    <col min="4613" max="4613" width="13" style="1177" customWidth="1"/>
    <col min="4614" max="4623" width="12.42578125" style="1177" customWidth="1"/>
    <col min="4624" max="4624" width="14.5703125" style="1177" customWidth="1"/>
    <col min="4625" max="4625" width="10" style="1177" customWidth="1"/>
    <col min="4626" max="4626" width="11.7109375" style="1177" customWidth="1"/>
    <col min="4627" max="4627" width="1.85546875" style="1177" customWidth="1"/>
    <col min="4628" max="4628" width="11.42578125" style="1177"/>
    <col min="4629" max="4629" width="3.28515625" style="1177" customWidth="1"/>
    <col min="4630" max="4630" width="7.85546875" style="1177" customWidth="1"/>
    <col min="4631" max="4631" width="52.28515625" style="1177" customWidth="1"/>
    <col min="4632" max="4632" width="13.28515625" style="1177" customWidth="1"/>
    <col min="4633" max="4633" width="14.7109375" style="1177" customWidth="1"/>
    <col min="4634" max="4634" width="11" style="1177" customWidth="1"/>
    <col min="4635" max="4642" width="10.140625" style="1177" customWidth="1"/>
    <col min="4643" max="4643" width="12.42578125" style="1177" customWidth="1"/>
    <col min="4644" max="4644" width="16.42578125" style="1177" customWidth="1"/>
    <col min="4645" max="4645" width="18.85546875" style="1177" customWidth="1"/>
    <col min="4646" max="4646" width="10.42578125" style="1177" customWidth="1"/>
    <col min="4647" max="4648" width="11.42578125" style="1177"/>
    <col min="4649" max="4649" width="18" style="1177" customWidth="1"/>
    <col min="4650" max="4651" width="11.42578125" style="1177"/>
    <col min="4652" max="4652" width="8" style="1177" customWidth="1"/>
    <col min="4653" max="4653" width="11.42578125" style="1177"/>
    <col min="4654" max="4654" width="20.85546875" style="1177" customWidth="1"/>
    <col min="4655" max="4655" width="11.42578125" style="1177"/>
    <col min="4656" max="4656" width="36.7109375" style="1177" customWidth="1"/>
    <col min="4657" max="4864" width="11.42578125" style="1177"/>
    <col min="4865" max="4865" width="3.28515625" style="1177" customWidth="1"/>
    <col min="4866" max="4866" width="6.85546875" style="1177" customWidth="1"/>
    <col min="4867" max="4867" width="46.5703125" style="1177" customWidth="1"/>
    <col min="4868" max="4868" width="13.28515625" style="1177" customWidth="1"/>
    <col min="4869" max="4869" width="13" style="1177" customWidth="1"/>
    <col min="4870" max="4879" width="12.42578125" style="1177" customWidth="1"/>
    <col min="4880" max="4880" width="14.5703125" style="1177" customWidth="1"/>
    <col min="4881" max="4881" width="10" style="1177" customWidth="1"/>
    <col min="4882" max="4882" width="11.7109375" style="1177" customWidth="1"/>
    <col min="4883" max="4883" width="1.85546875" style="1177" customWidth="1"/>
    <col min="4884" max="4884" width="11.42578125" style="1177"/>
    <col min="4885" max="4885" width="3.28515625" style="1177" customWidth="1"/>
    <col min="4886" max="4886" width="7.85546875" style="1177" customWidth="1"/>
    <col min="4887" max="4887" width="52.28515625" style="1177" customWidth="1"/>
    <col min="4888" max="4888" width="13.28515625" style="1177" customWidth="1"/>
    <col min="4889" max="4889" width="14.7109375" style="1177" customWidth="1"/>
    <col min="4890" max="4890" width="11" style="1177" customWidth="1"/>
    <col min="4891" max="4898" width="10.140625" style="1177" customWidth="1"/>
    <col min="4899" max="4899" width="12.42578125" style="1177" customWidth="1"/>
    <col min="4900" max="4900" width="16.42578125" style="1177" customWidth="1"/>
    <col min="4901" max="4901" width="18.85546875" style="1177" customWidth="1"/>
    <col min="4902" max="4902" width="10.42578125" style="1177" customWidth="1"/>
    <col min="4903" max="4904" width="11.42578125" style="1177"/>
    <col min="4905" max="4905" width="18" style="1177" customWidth="1"/>
    <col min="4906" max="4907" width="11.42578125" style="1177"/>
    <col min="4908" max="4908" width="8" style="1177" customWidth="1"/>
    <col min="4909" max="4909" width="11.42578125" style="1177"/>
    <col min="4910" max="4910" width="20.85546875" style="1177" customWidth="1"/>
    <col min="4911" max="4911" width="11.42578125" style="1177"/>
    <col min="4912" max="4912" width="36.7109375" style="1177" customWidth="1"/>
    <col min="4913" max="5120" width="11.42578125" style="1177"/>
    <col min="5121" max="5121" width="3.28515625" style="1177" customWidth="1"/>
    <col min="5122" max="5122" width="6.85546875" style="1177" customWidth="1"/>
    <col min="5123" max="5123" width="46.5703125" style="1177" customWidth="1"/>
    <col min="5124" max="5124" width="13.28515625" style="1177" customWidth="1"/>
    <col min="5125" max="5125" width="13" style="1177" customWidth="1"/>
    <col min="5126" max="5135" width="12.42578125" style="1177" customWidth="1"/>
    <col min="5136" max="5136" width="14.5703125" style="1177" customWidth="1"/>
    <col min="5137" max="5137" width="10" style="1177" customWidth="1"/>
    <col min="5138" max="5138" width="11.7109375" style="1177" customWidth="1"/>
    <col min="5139" max="5139" width="1.85546875" style="1177" customWidth="1"/>
    <col min="5140" max="5140" width="11.42578125" style="1177"/>
    <col min="5141" max="5141" width="3.28515625" style="1177" customWidth="1"/>
    <col min="5142" max="5142" width="7.85546875" style="1177" customWidth="1"/>
    <col min="5143" max="5143" width="52.28515625" style="1177" customWidth="1"/>
    <col min="5144" max="5144" width="13.28515625" style="1177" customWidth="1"/>
    <col min="5145" max="5145" width="14.7109375" style="1177" customWidth="1"/>
    <col min="5146" max="5146" width="11" style="1177" customWidth="1"/>
    <col min="5147" max="5154" width="10.140625" style="1177" customWidth="1"/>
    <col min="5155" max="5155" width="12.42578125" style="1177" customWidth="1"/>
    <col min="5156" max="5156" width="16.42578125" style="1177" customWidth="1"/>
    <col min="5157" max="5157" width="18.85546875" style="1177" customWidth="1"/>
    <col min="5158" max="5158" width="10.42578125" style="1177" customWidth="1"/>
    <col min="5159" max="5160" width="11.42578125" style="1177"/>
    <col min="5161" max="5161" width="18" style="1177" customWidth="1"/>
    <col min="5162" max="5163" width="11.42578125" style="1177"/>
    <col min="5164" max="5164" width="8" style="1177" customWidth="1"/>
    <col min="5165" max="5165" width="11.42578125" style="1177"/>
    <col min="5166" max="5166" width="20.85546875" style="1177" customWidth="1"/>
    <col min="5167" max="5167" width="11.42578125" style="1177"/>
    <col min="5168" max="5168" width="36.7109375" style="1177" customWidth="1"/>
    <col min="5169" max="5376" width="11.42578125" style="1177"/>
    <col min="5377" max="5377" width="3.28515625" style="1177" customWidth="1"/>
    <col min="5378" max="5378" width="6.85546875" style="1177" customWidth="1"/>
    <col min="5379" max="5379" width="46.5703125" style="1177" customWidth="1"/>
    <col min="5380" max="5380" width="13.28515625" style="1177" customWidth="1"/>
    <col min="5381" max="5381" width="13" style="1177" customWidth="1"/>
    <col min="5382" max="5391" width="12.42578125" style="1177" customWidth="1"/>
    <col min="5392" max="5392" width="14.5703125" style="1177" customWidth="1"/>
    <col min="5393" max="5393" width="10" style="1177" customWidth="1"/>
    <col min="5394" max="5394" width="11.7109375" style="1177" customWidth="1"/>
    <col min="5395" max="5395" width="1.85546875" style="1177" customWidth="1"/>
    <col min="5396" max="5396" width="11.42578125" style="1177"/>
    <col min="5397" max="5397" width="3.28515625" style="1177" customWidth="1"/>
    <col min="5398" max="5398" width="7.85546875" style="1177" customWidth="1"/>
    <col min="5399" max="5399" width="52.28515625" style="1177" customWidth="1"/>
    <col min="5400" max="5400" width="13.28515625" style="1177" customWidth="1"/>
    <col min="5401" max="5401" width="14.7109375" style="1177" customWidth="1"/>
    <col min="5402" max="5402" width="11" style="1177" customWidth="1"/>
    <col min="5403" max="5410" width="10.140625" style="1177" customWidth="1"/>
    <col min="5411" max="5411" width="12.42578125" style="1177" customWidth="1"/>
    <col min="5412" max="5412" width="16.42578125" style="1177" customWidth="1"/>
    <col min="5413" max="5413" width="18.85546875" style="1177" customWidth="1"/>
    <col min="5414" max="5414" width="10.42578125" style="1177" customWidth="1"/>
    <col min="5415" max="5416" width="11.42578125" style="1177"/>
    <col min="5417" max="5417" width="18" style="1177" customWidth="1"/>
    <col min="5418" max="5419" width="11.42578125" style="1177"/>
    <col min="5420" max="5420" width="8" style="1177" customWidth="1"/>
    <col min="5421" max="5421" width="11.42578125" style="1177"/>
    <col min="5422" max="5422" width="20.85546875" style="1177" customWidth="1"/>
    <col min="5423" max="5423" width="11.42578125" style="1177"/>
    <col min="5424" max="5424" width="36.7109375" style="1177" customWidth="1"/>
    <col min="5425" max="5632" width="11.42578125" style="1177"/>
    <col min="5633" max="5633" width="3.28515625" style="1177" customWidth="1"/>
    <col min="5634" max="5634" width="6.85546875" style="1177" customWidth="1"/>
    <col min="5635" max="5635" width="46.5703125" style="1177" customWidth="1"/>
    <col min="5636" max="5636" width="13.28515625" style="1177" customWidth="1"/>
    <col min="5637" max="5637" width="13" style="1177" customWidth="1"/>
    <col min="5638" max="5647" width="12.42578125" style="1177" customWidth="1"/>
    <col min="5648" max="5648" width="14.5703125" style="1177" customWidth="1"/>
    <col min="5649" max="5649" width="10" style="1177" customWidth="1"/>
    <col min="5650" max="5650" width="11.7109375" style="1177" customWidth="1"/>
    <col min="5651" max="5651" width="1.85546875" style="1177" customWidth="1"/>
    <col min="5652" max="5652" width="11.42578125" style="1177"/>
    <col min="5653" max="5653" width="3.28515625" style="1177" customWidth="1"/>
    <col min="5654" max="5654" width="7.85546875" style="1177" customWidth="1"/>
    <col min="5655" max="5655" width="52.28515625" style="1177" customWidth="1"/>
    <col min="5656" max="5656" width="13.28515625" style="1177" customWidth="1"/>
    <col min="5657" max="5657" width="14.7109375" style="1177" customWidth="1"/>
    <col min="5658" max="5658" width="11" style="1177" customWidth="1"/>
    <col min="5659" max="5666" width="10.140625" style="1177" customWidth="1"/>
    <col min="5667" max="5667" width="12.42578125" style="1177" customWidth="1"/>
    <col min="5668" max="5668" width="16.42578125" style="1177" customWidth="1"/>
    <col min="5669" max="5669" width="18.85546875" style="1177" customWidth="1"/>
    <col min="5670" max="5670" width="10.42578125" style="1177" customWidth="1"/>
    <col min="5671" max="5672" width="11.42578125" style="1177"/>
    <col min="5673" max="5673" width="18" style="1177" customWidth="1"/>
    <col min="5674" max="5675" width="11.42578125" style="1177"/>
    <col min="5676" max="5676" width="8" style="1177" customWidth="1"/>
    <col min="5677" max="5677" width="11.42578125" style="1177"/>
    <col min="5678" max="5678" width="20.85546875" style="1177" customWidth="1"/>
    <col min="5679" max="5679" width="11.42578125" style="1177"/>
    <col min="5680" max="5680" width="36.7109375" style="1177" customWidth="1"/>
    <col min="5681" max="5888" width="11.42578125" style="1177"/>
    <col min="5889" max="5889" width="3.28515625" style="1177" customWidth="1"/>
    <col min="5890" max="5890" width="6.85546875" style="1177" customWidth="1"/>
    <col min="5891" max="5891" width="46.5703125" style="1177" customWidth="1"/>
    <col min="5892" max="5892" width="13.28515625" style="1177" customWidth="1"/>
    <col min="5893" max="5893" width="13" style="1177" customWidth="1"/>
    <col min="5894" max="5903" width="12.42578125" style="1177" customWidth="1"/>
    <col min="5904" max="5904" width="14.5703125" style="1177" customWidth="1"/>
    <col min="5905" max="5905" width="10" style="1177" customWidth="1"/>
    <col min="5906" max="5906" width="11.7109375" style="1177" customWidth="1"/>
    <col min="5907" max="5907" width="1.85546875" style="1177" customWidth="1"/>
    <col min="5908" max="5908" width="11.42578125" style="1177"/>
    <col min="5909" max="5909" width="3.28515625" style="1177" customWidth="1"/>
    <col min="5910" max="5910" width="7.85546875" style="1177" customWidth="1"/>
    <col min="5911" max="5911" width="52.28515625" style="1177" customWidth="1"/>
    <col min="5912" max="5912" width="13.28515625" style="1177" customWidth="1"/>
    <col min="5913" max="5913" width="14.7109375" style="1177" customWidth="1"/>
    <col min="5914" max="5914" width="11" style="1177" customWidth="1"/>
    <col min="5915" max="5922" width="10.140625" style="1177" customWidth="1"/>
    <col min="5923" max="5923" width="12.42578125" style="1177" customWidth="1"/>
    <col min="5924" max="5924" width="16.42578125" style="1177" customWidth="1"/>
    <col min="5925" max="5925" width="18.85546875" style="1177" customWidth="1"/>
    <col min="5926" max="5926" width="10.42578125" style="1177" customWidth="1"/>
    <col min="5927" max="5928" width="11.42578125" style="1177"/>
    <col min="5929" max="5929" width="18" style="1177" customWidth="1"/>
    <col min="5930" max="5931" width="11.42578125" style="1177"/>
    <col min="5932" max="5932" width="8" style="1177" customWidth="1"/>
    <col min="5933" max="5933" width="11.42578125" style="1177"/>
    <col min="5934" max="5934" width="20.85546875" style="1177" customWidth="1"/>
    <col min="5935" max="5935" width="11.42578125" style="1177"/>
    <col min="5936" max="5936" width="36.7109375" style="1177" customWidth="1"/>
    <col min="5937" max="6144" width="11.42578125" style="1177"/>
    <col min="6145" max="6145" width="3.28515625" style="1177" customWidth="1"/>
    <col min="6146" max="6146" width="6.85546875" style="1177" customWidth="1"/>
    <col min="6147" max="6147" width="46.5703125" style="1177" customWidth="1"/>
    <col min="6148" max="6148" width="13.28515625" style="1177" customWidth="1"/>
    <col min="6149" max="6149" width="13" style="1177" customWidth="1"/>
    <col min="6150" max="6159" width="12.42578125" style="1177" customWidth="1"/>
    <col min="6160" max="6160" width="14.5703125" style="1177" customWidth="1"/>
    <col min="6161" max="6161" width="10" style="1177" customWidth="1"/>
    <col min="6162" max="6162" width="11.7109375" style="1177" customWidth="1"/>
    <col min="6163" max="6163" width="1.85546875" style="1177" customWidth="1"/>
    <col min="6164" max="6164" width="11.42578125" style="1177"/>
    <col min="6165" max="6165" width="3.28515625" style="1177" customWidth="1"/>
    <col min="6166" max="6166" width="7.85546875" style="1177" customWidth="1"/>
    <col min="6167" max="6167" width="52.28515625" style="1177" customWidth="1"/>
    <col min="6168" max="6168" width="13.28515625" style="1177" customWidth="1"/>
    <col min="6169" max="6169" width="14.7109375" style="1177" customWidth="1"/>
    <col min="6170" max="6170" width="11" style="1177" customWidth="1"/>
    <col min="6171" max="6178" width="10.140625" style="1177" customWidth="1"/>
    <col min="6179" max="6179" width="12.42578125" style="1177" customWidth="1"/>
    <col min="6180" max="6180" width="16.42578125" style="1177" customWidth="1"/>
    <col min="6181" max="6181" width="18.85546875" style="1177" customWidth="1"/>
    <col min="6182" max="6182" width="10.42578125" style="1177" customWidth="1"/>
    <col min="6183" max="6184" width="11.42578125" style="1177"/>
    <col min="6185" max="6185" width="18" style="1177" customWidth="1"/>
    <col min="6186" max="6187" width="11.42578125" style="1177"/>
    <col min="6188" max="6188" width="8" style="1177" customWidth="1"/>
    <col min="6189" max="6189" width="11.42578125" style="1177"/>
    <col min="6190" max="6190" width="20.85546875" style="1177" customWidth="1"/>
    <col min="6191" max="6191" width="11.42578125" style="1177"/>
    <col min="6192" max="6192" width="36.7109375" style="1177" customWidth="1"/>
    <col min="6193" max="6400" width="11.42578125" style="1177"/>
    <col min="6401" max="6401" width="3.28515625" style="1177" customWidth="1"/>
    <col min="6402" max="6402" width="6.85546875" style="1177" customWidth="1"/>
    <col min="6403" max="6403" width="46.5703125" style="1177" customWidth="1"/>
    <col min="6404" max="6404" width="13.28515625" style="1177" customWidth="1"/>
    <col min="6405" max="6405" width="13" style="1177" customWidth="1"/>
    <col min="6406" max="6415" width="12.42578125" style="1177" customWidth="1"/>
    <col min="6416" max="6416" width="14.5703125" style="1177" customWidth="1"/>
    <col min="6417" max="6417" width="10" style="1177" customWidth="1"/>
    <col min="6418" max="6418" width="11.7109375" style="1177" customWidth="1"/>
    <col min="6419" max="6419" width="1.85546875" style="1177" customWidth="1"/>
    <col min="6420" max="6420" width="11.42578125" style="1177"/>
    <col min="6421" max="6421" width="3.28515625" style="1177" customWidth="1"/>
    <col min="6422" max="6422" width="7.85546875" style="1177" customWidth="1"/>
    <col min="6423" max="6423" width="52.28515625" style="1177" customWidth="1"/>
    <col min="6424" max="6424" width="13.28515625" style="1177" customWidth="1"/>
    <col min="6425" max="6425" width="14.7109375" style="1177" customWidth="1"/>
    <col min="6426" max="6426" width="11" style="1177" customWidth="1"/>
    <col min="6427" max="6434" width="10.140625" style="1177" customWidth="1"/>
    <col min="6435" max="6435" width="12.42578125" style="1177" customWidth="1"/>
    <col min="6436" max="6436" width="16.42578125" style="1177" customWidth="1"/>
    <col min="6437" max="6437" width="18.85546875" style="1177" customWidth="1"/>
    <col min="6438" max="6438" width="10.42578125" style="1177" customWidth="1"/>
    <col min="6439" max="6440" width="11.42578125" style="1177"/>
    <col min="6441" max="6441" width="18" style="1177" customWidth="1"/>
    <col min="6442" max="6443" width="11.42578125" style="1177"/>
    <col min="6444" max="6444" width="8" style="1177" customWidth="1"/>
    <col min="6445" max="6445" width="11.42578125" style="1177"/>
    <col min="6446" max="6446" width="20.85546875" style="1177" customWidth="1"/>
    <col min="6447" max="6447" width="11.42578125" style="1177"/>
    <col min="6448" max="6448" width="36.7109375" style="1177" customWidth="1"/>
    <col min="6449" max="6656" width="11.42578125" style="1177"/>
    <col min="6657" max="6657" width="3.28515625" style="1177" customWidth="1"/>
    <col min="6658" max="6658" width="6.85546875" style="1177" customWidth="1"/>
    <col min="6659" max="6659" width="46.5703125" style="1177" customWidth="1"/>
    <col min="6660" max="6660" width="13.28515625" style="1177" customWidth="1"/>
    <col min="6661" max="6661" width="13" style="1177" customWidth="1"/>
    <col min="6662" max="6671" width="12.42578125" style="1177" customWidth="1"/>
    <col min="6672" max="6672" width="14.5703125" style="1177" customWidth="1"/>
    <col min="6673" max="6673" width="10" style="1177" customWidth="1"/>
    <col min="6674" max="6674" width="11.7109375" style="1177" customWidth="1"/>
    <col min="6675" max="6675" width="1.85546875" style="1177" customWidth="1"/>
    <col min="6676" max="6676" width="11.42578125" style="1177"/>
    <col min="6677" max="6677" width="3.28515625" style="1177" customWidth="1"/>
    <col min="6678" max="6678" width="7.85546875" style="1177" customWidth="1"/>
    <col min="6679" max="6679" width="52.28515625" style="1177" customWidth="1"/>
    <col min="6680" max="6680" width="13.28515625" style="1177" customWidth="1"/>
    <col min="6681" max="6681" width="14.7109375" style="1177" customWidth="1"/>
    <col min="6682" max="6682" width="11" style="1177" customWidth="1"/>
    <col min="6683" max="6690" width="10.140625" style="1177" customWidth="1"/>
    <col min="6691" max="6691" width="12.42578125" style="1177" customWidth="1"/>
    <col min="6692" max="6692" width="16.42578125" style="1177" customWidth="1"/>
    <col min="6693" max="6693" width="18.85546875" style="1177" customWidth="1"/>
    <col min="6694" max="6694" width="10.42578125" style="1177" customWidth="1"/>
    <col min="6695" max="6696" width="11.42578125" style="1177"/>
    <col min="6697" max="6697" width="18" style="1177" customWidth="1"/>
    <col min="6698" max="6699" width="11.42578125" style="1177"/>
    <col min="6700" max="6700" width="8" style="1177" customWidth="1"/>
    <col min="6701" max="6701" width="11.42578125" style="1177"/>
    <col min="6702" max="6702" width="20.85546875" style="1177" customWidth="1"/>
    <col min="6703" max="6703" width="11.42578125" style="1177"/>
    <col min="6704" max="6704" width="36.7109375" style="1177" customWidth="1"/>
    <col min="6705" max="6912" width="11.42578125" style="1177"/>
    <col min="6913" max="6913" width="3.28515625" style="1177" customWidth="1"/>
    <col min="6914" max="6914" width="6.85546875" style="1177" customWidth="1"/>
    <col min="6915" max="6915" width="46.5703125" style="1177" customWidth="1"/>
    <col min="6916" max="6916" width="13.28515625" style="1177" customWidth="1"/>
    <col min="6917" max="6917" width="13" style="1177" customWidth="1"/>
    <col min="6918" max="6927" width="12.42578125" style="1177" customWidth="1"/>
    <col min="6928" max="6928" width="14.5703125" style="1177" customWidth="1"/>
    <col min="6929" max="6929" width="10" style="1177" customWidth="1"/>
    <col min="6930" max="6930" width="11.7109375" style="1177" customWidth="1"/>
    <col min="6931" max="6931" width="1.85546875" style="1177" customWidth="1"/>
    <col min="6932" max="6932" width="11.42578125" style="1177"/>
    <col min="6933" max="6933" width="3.28515625" style="1177" customWidth="1"/>
    <col min="6934" max="6934" width="7.85546875" style="1177" customWidth="1"/>
    <col min="6935" max="6935" width="52.28515625" style="1177" customWidth="1"/>
    <col min="6936" max="6936" width="13.28515625" style="1177" customWidth="1"/>
    <col min="6937" max="6937" width="14.7109375" style="1177" customWidth="1"/>
    <col min="6938" max="6938" width="11" style="1177" customWidth="1"/>
    <col min="6939" max="6946" width="10.140625" style="1177" customWidth="1"/>
    <col min="6947" max="6947" width="12.42578125" style="1177" customWidth="1"/>
    <col min="6948" max="6948" width="16.42578125" style="1177" customWidth="1"/>
    <col min="6949" max="6949" width="18.85546875" style="1177" customWidth="1"/>
    <col min="6950" max="6950" width="10.42578125" style="1177" customWidth="1"/>
    <col min="6951" max="6952" width="11.42578125" style="1177"/>
    <col min="6953" max="6953" width="18" style="1177" customWidth="1"/>
    <col min="6954" max="6955" width="11.42578125" style="1177"/>
    <col min="6956" max="6956" width="8" style="1177" customWidth="1"/>
    <col min="6957" max="6957" width="11.42578125" style="1177"/>
    <col min="6958" max="6958" width="20.85546875" style="1177" customWidth="1"/>
    <col min="6959" max="6959" width="11.42578125" style="1177"/>
    <col min="6960" max="6960" width="36.7109375" style="1177" customWidth="1"/>
    <col min="6961" max="7168" width="11.42578125" style="1177"/>
    <col min="7169" max="7169" width="3.28515625" style="1177" customWidth="1"/>
    <col min="7170" max="7170" width="6.85546875" style="1177" customWidth="1"/>
    <col min="7171" max="7171" width="46.5703125" style="1177" customWidth="1"/>
    <col min="7172" max="7172" width="13.28515625" style="1177" customWidth="1"/>
    <col min="7173" max="7173" width="13" style="1177" customWidth="1"/>
    <col min="7174" max="7183" width="12.42578125" style="1177" customWidth="1"/>
    <col min="7184" max="7184" width="14.5703125" style="1177" customWidth="1"/>
    <col min="7185" max="7185" width="10" style="1177" customWidth="1"/>
    <col min="7186" max="7186" width="11.7109375" style="1177" customWidth="1"/>
    <col min="7187" max="7187" width="1.85546875" style="1177" customWidth="1"/>
    <col min="7188" max="7188" width="11.42578125" style="1177"/>
    <col min="7189" max="7189" width="3.28515625" style="1177" customWidth="1"/>
    <col min="7190" max="7190" width="7.85546875" style="1177" customWidth="1"/>
    <col min="7191" max="7191" width="52.28515625" style="1177" customWidth="1"/>
    <col min="7192" max="7192" width="13.28515625" style="1177" customWidth="1"/>
    <col min="7193" max="7193" width="14.7109375" style="1177" customWidth="1"/>
    <col min="7194" max="7194" width="11" style="1177" customWidth="1"/>
    <col min="7195" max="7202" width="10.140625" style="1177" customWidth="1"/>
    <col min="7203" max="7203" width="12.42578125" style="1177" customWidth="1"/>
    <col min="7204" max="7204" width="16.42578125" style="1177" customWidth="1"/>
    <col min="7205" max="7205" width="18.85546875" style="1177" customWidth="1"/>
    <col min="7206" max="7206" width="10.42578125" style="1177" customWidth="1"/>
    <col min="7207" max="7208" width="11.42578125" style="1177"/>
    <col min="7209" max="7209" width="18" style="1177" customWidth="1"/>
    <col min="7210" max="7211" width="11.42578125" style="1177"/>
    <col min="7212" max="7212" width="8" style="1177" customWidth="1"/>
    <col min="7213" max="7213" width="11.42578125" style="1177"/>
    <col min="7214" max="7214" width="20.85546875" style="1177" customWidth="1"/>
    <col min="7215" max="7215" width="11.42578125" style="1177"/>
    <col min="7216" max="7216" width="36.7109375" style="1177" customWidth="1"/>
    <col min="7217" max="7424" width="11.42578125" style="1177"/>
    <col min="7425" max="7425" width="3.28515625" style="1177" customWidth="1"/>
    <col min="7426" max="7426" width="6.85546875" style="1177" customWidth="1"/>
    <col min="7427" max="7427" width="46.5703125" style="1177" customWidth="1"/>
    <col min="7428" max="7428" width="13.28515625" style="1177" customWidth="1"/>
    <col min="7429" max="7429" width="13" style="1177" customWidth="1"/>
    <col min="7430" max="7439" width="12.42578125" style="1177" customWidth="1"/>
    <col min="7440" max="7440" width="14.5703125" style="1177" customWidth="1"/>
    <col min="7441" max="7441" width="10" style="1177" customWidth="1"/>
    <col min="7442" max="7442" width="11.7109375" style="1177" customWidth="1"/>
    <col min="7443" max="7443" width="1.85546875" style="1177" customWidth="1"/>
    <col min="7444" max="7444" width="11.42578125" style="1177"/>
    <col min="7445" max="7445" width="3.28515625" style="1177" customWidth="1"/>
    <col min="7446" max="7446" width="7.85546875" style="1177" customWidth="1"/>
    <col min="7447" max="7447" width="52.28515625" style="1177" customWidth="1"/>
    <col min="7448" max="7448" width="13.28515625" style="1177" customWidth="1"/>
    <col min="7449" max="7449" width="14.7109375" style="1177" customWidth="1"/>
    <col min="7450" max="7450" width="11" style="1177" customWidth="1"/>
    <col min="7451" max="7458" width="10.140625" style="1177" customWidth="1"/>
    <col min="7459" max="7459" width="12.42578125" style="1177" customWidth="1"/>
    <col min="7460" max="7460" width="16.42578125" style="1177" customWidth="1"/>
    <col min="7461" max="7461" width="18.85546875" style="1177" customWidth="1"/>
    <col min="7462" max="7462" width="10.42578125" style="1177" customWidth="1"/>
    <col min="7463" max="7464" width="11.42578125" style="1177"/>
    <col min="7465" max="7465" width="18" style="1177" customWidth="1"/>
    <col min="7466" max="7467" width="11.42578125" style="1177"/>
    <col min="7468" max="7468" width="8" style="1177" customWidth="1"/>
    <col min="7469" max="7469" width="11.42578125" style="1177"/>
    <col min="7470" max="7470" width="20.85546875" style="1177" customWidth="1"/>
    <col min="7471" max="7471" width="11.42578125" style="1177"/>
    <col min="7472" max="7472" width="36.7109375" style="1177" customWidth="1"/>
    <col min="7473" max="7680" width="11.42578125" style="1177"/>
    <col min="7681" max="7681" width="3.28515625" style="1177" customWidth="1"/>
    <col min="7682" max="7682" width="6.85546875" style="1177" customWidth="1"/>
    <col min="7683" max="7683" width="46.5703125" style="1177" customWidth="1"/>
    <col min="7684" max="7684" width="13.28515625" style="1177" customWidth="1"/>
    <col min="7685" max="7685" width="13" style="1177" customWidth="1"/>
    <col min="7686" max="7695" width="12.42578125" style="1177" customWidth="1"/>
    <col min="7696" max="7696" width="14.5703125" style="1177" customWidth="1"/>
    <col min="7697" max="7697" width="10" style="1177" customWidth="1"/>
    <col min="7698" max="7698" width="11.7109375" style="1177" customWidth="1"/>
    <col min="7699" max="7699" width="1.85546875" style="1177" customWidth="1"/>
    <col min="7700" max="7700" width="11.42578125" style="1177"/>
    <col min="7701" max="7701" width="3.28515625" style="1177" customWidth="1"/>
    <col min="7702" max="7702" width="7.85546875" style="1177" customWidth="1"/>
    <col min="7703" max="7703" width="52.28515625" style="1177" customWidth="1"/>
    <col min="7704" max="7704" width="13.28515625" style="1177" customWidth="1"/>
    <col min="7705" max="7705" width="14.7109375" style="1177" customWidth="1"/>
    <col min="7706" max="7706" width="11" style="1177" customWidth="1"/>
    <col min="7707" max="7714" width="10.140625" style="1177" customWidth="1"/>
    <col min="7715" max="7715" width="12.42578125" style="1177" customWidth="1"/>
    <col min="7716" max="7716" width="16.42578125" style="1177" customWidth="1"/>
    <col min="7717" max="7717" width="18.85546875" style="1177" customWidth="1"/>
    <col min="7718" max="7718" width="10.42578125" style="1177" customWidth="1"/>
    <col min="7719" max="7720" width="11.42578125" style="1177"/>
    <col min="7721" max="7721" width="18" style="1177" customWidth="1"/>
    <col min="7722" max="7723" width="11.42578125" style="1177"/>
    <col min="7724" max="7724" width="8" style="1177" customWidth="1"/>
    <col min="7725" max="7725" width="11.42578125" style="1177"/>
    <col min="7726" max="7726" width="20.85546875" style="1177" customWidth="1"/>
    <col min="7727" max="7727" width="11.42578125" style="1177"/>
    <col min="7728" max="7728" width="36.7109375" style="1177" customWidth="1"/>
    <col min="7729" max="7936" width="11.42578125" style="1177"/>
    <col min="7937" max="7937" width="3.28515625" style="1177" customWidth="1"/>
    <col min="7938" max="7938" width="6.85546875" style="1177" customWidth="1"/>
    <col min="7939" max="7939" width="46.5703125" style="1177" customWidth="1"/>
    <col min="7940" max="7940" width="13.28515625" style="1177" customWidth="1"/>
    <col min="7941" max="7941" width="13" style="1177" customWidth="1"/>
    <col min="7942" max="7951" width="12.42578125" style="1177" customWidth="1"/>
    <col min="7952" max="7952" width="14.5703125" style="1177" customWidth="1"/>
    <col min="7953" max="7953" width="10" style="1177" customWidth="1"/>
    <col min="7954" max="7954" width="11.7109375" style="1177" customWidth="1"/>
    <col min="7955" max="7955" width="1.85546875" style="1177" customWidth="1"/>
    <col min="7956" max="7956" width="11.42578125" style="1177"/>
    <col min="7957" max="7957" width="3.28515625" style="1177" customWidth="1"/>
    <col min="7958" max="7958" width="7.85546875" style="1177" customWidth="1"/>
    <col min="7959" max="7959" width="52.28515625" style="1177" customWidth="1"/>
    <col min="7960" max="7960" width="13.28515625" style="1177" customWidth="1"/>
    <col min="7961" max="7961" width="14.7109375" style="1177" customWidth="1"/>
    <col min="7962" max="7962" width="11" style="1177" customWidth="1"/>
    <col min="7963" max="7970" width="10.140625" style="1177" customWidth="1"/>
    <col min="7971" max="7971" width="12.42578125" style="1177" customWidth="1"/>
    <col min="7972" max="7972" width="16.42578125" style="1177" customWidth="1"/>
    <col min="7973" max="7973" width="18.85546875" style="1177" customWidth="1"/>
    <col min="7974" max="7974" width="10.42578125" style="1177" customWidth="1"/>
    <col min="7975" max="7976" width="11.42578125" style="1177"/>
    <col min="7977" max="7977" width="18" style="1177" customWidth="1"/>
    <col min="7978" max="7979" width="11.42578125" style="1177"/>
    <col min="7980" max="7980" width="8" style="1177" customWidth="1"/>
    <col min="7981" max="7981" width="11.42578125" style="1177"/>
    <col min="7982" max="7982" width="20.85546875" style="1177" customWidth="1"/>
    <col min="7983" max="7983" width="11.42578125" style="1177"/>
    <col min="7984" max="7984" width="36.7109375" style="1177" customWidth="1"/>
    <col min="7985" max="8192" width="11.42578125" style="1177"/>
    <col min="8193" max="8193" width="3.28515625" style="1177" customWidth="1"/>
    <col min="8194" max="8194" width="6.85546875" style="1177" customWidth="1"/>
    <col min="8195" max="8195" width="46.5703125" style="1177" customWidth="1"/>
    <col min="8196" max="8196" width="13.28515625" style="1177" customWidth="1"/>
    <col min="8197" max="8197" width="13" style="1177" customWidth="1"/>
    <col min="8198" max="8207" width="12.42578125" style="1177" customWidth="1"/>
    <col min="8208" max="8208" width="14.5703125" style="1177" customWidth="1"/>
    <col min="8209" max="8209" width="10" style="1177" customWidth="1"/>
    <col min="8210" max="8210" width="11.7109375" style="1177" customWidth="1"/>
    <col min="8211" max="8211" width="1.85546875" style="1177" customWidth="1"/>
    <col min="8212" max="8212" width="11.42578125" style="1177"/>
    <col min="8213" max="8213" width="3.28515625" style="1177" customWidth="1"/>
    <col min="8214" max="8214" width="7.85546875" style="1177" customWidth="1"/>
    <col min="8215" max="8215" width="52.28515625" style="1177" customWidth="1"/>
    <col min="8216" max="8216" width="13.28515625" style="1177" customWidth="1"/>
    <col min="8217" max="8217" width="14.7109375" style="1177" customWidth="1"/>
    <col min="8218" max="8218" width="11" style="1177" customWidth="1"/>
    <col min="8219" max="8226" width="10.140625" style="1177" customWidth="1"/>
    <col min="8227" max="8227" width="12.42578125" style="1177" customWidth="1"/>
    <col min="8228" max="8228" width="16.42578125" style="1177" customWidth="1"/>
    <col min="8229" max="8229" width="18.85546875" style="1177" customWidth="1"/>
    <col min="8230" max="8230" width="10.42578125" style="1177" customWidth="1"/>
    <col min="8231" max="8232" width="11.42578125" style="1177"/>
    <col min="8233" max="8233" width="18" style="1177" customWidth="1"/>
    <col min="8234" max="8235" width="11.42578125" style="1177"/>
    <col min="8236" max="8236" width="8" style="1177" customWidth="1"/>
    <col min="8237" max="8237" width="11.42578125" style="1177"/>
    <col min="8238" max="8238" width="20.85546875" style="1177" customWidth="1"/>
    <col min="8239" max="8239" width="11.42578125" style="1177"/>
    <col min="8240" max="8240" width="36.7109375" style="1177" customWidth="1"/>
    <col min="8241" max="8448" width="11.42578125" style="1177"/>
    <col min="8449" max="8449" width="3.28515625" style="1177" customWidth="1"/>
    <col min="8450" max="8450" width="6.85546875" style="1177" customWidth="1"/>
    <col min="8451" max="8451" width="46.5703125" style="1177" customWidth="1"/>
    <col min="8452" max="8452" width="13.28515625" style="1177" customWidth="1"/>
    <col min="8453" max="8453" width="13" style="1177" customWidth="1"/>
    <col min="8454" max="8463" width="12.42578125" style="1177" customWidth="1"/>
    <col min="8464" max="8464" width="14.5703125" style="1177" customWidth="1"/>
    <col min="8465" max="8465" width="10" style="1177" customWidth="1"/>
    <col min="8466" max="8466" width="11.7109375" style="1177" customWidth="1"/>
    <col min="8467" max="8467" width="1.85546875" style="1177" customWidth="1"/>
    <col min="8468" max="8468" width="11.42578125" style="1177"/>
    <col min="8469" max="8469" width="3.28515625" style="1177" customWidth="1"/>
    <col min="8470" max="8470" width="7.85546875" style="1177" customWidth="1"/>
    <col min="8471" max="8471" width="52.28515625" style="1177" customWidth="1"/>
    <col min="8472" max="8472" width="13.28515625" style="1177" customWidth="1"/>
    <col min="8473" max="8473" width="14.7109375" style="1177" customWidth="1"/>
    <col min="8474" max="8474" width="11" style="1177" customWidth="1"/>
    <col min="8475" max="8482" width="10.140625" style="1177" customWidth="1"/>
    <col min="8483" max="8483" width="12.42578125" style="1177" customWidth="1"/>
    <col min="8484" max="8484" width="16.42578125" style="1177" customWidth="1"/>
    <col min="8485" max="8485" width="18.85546875" style="1177" customWidth="1"/>
    <col min="8486" max="8486" width="10.42578125" style="1177" customWidth="1"/>
    <col min="8487" max="8488" width="11.42578125" style="1177"/>
    <col min="8489" max="8489" width="18" style="1177" customWidth="1"/>
    <col min="8490" max="8491" width="11.42578125" style="1177"/>
    <col min="8492" max="8492" width="8" style="1177" customWidth="1"/>
    <col min="8493" max="8493" width="11.42578125" style="1177"/>
    <col min="8494" max="8494" width="20.85546875" style="1177" customWidth="1"/>
    <col min="8495" max="8495" width="11.42578125" style="1177"/>
    <col min="8496" max="8496" width="36.7109375" style="1177" customWidth="1"/>
    <col min="8497" max="8704" width="11.42578125" style="1177"/>
    <col min="8705" max="8705" width="3.28515625" style="1177" customWidth="1"/>
    <col min="8706" max="8706" width="6.85546875" style="1177" customWidth="1"/>
    <col min="8707" max="8707" width="46.5703125" style="1177" customWidth="1"/>
    <col min="8708" max="8708" width="13.28515625" style="1177" customWidth="1"/>
    <col min="8709" max="8709" width="13" style="1177" customWidth="1"/>
    <col min="8710" max="8719" width="12.42578125" style="1177" customWidth="1"/>
    <col min="8720" max="8720" width="14.5703125" style="1177" customWidth="1"/>
    <col min="8721" max="8721" width="10" style="1177" customWidth="1"/>
    <col min="8722" max="8722" width="11.7109375" style="1177" customWidth="1"/>
    <col min="8723" max="8723" width="1.85546875" style="1177" customWidth="1"/>
    <col min="8724" max="8724" width="11.42578125" style="1177"/>
    <col min="8725" max="8725" width="3.28515625" style="1177" customWidth="1"/>
    <col min="8726" max="8726" width="7.85546875" style="1177" customWidth="1"/>
    <col min="8727" max="8727" width="52.28515625" style="1177" customWidth="1"/>
    <col min="8728" max="8728" width="13.28515625" style="1177" customWidth="1"/>
    <col min="8729" max="8729" width="14.7109375" style="1177" customWidth="1"/>
    <col min="8730" max="8730" width="11" style="1177" customWidth="1"/>
    <col min="8731" max="8738" width="10.140625" style="1177" customWidth="1"/>
    <col min="8739" max="8739" width="12.42578125" style="1177" customWidth="1"/>
    <col min="8740" max="8740" width="16.42578125" style="1177" customWidth="1"/>
    <col min="8741" max="8741" width="18.85546875" style="1177" customWidth="1"/>
    <col min="8742" max="8742" width="10.42578125" style="1177" customWidth="1"/>
    <col min="8743" max="8744" width="11.42578125" style="1177"/>
    <col min="8745" max="8745" width="18" style="1177" customWidth="1"/>
    <col min="8746" max="8747" width="11.42578125" style="1177"/>
    <col min="8748" max="8748" width="8" style="1177" customWidth="1"/>
    <col min="8749" max="8749" width="11.42578125" style="1177"/>
    <col min="8750" max="8750" width="20.85546875" style="1177" customWidth="1"/>
    <col min="8751" max="8751" width="11.42578125" style="1177"/>
    <col min="8752" max="8752" width="36.7109375" style="1177" customWidth="1"/>
    <col min="8753" max="8960" width="11.42578125" style="1177"/>
    <col min="8961" max="8961" width="3.28515625" style="1177" customWidth="1"/>
    <col min="8962" max="8962" width="6.85546875" style="1177" customWidth="1"/>
    <col min="8963" max="8963" width="46.5703125" style="1177" customWidth="1"/>
    <col min="8964" max="8964" width="13.28515625" style="1177" customWidth="1"/>
    <col min="8965" max="8965" width="13" style="1177" customWidth="1"/>
    <col min="8966" max="8975" width="12.42578125" style="1177" customWidth="1"/>
    <col min="8976" max="8976" width="14.5703125" style="1177" customWidth="1"/>
    <col min="8977" max="8977" width="10" style="1177" customWidth="1"/>
    <col min="8978" max="8978" width="11.7109375" style="1177" customWidth="1"/>
    <col min="8979" max="8979" width="1.85546875" style="1177" customWidth="1"/>
    <col min="8980" max="8980" width="11.42578125" style="1177"/>
    <col min="8981" max="8981" width="3.28515625" style="1177" customWidth="1"/>
    <col min="8982" max="8982" width="7.85546875" style="1177" customWidth="1"/>
    <col min="8983" max="8983" width="52.28515625" style="1177" customWidth="1"/>
    <col min="8984" max="8984" width="13.28515625" style="1177" customWidth="1"/>
    <col min="8985" max="8985" width="14.7109375" style="1177" customWidth="1"/>
    <col min="8986" max="8986" width="11" style="1177" customWidth="1"/>
    <col min="8987" max="8994" width="10.140625" style="1177" customWidth="1"/>
    <col min="8995" max="8995" width="12.42578125" style="1177" customWidth="1"/>
    <col min="8996" max="8996" width="16.42578125" style="1177" customWidth="1"/>
    <col min="8997" max="8997" width="18.85546875" style="1177" customWidth="1"/>
    <col min="8998" max="8998" width="10.42578125" style="1177" customWidth="1"/>
    <col min="8999" max="9000" width="11.42578125" style="1177"/>
    <col min="9001" max="9001" width="18" style="1177" customWidth="1"/>
    <col min="9002" max="9003" width="11.42578125" style="1177"/>
    <col min="9004" max="9004" width="8" style="1177" customWidth="1"/>
    <col min="9005" max="9005" width="11.42578125" style="1177"/>
    <col min="9006" max="9006" width="20.85546875" style="1177" customWidth="1"/>
    <col min="9007" max="9007" width="11.42578125" style="1177"/>
    <col min="9008" max="9008" width="36.7109375" style="1177" customWidth="1"/>
    <col min="9009" max="9216" width="11.42578125" style="1177"/>
    <col min="9217" max="9217" width="3.28515625" style="1177" customWidth="1"/>
    <col min="9218" max="9218" width="6.85546875" style="1177" customWidth="1"/>
    <col min="9219" max="9219" width="46.5703125" style="1177" customWidth="1"/>
    <col min="9220" max="9220" width="13.28515625" style="1177" customWidth="1"/>
    <col min="9221" max="9221" width="13" style="1177" customWidth="1"/>
    <col min="9222" max="9231" width="12.42578125" style="1177" customWidth="1"/>
    <col min="9232" max="9232" width="14.5703125" style="1177" customWidth="1"/>
    <col min="9233" max="9233" width="10" style="1177" customWidth="1"/>
    <col min="9234" max="9234" width="11.7109375" style="1177" customWidth="1"/>
    <col min="9235" max="9235" width="1.85546875" style="1177" customWidth="1"/>
    <col min="9236" max="9236" width="11.42578125" style="1177"/>
    <col min="9237" max="9237" width="3.28515625" style="1177" customWidth="1"/>
    <col min="9238" max="9238" width="7.85546875" style="1177" customWidth="1"/>
    <col min="9239" max="9239" width="52.28515625" style="1177" customWidth="1"/>
    <col min="9240" max="9240" width="13.28515625" style="1177" customWidth="1"/>
    <col min="9241" max="9241" width="14.7109375" style="1177" customWidth="1"/>
    <col min="9242" max="9242" width="11" style="1177" customWidth="1"/>
    <col min="9243" max="9250" width="10.140625" style="1177" customWidth="1"/>
    <col min="9251" max="9251" width="12.42578125" style="1177" customWidth="1"/>
    <col min="9252" max="9252" width="16.42578125" style="1177" customWidth="1"/>
    <col min="9253" max="9253" width="18.85546875" style="1177" customWidth="1"/>
    <col min="9254" max="9254" width="10.42578125" style="1177" customWidth="1"/>
    <col min="9255" max="9256" width="11.42578125" style="1177"/>
    <col min="9257" max="9257" width="18" style="1177" customWidth="1"/>
    <col min="9258" max="9259" width="11.42578125" style="1177"/>
    <col min="9260" max="9260" width="8" style="1177" customWidth="1"/>
    <col min="9261" max="9261" width="11.42578125" style="1177"/>
    <col min="9262" max="9262" width="20.85546875" style="1177" customWidth="1"/>
    <col min="9263" max="9263" width="11.42578125" style="1177"/>
    <col min="9264" max="9264" width="36.7109375" style="1177" customWidth="1"/>
    <col min="9265" max="9472" width="11.42578125" style="1177"/>
    <col min="9473" max="9473" width="3.28515625" style="1177" customWidth="1"/>
    <col min="9474" max="9474" width="6.85546875" style="1177" customWidth="1"/>
    <col min="9475" max="9475" width="46.5703125" style="1177" customWidth="1"/>
    <col min="9476" max="9476" width="13.28515625" style="1177" customWidth="1"/>
    <col min="9477" max="9477" width="13" style="1177" customWidth="1"/>
    <col min="9478" max="9487" width="12.42578125" style="1177" customWidth="1"/>
    <col min="9488" max="9488" width="14.5703125" style="1177" customWidth="1"/>
    <col min="9489" max="9489" width="10" style="1177" customWidth="1"/>
    <col min="9490" max="9490" width="11.7109375" style="1177" customWidth="1"/>
    <col min="9491" max="9491" width="1.85546875" style="1177" customWidth="1"/>
    <col min="9492" max="9492" width="11.42578125" style="1177"/>
    <col min="9493" max="9493" width="3.28515625" style="1177" customWidth="1"/>
    <col min="9494" max="9494" width="7.85546875" style="1177" customWidth="1"/>
    <col min="9495" max="9495" width="52.28515625" style="1177" customWidth="1"/>
    <col min="9496" max="9496" width="13.28515625" style="1177" customWidth="1"/>
    <col min="9497" max="9497" width="14.7109375" style="1177" customWidth="1"/>
    <col min="9498" max="9498" width="11" style="1177" customWidth="1"/>
    <col min="9499" max="9506" width="10.140625" style="1177" customWidth="1"/>
    <col min="9507" max="9507" width="12.42578125" style="1177" customWidth="1"/>
    <col min="9508" max="9508" width="16.42578125" style="1177" customWidth="1"/>
    <col min="9509" max="9509" width="18.85546875" style="1177" customWidth="1"/>
    <col min="9510" max="9510" width="10.42578125" style="1177" customWidth="1"/>
    <col min="9511" max="9512" width="11.42578125" style="1177"/>
    <col min="9513" max="9513" width="18" style="1177" customWidth="1"/>
    <col min="9514" max="9515" width="11.42578125" style="1177"/>
    <col min="9516" max="9516" width="8" style="1177" customWidth="1"/>
    <col min="9517" max="9517" width="11.42578125" style="1177"/>
    <col min="9518" max="9518" width="20.85546875" style="1177" customWidth="1"/>
    <col min="9519" max="9519" width="11.42578125" style="1177"/>
    <col min="9520" max="9520" width="36.7109375" style="1177" customWidth="1"/>
    <col min="9521" max="9728" width="11.42578125" style="1177"/>
    <col min="9729" max="9729" width="3.28515625" style="1177" customWidth="1"/>
    <col min="9730" max="9730" width="6.85546875" style="1177" customWidth="1"/>
    <col min="9731" max="9731" width="46.5703125" style="1177" customWidth="1"/>
    <col min="9732" max="9732" width="13.28515625" style="1177" customWidth="1"/>
    <col min="9733" max="9733" width="13" style="1177" customWidth="1"/>
    <col min="9734" max="9743" width="12.42578125" style="1177" customWidth="1"/>
    <col min="9744" max="9744" width="14.5703125" style="1177" customWidth="1"/>
    <col min="9745" max="9745" width="10" style="1177" customWidth="1"/>
    <col min="9746" max="9746" width="11.7109375" style="1177" customWidth="1"/>
    <col min="9747" max="9747" width="1.85546875" style="1177" customWidth="1"/>
    <col min="9748" max="9748" width="11.42578125" style="1177"/>
    <col min="9749" max="9749" width="3.28515625" style="1177" customWidth="1"/>
    <col min="9750" max="9750" width="7.85546875" style="1177" customWidth="1"/>
    <col min="9751" max="9751" width="52.28515625" style="1177" customWidth="1"/>
    <col min="9752" max="9752" width="13.28515625" style="1177" customWidth="1"/>
    <col min="9753" max="9753" width="14.7109375" style="1177" customWidth="1"/>
    <col min="9754" max="9754" width="11" style="1177" customWidth="1"/>
    <col min="9755" max="9762" width="10.140625" style="1177" customWidth="1"/>
    <col min="9763" max="9763" width="12.42578125" style="1177" customWidth="1"/>
    <col min="9764" max="9764" width="16.42578125" style="1177" customWidth="1"/>
    <col min="9765" max="9765" width="18.85546875" style="1177" customWidth="1"/>
    <col min="9766" max="9766" width="10.42578125" style="1177" customWidth="1"/>
    <col min="9767" max="9768" width="11.42578125" style="1177"/>
    <col min="9769" max="9769" width="18" style="1177" customWidth="1"/>
    <col min="9770" max="9771" width="11.42578125" style="1177"/>
    <col min="9772" max="9772" width="8" style="1177" customWidth="1"/>
    <col min="9773" max="9773" width="11.42578125" style="1177"/>
    <col min="9774" max="9774" width="20.85546875" style="1177" customWidth="1"/>
    <col min="9775" max="9775" width="11.42578125" style="1177"/>
    <col min="9776" max="9776" width="36.7109375" style="1177" customWidth="1"/>
    <col min="9777" max="9984" width="11.42578125" style="1177"/>
    <col min="9985" max="9985" width="3.28515625" style="1177" customWidth="1"/>
    <col min="9986" max="9986" width="6.85546875" style="1177" customWidth="1"/>
    <col min="9987" max="9987" width="46.5703125" style="1177" customWidth="1"/>
    <col min="9988" max="9988" width="13.28515625" style="1177" customWidth="1"/>
    <col min="9989" max="9989" width="13" style="1177" customWidth="1"/>
    <col min="9990" max="9999" width="12.42578125" style="1177" customWidth="1"/>
    <col min="10000" max="10000" width="14.5703125" style="1177" customWidth="1"/>
    <col min="10001" max="10001" width="10" style="1177" customWidth="1"/>
    <col min="10002" max="10002" width="11.7109375" style="1177" customWidth="1"/>
    <col min="10003" max="10003" width="1.85546875" style="1177" customWidth="1"/>
    <col min="10004" max="10004" width="11.42578125" style="1177"/>
    <col min="10005" max="10005" width="3.28515625" style="1177" customWidth="1"/>
    <col min="10006" max="10006" width="7.85546875" style="1177" customWidth="1"/>
    <col min="10007" max="10007" width="52.28515625" style="1177" customWidth="1"/>
    <col min="10008" max="10008" width="13.28515625" style="1177" customWidth="1"/>
    <col min="10009" max="10009" width="14.7109375" style="1177" customWidth="1"/>
    <col min="10010" max="10010" width="11" style="1177" customWidth="1"/>
    <col min="10011" max="10018" width="10.140625" style="1177" customWidth="1"/>
    <col min="10019" max="10019" width="12.42578125" style="1177" customWidth="1"/>
    <col min="10020" max="10020" width="16.42578125" style="1177" customWidth="1"/>
    <col min="10021" max="10021" width="18.85546875" style="1177" customWidth="1"/>
    <col min="10022" max="10022" width="10.42578125" style="1177" customWidth="1"/>
    <col min="10023" max="10024" width="11.42578125" style="1177"/>
    <col min="10025" max="10025" width="18" style="1177" customWidth="1"/>
    <col min="10026" max="10027" width="11.42578125" style="1177"/>
    <col min="10028" max="10028" width="8" style="1177" customWidth="1"/>
    <col min="10029" max="10029" width="11.42578125" style="1177"/>
    <col min="10030" max="10030" width="20.85546875" style="1177" customWidth="1"/>
    <col min="10031" max="10031" width="11.42578125" style="1177"/>
    <col min="10032" max="10032" width="36.7109375" style="1177" customWidth="1"/>
    <col min="10033" max="10240" width="11.42578125" style="1177"/>
    <col min="10241" max="10241" width="3.28515625" style="1177" customWidth="1"/>
    <col min="10242" max="10242" width="6.85546875" style="1177" customWidth="1"/>
    <col min="10243" max="10243" width="46.5703125" style="1177" customWidth="1"/>
    <col min="10244" max="10244" width="13.28515625" style="1177" customWidth="1"/>
    <col min="10245" max="10245" width="13" style="1177" customWidth="1"/>
    <col min="10246" max="10255" width="12.42578125" style="1177" customWidth="1"/>
    <col min="10256" max="10256" width="14.5703125" style="1177" customWidth="1"/>
    <col min="10257" max="10257" width="10" style="1177" customWidth="1"/>
    <col min="10258" max="10258" width="11.7109375" style="1177" customWidth="1"/>
    <col min="10259" max="10259" width="1.85546875" style="1177" customWidth="1"/>
    <col min="10260" max="10260" width="11.42578125" style="1177"/>
    <col min="10261" max="10261" width="3.28515625" style="1177" customWidth="1"/>
    <col min="10262" max="10262" width="7.85546875" style="1177" customWidth="1"/>
    <col min="10263" max="10263" width="52.28515625" style="1177" customWidth="1"/>
    <col min="10264" max="10264" width="13.28515625" style="1177" customWidth="1"/>
    <col min="10265" max="10265" width="14.7109375" style="1177" customWidth="1"/>
    <col min="10266" max="10266" width="11" style="1177" customWidth="1"/>
    <col min="10267" max="10274" width="10.140625" style="1177" customWidth="1"/>
    <col min="10275" max="10275" width="12.42578125" style="1177" customWidth="1"/>
    <col min="10276" max="10276" width="16.42578125" style="1177" customWidth="1"/>
    <col min="10277" max="10277" width="18.85546875" style="1177" customWidth="1"/>
    <col min="10278" max="10278" width="10.42578125" style="1177" customWidth="1"/>
    <col min="10279" max="10280" width="11.42578125" style="1177"/>
    <col min="10281" max="10281" width="18" style="1177" customWidth="1"/>
    <col min="10282" max="10283" width="11.42578125" style="1177"/>
    <col min="10284" max="10284" width="8" style="1177" customWidth="1"/>
    <col min="10285" max="10285" width="11.42578125" style="1177"/>
    <col min="10286" max="10286" width="20.85546875" style="1177" customWidth="1"/>
    <col min="10287" max="10287" width="11.42578125" style="1177"/>
    <col min="10288" max="10288" width="36.7109375" style="1177" customWidth="1"/>
    <col min="10289" max="10496" width="11.42578125" style="1177"/>
    <col min="10497" max="10497" width="3.28515625" style="1177" customWidth="1"/>
    <col min="10498" max="10498" width="6.85546875" style="1177" customWidth="1"/>
    <col min="10499" max="10499" width="46.5703125" style="1177" customWidth="1"/>
    <col min="10500" max="10500" width="13.28515625" style="1177" customWidth="1"/>
    <col min="10501" max="10501" width="13" style="1177" customWidth="1"/>
    <col min="10502" max="10511" width="12.42578125" style="1177" customWidth="1"/>
    <col min="10512" max="10512" width="14.5703125" style="1177" customWidth="1"/>
    <col min="10513" max="10513" width="10" style="1177" customWidth="1"/>
    <col min="10514" max="10514" width="11.7109375" style="1177" customWidth="1"/>
    <col min="10515" max="10515" width="1.85546875" style="1177" customWidth="1"/>
    <col min="10516" max="10516" width="11.42578125" style="1177"/>
    <col min="10517" max="10517" width="3.28515625" style="1177" customWidth="1"/>
    <col min="10518" max="10518" width="7.85546875" style="1177" customWidth="1"/>
    <col min="10519" max="10519" width="52.28515625" style="1177" customWidth="1"/>
    <col min="10520" max="10520" width="13.28515625" style="1177" customWidth="1"/>
    <col min="10521" max="10521" width="14.7109375" style="1177" customWidth="1"/>
    <col min="10522" max="10522" width="11" style="1177" customWidth="1"/>
    <col min="10523" max="10530" width="10.140625" style="1177" customWidth="1"/>
    <col min="10531" max="10531" width="12.42578125" style="1177" customWidth="1"/>
    <col min="10532" max="10532" width="16.42578125" style="1177" customWidth="1"/>
    <col min="10533" max="10533" width="18.85546875" style="1177" customWidth="1"/>
    <col min="10534" max="10534" width="10.42578125" style="1177" customWidth="1"/>
    <col min="10535" max="10536" width="11.42578125" style="1177"/>
    <col min="10537" max="10537" width="18" style="1177" customWidth="1"/>
    <col min="10538" max="10539" width="11.42578125" style="1177"/>
    <col min="10540" max="10540" width="8" style="1177" customWidth="1"/>
    <col min="10541" max="10541" width="11.42578125" style="1177"/>
    <col min="10542" max="10542" width="20.85546875" style="1177" customWidth="1"/>
    <col min="10543" max="10543" width="11.42578125" style="1177"/>
    <col min="10544" max="10544" width="36.7109375" style="1177" customWidth="1"/>
    <col min="10545" max="10752" width="11.42578125" style="1177"/>
    <col min="10753" max="10753" width="3.28515625" style="1177" customWidth="1"/>
    <col min="10754" max="10754" width="6.85546875" style="1177" customWidth="1"/>
    <col min="10755" max="10755" width="46.5703125" style="1177" customWidth="1"/>
    <col min="10756" max="10756" width="13.28515625" style="1177" customWidth="1"/>
    <col min="10757" max="10757" width="13" style="1177" customWidth="1"/>
    <col min="10758" max="10767" width="12.42578125" style="1177" customWidth="1"/>
    <col min="10768" max="10768" width="14.5703125" style="1177" customWidth="1"/>
    <col min="10769" max="10769" width="10" style="1177" customWidth="1"/>
    <col min="10770" max="10770" width="11.7109375" style="1177" customWidth="1"/>
    <col min="10771" max="10771" width="1.85546875" style="1177" customWidth="1"/>
    <col min="10772" max="10772" width="11.42578125" style="1177"/>
    <col min="10773" max="10773" width="3.28515625" style="1177" customWidth="1"/>
    <col min="10774" max="10774" width="7.85546875" style="1177" customWidth="1"/>
    <col min="10775" max="10775" width="52.28515625" style="1177" customWidth="1"/>
    <col min="10776" max="10776" width="13.28515625" style="1177" customWidth="1"/>
    <col min="10777" max="10777" width="14.7109375" style="1177" customWidth="1"/>
    <col min="10778" max="10778" width="11" style="1177" customWidth="1"/>
    <col min="10779" max="10786" width="10.140625" style="1177" customWidth="1"/>
    <col min="10787" max="10787" width="12.42578125" style="1177" customWidth="1"/>
    <col min="10788" max="10788" width="16.42578125" style="1177" customWidth="1"/>
    <col min="10789" max="10789" width="18.85546875" style="1177" customWidth="1"/>
    <col min="10790" max="10790" width="10.42578125" style="1177" customWidth="1"/>
    <col min="10791" max="10792" width="11.42578125" style="1177"/>
    <col min="10793" max="10793" width="18" style="1177" customWidth="1"/>
    <col min="10794" max="10795" width="11.42578125" style="1177"/>
    <col min="10796" max="10796" width="8" style="1177" customWidth="1"/>
    <col min="10797" max="10797" width="11.42578125" style="1177"/>
    <col min="10798" max="10798" width="20.85546875" style="1177" customWidth="1"/>
    <col min="10799" max="10799" width="11.42578125" style="1177"/>
    <col min="10800" max="10800" width="36.7109375" style="1177" customWidth="1"/>
    <col min="10801" max="11008" width="11.42578125" style="1177"/>
    <col min="11009" max="11009" width="3.28515625" style="1177" customWidth="1"/>
    <col min="11010" max="11010" width="6.85546875" style="1177" customWidth="1"/>
    <col min="11011" max="11011" width="46.5703125" style="1177" customWidth="1"/>
    <col min="11012" max="11012" width="13.28515625" style="1177" customWidth="1"/>
    <col min="11013" max="11013" width="13" style="1177" customWidth="1"/>
    <col min="11014" max="11023" width="12.42578125" style="1177" customWidth="1"/>
    <col min="11024" max="11024" width="14.5703125" style="1177" customWidth="1"/>
    <col min="11025" max="11025" width="10" style="1177" customWidth="1"/>
    <col min="11026" max="11026" width="11.7109375" style="1177" customWidth="1"/>
    <col min="11027" max="11027" width="1.85546875" style="1177" customWidth="1"/>
    <col min="11028" max="11028" width="11.42578125" style="1177"/>
    <col min="11029" max="11029" width="3.28515625" style="1177" customWidth="1"/>
    <col min="11030" max="11030" width="7.85546875" style="1177" customWidth="1"/>
    <col min="11031" max="11031" width="52.28515625" style="1177" customWidth="1"/>
    <col min="11032" max="11032" width="13.28515625" style="1177" customWidth="1"/>
    <col min="11033" max="11033" width="14.7109375" style="1177" customWidth="1"/>
    <col min="11034" max="11034" width="11" style="1177" customWidth="1"/>
    <col min="11035" max="11042" width="10.140625" style="1177" customWidth="1"/>
    <col min="11043" max="11043" width="12.42578125" style="1177" customWidth="1"/>
    <col min="11044" max="11044" width="16.42578125" style="1177" customWidth="1"/>
    <col min="11045" max="11045" width="18.85546875" style="1177" customWidth="1"/>
    <col min="11046" max="11046" width="10.42578125" style="1177" customWidth="1"/>
    <col min="11047" max="11048" width="11.42578125" style="1177"/>
    <col min="11049" max="11049" width="18" style="1177" customWidth="1"/>
    <col min="11050" max="11051" width="11.42578125" style="1177"/>
    <col min="11052" max="11052" width="8" style="1177" customWidth="1"/>
    <col min="11053" max="11053" width="11.42578125" style="1177"/>
    <col min="11054" max="11054" width="20.85546875" style="1177" customWidth="1"/>
    <col min="11055" max="11055" width="11.42578125" style="1177"/>
    <col min="11056" max="11056" width="36.7109375" style="1177" customWidth="1"/>
    <col min="11057" max="11264" width="11.42578125" style="1177"/>
    <col min="11265" max="11265" width="3.28515625" style="1177" customWidth="1"/>
    <col min="11266" max="11266" width="6.85546875" style="1177" customWidth="1"/>
    <col min="11267" max="11267" width="46.5703125" style="1177" customWidth="1"/>
    <col min="11268" max="11268" width="13.28515625" style="1177" customWidth="1"/>
    <col min="11269" max="11269" width="13" style="1177" customWidth="1"/>
    <col min="11270" max="11279" width="12.42578125" style="1177" customWidth="1"/>
    <col min="11280" max="11280" width="14.5703125" style="1177" customWidth="1"/>
    <col min="11281" max="11281" width="10" style="1177" customWidth="1"/>
    <col min="11282" max="11282" width="11.7109375" style="1177" customWidth="1"/>
    <col min="11283" max="11283" width="1.85546875" style="1177" customWidth="1"/>
    <col min="11284" max="11284" width="11.42578125" style="1177"/>
    <col min="11285" max="11285" width="3.28515625" style="1177" customWidth="1"/>
    <col min="11286" max="11286" width="7.85546875" style="1177" customWidth="1"/>
    <col min="11287" max="11287" width="52.28515625" style="1177" customWidth="1"/>
    <col min="11288" max="11288" width="13.28515625" style="1177" customWidth="1"/>
    <col min="11289" max="11289" width="14.7109375" style="1177" customWidth="1"/>
    <col min="11290" max="11290" width="11" style="1177" customWidth="1"/>
    <col min="11291" max="11298" width="10.140625" style="1177" customWidth="1"/>
    <col min="11299" max="11299" width="12.42578125" style="1177" customWidth="1"/>
    <col min="11300" max="11300" width="16.42578125" style="1177" customWidth="1"/>
    <col min="11301" max="11301" width="18.85546875" style="1177" customWidth="1"/>
    <col min="11302" max="11302" width="10.42578125" style="1177" customWidth="1"/>
    <col min="11303" max="11304" width="11.42578125" style="1177"/>
    <col min="11305" max="11305" width="18" style="1177" customWidth="1"/>
    <col min="11306" max="11307" width="11.42578125" style="1177"/>
    <col min="11308" max="11308" width="8" style="1177" customWidth="1"/>
    <col min="11309" max="11309" width="11.42578125" style="1177"/>
    <col min="11310" max="11310" width="20.85546875" style="1177" customWidth="1"/>
    <col min="11311" max="11311" width="11.42578125" style="1177"/>
    <col min="11312" max="11312" width="36.7109375" style="1177" customWidth="1"/>
    <col min="11313" max="11520" width="11.42578125" style="1177"/>
    <col min="11521" max="11521" width="3.28515625" style="1177" customWidth="1"/>
    <col min="11522" max="11522" width="6.85546875" style="1177" customWidth="1"/>
    <col min="11523" max="11523" width="46.5703125" style="1177" customWidth="1"/>
    <col min="11524" max="11524" width="13.28515625" style="1177" customWidth="1"/>
    <col min="11525" max="11525" width="13" style="1177" customWidth="1"/>
    <col min="11526" max="11535" width="12.42578125" style="1177" customWidth="1"/>
    <col min="11536" max="11536" width="14.5703125" style="1177" customWidth="1"/>
    <col min="11537" max="11537" width="10" style="1177" customWidth="1"/>
    <col min="11538" max="11538" width="11.7109375" style="1177" customWidth="1"/>
    <col min="11539" max="11539" width="1.85546875" style="1177" customWidth="1"/>
    <col min="11540" max="11540" width="11.42578125" style="1177"/>
    <col min="11541" max="11541" width="3.28515625" style="1177" customWidth="1"/>
    <col min="11542" max="11542" width="7.85546875" style="1177" customWidth="1"/>
    <col min="11543" max="11543" width="52.28515625" style="1177" customWidth="1"/>
    <col min="11544" max="11544" width="13.28515625" style="1177" customWidth="1"/>
    <col min="11545" max="11545" width="14.7109375" style="1177" customWidth="1"/>
    <col min="11546" max="11546" width="11" style="1177" customWidth="1"/>
    <col min="11547" max="11554" width="10.140625" style="1177" customWidth="1"/>
    <col min="11555" max="11555" width="12.42578125" style="1177" customWidth="1"/>
    <col min="11556" max="11556" width="16.42578125" style="1177" customWidth="1"/>
    <col min="11557" max="11557" width="18.85546875" style="1177" customWidth="1"/>
    <col min="11558" max="11558" width="10.42578125" style="1177" customWidth="1"/>
    <col min="11559" max="11560" width="11.42578125" style="1177"/>
    <col min="11561" max="11561" width="18" style="1177" customWidth="1"/>
    <col min="11562" max="11563" width="11.42578125" style="1177"/>
    <col min="11564" max="11564" width="8" style="1177" customWidth="1"/>
    <col min="11565" max="11565" width="11.42578125" style="1177"/>
    <col min="11566" max="11566" width="20.85546875" style="1177" customWidth="1"/>
    <col min="11567" max="11567" width="11.42578125" style="1177"/>
    <col min="11568" max="11568" width="36.7109375" style="1177" customWidth="1"/>
    <col min="11569" max="11776" width="11.42578125" style="1177"/>
    <col min="11777" max="11777" width="3.28515625" style="1177" customWidth="1"/>
    <col min="11778" max="11778" width="6.85546875" style="1177" customWidth="1"/>
    <col min="11779" max="11779" width="46.5703125" style="1177" customWidth="1"/>
    <col min="11780" max="11780" width="13.28515625" style="1177" customWidth="1"/>
    <col min="11781" max="11781" width="13" style="1177" customWidth="1"/>
    <col min="11782" max="11791" width="12.42578125" style="1177" customWidth="1"/>
    <col min="11792" max="11792" width="14.5703125" style="1177" customWidth="1"/>
    <col min="11793" max="11793" width="10" style="1177" customWidth="1"/>
    <col min="11794" max="11794" width="11.7109375" style="1177" customWidth="1"/>
    <col min="11795" max="11795" width="1.85546875" style="1177" customWidth="1"/>
    <col min="11796" max="11796" width="11.42578125" style="1177"/>
    <col min="11797" max="11797" width="3.28515625" style="1177" customWidth="1"/>
    <col min="11798" max="11798" width="7.85546875" style="1177" customWidth="1"/>
    <col min="11799" max="11799" width="52.28515625" style="1177" customWidth="1"/>
    <col min="11800" max="11800" width="13.28515625" style="1177" customWidth="1"/>
    <col min="11801" max="11801" width="14.7109375" style="1177" customWidth="1"/>
    <col min="11802" max="11802" width="11" style="1177" customWidth="1"/>
    <col min="11803" max="11810" width="10.140625" style="1177" customWidth="1"/>
    <col min="11811" max="11811" width="12.42578125" style="1177" customWidth="1"/>
    <col min="11812" max="11812" width="16.42578125" style="1177" customWidth="1"/>
    <col min="11813" max="11813" width="18.85546875" style="1177" customWidth="1"/>
    <col min="11814" max="11814" width="10.42578125" style="1177" customWidth="1"/>
    <col min="11815" max="11816" width="11.42578125" style="1177"/>
    <col min="11817" max="11817" width="18" style="1177" customWidth="1"/>
    <col min="11818" max="11819" width="11.42578125" style="1177"/>
    <col min="11820" max="11820" width="8" style="1177" customWidth="1"/>
    <col min="11821" max="11821" width="11.42578125" style="1177"/>
    <col min="11822" max="11822" width="20.85546875" style="1177" customWidth="1"/>
    <col min="11823" max="11823" width="11.42578125" style="1177"/>
    <col min="11824" max="11824" width="36.7109375" style="1177" customWidth="1"/>
    <col min="11825" max="12032" width="11.42578125" style="1177"/>
    <col min="12033" max="12033" width="3.28515625" style="1177" customWidth="1"/>
    <col min="12034" max="12034" width="6.85546875" style="1177" customWidth="1"/>
    <col min="12035" max="12035" width="46.5703125" style="1177" customWidth="1"/>
    <col min="12036" max="12036" width="13.28515625" style="1177" customWidth="1"/>
    <col min="12037" max="12037" width="13" style="1177" customWidth="1"/>
    <col min="12038" max="12047" width="12.42578125" style="1177" customWidth="1"/>
    <col min="12048" max="12048" width="14.5703125" style="1177" customWidth="1"/>
    <col min="12049" max="12049" width="10" style="1177" customWidth="1"/>
    <col min="12050" max="12050" width="11.7109375" style="1177" customWidth="1"/>
    <col min="12051" max="12051" width="1.85546875" style="1177" customWidth="1"/>
    <col min="12052" max="12052" width="11.42578125" style="1177"/>
    <col min="12053" max="12053" width="3.28515625" style="1177" customWidth="1"/>
    <col min="12054" max="12054" width="7.85546875" style="1177" customWidth="1"/>
    <col min="12055" max="12055" width="52.28515625" style="1177" customWidth="1"/>
    <col min="12056" max="12056" width="13.28515625" style="1177" customWidth="1"/>
    <col min="12057" max="12057" width="14.7109375" style="1177" customWidth="1"/>
    <col min="12058" max="12058" width="11" style="1177" customWidth="1"/>
    <col min="12059" max="12066" width="10.140625" style="1177" customWidth="1"/>
    <col min="12067" max="12067" width="12.42578125" style="1177" customWidth="1"/>
    <col min="12068" max="12068" width="16.42578125" style="1177" customWidth="1"/>
    <col min="12069" max="12069" width="18.85546875" style="1177" customWidth="1"/>
    <col min="12070" max="12070" width="10.42578125" style="1177" customWidth="1"/>
    <col min="12071" max="12072" width="11.42578125" style="1177"/>
    <col min="12073" max="12073" width="18" style="1177" customWidth="1"/>
    <col min="12074" max="12075" width="11.42578125" style="1177"/>
    <col min="12076" max="12076" width="8" style="1177" customWidth="1"/>
    <col min="12077" max="12077" width="11.42578125" style="1177"/>
    <col min="12078" max="12078" width="20.85546875" style="1177" customWidth="1"/>
    <col min="12079" max="12079" width="11.42578125" style="1177"/>
    <col min="12080" max="12080" width="36.7109375" style="1177" customWidth="1"/>
    <col min="12081" max="12288" width="11.42578125" style="1177"/>
    <col min="12289" max="12289" width="3.28515625" style="1177" customWidth="1"/>
    <col min="12290" max="12290" width="6.85546875" style="1177" customWidth="1"/>
    <col min="12291" max="12291" width="46.5703125" style="1177" customWidth="1"/>
    <col min="12292" max="12292" width="13.28515625" style="1177" customWidth="1"/>
    <col min="12293" max="12293" width="13" style="1177" customWidth="1"/>
    <col min="12294" max="12303" width="12.42578125" style="1177" customWidth="1"/>
    <col min="12304" max="12304" width="14.5703125" style="1177" customWidth="1"/>
    <col min="12305" max="12305" width="10" style="1177" customWidth="1"/>
    <col min="12306" max="12306" width="11.7109375" style="1177" customWidth="1"/>
    <col min="12307" max="12307" width="1.85546875" style="1177" customWidth="1"/>
    <col min="12308" max="12308" width="11.42578125" style="1177"/>
    <col min="12309" max="12309" width="3.28515625" style="1177" customWidth="1"/>
    <col min="12310" max="12310" width="7.85546875" style="1177" customWidth="1"/>
    <col min="12311" max="12311" width="52.28515625" style="1177" customWidth="1"/>
    <col min="12312" max="12312" width="13.28515625" style="1177" customWidth="1"/>
    <col min="12313" max="12313" width="14.7109375" style="1177" customWidth="1"/>
    <col min="12314" max="12314" width="11" style="1177" customWidth="1"/>
    <col min="12315" max="12322" width="10.140625" style="1177" customWidth="1"/>
    <col min="12323" max="12323" width="12.42578125" style="1177" customWidth="1"/>
    <col min="12324" max="12324" width="16.42578125" style="1177" customWidth="1"/>
    <col min="12325" max="12325" width="18.85546875" style="1177" customWidth="1"/>
    <col min="12326" max="12326" width="10.42578125" style="1177" customWidth="1"/>
    <col min="12327" max="12328" width="11.42578125" style="1177"/>
    <col min="12329" max="12329" width="18" style="1177" customWidth="1"/>
    <col min="12330" max="12331" width="11.42578125" style="1177"/>
    <col min="12332" max="12332" width="8" style="1177" customWidth="1"/>
    <col min="12333" max="12333" width="11.42578125" style="1177"/>
    <col min="12334" max="12334" width="20.85546875" style="1177" customWidth="1"/>
    <col min="12335" max="12335" width="11.42578125" style="1177"/>
    <col min="12336" max="12336" width="36.7109375" style="1177" customWidth="1"/>
    <col min="12337" max="12544" width="11.42578125" style="1177"/>
    <col min="12545" max="12545" width="3.28515625" style="1177" customWidth="1"/>
    <col min="12546" max="12546" width="6.85546875" style="1177" customWidth="1"/>
    <col min="12547" max="12547" width="46.5703125" style="1177" customWidth="1"/>
    <col min="12548" max="12548" width="13.28515625" style="1177" customWidth="1"/>
    <col min="12549" max="12549" width="13" style="1177" customWidth="1"/>
    <col min="12550" max="12559" width="12.42578125" style="1177" customWidth="1"/>
    <col min="12560" max="12560" width="14.5703125" style="1177" customWidth="1"/>
    <col min="12561" max="12561" width="10" style="1177" customWidth="1"/>
    <col min="12562" max="12562" width="11.7109375" style="1177" customWidth="1"/>
    <col min="12563" max="12563" width="1.85546875" style="1177" customWidth="1"/>
    <col min="12564" max="12564" width="11.42578125" style="1177"/>
    <col min="12565" max="12565" width="3.28515625" style="1177" customWidth="1"/>
    <col min="12566" max="12566" width="7.85546875" style="1177" customWidth="1"/>
    <col min="12567" max="12567" width="52.28515625" style="1177" customWidth="1"/>
    <col min="12568" max="12568" width="13.28515625" style="1177" customWidth="1"/>
    <col min="12569" max="12569" width="14.7109375" style="1177" customWidth="1"/>
    <col min="12570" max="12570" width="11" style="1177" customWidth="1"/>
    <col min="12571" max="12578" width="10.140625" style="1177" customWidth="1"/>
    <col min="12579" max="12579" width="12.42578125" style="1177" customWidth="1"/>
    <col min="12580" max="12580" width="16.42578125" style="1177" customWidth="1"/>
    <col min="12581" max="12581" width="18.85546875" style="1177" customWidth="1"/>
    <col min="12582" max="12582" width="10.42578125" style="1177" customWidth="1"/>
    <col min="12583" max="12584" width="11.42578125" style="1177"/>
    <col min="12585" max="12585" width="18" style="1177" customWidth="1"/>
    <col min="12586" max="12587" width="11.42578125" style="1177"/>
    <col min="12588" max="12588" width="8" style="1177" customWidth="1"/>
    <col min="12589" max="12589" width="11.42578125" style="1177"/>
    <col min="12590" max="12590" width="20.85546875" style="1177" customWidth="1"/>
    <col min="12591" max="12591" width="11.42578125" style="1177"/>
    <col min="12592" max="12592" width="36.7109375" style="1177" customWidth="1"/>
    <col min="12593" max="12800" width="11.42578125" style="1177"/>
    <col min="12801" max="12801" width="3.28515625" style="1177" customWidth="1"/>
    <col min="12802" max="12802" width="6.85546875" style="1177" customWidth="1"/>
    <col min="12803" max="12803" width="46.5703125" style="1177" customWidth="1"/>
    <col min="12804" max="12804" width="13.28515625" style="1177" customWidth="1"/>
    <col min="12805" max="12805" width="13" style="1177" customWidth="1"/>
    <col min="12806" max="12815" width="12.42578125" style="1177" customWidth="1"/>
    <col min="12816" max="12816" width="14.5703125" style="1177" customWidth="1"/>
    <col min="12817" max="12817" width="10" style="1177" customWidth="1"/>
    <col min="12818" max="12818" width="11.7109375" style="1177" customWidth="1"/>
    <col min="12819" max="12819" width="1.85546875" style="1177" customWidth="1"/>
    <col min="12820" max="12820" width="11.42578125" style="1177"/>
    <col min="12821" max="12821" width="3.28515625" style="1177" customWidth="1"/>
    <col min="12822" max="12822" width="7.85546875" style="1177" customWidth="1"/>
    <col min="12823" max="12823" width="52.28515625" style="1177" customWidth="1"/>
    <col min="12824" max="12824" width="13.28515625" style="1177" customWidth="1"/>
    <col min="12825" max="12825" width="14.7109375" style="1177" customWidth="1"/>
    <col min="12826" max="12826" width="11" style="1177" customWidth="1"/>
    <col min="12827" max="12834" width="10.140625" style="1177" customWidth="1"/>
    <col min="12835" max="12835" width="12.42578125" style="1177" customWidth="1"/>
    <col min="12836" max="12836" width="16.42578125" style="1177" customWidth="1"/>
    <col min="12837" max="12837" width="18.85546875" style="1177" customWidth="1"/>
    <col min="12838" max="12838" width="10.42578125" style="1177" customWidth="1"/>
    <col min="12839" max="12840" width="11.42578125" style="1177"/>
    <col min="12841" max="12841" width="18" style="1177" customWidth="1"/>
    <col min="12842" max="12843" width="11.42578125" style="1177"/>
    <col min="12844" max="12844" width="8" style="1177" customWidth="1"/>
    <col min="12845" max="12845" width="11.42578125" style="1177"/>
    <col min="12846" max="12846" width="20.85546875" style="1177" customWidth="1"/>
    <col min="12847" max="12847" width="11.42578125" style="1177"/>
    <col min="12848" max="12848" width="36.7109375" style="1177" customWidth="1"/>
    <col min="12849" max="13056" width="11.42578125" style="1177"/>
    <col min="13057" max="13057" width="3.28515625" style="1177" customWidth="1"/>
    <col min="13058" max="13058" width="6.85546875" style="1177" customWidth="1"/>
    <col min="13059" max="13059" width="46.5703125" style="1177" customWidth="1"/>
    <col min="13060" max="13060" width="13.28515625" style="1177" customWidth="1"/>
    <col min="13061" max="13061" width="13" style="1177" customWidth="1"/>
    <col min="13062" max="13071" width="12.42578125" style="1177" customWidth="1"/>
    <col min="13072" max="13072" width="14.5703125" style="1177" customWidth="1"/>
    <col min="13073" max="13073" width="10" style="1177" customWidth="1"/>
    <col min="13074" max="13074" width="11.7109375" style="1177" customWidth="1"/>
    <col min="13075" max="13075" width="1.85546875" style="1177" customWidth="1"/>
    <col min="13076" max="13076" width="11.42578125" style="1177"/>
    <col min="13077" max="13077" width="3.28515625" style="1177" customWidth="1"/>
    <col min="13078" max="13078" width="7.85546875" style="1177" customWidth="1"/>
    <col min="13079" max="13079" width="52.28515625" style="1177" customWidth="1"/>
    <col min="13080" max="13080" width="13.28515625" style="1177" customWidth="1"/>
    <col min="13081" max="13081" width="14.7109375" style="1177" customWidth="1"/>
    <col min="13082" max="13082" width="11" style="1177" customWidth="1"/>
    <col min="13083" max="13090" width="10.140625" style="1177" customWidth="1"/>
    <col min="13091" max="13091" width="12.42578125" style="1177" customWidth="1"/>
    <col min="13092" max="13092" width="16.42578125" style="1177" customWidth="1"/>
    <col min="13093" max="13093" width="18.85546875" style="1177" customWidth="1"/>
    <col min="13094" max="13094" width="10.42578125" style="1177" customWidth="1"/>
    <col min="13095" max="13096" width="11.42578125" style="1177"/>
    <col min="13097" max="13097" width="18" style="1177" customWidth="1"/>
    <col min="13098" max="13099" width="11.42578125" style="1177"/>
    <col min="13100" max="13100" width="8" style="1177" customWidth="1"/>
    <col min="13101" max="13101" width="11.42578125" style="1177"/>
    <col min="13102" max="13102" width="20.85546875" style="1177" customWidth="1"/>
    <col min="13103" max="13103" width="11.42578125" style="1177"/>
    <col min="13104" max="13104" width="36.7109375" style="1177" customWidth="1"/>
    <col min="13105" max="13312" width="11.42578125" style="1177"/>
    <col min="13313" max="13313" width="3.28515625" style="1177" customWidth="1"/>
    <col min="13314" max="13314" width="6.85546875" style="1177" customWidth="1"/>
    <col min="13315" max="13315" width="46.5703125" style="1177" customWidth="1"/>
    <col min="13316" max="13316" width="13.28515625" style="1177" customWidth="1"/>
    <col min="13317" max="13317" width="13" style="1177" customWidth="1"/>
    <col min="13318" max="13327" width="12.42578125" style="1177" customWidth="1"/>
    <col min="13328" max="13328" width="14.5703125" style="1177" customWidth="1"/>
    <col min="13329" max="13329" width="10" style="1177" customWidth="1"/>
    <col min="13330" max="13330" width="11.7109375" style="1177" customWidth="1"/>
    <col min="13331" max="13331" width="1.85546875" style="1177" customWidth="1"/>
    <col min="13332" max="13332" width="11.42578125" style="1177"/>
    <col min="13333" max="13333" width="3.28515625" style="1177" customWidth="1"/>
    <col min="13334" max="13334" width="7.85546875" style="1177" customWidth="1"/>
    <col min="13335" max="13335" width="52.28515625" style="1177" customWidth="1"/>
    <col min="13336" max="13336" width="13.28515625" style="1177" customWidth="1"/>
    <col min="13337" max="13337" width="14.7109375" style="1177" customWidth="1"/>
    <col min="13338" max="13338" width="11" style="1177" customWidth="1"/>
    <col min="13339" max="13346" width="10.140625" style="1177" customWidth="1"/>
    <col min="13347" max="13347" width="12.42578125" style="1177" customWidth="1"/>
    <col min="13348" max="13348" width="16.42578125" style="1177" customWidth="1"/>
    <col min="13349" max="13349" width="18.85546875" style="1177" customWidth="1"/>
    <col min="13350" max="13350" width="10.42578125" style="1177" customWidth="1"/>
    <col min="13351" max="13352" width="11.42578125" style="1177"/>
    <col min="13353" max="13353" width="18" style="1177" customWidth="1"/>
    <col min="13354" max="13355" width="11.42578125" style="1177"/>
    <col min="13356" max="13356" width="8" style="1177" customWidth="1"/>
    <col min="13357" max="13357" width="11.42578125" style="1177"/>
    <col min="13358" max="13358" width="20.85546875" style="1177" customWidth="1"/>
    <col min="13359" max="13359" width="11.42578125" style="1177"/>
    <col min="13360" max="13360" width="36.7109375" style="1177" customWidth="1"/>
    <col min="13361" max="13568" width="11.42578125" style="1177"/>
    <col min="13569" max="13569" width="3.28515625" style="1177" customWidth="1"/>
    <col min="13570" max="13570" width="6.85546875" style="1177" customWidth="1"/>
    <col min="13571" max="13571" width="46.5703125" style="1177" customWidth="1"/>
    <col min="13572" max="13572" width="13.28515625" style="1177" customWidth="1"/>
    <col min="13573" max="13573" width="13" style="1177" customWidth="1"/>
    <col min="13574" max="13583" width="12.42578125" style="1177" customWidth="1"/>
    <col min="13584" max="13584" width="14.5703125" style="1177" customWidth="1"/>
    <col min="13585" max="13585" width="10" style="1177" customWidth="1"/>
    <col min="13586" max="13586" width="11.7109375" style="1177" customWidth="1"/>
    <col min="13587" max="13587" width="1.85546875" style="1177" customWidth="1"/>
    <col min="13588" max="13588" width="11.42578125" style="1177"/>
    <col min="13589" max="13589" width="3.28515625" style="1177" customWidth="1"/>
    <col min="13590" max="13590" width="7.85546875" style="1177" customWidth="1"/>
    <col min="13591" max="13591" width="52.28515625" style="1177" customWidth="1"/>
    <col min="13592" max="13592" width="13.28515625" style="1177" customWidth="1"/>
    <col min="13593" max="13593" width="14.7109375" style="1177" customWidth="1"/>
    <col min="13594" max="13594" width="11" style="1177" customWidth="1"/>
    <col min="13595" max="13602" width="10.140625" style="1177" customWidth="1"/>
    <col min="13603" max="13603" width="12.42578125" style="1177" customWidth="1"/>
    <col min="13604" max="13604" width="16.42578125" style="1177" customWidth="1"/>
    <col min="13605" max="13605" width="18.85546875" style="1177" customWidth="1"/>
    <col min="13606" max="13606" width="10.42578125" style="1177" customWidth="1"/>
    <col min="13607" max="13608" width="11.42578125" style="1177"/>
    <col min="13609" max="13609" width="18" style="1177" customWidth="1"/>
    <col min="13610" max="13611" width="11.42578125" style="1177"/>
    <col min="13612" max="13612" width="8" style="1177" customWidth="1"/>
    <col min="13613" max="13613" width="11.42578125" style="1177"/>
    <col min="13614" max="13614" width="20.85546875" style="1177" customWidth="1"/>
    <col min="13615" max="13615" width="11.42578125" style="1177"/>
    <col min="13616" max="13616" width="36.7109375" style="1177" customWidth="1"/>
    <col min="13617" max="13824" width="11.42578125" style="1177"/>
    <col min="13825" max="13825" width="3.28515625" style="1177" customWidth="1"/>
    <col min="13826" max="13826" width="6.85546875" style="1177" customWidth="1"/>
    <col min="13827" max="13827" width="46.5703125" style="1177" customWidth="1"/>
    <col min="13828" max="13828" width="13.28515625" style="1177" customWidth="1"/>
    <col min="13829" max="13829" width="13" style="1177" customWidth="1"/>
    <col min="13830" max="13839" width="12.42578125" style="1177" customWidth="1"/>
    <col min="13840" max="13840" width="14.5703125" style="1177" customWidth="1"/>
    <col min="13841" max="13841" width="10" style="1177" customWidth="1"/>
    <col min="13842" max="13842" width="11.7109375" style="1177" customWidth="1"/>
    <col min="13843" max="13843" width="1.85546875" style="1177" customWidth="1"/>
    <col min="13844" max="13844" width="11.42578125" style="1177"/>
    <col min="13845" max="13845" width="3.28515625" style="1177" customWidth="1"/>
    <col min="13846" max="13846" width="7.85546875" style="1177" customWidth="1"/>
    <col min="13847" max="13847" width="52.28515625" style="1177" customWidth="1"/>
    <col min="13848" max="13848" width="13.28515625" style="1177" customWidth="1"/>
    <col min="13849" max="13849" width="14.7109375" style="1177" customWidth="1"/>
    <col min="13850" max="13850" width="11" style="1177" customWidth="1"/>
    <col min="13851" max="13858" width="10.140625" style="1177" customWidth="1"/>
    <col min="13859" max="13859" width="12.42578125" style="1177" customWidth="1"/>
    <col min="13860" max="13860" width="16.42578125" style="1177" customWidth="1"/>
    <col min="13861" max="13861" width="18.85546875" style="1177" customWidth="1"/>
    <col min="13862" max="13862" width="10.42578125" style="1177" customWidth="1"/>
    <col min="13863" max="13864" width="11.42578125" style="1177"/>
    <col min="13865" max="13865" width="18" style="1177" customWidth="1"/>
    <col min="13866" max="13867" width="11.42578125" style="1177"/>
    <col min="13868" max="13868" width="8" style="1177" customWidth="1"/>
    <col min="13869" max="13869" width="11.42578125" style="1177"/>
    <col min="13870" max="13870" width="20.85546875" style="1177" customWidth="1"/>
    <col min="13871" max="13871" width="11.42578125" style="1177"/>
    <col min="13872" max="13872" width="36.7109375" style="1177" customWidth="1"/>
    <col min="13873" max="14080" width="11.42578125" style="1177"/>
    <col min="14081" max="14081" width="3.28515625" style="1177" customWidth="1"/>
    <col min="14082" max="14082" width="6.85546875" style="1177" customWidth="1"/>
    <col min="14083" max="14083" width="46.5703125" style="1177" customWidth="1"/>
    <col min="14084" max="14084" width="13.28515625" style="1177" customWidth="1"/>
    <col min="14085" max="14085" width="13" style="1177" customWidth="1"/>
    <col min="14086" max="14095" width="12.42578125" style="1177" customWidth="1"/>
    <col min="14096" max="14096" width="14.5703125" style="1177" customWidth="1"/>
    <col min="14097" max="14097" width="10" style="1177" customWidth="1"/>
    <col min="14098" max="14098" width="11.7109375" style="1177" customWidth="1"/>
    <col min="14099" max="14099" width="1.85546875" style="1177" customWidth="1"/>
    <col min="14100" max="14100" width="11.42578125" style="1177"/>
    <col min="14101" max="14101" width="3.28515625" style="1177" customWidth="1"/>
    <col min="14102" max="14102" width="7.85546875" style="1177" customWidth="1"/>
    <col min="14103" max="14103" width="52.28515625" style="1177" customWidth="1"/>
    <col min="14104" max="14104" width="13.28515625" style="1177" customWidth="1"/>
    <col min="14105" max="14105" width="14.7109375" style="1177" customWidth="1"/>
    <col min="14106" max="14106" width="11" style="1177" customWidth="1"/>
    <col min="14107" max="14114" width="10.140625" style="1177" customWidth="1"/>
    <col min="14115" max="14115" width="12.42578125" style="1177" customWidth="1"/>
    <col min="14116" max="14116" width="16.42578125" style="1177" customWidth="1"/>
    <col min="14117" max="14117" width="18.85546875" style="1177" customWidth="1"/>
    <col min="14118" max="14118" width="10.42578125" style="1177" customWidth="1"/>
    <col min="14119" max="14120" width="11.42578125" style="1177"/>
    <col min="14121" max="14121" width="18" style="1177" customWidth="1"/>
    <col min="14122" max="14123" width="11.42578125" style="1177"/>
    <col min="14124" max="14124" width="8" style="1177" customWidth="1"/>
    <col min="14125" max="14125" width="11.42578125" style="1177"/>
    <col min="14126" max="14126" width="20.85546875" style="1177" customWidth="1"/>
    <col min="14127" max="14127" width="11.42578125" style="1177"/>
    <col min="14128" max="14128" width="36.7109375" style="1177" customWidth="1"/>
    <col min="14129" max="14336" width="11.42578125" style="1177"/>
    <col min="14337" max="14337" width="3.28515625" style="1177" customWidth="1"/>
    <col min="14338" max="14338" width="6.85546875" style="1177" customWidth="1"/>
    <col min="14339" max="14339" width="46.5703125" style="1177" customWidth="1"/>
    <col min="14340" max="14340" width="13.28515625" style="1177" customWidth="1"/>
    <col min="14341" max="14341" width="13" style="1177" customWidth="1"/>
    <col min="14342" max="14351" width="12.42578125" style="1177" customWidth="1"/>
    <col min="14352" max="14352" width="14.5703125" style="1177" customWidth="1"/>
    <col min="14353" max="14353" width="10" style="1177" customWidth="1"/>
    <col min="14354" max="14354" width="11.7109375" style="1177" customWidth="1"/>
    <col min="14355" max="14355" width="1.85546875" style="1177" customWidth="1"/>
    <col min="14356" max="14356" width="11.42578125" style="1177"/>
    <col min="14357" max="14357" width="3.28515625" style="1177" customWidth="1"/>
    <col min="14358" max="14358" width="7.85546875" style="1177" customWidth="1"/>
    <col min="14359" max="14359" width="52.28515625" style="1177" customWidth="1"/>
    <col min="14360" max="14360" width="13.28515625" style="1177" customWidth="1"/>
    <col min="14361" max="14361" width="14.7109375" style="1177" customWidth="1"/>
    <col min="14362" max="14362" width="11" style="1177" customWidth="1"/>
    <col min="14363" max="14370" width="10.140625" style="1177" customWidth="1"/>
    <col min="14371" max="14371" width="12.42578125" style="1177" customWidth="1"/>
    <col min="14372" max="14372" width="16.42578125" style="1177" customWidth="1"/>
    <col min="14373" max="14373" width="18.85546875" style="1177" customWidth="1"/>
    <col min="14374" max="14374" width="10.42578125" style="1177" customWidth="1"/>
    <col min="14375" max="14376" width="11.42578125" style="1177"/>
    <col min="14377" max="14377" width="18" style="1177" customWidth="1"/>
    <col min="14378" max="14379" width="11.42578125" style="1177"/>
    <col min="14380" max="14380" width="8" style="1177" customWidth="1"/>
    <col min="14381" max="14381" width="11.42578125" style="1177"/>
    <col min="14382" max="14382" width="20.85546875" style="1177" customWidth="1"/>
    <col min="14383" max="14383" width="11.42578125" style="1177"/>
    <col min="14384" max="14384" width="36.7109375" style="1177" customWidth="1"/>
    <col min="14385" max="14592" width="11.42578125" style="1177"/>
    <col min="14593" max="14593" width="3.28515625" style="1177" customWidth="1"/>
    <col min="14594" max="14594" width="6.85546875" style="1177" customWidth="1"/>
    <col min="14595" max="14595" width="46.5703125" style="1177" customWidth="1"/>
    <col min="14596" max="14596" width="13.28515625" style="1177" customWidth="1"/>
    <col min="14597" max="14597" width="13" style="1177" customWidth="1"/>
    <col min="14598" max="14607" width="12.42578125" style="1177" customWidth="1"/>
    <col min="14608" max="14608" width="14.5703125" style="1177" customWidth="1"/>
    <col min="14609" max="14609" width="10" style="1177" customWidth="1"/>
    <col min="14610" max="14610" width="11.7109375" style="1177" customWidth="1"/>
    <col min="14611" max="14611" width="1.85546875" style="1177" customWidth="1"/>
    <col min="14612" max="14612" width="11.42578125" style="1177"/>
    <col min="14613" max="14613" width="3.28515625" style="1177" customWidth="1"/>
    <col min="14614" max="14614" width="7.85546875" style="1177" customWidth="1"/>
    <col min="14615" max="14615" width="52.28515625" style="1177" customWidth="1"/>
    <col min="14616" max="14616" width="13.28515625" style="1177" customWidth="1"/>
    <col min="14617" max="14617" width="14.7109375" style="1177" customWidth="1"/>
    <col min="14618" max="14618" width="11" style="1177" customWidth="1"/>
    <col min="14619" max="14626" width="10.140625" style="1177" customWidth="1"/>
    <col min="14627" max="14627" width="12.42578125" style="1177" customWidth="1"/>
    <col min="14628" max="14628" width="16.42578125" style="1177" customWidth="1"/>
    <col min="14629" max="14629" width="18.85546875" style="1177" customWidth="1"/>
    <col min="14630" max="14630" width="10.42578125" style="1177" customWidth="1"/>
    <col min="14631" max="14632" width="11.42578125" style="1177"/>
    <col min="14633" max="14633" width="18" style="1177" customWidth="1"/>
    <col min="14634" max="14635" width="11.42578125" style="1177"/>
    <col min="14636" max="14636" width="8" style="1177" customWidth="1"/>
    <col min="14637" max="14637" width="11.42578125" style="1177"/>
    <col min="14638" max="14638" width="20.85546875" style="1177" customWidth="1"/>
    <col min="14639" max="14639" width="11.42578125" style="1177"/>
    <col min="14640" max="14640" width="36.7109375" style="1177" customWidth="1"/>
    <col min="14641" max="14848" width="11.42578125" style="1177"/>
    <col min="14849" max="14849" width="3.28515625" style="1177" customWidth="1"/>
    <col min="14850" max="14850" width="6.85546875" style="1177" customWidth="1"/>
    <col min="14851" max="14851" width="46.5703125" style="1177" customWidth="1"/>
    <col min="14852" max="14852" width="13.28515625" style="1177" customWidth="1"/>
    <col min="14853" max="14853" width="13" style="1177" customWidth="1"/>
    <col min="14854" max="14863" width="12.42578125" style="1177" customWidth="1"/>
    <col min="14864" max="14864" width="14.5703125" style="1177" customWidth="1"/>
    <col min="14865" max="14865" width="10" style="1177" customWidth="1"/>
    <col min="14866" max="14866" width="11.7109375" style="1177" customWidth="1"/>
    <col min="14867" max="14867" width="1.85546875" style="1177" customWidth="1"/>
    <col min="14868" max="14868" width="11.42578125" style="1177"/>
    <col min="14869" max="14869" width="3.28515625" style="1177" customWidth="1"/>
    <col min="14870" max="14870" width="7.85546875" style="1177" customWidth="1"/>
    <col min="14871" max="14871" width="52.28515625" style="1177" customWidth="1"/>
    <col min="14872" max="14872" width="13.28515625" style="1177" customWidth="1"/>
    <col min="14873" max="14873" width="14.7109375" style="1177" customWidth="1"/>
    <col min="14874" max="14874" width="11" style="1177" customWidth="1"/>
    <col min="14875" max="14882" width="10.140625" style="1177" customWidth="1"/>
    <col min="14883" max="14883" width="12.42578125" style="1177" customWidth="1"/>
    <col min="14884" max="14884" width="16.42578125" style="1177" customWidth="1"/>
    <col min="14885" max="14885" width="18.85546875" style="1177" customWidth="1"/>
    <col min="14886" max="14886" width="10.42578125" style="1177" customWidth="1"/>
    <col min="14887" max="14888" width="11.42578125" style="1177"/>
    <col min="14889" max="14889" width="18" style="1177" customWidth="1"/>
    <col min="14890" max="14891" width="11.42578125" style="1177"/>
    <col min="14892" max="14892" width="8" style="1177" customWidth="1"/>
    <col min="14893" max="14893" width="11.42578125" style="1177"/>
    <col min="14894" max="14894" width="20.85546875" style="1177" customWidth="1"/>
    <col min="14895" max="14895" width="11.42578125" style="1177"/>
    <col min="14896" max="14896" width="36.7109375" style="1177" customWidth="1"/>
    <col min="14897" max="15104" width="11.42578125" style="1177"/>
    <col min="15105" max="15105" width="3.28515625" style="1177" customWidth="1"/>
    <col min="15106" max="15106" width="6.85546875" style="1177" customWidth="1"/>
    <col min="15107" max="15107" width="46.5703125" style="1177" customWidth="1"/>
    <col min="15108" max="15108" width="13.28515625" style="1177" customWidth="1"/>
    <col min="15109" max="15109" width="13" style="1177" customWidth="1"/>
    <col min="15110" max="15119" width="12.42578125" style="1177" customWidth="1"/>
    <col min="15120" max="15120" width="14.5703125" style="1177" customWidth="1"/>
    <col min="15121" max="15121" width="10" style="1177" customWidth="1"/>
    <col min="15122" max="15122" width="11.7109375" style="1177" customWidth="1"/>
    <col min="15123" max="15123" width="1.85546875" style="1177" customWidth="1"/>
    <col min="15124" max="15124" width="11.42578125" style="1177"/>
    <col min="15125" max="15125" width="3.28515625" style="1177" customWidth="1"/>
    <col min="15126" max="15126" width="7.85546875" style="1177" customWidth="1"/>
    <col min="15127" max="15127" width="52.28515625" style="1177" customWidth="1"/>
    <col min="15128" max="15128" width="13.28515625" style="1177" customWidth="1"/>
    <col min="15129" max="15129" width="14.7109375" style="1177" customWidth="1"/>
    <col min="15130" max="15130" width="11" style="1177" customWidth="1"/>
    <col min="15131" max="15138" width="10.140625" style="1177" customWidth="1"/>
    <col min="15139" max="15139" width="12.42578125" style="1177" customWidth="1"/>
    <col min="15140" max="15140" width="16.42578125" style="1177" customWidth="1"/>
    <col min="15141" max="15141" width="18.85546875" style="1177" customWidth="1"/>
    <col min="15142" max="15142" width="10.42578125" style="1177" customWidth="1"/>
    <col min="15143" max="15144" width="11.42578125" style="1177"/>
    <col min="15145" max="15145" width="18" style="1177" customWidth="1"/>
    <col min="15146" max="15147" width="11.42578125" style="1177"/>
    <col min="15148" max="15148" width="8" style="1177" customWidth="1"/>
    <col min="15149" max="15149" width="11.42578125" style="1177"/>
    <col min="15150" max="15150" width="20.85546875" style="1177" customWidth="1"/>
    <col min="15151" max="15151" width="11.42578125" style="1177"/>
    <col min="15152" max="15152" width="36.7109375" style="1177" customWidth="1"/>
    <col min="15153" max="15360" width="11.42578125" style="1177"/>
    <col min="15361" max="15361" width="3.28515625" style="1177" customWidth="1"/>
    <col min="15362" max="15362" width="6.85546875" style="1177" customWidth="1"/>
    <col min="15363" max="15363" width="46.5703125" style="1177" customWidth="1"/>
    <col min="15364" max="15364" width="13.28515625" style="1177" customWidth="1"/>
    <col min="15365" max="15365" width="13" style="1177" customWidth="1"/>
    <col min="15366" max="15375" width="12.42578125" style="1177" customWidth="1"/>
    <col min="15376" max="15376" width="14.5703125" style="1177" customWidth="1"/>
    <col min="15377" max="15377" width="10" style="1177" customWidth="1"/>
    <col min="15378" max="15378" width="11.7109375" style="1177" customWidth="1"/>
    <col min="15379" max="15379" width="1.85546875" style="1177" customWidth="1"/>
    <col min="15380" max="15380" width="11.42578125" style="1177"/>
    <col min="15381" max="15381" width="3.28515625" style="1177" customWidth="1"/>
    <col min="15382" max="15382" width="7.85546875" style="1177" customWidth="1"/>
    <col min="15383" max="15383" width="52.28515625" style="1177" customWidth="1"/>
    <col min="15384" max="15384" width="13.28515625" style="1177" customWidth="1"/>
    <col min="15385" max="15385" width="14.7109375" style="1177" customWidth="1"/>
    <col min="15386" max="15386" width="11" style="1177" customWidth="1"/>
    <col min="15387" max="15394" width="10.140625" style="1177" customWidth="1"/>
    <col min="15395" max="15395" width="12.42578125" style="1177" customWidth="1"/>
    <col min="15396" max="15396" width="16.42578125" style="1177" customWidth="1"/>
    <col min="15397" max="15397" width="18.85546875" style="1177" customWidth="1"/>
    <col min="15398" max="15398" width="10.42578125" style="1177" customWidth="1"/>
    <col min="15399" max="15400" width="11.42578125" style="1177"/>
    <col min="15401" max="15401" width="18" style="1177" customWidth="1"/>
    <col min="15402" max="15403" width="11.42578125" style="1177"/>
    <col min="15404" max="15404" width="8" style="1177" customWidth="1"/>
    <col min="15405" max="15405" width="11.42578125" style="1177"/>
    <col min="15406" max="15406" width="20.85546875" style="1177" customWidth="1"/>
    <col min="15407" max="15407" width="11.42578125" style="1177"/>
    <col min="15408" max="15408" width="36.7109375" style="1177" customWidth="1"/>
    <col min="15409" max="15616" width="11.42578125" style="1177"/>
    <col min="15617" max="15617" width="3.28515625" style="1177" customWidth="1"/>
    <col min="15618" max="15618" width="6.85546875" style="1177" customWidth="1"/>
    <col min="15619" max="15619" width="46.5703125" style="1177" customWidth="1"/>
    <col min="15620" max="15620" width="13.28515625" style="1177" customWidth="1"/>
    <col min="15621" max="15621" width="13" style="1177" customWidth="1"/>
    <col min="15622" max="15631" width="12.42578125" style="1177" customWidth="1"/>
    <col min="15632" max="15632" width="14.5703125" style="1177" customWidth="1"/>
    <col min="15633" max="15633" width="10" style="1177" customWidth="1"/>
    <col min="15634" max="15634" width="11.7109375" style="1177" customWidth="1"/>
    <col min="15635" max="15635" width="1.85546875" style="1177" customWidth="1"/>
    <col min="15636" max="15636" width="11.42578125" style="1177"/>
    <col min="15637" max="15637" width="3.28515625" style="1177" customWidth="1"/>
    <col min="15638" max="15638" width="7.85546875" style="1177" customWidth="1"/>
    <col min="15639" max="15639" width="52.28515625" style="1177" customWidth="1"/>
    <col min="15640" max="15640" width="13.28515625" style="1177" customWidth="1"/>
    <col min="15641" max="15641" width="14.7109375" style="1177" customWidth="1"/>
    <col min="15642" max="15642" width="11" style="1177" customWidth="1"/>
    <col min="15643" max="15650" width="10.140625" style="1177" customWidth="1"/>
    <col min="15651" max="15651" width="12.42578125" style="1177" customWidth="1"/>
    <col min="15652" max="15652" width="16.42578125" style="1177" customWidth="1"/>
    <col min="15653" max="15653" width="18.85546875" style="1177" customWidth="1"/>
    <col min="15654" max="15654" width="10.42578125" style="1177" customWidth="1"/>
    <col min="15655" max="15656" width="11.42578125" style="1177"/>
    <col min="15657" max="15657" width="18" style="1177" customWidth="1"/>
    <col min="15658" max="15659" width="11.42578125" style="1177"/>
    <col min="15660" max="15660" width="8" style="1177" customWidth="1"/>
    <col min="15661" max="15661" width="11.42578125" style="1177"/>
    <col min="15662" max="15662" width="20.85546875" style="1177" customWidth="1"/>
    <col min="15663" max="15663" width="11.42578125" style="1177"/>
    <col min="15664" max="15664" width="36.7109375" style="1177" customWidth="1"/>
    <col min="15665" max="15872" width="11.42578125" style="1177"/>
    <col min="15873" max="15873" width="3.28515625" style="1177" customWidth="1"/>
    <col min="15874" max="15874" width="6.85546875" style="1177" customWidth="1"/>
    <col min="15875" max="15875" width="46.5703125" style="1177" customWidth="1"/>
    <col min="15876" max="15876" width="13.28515625" style="1177" customWidth="1"/>
    <col min="15877" max="15877" width="13" style="1177" customWidth="1"/>
    <col min="15878" max="15887" width="12.42578125" style="1177" customWidth="1"/>
    <col min="15888" max="15888" width="14.5703125" style="1177" customWidth="1"/>
    <col min="15889" max="15889" width="10" style="1177" customWidth="1"/>
    <col min="15890" max="15890" width="11.7109375" style="1177" customWidth="1"/>
    <col min="15891" max="15891" width="1.85546875" style="1177" customWidth="1"/>
    <col min="15892" max="15892" width="11.42578125" style="1177"/>
    <col min="15893" max="15893" width="3.28515625" style="1177" customWidth="1"/>
    <col min="15894" max="15894" width="7.85546875" style="1177" customWidth="1"/>
    <col min="15895" max="15895" width="52.28515625" style="1177" customWidth="1"/>
    <col min="15896" max="15896" width="13.28515625" style="1177" customWidth="1"/>
    <col min="15897" max="15897" width="14.7109375" style="1177" customWidth="1"/>
    <col min="15898" max="15898" width="11" style="1177" customWidth="1"/>
    <col min="15899" max="15906" width="10.140625" style="1177" customWidth="1"/>
    <col min="15907" max="15907" width="12.42578125" style="1177" customWidth="1"/>
    <col min="15908" max="15908" width="16.42578125" style="1177" customWidth="1"/>
    <col min="15909" max="15909" width="18.85546875" style="1177" customWidth="1"/>
    <col min="15910" max="15910" width="10.42578125" style="1177" customWidth="1"/>
    <col min="15911" max="15912" width="11.42578125" style="1177"/>
    <col min="15913" max="15913" width="18" style="1177" customWidth="1"/>
    <col min="15914" max="15915" width="11.42578125" style="1177"/>
    <col min="15916" max="15916" width="8" style="1177" customWidth="1"/>
    <col min="15917" max="15917" width="11.42578125" style="1177"/>
    <col min="15918" max="15918" width="20.85546875" style="1177" customWidth="1"/>
    <col min="15919" max="15919" width="11.42578125" style="1177"/>
    <col min="15920" max="15920" width="36.7109375" style="1177" customWidth="1"/>
    <col min="15921" max="16128" width="11.42578125" style="1177"/>
    <col min="16129" max="16129" width="3.28515625" style="1177" customWidth="1"/>
    <col min="16130" max="16130" width="6.85546875" style="1177" customWidth="1"/>
    <col min="16131" max="16131" width="46.5703125" style="1177" customWidth="1"/>
    <col min="16132" max="16132" width="13.28515625" style="1177" customWidth="1"/>
    <col min="16133" max="16133" width="13" style="1177" customWidth="1"/>
    <col min="16134" max="16143" width="12.42578125" style="1177" customWidth="1"/>
    <col min="16144" max="16144" width="14.5703125" style="1177" customWidth="1"/>
    <col min="16145" max="16145" width="10" style="1177" customWidth="1"/>
    <col min="16146" max="16146" width="11.7109375" style="1177" customWidth="1"/>
    <col min="16147" max="16147" width="1.85546875" style="1177" customWidth="1"/>
    <col min="16148" max="16148" width="11.42578125" style="1177"/>
    <col min="16149" max="16149" width="3.28515625" style="1177" customWidth="1"/>
    <col min="16150" max="16150" width="7.85546875" style="1177" customWidth="1"/>
    <col min="16151" max="16151" width="52.28515625" style="1177" customWidth="1"/>
    <col min="16152" max="16152" width="13.28515625" style="1177" customWidth="1"/>
    <col min="16153" max="16153" width="14.7109375" style="1177" customWidth="1"/>
    <col min="16154" max="16154" width="11" style="1177" customWidth="1"/>
    <col min="16155" max="16162" width="10.140625" style="1177" customWidth="1"/>
    <col min="16163" max="16163" width="12.42578125" style="1177" customWidth="1"/>
    <col min="16164" max="16164" width="16.42578125" style="1177" customWidth="1"/>
    <col min="16165" max="16165" width="18.85546875" style="1177" customWidth="1"/>
    <col min="16166" max="16166" width="10.42578125" style="1177" customWidth="1"/>
    <col min="16167" max="16168" width="11.42578125" style="1177"/>
    <col min="16169" max="16169" width="18" style="1177" customWidth="1"/>
    <col min="16170" max="16171" width="11.42578125" style="1177"/>
    <col min="16172" max="16172" width="8" style="1177" customWidth="1"/>
    <col min="16173" max="16173" width="11.42578125" style="1177"/>
    <col min="16174" max="16174" width="20.85546875" style="1177" customWidth="1"/>
    <col min="16175" max="16175" width="11.42578125" style="1177"/>
    <col min="16176" max="16176" width="36.7109375" style="1177" customWidth="1"/>
    <col min="16177" max="16384" width="11.42578125" style="1177"/>
  </cols>
  <sheetData>
    <row r="1" spans="1:59" ht="15.75" thickBot="1">
      <c r="A1" s="1176"/>
      <c r="B1" s="1176"/>
      <c r="C1" s="1176" t="str">
        <f>MID(ADDRESS(1,COLUMN()),2,FIND("",MID(ADDRESS(1,COLUMN()),2,99))-1)</f>
        <v/>
      </c>
      <c r="D1" s="1176"/>
      <c r="E1" s="1176"/>
      <c r="F1" s="1176">
        <v>0</v>
      </c>
      <c r="G1" s="1176"/>
      <c r="H1" s="1176"/>
      <c r="I1" s="1176"/>
      <c r="J1" s="1176"/>
      <c r="K1" s="1176"/>
      <c r="L1" s="1176"/>
      <c r="M1" s="1176"/>
      <c r="N1" s="1176"/>
      <c r="O1" s="1176"/>
      <c r="P1" s="1176">
        <v>0</v>
      </c>
      <c r="Q1" s="1176"/>
      <c r="R1" s="1176">
        <v>0</v>
      </c>
      <c r="U1" s="1176"/>
      <c r="V1" s="1176"/>
      <c r="W1" s="1176" t="str">
        <f>MID(ADDRESS(1,COLUMN()),2,FIND("",MID(ADDRESS(1,COLUMN()),2,99))-1)</f>
        <v/>
      </c>
      <c r="X1" s="1176"/>
      <c r="Y1" s="1176">
        <v>0</v>
      </c>
      <c r="Z1" s="1176">
        <v>0</v>
      </c>
      <c r="AA1" s="1176"/>
      <c r="AB1" s="1176"/>
      <c r="AC1" s="1176"/>
      <c r="AD1" s="1176"/>
      <c r="AE1" s="1176"/>
      <c r="AF1" s="1176"/>
      <c r="AG1" s="1176"/>
      <c r="AH1" s="1176"/>
      <c r="AI1" s="1176"/>
      <c r="AK1" s="1179"/>
    </row>
    <row r="2" spans="1:59" ht="29.25" customHeight="1">
      <c r="A2" s="1181"/>
      <c r="B2" s="1182"/>
      <c r="C2" s="1183" t="str">
        <f>W2</f>
        <v>FF.8.B.Restauration, mis à jour le 13/08/2020 </v>
      </c>
      <c r="D2" s="1184"/>
      <c r="E2" s="1184"/>
      <c r="F2" s="1184"/>
      <c r="G2" s="1184"/>
      <c r="H2" s="1184"/>
      <c r="I2" s="1184"/>
      <c r="J2" s="1184"/>
      <c r="K2" s="1184"/>
      <c r="L2" s="1184"/>
      <c r="M2" s="3437" t="s">
        <v>103</v>
      </c>
      <c r="N2" s="3438"/>
      <c r="O2" s="3439"/>
      <c r="P2" s="3440" t="s">
        <v>104</v>
      </c>
      <c r="Q2" s="3441"/>
      <c r="R2" s="3609">
        <f>P3</f>
        <v>7</v>
      </c>
      <c r="U2" s="1181"/>
      <c r="V2" s="1182"/>
      <c r="W2" s="1420" t="s">
        <v>2871</v>
      </c>
      <c r="X2" s="1184"/>
      <c r="Y2" s="1184"/>
      <c r="Z2" s="3473" t="s">
        <v>148</v>
      </c>
      <c r="AA2" s="3473"/>
      <c r="AB2" s="3473"/>
      <c r="AC2" s="3473"/>
      <c r="AD2" s="3473"/>
      <c r="AE2" s="3473"/>
      <c r="AF2" s="3473"/>
      <c r="AG2" s="3473"/>
      <c r="AH2" s="3440" t="s">
        <v>104</v>
      </c>
      <c r="AI2" s="3474"/>
      <c r="AJ2" s="1185"/>
      <c r="AK2" s="1185"/>
      <c r="AL2" s="3384" t="s">
        <v>205</v>
      </c>
      <c r="AM2" s="3385"/>
      <c r="AN2" s="3385"/>
      <c r="AO2" s="3385"/>
      <c r="AP2" s="3385"/>
      <c r="AQ2" s="3385"/>
      <c r="AR2" s="3385"/>
      <c r="AS2" s="3385"/>
      <c r="AT2" s="3385"/>
      <c r="AU2" s="3385"/>
      <c r="AV2" s="3385"/>
      <c r="AW2" s="3385"/>
      <c r="AX2" s="3385"/>
      <c r="AY2" s="3385"/>
      <c r="AZ2" s="3385"/>
      <c r="BA2" s="3385"/>
      <c r="BB2" s="3385"/>
      <c r="BC2" s="3385"/>
      <c r="BD2" s="3385"/>
      <c r="BE2" s="3386"/>
    </row>
    <row r="3" spans="1:59" ht="42.75" customHeight="1" thickBot="1">
      <c r="A3" s="1186"/>
      <c r="B3" s="1187"/>
      <c r="C3" s="3444" t="str">
        <f>W3</f>
        <v>TERRINE DE LANGOUSTINE AUX TOMATES CONFITES</v>
      </c>
      <c r="D3" s="3444"/>
      <c r="E3" s="3444"/>
      <c r="F3" s="3444"/>
      <c r="G3" s="3444"/>
      <c r="H3" s="3444"/>
      <c r="I3" s="3444"/>
      <c r="J3" s="3444"/>
      <c r="K3" s="3444"/>
      <c r="L3" s="3445"/>
      <c r="M3" s="3475">
        <f ca="1">NOW()</f>
        <v>44545.461550462962</v>
      </c>
      <c r="N3" s="3476"/>
      <c r="O3" s="3477"/>
      <c r="P3" s="3449">
        <f>AH3</f>
        <v>7</v>
      </c>
      <c r="Q3" s="3450"/>
      <c r="R3" s="3610"/>
      <c r="U3" s="1186"/>
      <c r="V3" s="1188" t="s">
        <v>22</v>
      </c>
      <c r="W3" s="3478" t="s">
        <v>206</v>
      </c>
      <c r="X3" s="3478"/>
      <c r="Y3" s="3478"/>
      <c r="Z3" s="3478"/>
      <c r="AA3" s="3478"/>
      <c r="AB3" s="3478"/>
      <c r="AC3" s="3478"/>
      <c r="AD3" s="3478"/>
      <c r="AE3" s="3478"/>
      <c r="AF3" s="3478"/>
      <c r="AG3" s="3478"/>
      <c r="AH3" s="3479">
        <v>7</v>
      </c>
      <c r="AI3" s="3480"/>
      <c r="AJ3" s="1185"/>
      <c r="AK3" s="1185"/>
      <c r="AL3" s="3387" t="s">
        <v>7</v>
      </c>
      <c r="AM3" s="3388"/>
      <c r="AN3" s="3388"/>
      <c r="AO3" s="3388"/>
      <c r="AP3" s="3388"/>
      <c r="AQ3" s="3388"/>
      <c r="AR3" s="3388"/>
      <c r="AS3" s="3388"/>
      <c r="AT3" s="3388"/>
      <c r="AU3" s="3388"/>
      <c r="AV3" s="3388"/>
      <c r="AW3" s="3388"/>
      <c r="AX3" s="3388"/>
      <c r="AY3" s="3388"/>
      <c r="AZ3" s="3388"/>
      <c r="BA3" s="3388"/>
      <c r="BB3" s="3388"/>
      <c r="BC3" s="3388"/>
      <c r="BD3" s="3388"/>
      <c r="BE3" s="3389"/>
    </row>
    <row r="4" spans="1:59" ht="33.75" customHeight="1">
      <c r="A4" s="1189"/>
      <c r="B4" s="1190"/>
      <c r="C4" s="1191" t="str">
        <f ca="1">MID(CELL("filename",C4),FIND("[",CELL("filename",C4)),300)</f>
        <v>[ff-8-restauration-Christian.Frechede.xlsx]FF.8.B.Terrine de langoustine</v>
      </c>
      <c r="D4" s="1192"/>
      <c r="E4" s="3481" t="s">
        <v>106</v>
      </c>
      <c r="F4" s="3481"/>
      <c r="G4" s="3481"/>
      <c r="H4" s="3481"/>
      <c r="I4" s="3481"/>
      <c r="J4" s="1193" t="s">
        <v>107</v>
      </c>
      <c r="K4" s="1194"/>
      <c r="L4" s="1195"/>
      <c r="M4" s="3454">
        <f ca="1">NOW()</f>
        <v>44545.461550462962</v>
      </c>
      <c r="N4" s="3447"/>
      <c r="O4" s="3448"/>
      <c r="P4" s="3449"/>
      <c r="Q4" s="3449"/>
      <c r="R4" s="3421" t="str">
        <f>C3</f>
        <v>TERRINE DE LANGOUSTINE AUX TOMATES CONFITES</v>
      </c>
      <c r="U4" s="1189"/>
      <c r="V4" s="1190"/>
      <c r="W4" s="1191" t="str">
        <f ca="1">MID(CELL("filename",W4),FIND("[",CELL("filename",W4)),300)</f>
        <v>[ff-8-restauration-Christian.Frechede.xlsx]FF.8.B.Terrine de langoustine</v>
      </c>
      <c r="X4" s="1192"/>
      <c r="Y4" s="1196"/>
      <c r="Z4" s="3451" t="s">
        <v>108</v>
      </c>
      <c r="AA4" s="3451"/>
      <c r="AB4" s="3451"/>
      <c r="AC4" s="3451"/>
      <c r="AD4" s="3451"/>
      <c r="AE4" s="3451"/>
      <c r="AF4" s="3451"/>
      <c r="AG4" s="3451"/>
      <c r="AH4" s="3479"/>
      <c r="AI4" s="3480"/>
      <c r="AJ4" s="1185"/>
      <c r="AK4" s="1179"/>
      <c r="AL4" s="1197" t="s">
        <v>8</v>
      </c>
      <c r="AM4" s="1198" t="s">
        <v>9</v>
      </c>
      <c r="AN4" s="1199"/>
      <c r="AO4" s="1199"/>
      <c r="AP4" s="1199"/>
      <c r="AQ4" s="1199"/>
      <c r="AR4" s="1199"/>
      <c r="AS4" s="1199"/>
      <c r="AT4" s="1185"/>
      <c r="AU4" s="1185"/>
      <c r="AV4" s="1185"/>
      <c r="AW4" s="1200"/>
      <c r="AX4" s="1200"/>
      <c r="AY4" s="1200"/>
      <c r="AZ4" s="1200"/>
      <c r="BA4" s="1201"/>
      <c r="BB4" s="1202"/>
      <c r="BC4" s="1202"/>
      <c r="BD4" s="1202"/>
      <c r="BE4" s="1202"/>
    </row>
    <row r="5" spans="1:59" ht="40.5" customHeight="1">
      <c r="A5" s="1203"/>
      <c r="B5" s="1204"/>
      <c r="C5" s="1205" t="s">
        <v>109</v>
      </c>
      <c r="D5" s="1206" t="s">
        <v>78</v>
      </c>
      <c r="E5" s="3482" t="str">
        <f>Z5</f>
        <v>langoustines</v>
      </c>
      <c r="F5" s="3483"/>
      <c r="G5" s="3482" t="str">
        <f>AB5</f>
        <v>tomates confites</v>
      </c>
      <c r="H5" s="3483"/>
      <c r="I5" s="3482" t="str">
        <f>AD5</f>
        <v>chemisage</v>
      </c>
      <c r="J5" s="3483"/>
      <c r="K5" s="3482" t="str">
        <f>AF5</f>
        <v>casserons</v>
      </c>
      <c r="L5" s="3483"/>
      <c r="M5" s="3482" t="str">
        <f>AH5</f>
        <v>finition</v>
      </c>
      <c r="N5" s="3484"/>
      <c r="O5" s="3485" t="s">
        <v>110</v>
      </c>
      <c r="P5" s="3486"/>
      <c r="Q5" s="3487"/>
      <c r="R5" s="3421"/>
      <c r="U5" s="1203"/>
      <c r="V5" s="1207"/>
      <c r="W5" s="1208" t="s">
        <v>77</v>
      </c>
      <c r="X5" s="1209" t="s">
        <v>78</v>
      </c>
      <c r="Y5" s="1210" t="s">
        <v>79</v>
      </c>
      <c r="Z5" s="3514" t="s">
        <v>44</v>
      </c>
      <c r="AA5" s="3513"/>
      <c r="AB5" s="3514" t="s">
        <v>45</v>
      </c>
      <c r="AC5" s="3513"/>
      <c r="AD5" s="3506" t="s">
        <v>46</v>
      </c>
      <c r="AE5" s="3513"/>
      <c r="AF5" s="3506" t="s">
        <v>47</v>
      </c>
      <c r="AG5" s="3513"/>
      <c r="AH5" s="3506" t="s">
        <v>48</v>
      </c>
      <c r="AI5" s="3507"/>
      <c r="AJ5" s="1185"/>
      <c r="AK5" s="1179"/>
      <c r="AL5" s="1199"/>
      <c r="AM5" s="1211"/>
      <c r="AN5" s="1199"/>
      <c r="AO5" s="1199"/>
      <c r="AP5" s="1199"/>
      <c r="AQ5" s="1199"/>
      <c r="AR5" s="1199"/>
      <c r="AS5" s="1199"/>
      <c r="AT5" s="1199"/>
      <c r="AU5" s="1199"/>
      <c r="AV5" s="1199"/>
      <c r="AW5" s="1200"/>
      <c r="AX5" s="1200"/>
      <c r="AY5" s="1200"/>
      <c r="AZ5" s="1200"/>
      <c r="BA5" s="1201"/>
      <c r="BB5" s="1202"/>
      <c r="BC5" s="1202"/>
      <c r="BD5" s="1202"/>
      <c r="BE5" s="1202"/>
    </row>
    <row r="6" spans="1:59" ht="33.75" customHeight="1">
      <c r="A6" s="1212"/>
      <c r="B6" s="1213"/>
      <c r="C6" s="1214" t="s">
        <v>113</v>
      </c>
      <c r="D6" s="1215" t="s">
        <v>22</v>
      </c>
      <c r="E6" s="1216">
        <f>Z6</f>
        <v>20</v>
      </c>
      <c r="F6" s="1217" t="s">
        <v>114</v>
      </c>
      <c r="G6" s="1216">
        <f>AB6</f>
        <v>20</v>
      </c>
      <c r="H6" s="1217" t="s">
        <v>114</v>
      </c>
      <c r="I6" s="1216">
        <f>AD6</f>
        <v>20</v>
      </c>
      <c r="J6" s="1217" t="s">
        <v>114</v>
      </c>
      <c r="K6" s="1216">
        <f>AF6</f>
        <v>20</v>
      </c>
      <c r="L6" s="1217" t="s">
        <v>114</v>
      </c>
      <c r="M6" s="1216">
        <f>AH6</f>
        <v>20</v>
      </c>
      <c r="N6" s="1217" t="s">
        <v>114</v>
      </c>
      <c r="O6" s="1218"/>
      <c r="P6" s="1219" t="s">
        <v>115</v>
      </c>
      <c r="Q6" s="1220">
        <f>F60+H60+J60+L60+N60</f>
        <v>4.4519859999999998</v>
      </c>
      <c r="R6" s="3421"/>
      <c r="U6" s="1212"/>
      <c r="V6" s="1221"/>
      <c r="W6" s="1222"/>
      <c r="X6" s="1223" t="s">
        <v>67</v>
      </c>
      <c r="Y6" s="1224" t="s">
        <v>22</v>
      </c>
      <c r="Z6" s="3462">
        <v>20</v>
      </c>
      <c r="AA6" s="3463"/>
      <c r="AB6" s="3462">
        <v>20</v>
      </c>
      <c r="AC6" s="3463"/>
      <c r="AD6" s="3462">
        <v>20</v>
      </c>
      <c r="AE6" s="3463"/>
      <c r="AF6" s="3462">
        <v>20</v>
      </c>
      <c r="AG6" s="3463"/>
      <c r="AH6" s="3462">
        <v>20</v>
      </c>
      <c r="AI6" s="3464"/>
      <c r="AJ6" s="1185"/>
      <c r="AK6" s="1179"/>
      <c r="AL6" s="1199"/>
      <c r="AM6" s="1211"/>
      <c r="AN6" s="1211" t="s">
        <v>10</v>
      </c>
      <c r="AO6" s="1199"/>
      <c r="AP6" s="1199"/>
      <c r="AQ6" s="1199"/>
      <c r="AR6" s="1199"/>
      <c r="AS6" s="1199"/>
      <c r="AT6" s="1199"/>
      <c r="AU6" s="1199"/>
      <c r="AV6" s="1199"/>
      <c r="AW6" s="1200"/>
      <c r="AX6" s="1200"/>
      <c r="AY6" s="1200"/>
      <c r="AZ6" s="1200"/>
      <c r="BA6" s="1201"/>
      <c r="BB6" s="1202"/>
      <c r="BC6" s="1202"/>
      <c r="BD6" s="1202"/>
      <c r="BE6" s="1202"/>
    </row>
    <row r="7" spans="1:59" ht="30" customHeight="1">
      <c r="A7" s="1225"/>
      <c r="B7" s="1226"/>
      <c r="C7" s="1227"/>
      <c r="D7" s="1228"/>
      <c r="E7" s="1229" t="s">
        <v>116</v>
      </c>
      <c r="F7" s="1230" t="s">
        <v>117</v>
      </c>
      <c r="G7" s="1229" t="s">
        <v>116</v>
      </c>
      <c r="H7" s="1230" t="s">
        <v>117</v>
      </c>
      <c r="I7" s="1229" t="s">
        <v>116</v>
      </c>
      <c r="J7" s="1230" t="s">
        <v>117</v>
      </c>
      <c r="K7" s="1229" t="s">
        <v>116</v>
      </c>
      <c r="L7" s="1230" t="s">
        <v>117</v>
      </c>
      <c r="M7" s="1229" t="s">
        <v>116</v>
      </c>
      <c r="N7" s="1230" t="s">
        <v>117</v>
      </c>
      <c r="O7" s="1231" t="s">
        <v>110</v>
      </c>
      <c r="P7" s="1232" t="s">
        <v>118</v>
      </c>
      <c r="Q7" s="1233" t="s">
        <v>119</v>
      </c>
      <c r="R7" s="3421"/>
      <c r="U7" s="1225"/>
      <c r="V7" s="1234"/>
      <c r="W7" s="1235"/>
      <c r="X7" s="1236" t="s">
        <v>57</v>
      </c>
      <c r="Y7" s="1237" t="s">
        <v>22</v>
      </c>
      <c r="Z7" s="1238">
        <v>10</v>
      </c>
      <c r="AA7" s="1239" t="s">
        <v>58</v>
      </c>
      <c r="AB7" s="1240">
        <v>10</v>
      </c>
      <c r="AC7" s="1239" t="s">
        <v>58</v>
      </c>
      <c r="AD7" s="1240">
        <v>10</v>
      </c>
      <c r="AE7" s="1239" t="s">
        <v>58</v>
      </c>
      <c r="AF7" s="1240">
        <v>10</v>
      </c>
      <c r="AG7" s="1239" t="s">
        <v>58</v>
      </c>
      <c r="AH7" s="1240">
        <v>10</v>
      </c>
      <c r="AI7" s="1241" t="s">
        <v>58</v>
      </c>
      <c r="AJ7" s="1179"/>
      <c r="AK7" s="1185"/>
      <c r="AL7" s="1242"/>
      <c r="AM7" s="3390" t="s">
        <v>11</v>
      </c>
      <c r="AN7" s="3390"/>
      <c r="AO7" s="3390"/>
      <c r="AP7" s="1197" t="s">
        <v>12</v>
      </c>
      <c r="AQ7" s="1242"/>
      <c r="AR7" s="1242"/>
      <c r="AS7" s="1242"/>
      <c r="AT7" s="1242"/>
      <c r="AU7" s="1242"/>
      <c r="AV7" s="1242"/>
      <c r="AW7" s="13"/>
      <c r="AX7" s="13"/>
      <c r="AY7" s="13"/>
      <c r="AZ7" s="1243"/>
      <c r="BA7" s="1201"/>
      <c r="BB7" s="1202"/>
      <c r="BC7" s="1202"/>
      <c r="BD7" s="1202"/>
      <c r="BE7" s="1202"/>
    </row>
    <row r="8" spans="1:59" ht="23.25">
      <c r="A8" s="1244"/>
      <c r="B8" s="1245"/>
      <c r="C8" s="1246">
        <f t="shared" ref="C8:C50" si="0">W8</f>
        <v>0</v>
      </c>
      <c r="D8" s="1247">
        <f t="shared" ref="D8:D50" si="1">X8</f>
        <v>0</v>
      </c>
      <c r="E8" s="1248">
        <f>IF(ISTEXT(Z8),Z8,(Z8/Z7)*E6)</f>
        <v>0</v>
      </c>
      <c r="F8" s="1249">
        <f t="shared" ref="F8:F39" si="2">IF(ISTEXT(E8),0,E8*Y8)</f>
        <v>0</v>
      </c>
      <c r="G8" s="1248">
        <f>IF(ISTEXT(AB8),AB8,(AB8/AB7)*G6)</f>
        <v>0</v>
      </c>
      <c r="H8" s="1249">
        <f t="shared" ref="H8:H39" si="3">IF(ISTEXT(G8),0,G8*Y8)</f>
        <v>0</v>
      </c>
      <c r="I8" s="1248">
        <f>IF(ISTEXT(AD8),AD8,(AD8/AD7)*I6)</f>
        <v>0</v>
      </c>
      <c r="J8" s="1249">
        <f t="shared" ref="J8:J39" si="4">IF(ISTEXT(I8),0,I8*Y8)</f>
        <v>0</v>
      </c>
      <c r="K8" s="1248">
        <f>IF(ISTEXT(AF8),AF8,(AF8/AF7)*K6)</f>
        <v>0</v>
      </c>
      <c r="L8" s="1249">
        <f t="shared" ref="L8:L39" si="5">IF(ISTEXT(K8),0,K8*Y8)</f>
        <v>0</v>
      </c>
      <c r="M8" s="1248">
        <f>IF(ISTEXT(AH8),AH8,(AH8/AH7)*M6)</f>
        <v>0</v>
      </c>
      <c r="N8" s="1249">
        <f t="shared" ref="N8:N39" si="6">IF(ISTEXT(M8),0,M8*Y8)</f>
        <v>0</v>
      </c>
      <c r="O8" s="1250">
        <f t="shared" ref="O8:O27" si="7">SUM(E8,G8,I8,K8,M8)</f>
        <v>0</v>
      </c>
      <c r="P8" s="1251">
        <f t="shared" ref="P8:P39" si="8">O8*Y8</f>
        <v>0</v>
      </c>
      <c r="Q8" s="1252">
        <f>IF(ISTEXT(P8),0,IF(P58=0,0,P8/P58))</f>
        <v>0</v>
      </c>
      <c r="R8" s="3421"/>
      <c r="U8" s="1244"/>
      <c r="V8" s="1253"/>
      <c r="W8" s="1254"/>
      <c r="X8" s="1255"/>
      <c r="Y8" s="1256"/>
      <c r="Z8" s="1257"/>
      <c r="AA8" s="1258">
        <f>IF(ISTEXT(Z8),0,IF(Z58=0,0,Z8/Z58))</f>
        <v>0</v>
      </c>
      <c r="AB8" s="1257"/>
      <c r="AC8" s="1258">
        <f>IF(ISTEXT(AB8),0,IF(AB58=0,0,AB8/AB58))</f>
        <v>0</v>
      </c>
      <c r="AD8" s="1257"/>
      <c r="AE8" s="1258">
        <f>IF(ISTEXT(AD8),0,IF(AD58=0,0,AD8/AD58))</f>
        <v>0</v>
      </c>
      <c r="AF8" s="1257"/>
      <c r="AG8" s="1258">
        <f>IF(ISTEXT(AF8),0,IF(AF58=0,0,AF8/AF58))</f>
        <v>0</v>
      </c>
      <c r="AH8" s="1257"/>
      <c r="AI8" s="1259">
        <f>IF(ISTEXT(AH8),0,IF(AH58=0,0,AH8/AH58))</f>
        <v>0</v>
      </c>
      <c r="AJ8" s="1185"/>
      <c r="AK8" s="1185"/>
      <c r="AL8" s="1242"/>
      <c r="AM8" s="3390" t="s">
        <v>13</v>
      </c>
      <c r="AN8" s="3390"/>
      <c r="AO8" s="3390"/>
      <c r="AP8" s="1243" t="s">
        <v>14</v>
      </c>
      <c r="AQ8" s="1242"/>
      <c r="AR8" s="1242"/>
      <c r="AS8" s="1242"/>
      <c r="AT8" s="1242"/>
      <c r="AU8" s="1242"/>
      <c r="AV8" s="1242"/>
      <c r="AW8" s="13"/>
      <c r="AX8" s="13"/>
      <c r="AY8" s="13"/>
      <c r="AZ8" s="13"/>
      <c r="BA8" s="1201"/>
      <c r="BB8" s="1202"/>
      <c r="BC8" s="1202"/>
      <c r="BD8" s="1202"/>
      <c r="BE8" s="1202"/>
    </row>
    <row r="9" spans="1:59" ht="26.25" customHeight="1">
      <c r="A9" s="1244"/>
      <c r="B9" s="1260"/>
      <c r="C9" s="1261" t="str">
        <f t="shared" si="0"/>
        <v>Viandes/Poissons</v>
      </c>
      <c r="D9" s="1247">
        <f t="shared" si="1"/>
        <v>0</v>
      </c>
      <c r="E9" s="1248">
        <f>IF(ISTEXT(Z9),Z9,(Z9/Z7)*E6)</f>
        <v>0</v>
      </c>
      <c r="F9" s="1249">
        <f t="shared" si="2"/>
        <v>0</v>
      </c>
      <c r="G9" s="1248">
        <f>IF(ISTEXT(AB9),AB9,(AB9/AB7)*G6)</f>
        <v>0</v>
      </c>
      <c r="H9" s="1249">
        <f t="shared" si="3"/>
        <v>0</v>
      </c>
      <c r="I9" s="1248">
        <f>IF(ISTEXT(AD9),AD9,(AD9/AD7)*I6)</f>
        <v>0</v>
      </c>
      <c r="J9" s="1249">
        <f t="shared" si="4"/>
        <v>0</v>
      </c>
      <c r="K9" s="1248">
        <f>IF(ISTEXT(AF9),AF9,(AF9/AF7)*K6)</f>
        <v>0</v>
      </c>
      <c r="L9" s="1249">
        <f t="shared" si="5"/>
        <v>0</v>
      </c>
      <c r="M9" s="1248">
        <f>IF(ISTEXT(AH9),AH9,(AH9/AH7)*M6)</f>
        <v>0</v>
      </c>
      <c r="N9" s="1249">
        <f t="shared" si="6"/>
        <v>0</v>
      </c>
      <c r="O9" s="1250">
        <f t="shared" si="7"/>
        <v>0</v>
      </c>
      <c r="P9" s="1251">
        <f t="shared" si="8"/>
        <v>0</v>
      </c>
      <c r="Q9" s="1252">
        <f>IF(ISTEXT(P9),0,IF(P58=0,0,P9/P58))</f>
        <v>0</v>
      </c>
      <c r="R9" s="3421"/>
      <c r="U9" s="1244"/>
      <c r="V9" s="1262"/>
      <c r="W9" s="1263" t="s">
        <v>120</v>
      </c>
      <c r="X9" s="1264"/>
      <c r="Y9" s="1265">
        <v>1</v>
      </c>
      <c r="Z9" s="1257"/>
      <c r="AA9" s="1258">
        <f>IF(ISTEXT(Z9),0,IF(Z58=0,0,Z9/Z58))</f>
        <v>0</v>
      </c>
      <c r="AB9" s="1257"/>
      <c r="AC9" s="1258">
        <f>IF(ISTEXT(AB9),0,IF(AB58=0,0,AB9/AB58))</f>
        <v>0</v>
      </c>
      <c r="AD9" s="1257"/>
      <c r="AE9" s="1258">
        <f>IF(ISTEXT(AD9),0,IF(AD58=0,0,AD9/AD58))</f>
        <v>0</v>
      </c>
      <c r="AF9" s="1257"/>
      <c r="AG9" s="1258">
        <f>IF(ISTEXT(AF9),0,IF(AF58=0,0,AF9/AF58))</f>
        <v>0</v>
      </c>
      <c r="AH9" s="1257"/>
      <c r="AI9" s="1259">
        <f>IF(ISTEXT(AH9),0,IF(AH58=0,0,AH9/AH58))</f>
        <v>0</v>
      </c>
      <c r="AJ9" s="1185"/>
      <c r="AK9" s="1185"/>
      <c r="AL9" s="1242"/>
      <c r="AM9" s="3390" t="s">
        <v>15</v>
      </c>
      <c r="AN9" s="3390"/>
      <c r="AO9" s="3390"/>
      <c r="AP9" s="1197" t="s">
        <v>16</v>
      </c>
      <c r="AQ9" s="1242"/>
      <c r="AR9" s="1242"/>
      <c r="AS9" s="1242"/>
      <c r="AT9" s="1242"/>
      <c r="AU9" s="1242"/>
      <c r="AV9" s="1242"/>
      <c r="AW9" s="13"/>
      <c r="AX9" s="13"/>
      <c r="AY9" s="13"/>
      <c r="AZ9" s="13"/>
      <c r="BA9" s="1201"/>
      <c r="BB9" s="1202"/>
      <c r="BC9" s="1202"/>
      <c r="BD9" s="1202"/>
      <c r="BE9" s="1202"/>
    </row>
    <row r="10" spans="1:59" ht="23.25">
      <c r="A10" s="1244"/>
      <c r="B10" s="1245"/>
      <c r="C10" s="1266" t="str">
        <f t="shared" si="0"/>
        <v>langoustines moyennes</v>
      </c>
      <c r="D10" s="1267" t="str">
        <f t="shared" si="1"/>
        <v>Kg</v>
      </c>
      <c r="E10" s="1248">
        <f>IF(ISTEXT(Z10),Z10,(Z10/Z7)*E6)</f>
        <v>4</v>
      </c>
      <c r="F10" s="1249">
        <f t="shared" si="2"/>
        <v>67.2</v>
      </c>
      <c r="G10" s="1248">
        <f>IF(ISTEXT(AB10),AB10,(AB10/AB7)*G6)</f>
        <v>0</v>
      </c>
      <c r="H10" s="1249">
        <f t="shared" si="3"/>
        <v>0</v>
      </c>
      <c r="I10" s="1248">
        <f>IF(ISTEXT(AD10),AD10,(AD10/AD7)*I6)</f>
        <v>0</v>
      </c>
      <c r="J10" s="1249">
        <f t="shared" si="4"/>
        <v>0</v>
      </c>
      <c r="K10" s="1248">
        <f>IF(ISTEXT(AF10),AF10,(AF10/AF7)*K6)</f>
        <v>0</v>
      </c>
      <c r="L10" s="1249">
        <f t="shared" si="5"/>
        <v>0</v>
      </c>
      <c r="M10" s="1248">
        <f>IF(ISTEXT(AH10),AH10,(AH10/AH7)*M6)</f>
        <v>0</v>
      </c>
      <c r="N10" s="1249">
        <f t="shared" si="6"/>
        <v>0</v>
      </c>
      <c r="O10" s="1250">
        <f t="shared" si="7"/>
        <v>4</v>
      </c>
      <c r="P10" s="1251">
        <f t="shared" si="8"/>
        <v>67.2</v>
      </c>
      <c r="Q10" s="1252">
        <f>IF(ISTEXT(P10),0,IF(P58=0,0,P10/P58))</f>
        <v>0.75471935446337868</v>
      </c>
      <c r="R10" s="3421"/>
      <c r="U10" s="1244"/>
      <c r="V10" s="1268"/>
      <c r="W10" s="1269" t="s">
        <v>121</v>
      </c>
      <c r="X10" s="1270" t="s">
        <v>122</v>
      </c>
      <c r="Y10" s="1265">
        <v>16.8</v>
      </c>
      <c r="Z10" s="1257">
        <v>2</v>
      </c>
      <c r="AA10" s="1258">
        <f>IF(ISTEXT(Z10),0,IF(Z58=0,0,Z10/Z58))</f>
        <v>0.95238095238095233</v>
      </c>
      <c r="AB10" s="1257"/>
      <c r="AC10" s="1258">
        <f>IF(ISTEXT(AB10),0,IF(AB58=0,0,AB10/AB58))</f>
        <v>0</v>
      </c>
      <c r="AD10" s="1257"/>
      <c r="AE10" s="1258">
        <f>IF(ISTEXT(AD10),0,IF(AD58=0,0,AD10/AD58))</f>
        <v>0</v>
      </c>
      <c r="AF10" s="1257"/>
      <c r="AG10" s="1258">
        <f>IF(ISTEXT(AF10),0,IF(AF58=0,0,AF10/AF58))</f>
        <v>0</v>
      </c>
      <c r="AH10" s="1257"/>
      <c r="AI10" s="1259">
        <f>IF(ISTEXT(AH10),0,IF(AH58=0,0,AH10/AH58))</f>
        <v>0</v>
      </c>
      <c r="AJ10" s="1185"/>
      <c r="AK10" s="1185"/>
      <c r="AL10" s="1242"/>
      <c r="AM10" s="1242"/>
      <c r="AN10" s="1271"/>
      <c r="AO10" s="1197"/>
      <c r="AP10" s="1242"/>
      <c r="AQ10" s="1242"/>
      <c r="AR10" s="1242"/>
      <c r="AS10" s="1242"/>
      <c r="AT10" s="1242"/>
      <c r="AU10" s="1242"/>
      <c r="AV10" s="1242"/>
      <c r="AW10" s="13"/>
      <c r="AX10" s="13"/>
      <c r="AY10" s="13"/>
      <c r="AZ10" s="13"/>
      <c r="BA10" s="1201"/>
      <c r="BB10" s="1202"/>
      <c r="BC10" s="1202"/>
      <c r="BD10" s="1202"/>
      <c r="BE10" s="1202"/>
    </row>
    <row r="11" spans="1:59" ht="46.5">
      <c r="A11" s="1244"/>
      <c r="B11" s="1245"/>
      <c r="C11" s="1266" t="str">
        <f t="shared" si="0"/>
        <v>casserons</v>
      </c>
      <c r="D11" s="1267" t="str">
        <f t="shared" si="1"/>
        <v>Kg</v>
      </c>
      <c r="E11" s="1248">
        <f>IF(ISTEXT(Z11),Z11,(Z11/Z7)*E6)</f>
        <v>0</v>
      </c>
      <c r="F11" s="1249">
        <f t="shared" si="2"/>
        <v>0</v>
      </c>
      <c r="G11" s="1248">
        <f>IF(ISTEXT(AB11),AB11,(AB11/AB7)*G6)</f>
        <v>0</v>
      </c>
      <c r="H11" s="1249">
        <f t="shared" si="3"/>
        <v>0</v>
      </c>
      <c r="I11" s="1248">
        <f>IF(ISTEXT(AD11),AD11,(AD11/AD7)*I6)</f>
        <v>0</v>
      </c>
      <c r="J11" s="1249">
        <f t="shared" si="4"/>
        <v>0</v>
      </c>
      <c r="K11" s="1248">
        <f>IF(ISTEXT(AF11),AF11,(AF11/AF7)*K6)</f>
        <v>1.4</v>
      </c>
      <c r="L11" s="1249">
        <f t="shared" si="5"/>
        <v>9.1</v>
      </c>
      <c r="M11" s="1248">
        <f>IF(ISTEXT(AH11),AH11,(AH11/AH7)*M6)</f>
        <v>0</v>
      </c>
      <c r="N11" s="1249">
        <f t="shared" si="6"/>
        <v>0</v>
      </c>
      <c r="O11" s="1250">
        <f t="shared" si="7"/>
        <v>1.4</v>
      </c>
      <c r="P11" s="1251">
        <f t="shared" si="8"/>
        <v>9.1</v>
      </c>
      <c r="Q11" s="1252">
        <f>IF(ISTEXT(P11),0,IF(P58=0,0,P11/P58))</f>
        <v>0.1022015792502492</v>
      </c>
      <c r="R11" s="3421"/>
      <c r="U11" s="1244"/>
      <c r="V11" s="1268"/>
      <c r="W11" s="1269" t="s">
        <v>47</v>
      </c>
      <c r="X11" s="1270" t="s">
        <v>122</v>
      </c>
      <c r="Y11" s="1265">
        <v>6.5</v>
      </c>
      <c r="Z11" s="1257"/>
      <c r="AA11" s="1258">
        <f>IF(ISTEXT(Z11),0,IF(Z58=0,0,Z11/Z58))</f>
        <v>0</v>
      </c>
      <c r="AB11" s="1257"/>
      <c r="AC11" s="1258">
        <f>IF(ISTEXT(AB11),0,IF(AB58=0,0,AB11/AB58))</f>
        <v>0</v>
      </c>
      <c r="AD11" s="1257"/>
      <c r="AE11" s="1258">
        <f>IF(ISTEXT(AD11),0,IF(AD58=0,0,AD11/AD58))</f>
        <v>0</v>
      </c>
      <c r="AF11" s="1257">
        <v>0.7</v>
      </c>
      <c r="AG11" s="1258">
        <f>IF(ISTEXT(AF11),0,IF(AF58=0,0,AF11/AF58))</f>
        <v>0.84337349397590355</v>
      </c>
      <c r="AH11" s="1257"/>
      <c r="AI11" s="1259">
        <f>IF(ISTEXT(AH11),0,IF(AH58=0,0,AH11/AH58))</f>
        <v>0</v>
      </c>
      <c r="AJ11" s="1185"/>
      <c r="AK11" s="1185"/>
      <c r="AL11" s="3380" t="s">
        <v>2830</v>
      </c>
      <c r="AM11" s="3381"/>
      <c r="AN11" s="3381"/>
      <c r="AO11" s="3381"/>
      <c r="AP11" s="3381"/>
      <c r="AQ11" s="3381"/>
      <c r="AR11" s="3381"/>
      <c r="AS11" s="3381"/>
      <c r="AT11" s="3381"/>
      <c r="AU11" s="3381"/>
      <c r="AV11" s="3381"/>
      <c r="AW11" s="3381"/>
      <c r="AX11" s="3381"/>
      <c r="AY11" s="3381"/>
      <c r="AZ11" s="3381"/>
      <c r="BA11" s="3381"/>
      <c r="BB11" s="3381"/>
      <c r="BC11" s="3381"/>
      <c r="BD11" s="3381"/>
      <c r="BE11" s="3382"/>
    </row>
    <row r="12" spans="1:59" ht="33.75">
      <c r="A12" s="1244"/>
      <c r="B12" s="1245"/>
      <c r="C12" s="1272">
        <f t="shared" si="0"/>
        <v>0</v>
      </c>
      <c r="D12" s="1267">
        <f t="shared" si="1"/>
        <v>0</v>
      </c>
      <c r="E12" s="1248">
        <f>IF(ISTEXT(Z12),Z12,(Z12/Z7)*E6)</f>
        <v>0</v>
      </c>
      <c r="F12" s="1249">
        <f t="shared" si="2"/>
        <v>0</v>
      </c>
      <c r="G12" s="1248">
        <f>IF(ISTEXT(AB12),AB12,(AB12/AB7)*G6)</f>
        <v>0</v>
      </c>
      <c r="H12" s="1249">
        <f t="shared" si="3"/>
        <v>0</v>
      </c>
      <c r="I12" s="1248">
        <f>IF(ISTEXT(AD12),AD12,(AD12/AD7)*I6)</f>
        <v>0</v>
      </c>
      <c r="J12" s="1249">
        <f t="shared" si="4"/>
        <v>0</v>
      </c>
      <c r="K12" s="1248">
        <f>IF(ISTEXT(AF12),AF12,(AF12/AF7)*K6)</f>
        <v>0</v>
      </c>
      <c r="L12" s="1249">
        <f t="shared" si="5"/>
        <v>0</v>
      </c>
      <c r="M12" s="1248">
        <f>IF(ISTEXT(AH12),AH12,(AH12/AH7)*M6)</f>
        <v>0</v>
      </c>
      <c r="N12" s="1249">
        <f t="shared" si="6"/>
        <v>0</v>
      </c>
      <c r="O12" s="1250">
        <f t="shared" si="7"/>
        <v>0</v>
      </c>
      <c r="P12" s="1251">
        <f t="shared" si="8"/>
        <v>0</v>
      </c>
      <c r="Q12" s="1252">
        <f>IF(ISTEXT(P12),0,IF(P58=0,0,P12/P58))</f>
        <v>0</v>
      </c>
      <c r="R12" s="3421"/>
      <c r="U12" s="1244"/>
      <c r="V12" s="1268"/>
      <c r="W12" s="1269"/>
      <c r="X12" s="1270"/>
      <c r="Y12" s="1265"/>
      <c r="Z12" s="1257"/>
      <c r="AA12" s="1258">
        <f>IF(ISTEXT(Z12),0,IF(Z58=0,0,Z12/Z58))</f>
        <v>0</v>
      </c>
      <c r="AB12" s="1257"/>
      <c r="AC12" s="1258">
        <f>IF(ISTEXT(AB12),0,IF(AB58=0,0,AB12/AB58))</f>
        <v>0</v>
      </c>
      <c r="AD12" s="1257"/>
      <c r="AE12" s="1258">
        <f>IF(ISTEXT(AD12),0,IF(AD58=0,0,AD12/AD58))</f>
        <v>0</v>
      </c>
      <c r="AF12" s="1257"/>
      <c r="AG12" s="1258">
        <f>IF(ISTEXT(AF12),0,IF(AF58=0,0,AF12/AF58))</f>
        <v>0</v>
      </c>
      <c r="AH12" s="1257"/>
      <c r="AI12" s="1259">
        <f>IF(ISTEXT(AH12),0,IF(AH58=0,0,AH12/AH58))</f>
        <v>0</v>
      </c>
      <c r="AJ12" s="1185"/>
      <c r="AK12" s="1185"/>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row>
    <row r="13" spans="1:59" ht="31.5">
      <c r="A13" s="1244"/>
      <c r="B13" s="1245"/>
      <c r="C13" s="1266">
        <f t="shared" si="0"/>
        <v>0</v>
      </c>
      <c r="D13" s="1267">
        <f t="shared" si="1"/>
        <v>0</v>
      </c>
      <c r="E13" s="1248">
        <f>IF(ISTEXT(Z13),Z13,(Z13/Z7)*E6)</f>
        <v>0</v>
      </c>
      <c r="F13" s="1249">
        <f t="shared" si="2"/>
        <v>0</v>
      </c>
      <c r="G13" s="1248">
        <f>IF(ISTEXT(AB13),AB13,(AB13/AB7)*G6)</f>
        <v>0</v>
      </c>
      <c r="H13" s="1249">
        <f t="shared" si="3"/>
        <v>0</v>
      </c>
      <c r="I13" s="1248">
        <f>IF(ISTEXT(AD13),AD13,(AD13/AD7)*I6)</f>
        <v>0</v>
      </c>
      <c r="J13" s="1249">
        <f t="shared" si="4"/>
        <v>0</v>
      </c>
      <c r="K13" s="1248">
        <f>IF(ISTEXT(AF13),AF13,(AF13/AF7)*K6)</f>
        <v>0</v>
      </c>
      <c r="L13" s="1249">
        <f t="shared" si="5"/>
        <v>0</v>
      </c>
      <c r="M13" s="1248">
        <f>IF(ISTEXT(AH13),AH13,(AH13/AH7)*M6)</f>
        <v>0</v>
      </c>
      <c r="N13" s="1249">
        <f t="shared" si="6"/>
        <v>0</v>
      </c>
      <c r="O13" s="1250">
        <f t="shared" si="7"/>
        <v>0</v>
      </c>
      <c r="P13" s="1251">
        <f t="shared" si="8"/>
        <v>0</v>
      </c>
      <c r="Q13" s="1252">
        <f>IF(ISTEXT(P13),0,IF(P58=0,0,P13/P58))</f>
        <v>0</v>
      </c>
      <c r="R13" s="3421"/>
      <c r="U13" s="1244"/>
      <c r="V13" s="1268"/>
      <c r="W13" s="1269"/>
      <c r="X13" s="1270"/>
      <c r="Y13" s="1265"/>
      <c r="Z13" s="1257"/>
      <c r="AA13" s="1258">
        <f>IF(ISTEXT(Z13),0,IF(Z58=0,0,Z13/Z58))</f>
        <v>0</v>
      </c>
      <c r="AB13" s="1257"/>
      <c r="AC13" s="1258">
        <f>IF(ISTEXT(AB13),0,IF(AB58=0,0,AB13/AB58))</f>
        <v>0</v>
      </c>
      <c r="AD13" s="1257"/>
      <c r="AE13" s="1258">
        <f>IF(ISTEXT(AD13),0,IF(AD58=0,0,AD13/AD58))</f>
        <v>0</v>
      </c>
      <c r="AF13" s="1257"/>
      <c r="AG13" s="1258">
        <f>IF(ISTEXT(AF13),0,IF(AF58=0,0,AF13/AF58))</f>
        <v>0</v>
      </c>
      <c r="AH13" s="1257"/>
      <c r="AI13" s="1259">
        <f>IF(ISTEXT(AH13),0,IF(AH58=0,0,AH13/AH58))</f>
        <v>0</v>
      </c>
      <c r="AJ13" s="1185"/>
      <c r="AK13" s="1185"/>
      <c r="AL13" s="1274" t="s">
        <v>17</v>
      </c>
      <c r="AM13" s="1197"/>
      <c r="AN13" s="1242"/>
      <c r="AO13" s="1275" t="s">
        <v>18</v>
      </c>
      <c r="AP13" s="1276" t="s">
        <v>19</v>
      </c>
      <c r="AQ13" s="1242"/>
      <c r="AR13" s="1242"/>
      <c r="AS13" s="1242"/>
      <c r="AT13" s="1275" t="s">
        <v>20</v>
      </c>
      <c r="AU13" s="1276" t="s">
        <v>21</v>
      </c>
      <c r="AV13" s="1242"/>
      <c r="AW13" s="1202"/>
      <c r="AX13" s="1202"/>
      <c r="AY13" s="1202"/>
      <c r="AZ13" s="1202"/>
      <c r="BA13" s="1202"/>
      <c r="BB13" s="1202"/>
      <c r="BC13" s="1202"/>
      <c r="BD13" s="1202"/>
      <c r="BE13" s="1202"/>
    </row>
    <row r="14" spans="1:59" ht="26.25">
      <c r="A14" s="1244"/>
      <c r="B14" s="1245"/>
      <c r="C14" s="1266" t="str">
        <f t="shared" si="0"/>
        <v>Légumerie</v>
      </c>
      <c r="D14" s="1267">
        <f t="shared" si="1"/>
        <v>0</v>
      </c>
      <c r="E14" s="1248">
        <f>IF(ISTEXT(Z14),Z14,(Z14/Z7)*E6)</f>
        <v>0</v>
      </c>
      <c r="F14" s="1249">
        <f t="shared" si="2"/>
        <v>0</v>
      </c>
      <c r="G14" s="1248">
        <f>IF(ISTEXT(AB14),AB14,(AB14/AB7)*G6)</f>
        <v>0</v>
      </c>
      <c r="H14" s="1249">
        <f t="shared" si="3"/>
        <v>0</v>
      </c>
      <c r="I14" s="1248">
        <f>IF(ISTEXT(AD14),AD14,(AD14/AD7)*I6)</f>
        <v>0</v>
      </c>
      <c r="J14" s="1249">
        <f t="shared" si="4"/>
        <v>0</v>
      </c>
      <c r="K14" s="1248">
        <f>IF(ISTEXT(AF14),AF14,(AF14/AF7)*K6)</f>
        <v>0</v>
      </c>
      <c r="L14" s="1249">
        <f t="shared" si="5"/>
        <v>0</v>
      </c>
      <c r="M14" s="1248">
        <f>IF(ISTEXT(AH14),AH14,(AH14/AH7)*M6)</f>
        <v>0</v>
      </c>
      <c r="N14" s="1249">
        <f t="shared" si="6"/>
        <v>0</v>
      </c>
      <c r="O14" s="1250">
        <f t="shared" si="7"/>
        <v>0</v>
      </c>
      <c r="P14" s="1251">
        <f t="shared" si="8"/>
        <v>0</v>
      </c>
      <c r="Q14" s="1252">
        <f>IF(ISTEXT(P14),0,IF(P58=0,0,P14/P58))</f>
        <v>0</v>
      </c>
      <c r="R14" s="3421"/>
      <c r="U14" s="1244"/>
      <c r="V14" s="1262"/>
      <c r="W14" s="1263" t="s">
        <v>162</v>
      </c>
      <c r="X14" s="1264"/>
      <c r="Y14" s="1265"/>
      <c r="Z14" s="1257"/>
      <c r="AA14" s="1258">
        <f>IF(ISTEXT(Z14),0,IF(Z58=0,0,Z14/Z58))</f>
        <v>0</v>
      </c>
      <c r="AB14" s="1257"/>
      <c r="AC14" s="1258">
        <f>IF(ISTEXT(AB14),0,IF(AB58=0,0,AB14/AB58))</f>
        <v>0</v>
      </c>
      <c r="AD14" s="1257"/>
      <c r="AE14" s="1258">
        <f>IF(ISTEXT(AD14),0,IF(AD58=0,0,AD14/AD58))</f>
        <v>0</v>
      </c>
      <c r="AF14" s="1257"/>
      <c r="AG14" s="1258">
        <f>IF(ISTEXT(AF14),0,IF(AF58=0,0,AF14/AF58))</f>
        <v>0</v>
      </c>
      <c r="AH14" s="1257"/>
      <c r="AI14" s="1259">
        <f>IF(ISTEXT(AH14),0,IF(AH58=0,0,AH14/AH58))</f>
        <v>0</v>
      </c>
      <c r="AJ14" s="1185"/>
      <c r="AK14" s="1185"/>
      <c r="AL14" s="1277"/>
      <c r="AM14" s="1278"/>
      <c r="AN14" s="1279" t="s">
        <v>22</v>
      </c>
      <c r="AO14" s="1280" t="s">
        <v>23</v>
      </c>
      <c r="AP14" s="1280"/>
      <c r="AQ14" s="1280"/>
      <c r="AR14" s="1280"/>
      <c r="AS14" s="1280"/>
      <c r="AT14" s="3375">
        <v>7</v>
      </c>
      <c r="AU14" s="3375"/>
      <c r="AV14" s="1280"/>
      <c r="AW14" s="1202"/>
      <c r="AX14" s="1202"/>
      <c r="AY14" s="1202"/>
      <c r="AZ14" s="1202"/>
      <c r="BA14" s="1202"/>
      <c r="BB14" s="1202"/>
      <c r="BC14" s="1202"/>
      <c r="BD14" s="1202"/>
      <c r="BE14" s="1202"/>
    </row>
    <row r="15" spans="1:59" ht="22.5" customHeight="1">
      <c r="A15" s="1244"/>
      <c r="B15" s="1245"/>
      <c r="C15" s="1266">
        <f t="shared" si="0"/>
        <v>0</v>
      </c>
      <c r="D15" s="1267">
        <f t="shared" si="1"/>
        <v>0</v>
      </c>
      <c r="E15" s="1248">
        <f>IF(ISTEXT(Z15),Z15,(Z15/Z7)*E6)</f>
        <v>0</v>
      </c>
      <c r="F15" s="1249">
        <f t="shared" si="2"/>
        <v>0</v>
      </c>
      <c r="G15" s="1248">
        <f>IF(ISTEXT(AB15),AB15,(AB15/AB7)*G6)</f>
        <v>0</v>
      </c>
      <c r="H15" s="1249">
        <f t="shared" si="3"/>
        <v>0</v>
      </c>
      <c r="I15" s="1248">
        <f>IF(ISTEXT(AD15),AD15,(AD15/AD7)*I6)</f>
        <v>0</v>
      </c>
      <c r="J15" s="1249">
        <f t="shared" si="4"/>
        <v>0</v>
      </c>
      <c r="K15" s="1248">
        <f>IF(ISTEXT(AF15),AF15,(AF15/AF7)*K6)</f>
        <v>0</v>
      </c>
      <c r="L15" s="1249">
        <f t="shared" si="5"/>
        <v>0</v>
      </c>
      <c r="M15" s="1248">
        <f>IF(ISTEXT(AH15),AH15,(AH15/AH7)*M6)</f>
        <v>0</v>
      </c>
      <c r="N15" s="1249">
        <f t="shared" si="6"/>
        <v>0</v>
      </c>
      <c r="O15" s="1250">
        <f t="shared" si="7"/>
        <v>0</v>
      </c>
      <c r="P15" s="1251">
        <f t="shared" si="8"/>
        <v>0</v>
      </c>
      <c r="Q15" s="1252">
        <f>IF(ISTEXT(P15),0,IF(P58=0,0,P15/P58))</f>
        <v>0</v>
      </c>
      <c r="R15" s="3421"/>
      <c r="U15" s="1244"/>
      <c r="V15" s="1268"/>
      <c r="W15" s="1269"/>
      <c r="X15" s="1270"/>
      <c r="Y15" s="1265"/>
      <c r="Z15" s="1257"/>
      <c r="AA15" s="1258">
        <f>IF(ISTEXT(Z15),0,IF(Z58=0,0,Z15/Z58))</f>
        <v>0</v>
      </c>
      <c r="AB15" s="1257"/>
      <c r="AC15" s="1258">
        <f>IF(ISTEXT(AB15),0,IF(AB58=0,0,AB15/AB58))</f>
        <v>0</v>
      </c>
      <c r="AD15" s="1257"/>
      <c r="AE15" s="1258">
        <f>IF(ISTEXT(AD15),0,IF(AD58=0,0,AD15/AD58))</f>
        <v>0</v>
      </c>
      <c r="AF15" s="1257"/>
      <c r="AG15" s="1258">
        <f>IF(ISTEXT(AF15),0,IF(AF58=0,0,AF15/AF58))</f>
        <v>0</v>
      </c>
      <c r="AH15" s="1257"/>
      <c r="AI15" s="1259">
        <f>IF(ISTEXT(AH15),0,IF(AH58=0,0,AH15/AH58))</f>
        <v>0</v>
      </c>
      <c r="AJ15" s="1185"/>
      <c r="AK15" s="1185"/>
      <c r="AL15" s="1199"/>
      <c r="AM15" s="1242"/>
      <c r="AN15" s="1242"/>
      <c r="AO15" s="1242"/>
      <c r="AP15" s="1242"/>
      <c r="AQ15" s="1242"/>
      <c r="AR15" s="1242"/>
      <c r="AS15" s="1242"/>
      <c r="AT15" s="3375"/>
      <c r="AU15" s="3375"/>
      <c r="AV15" s="1242"/>
      <c r="AW15" s="1202"/>
      <c r="AX15" s="1202"/>
      <c r="AY15" s="1202"/>
      <c r="AZ15" s="1202"/>
      <c r="BA15" s="1202"/>
      <c r="BB15" s="1202"/>
      <c r="BC15" s="1202"/>
      <c r="BD15" s="1202"/>
      <c r="BE15" s="1202"/>
    </row>
    <row r="16" spans="1:59" s="1281" customFormat="1" ht="32.25" thickBot="1">
      <c r="A16" s="1244"/>
      <c r="B16" s="1260"/>
      <c r="C16" s="1261" t="str">
        <f t="shared" si="0"/>
        <v>tomates rondes</v>
      </c>
      <c r="D16" s="1247" t="str">
        <f t="shared" si="1"/>
        <v>kg</v>
      </c>
      <c r="E16" s="1248">
        <f>IF(ISTEXT(Z16),Z16,(Z16/Z7)*E6)</f>
        <v>0</v>
      </c>
      <c r="F16" s="1249">
        <f t="shared" si="2"/>
        <v>0</v>
      </c>
      <c r="G16" s="1248">
        <f>IF(ISTEXT(AB16),AB16,(AB16/AB7)*G6)</f>
        <v>4</v>
      </c>
      <c r="H16" s="1249">
        <f t="shared" si="3"/>
        <v>6.04</v>
      </c>
      <c r="I16" s="1248">
        <f>IF(ISTEXT(AD16),AD16,(AD16/AD7)*I6)</f>
        <v>0</v>
      </c>
      <c r="J16" s="1249">
        <f t="shared" si="4"/>
        <v>0</v>
      </c>
      <c r="K16" s="1248">
        <f>IF(ISTEXT(AF16),AF16,(AF16/AF7)*K6)</f>
        <v>0</v>
      </c>
      <c r="L16" s="1249">
        <f t="shared" si="5"/>
        <v>0</v>
      </c>
      <c r="M16" s="1248">
        <f>IF(ISTEXT(AH16),AH16,(AH16/AH7)*M6)</f>
        <v>0</v>
      </c>
      <c r="N16" s="1249">
        <f t="shared" si="6"/>
        <v>0</v>
      </c>
      <c r="O16" s="1250">
        <f t="shared" si="7"/>
        <v>4</v>
      </c>
      <c r="P16" s="1251">
        <f t="shared" si="8"/>
        <v>6.04</v>
      </c>
      <c r="Q16" s="1252">
        <f>IF(ISTEXT(P16),0,IF(P58=0,0,P16/P58))</f>
        <v>6.7834894359506057E-2</v>
      </c>
      <c r="R16" s="3421"/>
      <c r="U16" s="1244"/>
      <c r="V16" s="1268"/>
      <c r="W16" s="1269" t="s">
        <v>165</v>
      </c>
      <c r="X16" s="1270" t="s">
        <v>166</v>
      </c>
      <c r="Y16" s="1265">
        <v>1.51</v>
      </c>
      <c r="Z16" s="1257"/>
      <c r="AA16" s="1258">
        <f>IF(ISTEXT(Z16),0,IF(Z58=0,0,Z16/Z58))</f>
        <v>0</v>
      </c>
      <c r="AB16" s="1257">
        <v>2</v>
      </c>
      <c r="AC16" s="1258">
        <f>IF(ISTEXT(AB16),0,IF(AB58=0,0,AB16/AB58))</f>
        <v>0.2090738030524775</v>
      </c>
      <c r="AD16" s="1257"/>
      <c r="AE16" s="1258">
        <f>IF(ISTEXT(AD16),0,IF(AD58=0,0,AD16/AD58))</f>
        <v>0</v>
      </c>
      <c r="AF16" s="1257"/>
      <c r="AG16" s="1258">
        <f>IF(ISTEXT(AF16),0,IF(AF58=0,0,AF16/AF58))</f>
        <v>0</v>
      </c>
      <c r="AH16" s="1257"/>
      <c r="AI16" s="1259">
        <f>IF(ISTEXT(AH16),0,IF(AH58=0,0,AH16/AH58))</f>
        <v>0</v>
      </c>
      <c r="AJ16" s="1185"/>
      <c r="AK16" s="1185"/>
      <c r="AL16" s="1274" t="s">
        <v>24</v>
      </c>
      <c r="AM16" s="1242"/>
      <c r="AN16" s="1242"/>
      <c r="AO16" s="1282" t="s">
        <v>25</v>
      </c>
      <c r="AP16" s="1283" t="s">
        <v>26</v>
      </c>
      <c r="AQ16" s="1284"/>
      <c r="AR16" s="1284"/>
      <c r="AS16" s="1285"/>
      <c r="AT16" s="1285"/>
      <c r="AU16" s="1284"/>
      <c r="AV16" s="1242"/>
      <c r="AW16" s="1202"/>
      <c r="AX16" s="1202"/>
      <c r="AY16" s="1202"/>
      <c r="AZ16" s="1202"/>
      <c r="BA16" s="1202"/>
      <c r="BB16" s="1202"/>
      <c r="BC16" s="1202"/>
      <c r="BD16" s="1202"/>
      <c r="BE16" s="1202"/>
      <c r="BF16" s="1177"/>
      <c r="BG16" s="1177"/>
    </row>
    <row r="17" spans="1:59" s="1281" customFormat="1" ht="23.25">
      <c r="A17" s="1244"/>
      <c r="B17" s="1245"/>
      <c r="C17" s="1266" t="str">
        <f t="shared" si="0"/>
        <v>ail  4 gousses (1 gousse 4g)</v>
      </c>
      <c r="D17" s="1267" t="str">
        <f t="shared" si="1"/>
        <v>gou</v>
      </c>
      <c r="E17" s="1248">
        <f>IF(ISTEXT(Z17),Z17,(Z17/Z7)*E6)</f>
        <v>0</v>
      </c>
      <c r="F17" s="1249">
        <f t="shared" si="2"/>
        <v>0</v>
      </c>
      <c r="G17" s="1248">
        <f>IF(ISTEXT(AB17),AB17,(AB17/AB7)*G6)</f>
        <v>3.2000000000000001E-2</v>
      </c>
      <c r="H17" s="1249">
        <f t="shared" si="3"/>
        <v>6.7519999999999997E-2</v>
      </c>
      <c r="I17" s="1248">
        <f>IF(ISTEXT(AD17),AD17,(AD17/AD7)*I6)</f>
        <v>0</v>
      </c>
      <c r="J17" s="1249">
        <f t="shared" si="4"/>
        <v>0</v>
      </c>
      <c r="K17" s="1248">
        <f>IF(ISTEXT(AF17),AF17,(AF17/AF7)*K6)</f>
        <v>0</v>
      </c>
      <c r="L17" s="1249">
        <f t="shared" si="5"/>
        <v>0</v>
      </c>
      <c r="M17" s="1248">
        <f>IF(ISTEXT(AH17),AH17,(AH17/AH7)*M6)</f>
        <v>0</v>
      </c>
      <c r="N17" s="1249">
        <f t="shared" si="6"/>
        <v>0</v>
      </c>
      <c r="O17" s="1250">
        <f t="shared" si="7"/>
        <v>3.2000000000000001E-2</v>
      </c>
      <c r="P17" s="1251">
        <f t="shared" si="8"/>
        <v>6.7519999999999997E-2</v>
      </c>
      <c r="Q17" s="1252">
        <f>IF(ISTEXT(P17),0,IF(P58=0,0,P17/P58))</f>
        <v>7.5831325615129943E-4</v>
      </c>
      <c r="R17" s="3421"/>
      <c r="U17" s="1244"/>
      <c r="V17" s="1268"/>
      <c r="W17" s="1269" t="s">
        <v>207</v>
      </c>
      <c r="X17" s="1270" t="s">
        <v>208</v>
      </c>
      <c r="Y17" s="1265">
        <v>2.11</v>
      </c>
      <c r="Z17" s="1257"/>
      <c r="AA17" s="1258">
        <f>IF(ISTEXT(Z17),0,IF(Z58=0,0,Z17/Z58))</f>
        <v>0</v>
      </c>
      <c r="AB17" s="1257">
        <v>1.6E-2</v>
      </c>
      <c r="AC17" s="1258">
        <f>IF(ISTEXT(AB17),0,IF(AB58=0,0,AB17/AB58))</f>
        <v>1.6725904244198201E-3</v>
      </c>
      <c r="AD17" s="1257"/>
      <c r="AE17" s="1258">
        <f>IF(ISTEXT(AD17),0,IF(AD58=0,0,AD17/AD58))</f>
        <v>0</v>
      </c>
      <c r="AF17" s="1257"/>
      <c r="AG17" s="1258">
        <f>IF(ISTEXT(AF17),0,IF(AF58=0,0,AF17/AF58))</f>
        <v>0</v>
      </c>
      <c r="AH17" s="1257"/>
      <c r="AI17" s="1259">
        <f>IF(ISTEXT(AH17),0,IF(AH58=0,0,AH17/AH58))</f>
        <v>0</v>
      </c>
      <c r="AJ17" s="1185"/>
      <c r="AK17" s="1185"/>
      <c r="AL17" s="1185"/>
      <c r="AM17" s="1286"/>
      <c r="AN17" s="1286"/>
      <c r="AO17" s="1287" t="s">
        <v>27</v>
      </c>
      <c r="AP17" s="1286"/>
      <c r="AQ17" s="1286"/>
      <c r="AR17" s="1286"/>
      <c r="AS17" s="1286"/>
      <c r="AT17" s="1286"/>
      <c r="AU17" s="1286"/>
      <c r="AV17" s="1286"/>
      <c r="AW17" s="1202"/>
      <c r="AX17" s="1202"/>
      <c r="AY17" s="1202"/>
      <c r="AZ17" s="1202"/>
      <c r="BA17" s="1202"/>
      <c r="BB17" s="1202"/>
      <c r="BC17" s="1202"/>
      <c r="BD17" s="1202"/>
      <c r="BE17" s="1202"/>
      <c r="BF17" s="1177"/>
      <c r="BG17" s="1177"/>
    </row>
    <row r="18" spans="1:59" s="1281" customFormat="1" ht="23.25">
      <c r="A18" s="1244"/>
      <c r="B18" s="1245"/>
      <c r="C18" s="1266" t="str">
        <f t="shared" si="0"/>
        <v>courgettes</v>
      </c>
      <c r="D18" s="1267" t="str">
        <f t="shared" si="1"/>
        <v>kg</v>
      </c>
      <c r="E18" s="1248">
        <f>IF(ISTEXT(Z18),Z18,(Z18/Z7)*E6)</f>
        <v>0</v>
      </c>
      <c r="F18" s="1249">
        <f t="shared" si="2"/>
        <v>0</v>
      </c>
      <c r="G18" s="1248">
        <f>IF(ISTEXT(AB18),AB18,(AB18/AB7)*G6)</f>
        <v>0</v>
      </c>
      <c r="H18" s="1249">
        <f t="shared" si="3"/>
        <v>0</v>
      </c>
      <c r="I18" s="1248">
        <f>IF(ISTEXT(AD18),AD18,(AD18/AD7)*I6)</f>
        <v>2</v>
      </c>
      <c r="J18" s="1249">
        <f t="shared" si="4"/>
        <v>1.1399999999999999</v>
      </c>
      <c r="K18" s="1248">
        <f>IF(ISTEXT(AF18),AF18,(AF18/AF7)*K6)</f>
        <v>0</v>
      </c>
      <c r="L18" s="1249">
        <f t="shared" si="5"/>
        <v>0</v>
      </c>
      <c r="M18" s="1248">
        <f>IF(ISTEXT(AH18),AH18,(AH18/AH7)*M6)</f>
        <v>0</v>
      </c>
      <c r="N18" s="1249">
        <f t="shared" si="6"/>
        <v>0</v>
      </c>
      <c r="O18" s="1250">
        <f t="shared" si="7"/>
        <v>2</v>
      </c>
      <c r="P18" s="1251">
        <f t="shared" si="8"/>
        <v>1.1399999999999999</v>
      </c>
      <c r="Q18" s="1252">
        <f>IF(ISTEXT(P18),0,IF(P58=0,0,P18/P58))</f>
        <v>1.280327476321803E-2</v>
      </c>
      <c r="R18" s="3421"/>
      <c r="U18" s="1244"/>
      <c r="V18" s="1268"/>
      <c r="W18" s="1269" t="s">
        <v>209</v>
      </c>
      <c r="X18" s="1270" t="s">
        <v>166</v>
      </c>
      <c r="Y18" s="1265">
        <v>0.56999999999999995</v>
      </c>
      <c r="Z18" s="1257"/>
      <c r="AA18" s="1258">
        <f>IF(ISTEXT(Z18),0,IF(Z58=0,0,Z18/Z58))</f>
        <v>0</v>
      </c>
      <c r="AB18" s="1257"/>
      <c r="AC18" s="1258">
        <f>IF(ISTEXT(AB18),0,IF(AB58=0,0,AB18/AB58))</f>
        <v>0</v>
      </c>
      <c r="AD18" s="1257">
        <v>1</v>
      </c>
      <c r="AE18" s="1258">
        <f>IF(ISTEXT(AD18),0,IF(AD58=0,0,AD18/AD58))</f>
        <v>0.90909090909090906</v>
      </c>
      <c r="AF18" s="1257"/>
      <c r="AG18" s="1258">
        <f>IF(ISTEXT(AF18),0,IF(AF58=0,0,AF18/AF58))</f>
        <v>0</v>
      </c>
      <c r="AH18" s="1257"/>
      <c r="AI18" s="1259">
        <f>IF(ISTEXT(AH18),0,IF(AH58=0,0,AH18/AH58))</f>
        <v>0</v>
      </c>
      <c r="AJ18" s="1185"/>
      <c r="AK18" s="1185"/>
      <c r="AL18" s="1185"/>
      <c r="AM18" s="1286"/>
      <c r="AN18" s="1286"/>
      <c r="AO18" s="1286"/>
      <c r="AP18" s="1286"/>
      <c r="AQ18" s="1286"/>
      <c r="AR18" s="1286"/>
      <c r="AS18" s="1286"/>
      <c r="AT18" s="1286"/>
      <c r="AU18" s="1286"/>
      <c r="AV18" s="1286"/>
      <c r="AW18" s="1202"/>
      <c r="AX18" s="1202"/>
      <c r="AY18" s="1202"/>
      <c r="AZ18" s="1202"/>
      <c r="BA18" s="1202"/>
      <c r="BB18" s="1202"/>
      <c r="BC18" s="1202"/>
      <c r="BD18" s="1202"/>
      <c r="BE18" s="1202"/>
      <c r="BF18" s="1177"/>
      <c r="BG18" s="1177"/>
    </row>
    <row r="19" spans="1:59" s="1281" customFormat="1" ht="23.25" customHeight="1">
      <c r="A19" s="1244"/>
      <c r="B19" s="1245"/>
      <c r="C19" s="1288">
        <f t="shared" si="0"/>
        <v>0</v>
      </c>
      <c r="D19" s="1247">
        <f t="shared" si="1"/>
        <v>0</v>
      </c>
      <c r="E19" s="1248">
        <f>IF(ISTEXT(Z19),Z19,(Z19/Z7)*E6)</f>
        <v>0</v>
      </c>
      <c r="F19" s="1249">
        <f t="shared" si="2"/>
        <v>0</v>
      </c>
      <c r="G19" s="1248">
        <f>IF(ISTEXT(AB19),AB19,(AB19/AB7)*G6)</f>
        <v>0</v>
      </c>
      <c r="H19" s="1249">
        <f t="shared" si="3"/>
        <v>0</v>
      </c>
      <c r="I19" s="1248">
        <f>IF(ISTEXT(AD19),AD19,(AD19/AD7)*I6)</f>
        <v>0</v>
      </c>
      <c r="J19" s="1249">
        <f t="shared" si="4"/>
        <v>0</v>
      </c>
      <c r="K19" s="1248">
        <f>IF(ISTEXT(AF19),AF19,(AF19/AF7)*K6)</f>
        <v>0</v>
      </c>
      <c r="L19" s="1249">
        <f t="shared" si="5"/>
        <v>0</v>
      </c>
      <c r="M19" s="1248">
        <f>IF(ISTEXT(AH19),AH19,(AH19/AH7)*M6)</f>
        <v>0</v>
      </c>
      <c r="N19" s="1249">
        <f t="shared" si="6"/>
        <v>0</v>
      </c>
      <c r="O19" s="1289">
        <f t="shared" si="7"/>
        <v>0</v>
      </c>
      <c r="P19" s="1290">
        <f t="shared" si="8"/>
        <v>0</v>
      </c>
      <c r="Q19" s="1252">
        <f>IF(ISTEXT(P19),0,IF(P58=0,0,P19/P58))</f>
        <v>0</v>
      </c>
      <c r="R19" s="3421"/>
      <c r="U19" s="1244"/>
      <c r="V19" s="1268"/>
      <c r="W19" s="1269"/>
      <c r="X19" s="1270"/>
      <c r="Y19" s="1265"/>
      <c r="Z19" s="1257"/>
      <c r="AA19" s="1258">
        <f>IF(ISTEXT(Z19),0,IF(Z58=0,0,Z19/Z58))</f>
        <v>0</v>
      </c>
      <c r="AB19" s="1257"/>
      <c r="AC19" s="1258">
        <f>IF(ISTEXT(AB19),0,IF(AB58=0,0,AB19/AB58))</f>
        <v>0</v>
      </c>
      <c r="AD19" s="1257"/>
      <c r="AE19" s="1258">
        <f>IF(ISTEXT(AD19),0,IF(AD58=0,0,AD19/AD58))</f>
        <v>0</v>
      </c>
      <c r="AF19" s="1257"/>
      <c r="AG19" s="1258">
        <f>IF(ISTEXT(AF19),0,IF(AF58=0,0,AF19/AF58))</f>
        <v>0</v>
      </c>
      <c r="AH19" s="1257"/>
      <c r="AI19" s="1259">
        <f>IF(ISTEXT(AH19),0,IF(AH58=0,0,AH19/AH58))</f>
        <v>0</v>
      </c>
      <c r="AJ19" s="1185"/>
      <c r="AK19" s="1185"/>
      <c r="AL19" s="1185"/>
      <c r="AM19" s="1286"/>
      <c r="AN19" s="1286"/>
      <c r="AO19" s="14" t="s">
        <v>28</v>
      </c>
      <c r="AP19" s="14"/>
      <c r="AQ19" s="14"/>
      <c r="AR19" s="14"/>
      <c r="AS19" s="1286"/>
      <c r="AT19" s="1286"/>
      <c r="AU19" s="1286"/>
      <c r="AV19" s="1286"/>
      <c r="AW19" s="1202"/>
      <c r="AX19" s="1202"/>
      <c r="AY19" s="1202"/>
      <c r="AZ19" s="1202"/>
      <c r="BA19" s="1202"/>
      <c r="BB19" s="1202"/>
      <c r="BC19" s="1202"/>
      <c r="BD19" s="1202"/>
      <c r="BE19" s="1202"/>
      <c r="BF19" s="1177"/>
      <c r="BG19" s="1177"/>
    </row>
    <row r="20" spans="1:59" s="1281" customFormat="1" ht="31.5">
      <c r="A20" s="1244"/>
      <c r="B20" s="1245"/>
      <c r="C20" s="1288">
        <f t="shared" si="0"/>
        <v>0</v>
      </c>
      <c r="D20" s="1247">
        <f t="shared" si="1"/>
        <v>0</v>
      </c>
      <c r="E20" s="1248">
        <f>IF(ISTEXT(Z20),Z20,(Z20/Z7)*E6)</f>
        <v>0</v>
      </c>
      <c r="F20" s="1249">
        <f t="shared" si="2"/>
        <v>0</v>
      </c>
      <c r="G20" s="1248">
        <f>IF(ISTEXT(AB20),AB20,(AB20/AB7)*G6)</f>
        <v>0</v>
      </c>
      <c r="H20" s="1249">
        <f t="shared" si="3"/>
        <v>0</v>
      </c>
      <c r="I20" s="1248">
        <f>IF(ISTEXT(AD20),AD20,(AD20/AD7)*I6)</f>
        <v>0</v>
      </c>
      <c r="J20" s="1249">
        <f t="shared" si="4"/>
        <v>0</v>
      </c>
      <c r="K20" s="1248">
        <f>IF(ISTEXT(AF20),AF20,(AF20/AF7)*K6)</f>
        <v>0</v>
      </c>
      <c r="L20" s="1249">
        <f t="shared" si="5"/>
        <v>0</v>
      </c>
      <c r="M20" s="1248">
        <f>IF(ISTEXT(AH20),AH20,(AH20/AH7)*M6)</f>
        <v>0</v>
      </c>
      <c r="N20" s="1249">
        <f t="shared" si="6"/>
        <v>0</v>
      </c>
      <c r="O20" s="1250">
        <f t="shared" si="7"/>
        <v>0</v>
      </c>
      <c r="P20" s="1251">
        <f t="shared" si="8"/>
        <v>0</v>
      </c>
      <c r="Q20" s="1252">
        <f>IF(ISTEXT(P20),0,IF(P58=0,0,P20/P58))</f>
        <v>0</v>
      </c>
      <c r="R20" s="3421"/>
      <c r="U20" s="1244"/>
      <c r="V20" s="1268"/>
      <c r="W20" s="1269"/>
      <c r="X20" s="1270"/>
      <c r="Y20" s="1265"/>
      <c r="Z20" s="1257"/>
      <c r="AA20" s="1258">
        <f>IF(ISTEXT(Z20),0,IF(Z58=0,0,Z20/Z58))</f>
        <v>0</v>
      </c>
      <c r="AB20" s="1257"/>
      <c r="AC20" s="1258">
        <f>IF(ISTEXT(AB20),0,IF(AB58=0,0,AB20/AB58))</f>
        <v>0</v>
      </c>
      <c r="AD20" s="1257"/>
      <c r="AE20" s="1258">
        <f>IF(ISTEXT(AD20),0,IF(AD58=0,0,AD20/AD58))</f>
        <v>0</v>
      </c>
      <c r="AF20" s="1257"/>
      <c r="AG20" s="1258">
        <f>IF(ISTEXT(AF20),0,IF(AF58=0,0,AF20/AF58))</f>
        <v>0</v>
      </c>
      <c r="AH20" s="1257"/>
      <c r="AI20" s="1259">
        <f>IF(ISTEXT(AH20),0,IF(AH58=0,0,AH20/AH58))</f>
        <v>0</v>
      </c>
      <c r="AJ20" s="1185"/>
      <c r="AK20" s="1185"/>
      <c r="AL20" s="1274" t="s">
        <v>29</v>
      </c>
      <c r="AM20" s="1286"/>
      <c r="AN20" s="1286"/>
      <c r="AO20" s="14" t="s">
        <v>30</v>
      </c>
      <c r="AP20" s="14"/>
      <c r="AQ20" s="14"/>
      <c r="AR20" s="14"/>
      <c r="AS20" s="1286"/>
      <c r="AT20" s="1286"/>
      <c r="AU20" s="1286"/>
      <c r="AV20" s="1286"/>
      <c r="AW20" s="1202"/>
      <c r="AX20" s="1202"/>
      <c r="AY20" s="1202"/>
      <c r="AZ20" s="1202"/>
      <c r="BA20" s="1202"/>
      <c r="BB20" s="1202"/>
      <c r="BC20" s="1202"/>
      <c r="BD20" s="1202"/>
      <c r="BE20" s="1202"/>
      <c r="BF20" s="1177"/>
      <c r="BG20" s="1177"/>
    </row>
    <row r="21" spans="1:59" s="1281" customFormat="1" ht="26.25">
      <c r="A21" s="1244"/>
      <c r="B21" s="1260"/>
      <c r="C21" s="1261" t="str">
        <f t="shared" si="0"/>
        <v>ECONOMAT / CAVE</v>
      </c>
      <c r="D21" s="1247">
        <f t="shared" si="1"/>
        <v>0</v>
      </c>
      <c r="E21" s="1248">
        <f>IF(ISTEXT(Z21),Z21,(Z21/Z7)*E6)</f>
        <v>0</v>
      </c>
      <c r="F21" s="1249">
        <f t="shared" si="2"/>
        <v>0</v>
      </c>
      <c r="G21" s="1248">
        <f>IF(ISTEXT(AB21),AB21,(AB21/AB7)*G6)</f>
        <v>0</v>
      </c>
      <c r="H21" s="1249">
        <f t="shared" si="3"/>
        <v>0</v>
      </c>
      <c r="I21" s="1248">
        <f>IF(ISTEXT(AD21),AD21,(AD21/AD7)*I6)</f>
        <v>0</v>
      </c>
      <c r="J21" s="1249">
        <f t="shared" si="4"/>
        <v>0</v>
      </c>
      <c r="K21" s="1248">
        <f>IF(ISTEXT(AF21),AF21,(AF21/AF7)*K6)</f>
        <v>0</v>
      </c>
      <c r="L21" s="1249">
        <f t="shared" si="5"/>
        <v>0</v>
      </c>
      <c r="M21" s="1248">
        <f>IF(ISTEXT(AH21),AH21,(AH21/AH7)*M6)</f>
        <v>0</v>
      </c>
      <c r="N21" s="1249">
        <f t="shared" si="6"/>
        <v>0</v>
      </c>
      <c r="O21" s="1250">
        <f t="shared" si="7"/>
        <v>0</v>
      </c>
      <c r="P21" s="1251">
        <f t="shared" si="8"/>
        <v>0</v>
      </c>
      <c r="Q21" s="1252">
        <f>IF(ISTEXT(P21),0,IF(P58=0,0,P21/P58))</f>
        <v>0</v>
      </c>
      <c r="R21" s="3421"/>
      <c r="U21" s="1244"/>
      <c r="V21" s="1262"/>
      <c r="W21" s="1263" t="s">
        <v>210</v>
      </c>
      <c r="X21" s="1264"/>
      <c r="Y21" s="1265"/>
      <c r="Z21" s="1257"/>
      <c r="AA21" s="1258">
        <f>IF(ISTEXT(Z21),0,IF(Z58=0,0,Z21/Z58))</f>
        <v>0</v>
      </c>
      <c r="AB21" s="1257"/>
      <c r="AC21" s="1258">
        <f>IF(ISTEXT(AB21),0,IF(AB58=0,0,AB21/AB58))</f>
        <v>0</v>
      </c>
      <c r="AD21" s="1257"/>
      <c r="AE21" s="1258">
        <f>IF(ISTEXT(AD21),0,IF(AD58=0,0,AD21/AD58))</f>
        <v>0</v>
      </c>
      <c r="AF21" s="1257"/>
      <c r="AG21" s="1258">
        <f>IF(ISTEXT(AF21),0,IF(AF58=0,0,AF21/AF58))</f>
        <v>0</v>
      </c>
      <c r="AH21" s="1257"/>
      <c r="AI21" s="1259">
        <f>IF(ISTEXT(AH21),0,IF(AH58=0,0,AH21/AH58))</f>
        <v>0</v>
      </c>
      <c r="AJ21" s="1185"/>
      <c r="AK21" s="1185"/>
      <c r="AL21" s="1185"/>
      <c r="AM21" s="1286"/>
      <c r="AN21" s="1286"/>
      <c r="AO21" s="14" t="s">
        <v>31</v>
      </c>
      <c r="AP21" s="14"/>
      <c r="AQ21" s="14"/>
      <c r="AR21" s="14"/>
      <c r="AS21" s="1286"/>
      <c r="AT21" s="1286"/>
      <c r="AU21" s="1286"/>
      <c r="AV21" s="1286"/>
      <c r="AW21" s="1202"/>
      <c r="AX21" s="1202"/>
      <c r="AY21" s="1202"/>
      <c r="AZ21" s="1202"/>
      <c r="BA21" s="1202"/>
      <c r="BB21" s="1202"/>
      <c r="BC21" s="1202"/>
      <c r="BD21" s="1291"/>
      <c r="BE21" s="1291"/>
    </row>
    <row r="22" spans="1:59" s="1281" customFormat="1" ht="20.25" customHeight="1">
      <c r="A22" s="1244"/>
      <c r="B22" s="1245"/>
      <c r="C22" s="1266" t="str">
        <f t="shared" si="0"/>
        <v>huile d'olives</v>
      </c>
      <c r="D22" s="1267" t="str">
        <f t="shared" si="1"/>
        <v>l</v>
      </c>
      <c r="E22" s="1248">
        <f>IF(ISTEXT(Z22),Z22,(Z22/Z7)*E6)</f>
        <v>0.2</v>
      </c>
      <c r="F22" s="1249">
        <f t="shared" si="2"/>
        <v>0.89600000000000013</v>
      </c>
      <c r="G22" s="1248">
        <f>IF(ISTEXT(AB22),AB22,(AB22/AB7)*G6)</f>
        <v>0.4</v>
      </c>
      <c r="H22" s="1249">
        <f t="shared" si="3"/>
        <v>1.7920000000000003</v>
      </c>
      <c r="I22" s="1248">
        <f>IF(ISTEXT(AD22),AD22,(AD22/AD7)*I6)</f>
        <v>0.2</v>
      </c>
      <c r="J22" s="1249">
        <f t="shared" si="4"/>
        <v>0.89600000000000013</v>
      </c>
      <c r="K22" s="1248">
        <f>IF(ISTEXT(AF22),AF22,(AF22/AF7)*K6)</f>
        <v>0.2</v>
      </c>
      <c r="L22" s="1249">
        <f t="shared" si="5"/>
        <v>0.89600000000000013</v>
      </c>
      <c r="M22" s="1248">
        <f>IF(ISTEXT(AH22),AH22,(AH22/AH7)*M6)</f>
        <v>0</v>
      </c>
      <c r="N22" s="1249">
        <f t="shared" si="6"/>
        <v>0</v>
      </c>
      <c r="O22" s="1250">
        <f t="shared" si="7"/>
        <v>1</v>
      </c>
      <c r="P22" s="1251">
        <f t="shared" si="8"/>
        <v>4.4800000000000004</v>
      </c>
      <c r="Q22" s="1252">
        <f>IF(ISTEXT(P22),0,IF(P58=0,0,P22/P58))</f>
        <v>5.0314623630891918E-2</v>
      </c>
      <c r="R22" s="3421"/>
      <c r="U22" s="1244"/>
      <c r="V22" s="1268"/>
      <c r="W22" s="1269" t="s">
        <v>211</v>
      </c>
      <c r="X22" s="1270" t="s">
        <v>212</v>
      </c>
      <c r="Y22" s="1265">
        <v>4.4800000000000004</v>
      </c>
      <c r="Z22" s="1257">
        <v>0.1</v>
      </c>
      <c r="AA22" s="1258">
        <f>IF(ISTEXT(Z22),0,IF(Z58=0,0,Z22/Z58))</f>
        <v>4.7619047619047616E-2</v>
      </c>
      <c r="AB22" s="1257">
        <v>0.2</v>
      </c>
      <c r="AC22" s="1258">
        <f>IF(ISTEXT(AB22),0,IF(AB58=0,0,AB22/AB58))</f>
        <v>2.090738030524775E-2</v>
      </c>
      <c r="AD22" s="1257">
        <v>0.1</v>
      </c>
      <c r="AE22" s="1258">
        <f>IF(ISTEXT(AD22),0,IF(AD58=0,0,AD22/AD58))</f>
        <v>9.0909090909090912E-2</v>
      </c>
      <c r="AF22" s="1257">
        <v>0.1</v>
      </c>
      <c r="AG22" s="1258">
        <f>IF(ISTEXT(AF22),0,IF(AF58=0,0,AF22/AF58))</f>
        <v>0.12048192771084339</v>
      </c>
      <c r="AH22" s="1257"/>
      <c r="AI22" s="1259">
        <f>IF(ISTEXT(AH22),0,IF(AH58=0,0,AH22/AH58))</f>
        <v>0</v>
      </c>
      <c r="AJ22" s="1185"/>
      <c r="AK22" s="1185"/>
      <c r="AL22" s="1199"/>
      <c r="AM22" s="1286"/>
      <c r="AN22" s="1286"/>
      <c r="AO22" s="1292" t="s">
        <v>32</v>
      </c>
      <c r="AP22" s="1293" t="s">
        <v>32</v>
      </c>
      <c r="AQ22" s="1294" t="s">
        <v>32</v>
      </c>
      <c r="AR22" s="1295" t="s">
        <v>32</v>
      </c>
      <c r="AS22" s="1286"/>
      <c r="AT22" s="1286"/>
      <c r="AU22" s="1286"/>
      <c r="AV22" s="1286"/>
      <c r="AW22" s="1202"/>
      <c r="AX22" s="1202"/>
      <c r="AY22" s="1202"/>
      <c r="AZ22" s="1202"/>
      <c r="BA22" s="1202"/>
      <c r="BB22" s="1202"/>
      <c r="BC22" s="1202"/>
      <c r="BD22" s="1202"/>
      <c r="BE22" s="1202"/>
      <c r="BF22" s="1177"/>
      <c r="BG22" s="1177"/>
    </row>
    <row r="23" spans="1:59" s="1281" customFormat="1" ht="23.25">
      <c r="A23" s="1244"/>
      <c r="B23" s="1245"/>
      <c r="C23" s="1266" t="str">
        <f t="shared" si="0"/>
        <v>sel fin</v>
      </c>
      <c r="D23" s="1267" t="str">
        <f t="shared" si="1"/>
        <v>pm</v>
      </c>
      <c r="E23" s="1248" t="str">
        <f>IF(ISTEXT(Z23),Z23,(Z23/Z7)*E6)</f>
        <v>pm</v>
      </c>
      <c r="F23" s="1249">
        <f t="shared" si="2"/>
        <v>0</v>
      </c>
      <c r="G23" s="1248" t="str">
        <f>IF(ISTEXT(AB23),AB23,(AB23/AB7)*G6)</f>
        <v>pm</v>
      </c>
      <c r="H23" s="1249">
        <f t="shared" si="3"/>
        <v>0</v>
      </c>
      <c r="I23" s="1248">
        <f>IF(ISTEXT(AD23),AD23,(AD23/AD7)*I6)</f>
        <v>0</v>
      </c>
      <c r="J23" s="1249">
        <f t="shared" si="4"/>
        <v>0</v>
      </c>
      <c r="K23" s="1248">
        <f>IF(ISTEXT(AF23),AF23,(AF23/AF7)*K6)</f>
        <v>0</v>
      </c>
      <c r="L23" s="1249">
        <f t="shared" si="5"/>
        <v>0</v>
      </c>
      <c r="M23" s="1248">
        <f>IF(ISTEXT(AH23),AH23,(AH23/AH7)*M6)</f>
        <v>0</v>
      </c>
      <c r="N23" s="1249">
        <f t="shared" si="6"/>
        <v>0</v>
      </c>
      <c r="O23" s="1250">
        <f t="shared" si="7"/>
        <v>0</v>
      </c>
      <c r="P23" s="1251">
        <f t="shared" si="8"/>
        <v>0</v>
      </c>
      <c r="Q23" s="1252">
        <f>IF(ISTEXT(P23),0,IF(P58=0,0,P23/P58))</f>
        <v>0</v>
      </c>
      <c r="R23" s="3421"/>
      <c r="U23" s="1244"/>
      <c r="V23" s="1268"/>
      <c r="W23" s="1269" t="s">
        <v>213</v>
      </c>
      <c r="X23" s="1270" t="s">
        <v>214</v>
      </c>
      <c r="Y23" s="1265"/>
      <c r="Z23" s="1257" t="s">
        <v>214</v>
      </c>
      <c r="AA23" s="1258">
        <f>IF(ISTEXT(Z23),0,IF(Z58=0,0,Z23/Z58))</f>
        <v>0</v>
      </c>
      <c r="AB23" s="1257" t="s">
        <v>214</v>
      </c>
      <c r="AC23" s="1258">
        <f>IF(ISTEXT(AB23),0,IF(AB58=0,0,AB23/AB58))</f>
        <v>0</v>
      </c>
      <c r="AD23" s="1257"/>
      <c r="AE23" s="1258">
        <f>IF(ISTEXT(AD23),0,IF(AD58=0,0,AD23/AD58))</f>
        <v>0</v>
      </c>
      <c r="AF23" s="1257"/>
      <c r="AG23" s="1258">
        <f>IF(ISTEXT(AF23),0,IF(AF58=0,0,AF23/AF58))</f>
        <v>0</v>
      </c>
      <c r="AH23" s="1257"/>
      <c r="AI23" s="1259">
        <f>IF(ISTEXT(AH23),0,IF(AH58=0,0,AH23/AH58))</f>
        <v>0</v>
      </c>
      <c r="AJ23" s="1185"/>
      <c r="AK23" s="1185"/>
      <c r="AL23" s="1199"/>
      <c r="AM23" s="1286"/>
      <c r="AN23" s="1286"/>
      <c r="AO23" s="3376" t="s">
        <v>33</v>
      </c>
      <c r="AP23" s="3378" t="s">
        <v>34</v>
      </c>
      <c r="AQ23" s="3378" t="s">
        <v>35</v>
      </c>
      <c r="AR23" s="3378" t="s">
        <v>36</v>
      </c>
      <c r="AS23" s="1286"/>
      <c r="AT23" s="1286"/>
      <c r="AU23" s="1286"/>
      <c r="AV23" s="1286"/>
      <c r="AW23" s="1202"/>
      <c r="AX23" s="1202"/>
      <c r="AY23" s="1202"/>
      <c r="AZ23" s="1202"/>
      <c r="BA23" s="1202"/>
      <c r="BB23" s="1202"/>
      <c r="BC23" s="1202"/>
      <c r="BD23" s="1202"/>
      <c r="BE23" s="1202"/>
      <c r="BF23" s="1177"/>
      <c r="BG23" s="1177"/>
    </row>
    <row r="24" spans="1:59" s="1281" customFormat="1" ht="23.25">
      <c r="A24" s="1244"/>
      <c r="B24" s="1245"/>
      <c r="C24" s="1266" t="str">
        <f t="shared" si="0"/>
        <v>poivre du moulin</v>
      </c>
      <c r="D24" s="1267" t="str">
        <f t="shared" si="1"/>
        <v>pm</v>
      </c>
      <c r="E24" s="1248" t="str">
        <f>IF(ISTEXT(Z24),Z24,(Z24/Z7)*E6)</f>
        <v>pm</v>
      </c>
      <c r="F24" s="1249">
        <f t="shared" si="2"/>
        <v>0</v>
      </c>
      <c r="G24" s="1248">
        <f>IF(ISTEXT(AB24),AB24,(AB24/AB7)*G6)</f>
        <v>0</v>
      </c>
      <c r="H24" s="1249">
        <f t="shared" si="3"/>
        <v>0</v>
      </c>
      <c r="I24" s="1248">
        <f>IF(ISTEXT(AD24),AD24,(AD24/AD7)*I6)</f>
        <v>0</v>
      </c>
      <c r="J24" s="1249">
        <f t="shared" si="4"/>
        <v>0</v>
      </c>
      <c r="K24" s="1248">
        <f>IF(ISTEXT(AF24),AF24,(AF24/AF7)*K6)</f>
        <v>0</v>
      </c>
      <c r="L24" s="1249">
        <f t="shared" si="5"/>
        <v>0</v>
      </c>
      <c r="M24" s="1248">
        <f>IF(ISTEXT(AH24),AH24,(AH24/AH7)*M6)</f>
        <v>0</v>
      </c>
      <c r="N24" s="1249">
        <f t="shared" si="6"/>
        <v>0</v>
      </c>
      <c r="O24" s="1250">
        <f t="shared" si="7"/>
        <v>0</v>
      </c>
      <c r="P24" s="1251">
        <f t="shared" si="8"/>
        <v>0</v>
      </c>
      <c r="Q24" s="1252">
        <f>IF(ISTEXT(P24),0,IF(P58=0,0,P24/P58))</f>
        <v>0</v>
      </c>
      <c r="R24" s="3421"/>
      <c r="U24" s="1244"/>
      <c r="V24" s="1268"/>
      <c r="W24" s="1269" t="s">
        <v>215</v>
      </c>
      <c r="X24" s="1270" t="s">
        <v>214</v>
      </c>
      <c r="Y24" s="1265"/>
      <c r="Z24" s="1257" t="s">
        <v>214</v>
      </c>
      <c r="AA24" s="1258">
        <f>IF(ISTEXT(Z24),0,IF(Z58=0,0,Z24/Z58))</f>
        <v>0</v>
      </c>
      <c r="AB24" s="1257"/>
      <c r="AC24" s="1258">
        <f>IF(ISTEXT(AB24),0,IF(AB58=0,0,AB24/AB58))</f>
        <v>0</v>
      </c>
      <c r="AD24" s="1257"/>
      <c r="AE24" s="1258">
        <f>IF(ISTEXT(AD24),0,IF(AD58=0,0,AD24/AD58))</f>
        <v>0</v>
      </c>
      <c r="AF24" s="1257"/>
      <c r="AG24" s="1258">
        <f>IF(ISTEXT(AF24),0,IF(AF58=0,0,AF24/AF58))</f>
        <v>0</v>
      </c>
      <c r="AH24" s="1257"/>
      <c r="AI24" s="1259">
        <f>IF(ISTEXT(AH24),0,IF(AH58=0,0,AH24/AH58))</f>
        <v>0</v>
      </c>
      <c r="AJ24" s="1185"/>
      <c r="AK24" s="1185"/>
      <c r="AL24" s="1277"/>
      <c r="AM24" s="1286"/>
      <c r="AN24" s="1286"/>
      <c r="AO24" s="3376"/>
      <c r="AP24" s="3378"/>
      <c r="AQ24" s="3378"/>
      <c r="AR24" s="3378"/>
      <c r="AS24" s="1286"/>
      <c r="AT24" s="1286"/>
      <c r="AU24" s="1286"/>
      <c r="AV24" s="1286"/>
      <c r="AW24" s="1202"/>
      <c r="AX24" s="1202"/>
      <c r="AY24" s="1202"/>
      <c r="AZ24" s="1202"/>
      <c r="BA24" s="1202"/>
      <c r="BB24" s="1202"/>
      <c r="BC24" s="1202"/>
      <c r="BD24" s="1202"/>
      <c r="BE24" s="1202"/>
      <c r="BF24" s="1177"/>
      <c r="BG24" s="1177"/>
    </row>
    <row r="25" spans="1:59" s="1281" customFormat="1" ht="23.25">
      <c r="A25" s="1244"/>
      <c r="B25" s="1245"/>
      <c r="C25" s="1266" t="str">
        <f t="shared" si="0"/>
        <v>sucre</v>
      </c>
      <c r="D25" s="1267" t="str">
        <f t="shared" si="1"/>
        <v>kg</v>
      </c>
      <c r="E25" s="1248">
        <f>IF(ISTEXT(Z25),Z25,(Z25/Z7)*E6)</f>
        <v>0</v>
      </c>
      <c r="F25" s="1249">
        <f t="shared" si="2"/>
        <v>0</v>
      </c>
      <c r="G25" s="1248">
        <f>IF(ISTEXT(AB25),AB25,(AB25/AB7)*G6)</f>
        <v>0.2</v>
      </c>
      <c r="H25" s="1249">
        <f t="shared" si="3"/>
        <v>0.28999999999999998</v>
      </c>
      <c r="I25" s="1248">
        <f>IF(ISTEXT(AD25),AD25,(AD25/AD7)*I6)</f>
        <v>0</v>
      </c>
      <c r="J25" s="1249">
        <f t="shared" si="4"/>
        <v>0</v>
      </c>
      <c r="K25" s="1248">
        <f>IF(ISTEXT(AF25),AF25,(AF25/AF7)*K6)</f>
        <v>0</v>
      </c>
      <c r="L25" s="1249">
        <f t="shared" si="5"/>
        <v>0</v>
      </c>
      <c r="M25" s="1248">
        <f>IF(ISTEXT(AH25),AH25,(AH25/AH7)*M6)</f>
        <v>0</v>
      </c>
      <c r="N25" s="1249">
        <f t="shared" si="6"/>
        <v>0</v>
      </c>
      <c r="O25" s="1250">
        <f t="shared" si="7"/>
        <v>0.2</v>
      </c>
      <c r="P25" s="1251">
        <f t="shared" si="8"/>
        <v>0.28999999999999998</v>
      </c>
      <c r="Q25" s="1252">
        <f>IF(ISTEXT(P25),0,IF(P58=0,0,P25/P58))</f>
        <v>3.2569734046782707E-3</v>
      </c>
      <c r="R25" s="3421"/>
      <c r="U25" s="1244"/>
      <c r="V25" s="1268"/>
      <c r="W25" s="1269" t="s">
        <v>216</v>
      </c>
      <c r="X25" s="1270" t="s">
        <v>166</v>
      </c>
      <c r="Y25" s="1265">
        <v>1.45</v>
      </c>
      <c r="Z25" s="1257"/>
      <c r="AA25" s="1258">
        <f>IF(ISTEXT(Z25),0,IF(Z58=0,0,Z25/Z58))</f>
        <v>0</v>
      </c>
      <c r="AB25" s="1257">
        <v>0.1</v>
      </c>
      <c r="AC25" s="1258">
        <f>IF(ISTEXT(AB25),0,IF(AB58=0,0,AB25/AB58))</f>
        <v>1.0453690152623875E-2</v>
      </c>
      <c r="AD25" s="1257"/>
      <c r="AE25" s="1258">
        <f>IF(ISTEXT(AD25),0,IF(AD58=0,0,AD25/AD58))</f>
        <v>0</v>
      </c>
      <c r="AF25" s="1257"/>
      <c r="AG25" s="1258">
        <f>IF(ISTEXT(AF25),0,IF(AF58=0,0,AF25/AF58))</f>
        <v>0</v>
      </c>
      <c r="AH25" s="1257"/>
      <c r="AI25" s="1259">
        <f>IF(ISTEXT(AH25),0,IF(AH58=0,0,AH25/AH58))</f>
        <v>0</v>
      </c>
      <c r="AJ25" s="1185"/>
      <c r="AK25" s="1185"/>
      <c r="AL25" s="1199"/>
      <c r="AM25" s="1286"/>
      <c r="AN25" s="1286"/>
      <c r="AO25" s="3376"/>
      <c r="AP25" s="3378"/>
      <c r="AQ25" s="3378"/>
      <c r="AR25" s="3378"/>
      <c r="AS25" s="1286"/>
      <c r="AT25" s="1286"/>
      <c r="AU25" s="1286"/>
      <c r="AV25" s="1286"/>
      <c r="AW25" s="1202"/>
      <c r="AX25" s="1202"/>
      <c r="AY25" s="1202"/>
      <c r="AZ25" s="1202"/>
      <c r="BA25" s="1202"/>
      <c r="BB25" s="1202"/>
      <c r="BC25" s="1202"/>
      <c r="BD25" s="1202"/>
      <c r="BE25" s="1202"/>
      <c r="BF25" s="1177"/>
      <c r="BG25" s="1177"/>
    </row>
    <row r="26" spans="1:59" s="1281" customFormat="1" ht="24" thickBot="1">
      <c r="A26" s="1244"/>
      <c r="B26" s="1245"/>
      <c r="C26" s="1266" t="str">
        <f t="shared" si="0"/>
        <v>thym frais</v>
      </c>
      <c r="D26" s="1267" t="str">
        <f t="shared" si="1"/>
        <v>bte</v>
      </c>
      <c r="E26" s="1248">
        <f>IF(ISTEXT(Z26),Z26,(Z26/Z7)*E6)</f>
        <v>0</v>
      </c>
      <c r="F26" s="1249">
        <f t="shared" si="2"/>
        <v>0</v>
      </c>
      <c r="G26" s="1248">
        <f>IF(ISTEXT(AB26),AB26,(AB26/AB7)*G6)</f>
        <v>0.5</v>
      </c>
      <c r="H26" s="1249">
        <f t="shared" si="3"/>
        <v>0.21</v>
      </c>
      <c r="I26" s="1248">
        <f>IF(ISTEXT(AD26),AD26,(AD26/AD7)*I6)</f>
        <v>0</v>
      </c>
      <c r="J26" s="1249">
        <f t="shared" si="4"/>
        <v>0</v>
      </c>
      <c r="K26" s="1248">
        <f>IF(ISTEXT(AF26),AF26,(AF26/AF7)*K6)</f>
        <v>0</v>
      </c>
      <c r="L26" s="1249">
        <f t="shared" si="5"/>
        <v>0</v>
      </c>
      <c r="M26" s="1248">
        <f>IF(ISTEXT(AH26),AH26,(AH26/AH7)*M6)</f>
        <v>0</v>
      </c>
      <c r="N26" s="1249">
        <f t="shared" si="6"/>
        <v>0</v>
      </c>
      <c r="O26" s="1250">
        <f t="shared" si="7"/>
        <v>0.5</v>
      </c>
      <c r="P26" s="1251">
        <f t="shared" si="8"/>
        <v>0.21</v>
      </c>
      <c r="Q26" s="1252">
        <f>IF(ISTEXT(P26),0,IF(P58=0,0,P26/P58))</f>
        <v>2.3584979826980581E-3</v>
      </c>
      <c r="R26" s="3421"/>
      <c r="U26" s="1244"/>
      <c r="V26" s="1268"/>
      <c r="W26" s="1269" t="s">
        <v>217</v>
      </c>
      <c r="X26" s="1270" t="s">
        <v>218</v>
      </c>
      <c r="Y26" s="1265">
        <v>0.42</v>
      </c>
      <c r="Z26" s="1257"/>
      <c r="AA26" s="1258">
        <f>IF(ISTEXT(Z26),0,IF(Z58=0,0,Z26/Z58))</f>
        <v>0</v>
      </c>
      <c r="AB26" s="1257">
        <v>0.25</v>
      </c>
      <c r="AC26" s="1258">
        <f>IF(ISTEXT(AB26),0,IF(AB58=0,0,AB26/AB58))</f>
        <v>2.6134225381559687E-2</v>
      </c>
      <c r="AD26" s="1257"/>
      <c r="AE26" s="1258">
        <f>IF(ISTEXT(AD26),0,IF(AD58=0,0,AD26/AD58))</f>
        <v>0</v>
      </c>
      <c r="AF26" s="1257"/>
      <c r="AG26" s="1258">
        <f>IF(ISTEXT(AF26),0,IF(AF58=0,0,AF26/AF58))</f>
        <v>0</v>
      </c>
      <c r="AH26" s="1257"/>
      <c r="AI26" s="1259">
        <f>IF(ISTEXT(AH26),0,IF(AH58=0,0,AH26/AH58))</f>
        <v>0</v>
      </c>
      <c r="AJ26" s="1185"/>
      <c r="AK26" s="1185"/>
      <c r="AL26" s="1199"/>
      <c r="AM26" s="1286"/>
      <c r="AN26" s="1286"/>
      <c r="AO26" s="3377"/>
      <c r="AP26" s="3379"/>
      <c r="AQ26" s="3379"/>
      <c r="AR26" s="3379"/>
      <c r="AS26" s="1286"/>
      <c r="AT26" s="1286"/>
      <c r="AU26" s="1286"/>
      <c r="AV26" s="1286"/>
      <c r="AW26" s="1202"/>
      <c r="AX26" s="1202"/>
      <c r="AY26" s="1202"/>
      <c r="AZ26" s="1202"/>
      <c r="BA26" s="1202"/>
      <c r="BB26" s="1202"/>
      <c r="BC26" s="1202"/>
      <c r="BD26" s="1202"/>
      <c r="BE26" s="1202"/>
      <c r="BF26" s="1177"/>
      <c r="BG26" s="1177"/>
    </row>
    <row r="27" spans="1:59" s="1281" customFormat="1" ht="23.25">
      <c r="A27" s="1244"/>
      <c r="B27" s="1245"/>
      <c r="C27" s="1266" t="str">
        <f t="shared" si="0"/>
        <v>gélatine</v>
      </c>
      <c r="D27" s="1267" t="str">
        <f t="shared" si="1"/>
        <v>fle</v>
      </c>
      <c r="E27" s="1248">
        <f>IF(ISTEXT(Z27),Z27,(Z27/Z7)*E6)</f>
        <v>0</v>
      </c>
      <c r="F27" s="1249">
        <f t="shared" si="2"/>
        <v>0</v>
      </c>
      <c r="G27" s="1248">
        <f>IF(ISTEXT(AB27),AB27,(AB27/AB7)*G6)</f>
        <v>14</v>
      </c>
      <c r="H27" s="1249">
        <f t="shared" si="3"/>
        <v>0.28000000000000003</v>
      </c>
      <c r="I27" s="1248">
        <f>IF(ISTEXT(AD27),AD27,(AD27/AD7)*I6)</f>
        <v>0</v>
      </c>
      <c r="J27" s="1249">
        <f t="shared" si="4"/>
        <v>0</v>
      </c>
      <c r="K27" s="1248">
        <f>IF(ISTEXT(AF27),AF27,(AF27/AF7)*K6)</f>
        <v>0</v>
      </c>
      <c r="L27" s="1249">
        <f t="shared" si="5"/>
        <v>0</v>
      </c>
      <c r="M27" s="1248">
        <f>IF(ISTEXT(AH27),AH27,(AH27/AH7)*M6)</f>
        <v>0</v>
      </c>
      <c r="N27" s="1249">
        <f t="shared" si="6"/>
        <v>0</v>
      </c>
      <c r="O27" s="1250">
        <f t="shared" si="7"/>
        <v>14</v>
      </c>
      <c r="P27" s="1251">
        <f t="shared" si="8"/>
        <v>0.28000000000000003</v>
      </c>
      <c r="Q27" s="1252">
        <f>IF(ISTEXT(P27),0,IF(P58=0,0,P27/P58))</f>
        <v>3.1446639769307449E-3</v>
      </c>
      <c r="R27" s="3421"/>
      <c r="U27" s="1244"/>
      <c r="V27" s="1268"/>
      <c r="W27" s="1269" t="s">
        <v>219</v>
      </c>
      <c r="X27" s="1270" t="s">
        <v>220</v>
      </c>
      <c r="Y27" s="1265">
        <v>0.02</v>
      </c>
      <c r="Z27" s="1257"/>
      <c r="AA27" s="1258">
        <f>IF(ISTEXT(Z27),0,IF(Z58=0,0,Z27/Z58))</f>
        <v>0</v>
      </c>
      <c r="AB27" s="1257">
        <v>7</v>
      </c>
      <c r="AC27" s="1258">
        <f>IF(ISTEXT(AB27),0,IF(AB58=0,0,AB27/AB58))</f>
        <v>0.73175831068367125</v>
      </c>
      <c r="AD27" s="1257"/>
      <c r="AE27" s="1258">
        <f>IF(ISTEXT(AD27),0,IF(AD58=0,0,AD27/AD58))</f>
        <v>0</v>
      </c>
      <c r="AF27" s="1257"/>
      <c r="AG27" s="1258">
        <f>IF(ISTEXT(AF27),0,IF(AF58=0,0,AF27/AF58))</f>
        <v>0</v>
      </c>
      <c r="AH27" s="1257"/>
      <c r="AI27" s="1259">
        <f>IF(ISTEXT(AH27),0,IF(AH58=0,0,AH27/AH58))</f>
        <v>0</v>
      </c>
      <c r="AJ27" s="1185"/>
      <c r="AK27" s="1185"/>
      <c r="AL27" s="1185"/>
      <c r="AM27" s="1286"/>
      <c r="AN27" s="1286"/>
      <c r="AO27" s="1296" t="str">
        <f>AO22</f>
        <v>?</v>
      </c>
      <c r="AP27" s="1297" t="str">
        <f>AP22</f>
        <v>?</v>
      </c>
      <c r="AQ27" s="1298" t="str">
        <f>AQ22</f>
        <v>?</v>
      </c>
      <c r="AR27" s="1299" t="str">
        <f>AR22</f>
        <v>?</v>
      </c>
      <c r="AS27" s="1286"/>
      <c r="AT27" s="1286"/>
      <c r="AU27" s="1286"/>
      <c r="AV27" s="1286"/>
      <c r="AW27" s="1202"/>
      <c r="AX27" s="1202"/>
      <c r="AY27" s="1202"/>
      <c r="AZ27" s="1202"/>
      <c r="BA27" s="1202"/>
      <c r="BB27" s="1202"/>
      <c r="BC27" s="1202"/>
      <c r="BD27" s="1202"/>
      <c r="BE27" s="1202"/>
      <c r="BF27" s="1177"/>
      <c r="BG27" s="1177"/>
    </row>
    <row r="28" spans="1:59" s="1281" customFormat="1" ht="23.25">
      <c r="A28" s="1244"/>
      <c r="B28" s="1245"/>
      <c r="C28" s="1266" t="str">
        <f t="shared" si="0"/>
        <v>piques en bois</v>
      </c>
      <c r="D28" s="1267" t="str">
        <f t="shared" si="1"/>
        <v>pot</v>
      </c>
      <c r="E28" s="1248" t="str">
        <f>IF(ISTEXT(Z28),Z28,(Z28/Z7)*E6)</f>
        <v>pm</v>
      </c>
      <c r="F28" s="1249">
        <f t="shared" si="2"/>
        <v>0</v>
      </c>
      <c r="G28" s="1248">
        <f>IF(ISTEXT(AB28),AB28,(AB28/AB7)*G6)</f>
        <v>0</v>
      </c>
      <c r="H28" s="1249">
        <f t="shared" si="3"/>
        <v>0</v>
      </c>
      <c r="I28" s="1248">
        <f>IF(ISTEXT(AD28),AD28,(AD28/AD7)*I6)</f>
        <v>0</v>
      </c>
      <c r="J28" s="1249">
        <f t="shared" si="4"/>
        <v>0</v>
      </c>
      <c r="K28" s="1248" t="str">
        <f>IF(ISTEXT(AF28),AF28,(AF28/AF7)*K6)</f>
        <v>pm</v>
      </c>
      <c r="L28" s="1249">
        <f t="shared" si="5"/>
        <v>0</v>
      </c>
      <c r="M28" s="1248">
        <f>IF(ISTEXT(AH28),AH28,(AH28/AH7)*M6)</f>
        <v>0</v>
      </c>
      <c r="N28" s="1249">
        <f t="shared" si="6"/>
        <v>0</v>
      </c>
      <c r="O28" s="1250">
        <f>SUM(E28,G28,I28,K28,M28)</f>
        <v>0</v>
      </c>
      <c r="P28" s="1251">
        <f t="shared" si="8"/>
        <v>0</v>
      </c>
      <c r="Q28" s="1252">
        <f>IF(ISTEXT(P28),0,IF(P58=0,0,P28/P58))</f>
        <v>0</v>
      </c>
      <c r="R28" s="3421"/>
      <c r="U28" s="1244"/>
      <c r="V28" s="1268"/>
      <c r="W28" s="1269" t="s">
        <v>221</v>
      </c>
      <c r="X28" s="1270" t="s">
        <v>222</v>
      </c>
      <c r="Y28" s="1265"/>
      <c r="Z28" s="1257" t="s">
        <v>214</v>
      </c>
      <c r="AA28" s="1258">
        <f>IF(ISTEXT(Z28),0,IF(Z58=0,0,Z28/Z58))</f>
        <v>0</v>
      </c>
      <c r="AB28" s="1257"/>
      <c r="AC28" s="1258">
        <f>IF(ISTEXT(AB28),0,IF(AB58=0,0,AB28/AB58))</f>
        <v>0</v>
      </c>
      <c r="AD28" s="1257"/>
      <c r="AE28" s="1258">
        <f>IF(ISTEXT(AD28),0,IF(AD58=0,0,AD28/AD58))</f>
        <v>0</v>
      </c>
      <c r="AF28" s="1257" t="s">
        <v>214</v>
      </c>
      <c r="AG28" s="1258">
        <f>IF(ISTEXT(AF28),0,IF(AF58=0,0,AF28/AF58))</f>
        <v>0</v>
      </c>
      <c r="AH28" s="1257"/>
      <c r="AI28" s="1259">
        <f>IF(ISTEXT(AH28),0,IF(AH58=0,0,AH28/AH58))</f>
        <v>0</v>
      </c>
      <c r="AJ28" s="1185"/>
      <c r="AK28" s="1185"/>
      <c r="AL28" s="1185"/>
      <c r="AM28" s="1286"/>
      <c r="AN28" s="1286"/>
      <c r="AO28" s="1286"/>
      <c r="AP28" s="1286"/>
      <c r="AQ28" s="1286"/>
      <c r="AR28" s="1286"/>
      <c r="AS28" s="1286"/>
      <c r="AT28" s="1286"/>
      <c r="AU28" s="1286"/>
      <c r="AV28" s="1286"/>
      <c r="AW28" s="14"/>
      <c r="AX28" s="14"/>
      <c r="AY28" s="14"/>
      <c r="AZ28" s="14"/>
      <c r="BA28" s="14"/>
      <c r="BB28" s="1300"/>
      <c r="BC28" s="1291"/>
      <c r="BD28" s="1291"/>
      <c r="BE28" s="1291"/>
    </row>
    <row r="29" spans="1:59" s="1281" customFormat="1" ht="31.5">
      <c r="A29" s="1244"/>
      <c r="B29" s="1245"/>
      <c r="C29" s="1266" t="str">
        <f t="shared" si="0"/>
        <v>vianigre de xéres</v>
      </c>
      <c r="D29" s="1267" t="str">
        <f t="shared" si="1"/>
        <v>L</v>
      </c>
      <c r="E29" s="1248">
        <f>IF(ISTEXT(Z29),Z29,(Z29/Z7)*E6)</f>
        <v>0</v>
      </c>
      <c r="F29" s="1249">
        <f t="shared" si="2"/>
        <v>0</v>
      </c>
      <c r="G29" s="1248">
        <f>IF(ISTEXT(AB29),AB29,(AB29/AB7)*G6)</f>
        <v>0</v>
      </c>
      <c r="H29" s="1249">
        <f t="shared" si="3"/>
        <v>0</v>
      </c>
      <c r="I29" s="1248">
        <f>IF(ISTEXT(AD29),AD29,(AD29/AD7)*I6)</f>
        <v>0</v>
      </c>
      <c r="J29" s="1249">
        <f t="shared" si="4"/>
        <v>0</v>
      </c>
      <c r="K29" s="1248">
        <f>IF(ISTEXT(AF29),AF29,(AF29/AF7)*K6)</f>
        <v>0.06</v>
      </c>
      <c r="L29" s="1249">
        <f t="shared" si="5"/>
        <v>0.23219999999999999</v>
      </c>
      <c r="M29" s="1248">
        <f>IF(ISTEXT(AH29),AH29,(AH29/AH7)*M6)</f>
        <v>0</v>
      </c>
      <c r="N29" s="1249">
        <f t="shared" si="6"/>
        <v>0</v>
      </c>
      <c r="O29" s="1250">
        <f t="shared" ref="O29:O57" si="9">SUM(E29,G29,I29,K29,M29)</f>
        <v>0.06</v>
      </c>
      <c r="P29" s="1251">
        <f t="shared" si="8"/>
        <v>0.23219999999999999</v>
      </c>
      <c r="Q29" s="1252">
        <f>IF(ISTEXT(P29),0,IF(P58=0,0,P29/P58))</f>
        <v>2.6078249122975673E-3</v>
      </c>
      <c r="R29" s="3421"/>
      <c r="U29" s="1244"/>
      <c r="V29" s="1268"/>
      <c r="W29" s="1269" t="s">
        <v>223</v>
      </c>
      <c r="X29" s="1270" t="s">
        <v>224</v>
      </c>
      <c r="Y29" s="1265">
        <v>3.87</v>
      </c>
      <c r="Z29" s="1257"/>
      <c r="AA29" s="1258">
        <f>IF(ISTEXT(Z29),0,IF(Z58=0,0,Z29/Z58))</f>
        <v>0</v>
      </c>
      <c r="AB29" s="1257"/>
      <c r="AC29" s="1258">
        <f>IF(ISTEXT(AB29),0,IF(AB58=0,0,AB29/AB58))</f>
        <v>0</v>
      </c>
      <c r="AD29" s="1257"/>
      <c r="AE29" s="1258">
        <f>IF(ISTEXT(AD29),0,IF(AD58=0,0,AD29/AD58))</f>
        <v>0</v>
      </c>
      <c r="AF29" s="1257">
        <v>0.03</v>
      </c>
      <c r="AG29" s="1258">
        <f>IF(ISTEXT(AF29),0,IF(AF58=0,0,AF29/AF58))</f>
        <v>3.614457831325301E-2</v>
      </c>
      <c r="AH29" s="1257"/>
      <c r="AI29" s="1259">
        <f>IF(ISTEXT(AH29),0,IF(AH58=0,0,AH29/AH58))</f>
        <v>0</v>
      </c>
      <c r="AJ29" s="1185"/>
      <c r="AK29" s="1185"/>
      <c r="AL29" s="1274" t="s">
        <v>37</v>
      </c>
      <c r="AM29" s="1286"/>
      <c r="AN29" s="1197" t="s">
        <v>38</v>
      </c>
      <c r="AO29" s="1286"/>
      <c r="AP29" s="1286"/>
      <c r="AQ29" s="1286"/>
      <c r="AR29" s="1286"/>
      <c r="AS29" s="1286"/>
      <c r="AT29" s="1286"/>
      <c r="AU29" s="1286"/>
      <c r="AV29" s="1286"/>
      <c r="AW29" s="14"/>
      <c r="AX29" s="14"/>
      <c r="AY29" s="14"/>
      <c r="AZ29" s="14"/>
      <c r="BA29" s="14"/>
      <c r="BB29" s="1300"/>
      <c r="BC29" s="1291"/>
      <c r="BD29" s="1291"/>
      <c r="BE29" s="1291"/>
    </row>
    <row r="30" spans="1:59" s="1281" customFormat="1" ht="23.25">
      <c r="A30" s="1244"/>
      <c r="B30" s="1245"/>
      <c r="C30" s="1288">
        <f t="shared" si="0"/>
        <v>0</v>
      </c>
      <c r="D30" s="1247">
        <f t="shared" si="1"/>
        <v>0</v>
      </c>
      <c r="E30" s="1248">
        <f>IF(ISTEXT(Z30),Z30,(Z30/Z7)*E6)</f>
        <v>0</v>
      </c>
      <c r="F30" s="1249">
        <f t="shared" si="2"/>
        <v>0</v>
      </c>
      <c r="G30" s="1248">
        <f>IF(ISTEXT(AB30),AB30,(AB30/AB7)*G6)</f>
        <v>0</v>
      </c>
      <c r="H30" s="1249">
        <f t="shared" si="3"/>
        <v>0</v>
      </c>
      <c r="I30" s="1248">
        <f>IF(ISTEXT(AD30),AD30,(AD30/AD7)*I6)</f>
        <v>0</v>
      </c>
      <c r="J30" s="1249">
        <f t="shared" si="4"/>
        <v>0</v>
      </c>
      <c r="K30" s="1248">
        <f>IF(ISTEXT(AF30),AF30,(AF30/AF7)*K6)</f>
        <v>0</v>
      </c>
      <c r="L30" s="1249">
        <f t="shared" si="5"/>
        <v>0</v>
      </c>
      <c r="M30" s="1248">
        <f>IF(ISTEXT(AH30),AH30,(AH30/AH7)*M6)</f>
        <v>0</v>
      </c>
      <c r="N30" s="1249">
        <f t="shared" si="6"/>
        <v>0</v>
      </c>
      <c r="O30" s="1250">
        <f t="shared" si="9"/>
        <v>0</v>
      </c>
      <c r="P30" s="1251">
        <f t="shared" si="8"/>
        <v>0</v>
      </c>
      <c r="Q30" s="1252">
        <f>IF(ISTEXT(P30),0,IF(P58=0,0,P30/P58))</f>
        <v>0</v>
      </c>
      <c r="R30" s="3421"/>
      <c r="U30" s="1244"/>
      <c r="V30" s="1268"/>
      <c r="W30" s="1269"/>
      <c r="X30" s="1270"/>
      <c r="Y30" s="1265"/>
      <c r="Z30" s="1257"/>
      <c r="AA30" s="1258">
        <f>IF(ISTEXT(Z30),0,IF(Z58=0,0,Z30/Z58))</f>
        <v>0</v>
      </c>
      <c r="AB30" s="1257"/>
      <c r="AC30" s="1258">
        <f>IF(ISTEXT(AB30),0,IF(AB58=0,0,AB30/AB58))</f>
        <v>0</v>
      </c>
      <c r="AD30" s="1257"/>
      <c r="AE30" s="1258">
        <f>IF(ISTEXT(AD30),0,IF(AD58=0,0,AD30/AD58))</f>
        <v>0</v>
      </c>
      <c r="AF30" s="1257"/>
      <c r="AG30" s="1258">
        <f>IF(ISTEXT(AF30),0,IF(AF58=0,0,AF30/AF58))</f>
        <v>0</v>
      </c>
      <c r="AH30" s="1257"/>
      <c r="AI30" s="1259">
        <f>IF(ISTEXT(AH30),0,IF(AH58=0,0,AH30/AH58))</f>
        <v>0</v>
      </c>
      <c r="AJ30" s="1185"/>
      <c r="AK30" s="1185"/>
      <c r="AL30" s="1185"/>
      <c r="AM30" s="1286"/>
      <c r="AN30" s="1286"/>
      <c r="AO30" s="1286"/>
      <c r="AP30" s="1286"/>
      <c r="AQ30" s="3370" t="s">
        <v>39</v>
      </c>
      <c r="AR30" s="3370"/>
      <c r="AS30" s="3370" t="s">
        <v>40</v>
      </c>
      <c r="AT30" s="3370"/>
      <c r="AU30" s="3370" t="s">
        <v>41</v>
      </c>
      <c r="AV30" s="3370"/>
      <c r="AW30" s="3370" t="s">
        <v>42</v>
      </c>
      <c r="AX30" s="3370"/>
      <c r="AY30" s="3370" t="s">
        <v>43</v>
      </c>
      <c r="AZ30" s="3370"/>
      <c r="BA30" s="14"/>
      <c r="BB30" s="1300"/>
      <c r="BC30" s="1291"/>
      <c r="BD30" s="1291"/>
      <c r="BE30" s="1291"/>
    </row>
    <row r="31" spans="1:59" s="1281" customFormat="1" ht="23.25">
      <c r="A31" s="1244"/>
      <c r="B31" s="1245"/>
      <c r="C31" s="1288">
        <f t="shared" si="0"/>
        <v>0</v>
      </c>
      <c r="D31" s="1247">
        <f t="shared" si="1"/>
        <v>0</v>
      </c>
      <c r="E31" s="1248">
        <f>IF(ISTEXT(Z31),Z31,(Z31/Z7)*E6)</f>
        <v>0</v>
      </c>
      <c r="F31" s="1249">
        <f t="shared" si="2"/>
        <v>0</v>
      </c>
      <c r="G31" s="1248">
        <f>IF(ISTEXT(AB31),AB31,(AB31/AB7)*G6)</f>
        <v>0</v>
      </c>
      <c r="H31" s="1249">
        <f t="shared" si="3"/>
        <v>0</v>
      </c>
      <c r="I31" s="1248">
        <f>IF(ISTEXT(AD31),AD31,(AD31/AD7)*I6)</f>
        <v>0</v>
      </c>
      <c r="J31" s="1249">
        <f t="shared" si="4"/>
        <v>0</v>
      </c>
      <c r="K31" s="1248">
        <f>IF(ISTEXT(AF31),AF31,(AF31/AF7)*K6)</f>
        <v>0</v>
      </c>
      <c r="L31" s="1249">
        <f t="shared" si="5"/>
        <v>0</v>
      </c>
      <c r="M31" s="1248">
        <f>IF(ISTEXT(AH31),AH31,(AH31/AH7)*M6)</f>
        <v>0</v>
      </c>
      <c r="N31" s="1249">
        <f t="shared" si="6"/>
        <v>0</v>
      </c>
      <c r="O31" s="1250">
        <f t="shared" si="9"/>
        <v>0</v>
      </c>
      <c r="P31" s="1251">
        <f t="shared" si="8"/>
        <v>0</v>
      </c>
      <c r="Q31" s="1252">
        <f>IF(ISTEXT(P31),0,IF(P58=0,0,P31/P58))</f>
        <v>0</v>
      </c>
      <c r="R31" s="3421"/>
      <c r="U31" s="1244"/>
      <c r="V31" s="1268"/>
      <c r="W31" s="1269"/>
      <c r="X31" s="1270"/>
      <c r="Y31" s="1265"/>
      <c r="Z31" s="1257"/>
      <c r="AA31" s="1258">
        <f>IF(ISTEXT(Z31),0,IF(Z58=0,0,Z31/Z58))</f>
        <v>0</v>
      </c>
      <c r="AB31" s="1257"/>
      <c r="AC31" s="1258">
        <f>IF(ISTEXT(AB31),0,IF(AB58=0,0,AB31/AB58))</f>
        <v>0</v>
      </c>
      <c r="AD31" s="1257"/>
      <c r="AE31" s="1258">
        <f>IF(ISTEXT(AD31),0,IF(AD58=0,0,AD31/AD58))</f>
        <v>0</v>
      </c>
      <c r="AF31" s="1257"/>
      <c r="AG31" s="1258">
        <f>IF(ISTEXT(AF31),0,IF(AF58=0,0,AF31/AF58))</f>
        <v>0</v>
      </c>
      <c r="AH31" s="1257"/>
      <c r="AI31" s="1259">
        <f>IF(ISTEXT(AH31),0,IF(AH58=0,0,AH31/AH58))</f>
        <v>0</v>
      </c>
      <c r="AJ31" s="1185"/>
      <c r="AK31" s="1185"/>
      <c r="AL31" s="1185"/>
      <c r="AM31" s="1286"/>
      <c r="AN31" s="1286"/>
      <c r="AO31" s="1286"/>
      <c r="AP31" s="1286"/>
      <c r="AQ31" s="3371" t="s">
        <v>44</v>
      </c>
      <c r="AR31" s="3372"/>
      <c r="AS31" s="3371" t="s">
        <v>45</v>
      </c>
      <c r="AT31" s="3372"/>
      <c r="AU31" s="3373" t="s">
        <v>46</v>
      </c>
      <c r="AV31" s="3372"/>
      <c r="AW31" s="3373" t="s">
        <v>47</v>
      </c>
      <c r="AX31" s="3372"/>
      <c r="AY31" s="3373" t="s">
        <v>48</v>
      </c>
      <c r="AZ31" s="3374"/>
      <c r="BA31" s="1286"/>
      <c r="BB31" s="1300"/>
      <c r="BC31" s="1291"/>
      <c r="BD31" s="1291"/>
      <c r="BE31" s="1291"/>
    </row>
    <row r="32" spans="1:59" s="1281" customFormat="1" ht="23.25">
      <c r="A32" s="1244"/>
      <c r="B32" s="1245"/>
      <c r="C32" s="1288">
        <f t="shared" si="0"/>
        <v>0</v>
      </c>
      <c r="D32" s="1247">
        <f t="shared" si="1"/>
        <v>0</v>
      </c>
      <c r="E32" s="1248">
        <f>IF(ISTEXT(Z32),Z32,(Z32/Z7)*E6)</f>
        <v>0</v>
      </c>
      <c r="F32" s="1249">
        <f t="shared" si="2"/>
        <v>0</v>
      </c>
      <c r="G32" s="1248">
        <f>IF(ISTEXT(AB32),AB32,(AB32/AB7)*G6)</f>
        <v>0</v>
      </c>
      <c r="H32" s="1249">
        <f t="shared" si="3"/>
        <v>0</v>
      </c>
      <c r="I32" s="1248">
        <f>IF(ISTEXT(AD32),AD32,(AD32/AD7)*I6)</f>
        <v>0</v>
      </c>
      <c r="J32" s="1249">
        <f t="shared" si="4"/>
        <v>0</v>
      </c>
      <c r="K32" s="1248">
        <f>IF(ISTEXT(AF32),AF32,(AF32/AF7)*K6)</f>
        <v>0</v>
      </c>
      <c r="L32" s="1249">
        <f t="shared" si="5"/>
        <v>0</v>
      </c>
      <c r="M32" s="1248">
        <f>IF(ISTEXT(AH32),AH32,(AH32/AH7)*M6)</f>
        <v>0</v>
      </c>
      <c r="N32" s="1249">
        <f t="shared" si="6"/>
        <v>0</v>
      </c>
      <c r="O32" s="1250">
        <f t="shared" si="9"/>
        <v>0</v>
      </c>
      <c r="P32" s="1251">
        <f t="shared" si="8"/>
        <v>0</v>
      </c>
      <c r="Q32" s="1252">
        <f>IF(ISTEXT(P32),0,IF(P58=0,0,P32/P58))</f>
        <v>0</v>
      </c>
      <c r="R32" s="3421"/>
      <c r="U32" s="1244"/>
      <c r="V32" s="1268"/>
      <c r="W32" s="1269"/>
      <c r="X32" s="1270"/>
      <c r="Y32" s="1265"/>
      <c r="Z32" s="1257"/>
      <c r="AA32" s="1258">
        <f>IF(ISTEXT(Z32),0,IF(Z58=0,0,Z32/Z58))</f>
        <v>0</v>
      </c>
      <c r="AB32" s="1257"/>
      <c r="AC32" s="1258">
        <f>IF(ISTEXT(AB32),0,IF(AB58=0,0,AB32/AB58))</f>
        <v>0</v>
      </c>
      <c r="AD32" s="1257"/>
      <c r="AE32" s="1258">
        <f>IF(ISTEXT(AD32),0,IF(AD58=0,0,AD32/AD58))</f>
        <v>0</v>
      </c>
      <c r="AF32" s="1257"/>
      <c r="AG32" s="1258">
        <f>IF(ISTEXT(AF32),0,IF(AF58=0,0,AF32/AF58))</f>
        <v>0</v>
      </c>
      <c r="AH32" s="1257"/>
      <c r="AI32" s="1259">
        <f>IF(ISTEXT(AH32),0,IF(AH58=0,0,AH32/AH58))</f>
        <v>0</v>
      </c>
      <c r="AJ32" s="1185"/>
      <c r="AK32" s="1185"/>
      <c r="AL32" s="1185"/>
      <c r="AM32" s="1286"/>
      <c r="AN32" s="1286"/>
      <c r="AO32" s="1286"/>
      <c r="AP32" s="1286"/>
      <c r="AQ32" s="1286"/>
      <c r="AR32" s="1286"/>
      <c r="AS32" s="1286"/>
      <c r="AT32" s="1286"/>
      <c r="AU32" s="1286"/>
      <c r="AV32" s="1286"/>
      <c r="AW32" s="14"/>
      <c r="AX32" s="14"/>
      <c r="AY32" s="14"/>
      <c r="AZ32" s="14"/>
      <c r="BA32" s="14"/>
      <c r="BB32" s="1300"/>
      <c r="BC32" s="1291"/>
      <c r="BD32" s="1291"/>
      <c r="BE32" s="1291"/>
    </row>
    <row r="33" spans="1:59" s="1281" customFormat="1" ht="23.25">
      <c r="A33" s="1244"/>
      <c r="B33" s="1245"/>
      <c r="C33" s="1288">
        <f t="shared" si="0"/>
        <v>0</v>
      </c>
      <c r="D33" s="1247">
        <f t="shared" si="1"/>
        <v>0</v>
      </c>
      <c r="E33" s="1248">
        <f>IF(ISTEXT(Z33),Z33,(Z33/Z7)*E6)</f>
        <v>0</v>
      </c>
      <c r="F33" s="1249">
        <f t="shared" si="2"/>
        <v>0</v>
      </c>
      <c r="G33" s="1248">
        <f>IF(ISTEXT(AB33),AB33,(AB33/AB7)*G6)</f>
        <v>0</v>
      </c>
      <c r="H33" s="1249">
        <f t="shared" si="3"/>
        <v>0</v>
      </c>
      <c r="I33" s="1248">
        <f>IF(ISTEXT(AD33),AD33,(AD33/AD7)*I6)</f>
        <v>0</v>
      </c>
      <c r="J33" s="1249">
        <f t="shared" si="4"/>
        <v>0</v>
      </c>
      <c r="K33" s="1248">
        <f>IF(ISTEXT(AF33),AF33,(AF33/AF7)*K6)</f>
        <v>0</v>
      </c>
      <c r="L33" s="1249">
        <f t="shared" si="5"/>
        <v>0</v>
      </c>
      <c r="M33" s="1248">
        <f>IF(ISTEXT(AH33),AH33,(AH33/AH7)*M6)</f>
        <v>0</v>
      </c>
      <c r="N33" s="1249">
        <f t="shared" si="6"/>
        <v>0</v>
      </c>
      <c r="O33" s="1250">
        <f t="shared" si="9"/>
        <v>0</v>
      </c>
      <c r="P33" s="1251">
        <f t="shared" si="8"/>
        <v>0</v>
      </c>
      <c r="Q33" s="1252">
        <f>IF(ISTEXT(P33),0,IF(P58=0,0,P33/P58))</f>
        <v>0</v>
      </c>
      <c r="R33" s="3421"/>
      <c r="U33" s="1244"/>
      <c r="V33" s="1268"/>
      <c r="W33" s="1269"/>
      <c r="X33" s="1270"/>
      <c r="Y33" s="1265"/>
      <c r="Z33" s="1257"/>
      <c r="AA33" s="1258">
        <f>IF(ISTEXT(Z33),0,IF(Z58=0,0,Z33/Z58))</f>
        <v>0</v>
      </c>
      <c r="AB33" s="1257"/>
      <c r="AC33" s="1258">
        <f>IF(ISTEXT(AB33),0,IF(AB58=0,0,AB33/AB58))</f>
        <v>0</v>
      </c>
      <c r="AD33" s="1257"/>
      <c r="AE33" s="1258">
        <f>IF(ISTEXT(AD33),0,IF(AD58=0,0,AD33/AD58))</f>
        <v>0</v>
      </c>
      <c r="AF33" s="1257"/>
      <c r="AG33" s="1258">
        <f>IF(ISTEXT(AF33),0,IF(AF58=0,0,AF33/AF58))</f>
        <v>0</v>
      </c>
      <c r="AH33" s="1257"/>
      <c r="AI33" s="1259">
        <f>IF(ISTEXT(AH33),0,IF(AH58=0,0,AH33/AH58))</f>
        <v>0</v>
      </c>
      <c r="AJ33" s="1185"/>
      <c r="AK33" s="1185"/>
      <c r="AL33" s="1185"/>
      <c r="AM33" s="1286"/>
      <c r="AN33" s="1286"/>
      <c r="AO33" s="1286"/>
      <c r="AP33" s="1286"/>
      <c r="AQ33" s="1286"/>
      <c r="AR33" s="1286"/>
      <c r="AS33" s="1286"/>
      <c r="AT33" s="1286"/>
      <c r="AU33" s="1286"/>
      <c r="AV33" s="1286"/>
      <c r="AW33" s="14"/>
      <c r="AX33" s="14"/>
      <c r="AY33" s="14"/>
      <c r="AZ33" s="14"/>
      <c r="BA33" s="14"/>
      <c r="BB33" s="1300"/>
      <c r="BC33" s="1291"/>
      <c r="BD33" s="1291"/>
      <c r="BE33" s="1291"/>
    </row>
    <row r="34" spans="1:59" s="1281" customFormat="1" ht="31.5">
      <c r="A34" s="1244"/>
      <c r="B34" s="1245"/>
      <c r="C34" s="1288">
        <f t="shared" si="0"/>
        <v>0</v>
      </c>
      <c r="D34" s="1247">
        <f t="shared" si="1"/>
        <v>0</v>
      </c>
      <c r="E34" s="1248">
        <f>IF(ISTEXT(Z34),Z34,(Z34/Z7)*E6)</f>
        <v>0</v>
      </c>
      <c r="F34" s="1249">
        <f t="shared" si="2"/>
        <v>0</v>
      </c>
      <c r="G34" s="1248">
        <f>IF(ISTEXT(AB34),AB34,(AB34/AB7)*G6)</f>
        <v>0</v>
      </c>
      <c r="H34" s="1249">
        <f t="shared" si="3"/>
        <v>0</v>
      </c>
      <c r="I34" s="1248">
        <f>IF(ISTEXT(AD34),AD34,(AD34/AD7)*I6)</f>
        <v>0</v>
      </c>
      <c r="J34" s="1249">
        <f t="shared" si="4"/>
        <v>0</v>
      </c>
      <c r="K34" s="1248">
        <f>IF(ISTEXT(AF34),AF34,(AF34/AF7)*K6)</f>
        <v>0</v>
      </c>
      <c r="L34" s="1249">
        <f t="shared" si="5"/>
        <v>0</v>
      </c>
      <c r="M34" s="1248">
        <f>IF(ISTEXT(AH34),AH34,(AH34/AH7)*M6)</f>
        <v>0</v>
      </c>
      <c r="N34" s="1249">
        <f t="shared" si="6"/>
        <v>0</v>
      </c>
      <c r="O34" s="1250">
        <f t="shared" si="9"/>
        <v>0</v>
      </c>
      <c r="P34" s="1251">
        <f t="shared" si="8"/>
        <v>0</v>
      </c>
      <c r="Q34" s="1252">
        <f>IF(ISTEXT(P34),0,IF(P58=0,0,P34/P58))</f>
        <v>0</v>
      </c>
      <c r="R34" s="3421"/>
      <c r="U34" s="1244"/>
      <c r="V34" s="1268"/>
      <c r="W34" s="1269"/>
      <c r="X34" s="1270"/>
      <c r="Y34" s="1265"/>
      <c r="Z34" s="1257"/>
      <c r="AA34" s="1258">
        <f>IF(ISTEXT(Z34),0,IF(Z58=0,0,Z34/Z58))</f>
        <v>0</v>
      </c>
      <c r="AB34" s="1257"/>
      <c r="AC34" s="1258">
        <f>IF(ISTEXT(AB34),0,IF(AB58=0,0,AB34/AB58))</f>
        <v>0</v>
      </c>
      <c r="AD34" s="1257"/>
      <c r="AE34" s="1258">
        <f>IF(ISTEXT(AD34),0,IF(AD58=0,0,AD34/AD58))</f>
        <v>0</v>
      </c>
      <c r="AF34" s="1257"/>
      <c r="AG34" s="1258">
        <f>IF(ISTEXT(AF34),0,IF(AF58=0,0,AF34/AF58))</f>
        <v>0</v>
      </c>
      <c r="AH34" s="1257"/>
      <c r="AI34" s="1259">
        <f>IF(ISTEXT(AH34),0,IF(AH58=0,0,AH34/AH58))</f>
        <v>0</v>
      </c>
      <c r="AJ34" s="1185"/>
      <c r="AK34" s="1185"/>
      <c r="AL34" s="1274" t="s">
        <v>49</v>
      </c>
      <c r="AM34" s="1286"/>
      <c r="AN34" s="1197" t="s">
        <v>50</v>
      </c>
      <c r="AO34" s="1286"/>
      <c r="AP34" s="1286"/>
      <c r="AQ34" s="1286"/>
      <c r="AR34" s="1286"/>
      <c r="AS34" s="1286"/>
      <c r="AT34" s="1286"/>
      <c r="AU34" s="1286"/>
      <c r="AV34" s="1286"/>
      <c r="AW34" s="14"/>
      <c r="AX34" s="14"/>
      <c r="AY34" s="14"/>
      <c r="AZ34" s="14"/>
      <c r="BA34" s="14"/>
      <c r="BB34" s="1300"/>
      <c r="BC34" s="1291"/>
      <c r="BD34" s="1291"/>
      <c r="BE34" s="1291"/>
    </row>
    <row r="35" spans="1:59" s="1281" customFormat="1" ht="23.25">
      <c r="A35" s="1244"/>
      <c r="B35" s="1245"/>
      <c r="C35" s="1288">
        <f t="shared" si="0"/>
        <v>0</v>
      </c>
      <c r="D35" s="1247">
        <f t="shared" si="1"/>
        <v>0</v>
      </c>
      <c r="E35" s="1248">
        <f>IF(ISTEXT(Z35),Z35,(Z35/Z7)*E6)</f>
        <v>0</v>
      </c>
      <c r="F35" s="1249">
        <f t="shared" si="2"/>
        <v>0</v>
      </c>
      <c r="G35" s="1248">
        <f>IF(ISTEXT(AB35),AB35,(AB35/AB7)*G6)</f>
        <v>0</v>
      </c>
      <c r="H35" s="1249">
        <f t="shared" si="3"/>
        <v>0</v>
      </c>
      <c r="I35" s="1248">
        <f>IF(ISTEXT(AD35),AD35,(AD35/AD7)*I6)</f>
        <v>0</v>
      </c>
      <c r="J35" s="1249">
        <f t="shared" si="4"/>
        <v>0</v>
      </c>
      <c r="K35" s="1248">
        <f>IF(ISTEXT(AF35),AF35,(AF35/AF7)*K6)</f>
        <v>0</v>
      </c>
      <c r="L35" s="1249">
        <f t="shared" si="5"/>
        <v>0</v>
      </c>
      <c r="M35" s="1248">
        <f>IF(ISTEXT(AH35),AH35,(AH35/AH7)*M6)</f>
        <v>0</v>
      </c>
      <c r="N35" s="1249">
        <f t="shared" si="6"/>
        <v>0</v>
      </c>
      <c r="O35" s="1250">
        <f t="shared" si="9"/>
        <v>0</v>
      </c>
      <c r="P35" s="1251">
        <f t="shared" si="8"/>
        <v>0</v>
      </c>
      <c r="Q35" s="1252">
        <f>IF(ISTEXT(P35),0,IF(P58=0,0,P35/P58))</f>
        <v>0</v>
      </c>
      <c r="R35" s="3421"/>
      <c r="U35" s="1244"/>
      <c r="V35" s="1268"/>
      <c r="W35" s="1269"/>
      <c r="X35" s="1270"/>
      <c r="Y35" s="1265"/>
      <c r="Z35" s="1257"/>
      <c r="AA35" s="1258">
        <f>IF(ISTEXT(Z35),0,IF(Z58=0,0,Z35/Z58))</f>
        <v>0</v>
      </c>
      <c r="AB35" s="1257"/>
      <c r="AC35" s="1258">
        <f>IF(ISTEXT(AB35),0,IF(AB58=0,0,AB35/AB58))</f>
        <v>0</v>
      </c>
      <c r="AD35" s="1257"/>
      <c r="AE35" s="1258">
        <f>IF(ISTEXT(AD35),0,IF(AD58=0,0,AD35/AD58))</f>
        <v>0</v>
      </c>
      <c r="AF35" s="1257"/>
      <c r="AG35" s="1258">
        <f>IF(ISTEXT(AF35),0,IF(AF58=0,0,AF35/AF58))</f>
        <v>0</v>
      </c>
      <c r="AH35" s="1257"/>
      <c r="AI35" s="1259">
        <f>IF(ISTEXT(AH35),0,IF(AH58=0,0,AH35/AH58))</f>
        <v>0</v>
      </c>
      <c r="AJ35" s="1179"/>
      <c r="AK35" s="1185"/>
      <c r="AL35" s="1185"/>
      <c r="AM35" s="1286"/>
      <c r="AN35" s="1197" t="s">
        <v>51</v>
      </c>
      <c r="AO35" s="1286"/>
      <c r="AP35" s="1286"/>
      <c r="AQ35" s="1286"/>
      <c r="AR35" s="1286"/>
      <c r="AS35" s="1286"/>
      <c r="AT35" s="1286"/>
      <c r="AU35" s="1286"/>
      <c r="AV35" s="1286"/>
      <c r="AW35" s="14"/>
      <c r="AX35" s="14"/>
      <c r="AY35" s="14"/>
      <c r="AZ35" s="14"/>
      <c r="BA35" s="14"/>
      <c r="BB35" s="1300"/>
      <c r="BC35" s="1291"/>
      <c r="BD35" s="1291"/>
      <c r="BE35" s="1291"/>
    </row>
    <row r="36" spans="1:59" s="1281" customFormat="1" ht="23.25">
      <c r="A36" s="1244"/>
      <c r="B36" s="1245"/>
      <c r="C36" s="1288">
        <f t="shared" si="0"/>
        <v>0</v>
      </c>
      <c r="D36" s="1247">
        <f t="shared" si="1"/>
        <v>0</v>
      </c>
      <c r="E36" s="1248">
        <f>IF(ISTEXT(Z36),Z36,(Z36/Z7)*E6)</f>
        <v>0</v>
      </c>
      <c r="F36" s="1249">
        <f t="shared" si="2"/>
        <v>0</v>
      </c>
      <c r="G36" s="1248">
        <f>IF(ISTEXT(AB36),AB36,(AB36/AB7)*G6)</f>
        <v>0</v>
      </c>
      <c r="H36" s="1249">
        <f t="shared" si="3"/>
        <v>0</v>
      </c>
      <c r="I36" s="1248">
        <f>IF(ISTEXT(AD36),AD36,(AD36/AD7)*I6)</f>
        <v>0</v>
      </c>
      <c r="J36" s="1249">
        <f t="shared" si="4"/>
        <v>0</v>
      </c>
      <c r="K36" s="1248">
        <f>IF(ISTEXT(AF36),AF36,(AF36/AF7)*K6)</f>
        <v>0</v>
      </c>
      <c r="L36" s="1249">
        <f t="shared" si="5"/>
        <v>0</v>
      </c>
      <c r="M36" s="1248">
        <f>IF(ISTEXT(AH36),AH36,(AH36/AH7)*M6)</f>
        <v>0</v>
      </c>
      <c r="N36" s="1249">
        <f t="shared" si="6"/>
        <v>0</v>
      </c>
      <c r="O36" s="1250">
        <f t="shared" si="9"/>
        <v>0</v>
      </c>
      <c r="P36" s="1251">
        <f t="shared" si="8"/>
        <v>0</v>
      </c>
      <c r="Q36" s="1252">
        <f>IF(ISTEXT(P36),0,IF(P58=0,0,P36/P58))</f>
        <v>0</v>
      </c>
      <c r="R36" s="3421"/>
      <c r="U36" s="1244"/>
      <c r="V36" s="1268"/>
      <c r="W36" s="1269"/>
      <c r="X36" s="1270"/>
      <c r="Y36" s="1265"/>
      <c r="Z36" s="1257"/>
      <c r="AA36" s="1258">
        <f>IF(ISTEXT(Z36),0,IF(Z58=0,0,Z36/Z58))</f>
        <v>0</v>
      </c>
      <c r="AB36" s="1257"/>
      <c r="AC36" s="1258">
        <f>IF(ISTEXT(AB36),0,IF(AB58=0,0,AB36/AB58))</f>
        <v>0</v>
      </c>
      <c r="AD36" s="1257"/>
      <c r="AE36" s="1258">
        <f>IF(ISTEXT(AD36),0,IF(AD58=0,0,AD36/AD58))</f>
        <v>0</v>
      </c>
      <c r="AF36" s="1257"/>
      <c r="AG36" s="1258">
        <f>IF(ISTEXT(AF36),0,IF(AF58=0,0,AF36/AF58))</f>
        <v>0</v>
      </c>
      <c r="AH36" s="1257"/>
      <c r="AI36" s="1259">
        <f>IF(ISTEXT(AH36),0,IF(AH58=0,0,AH36/AH58))</f>
        <v>0</v>
      </c>
      <c r="AJ36" s="1179"/>
      <c r="AK36" s="1185"/>
      <c r="AL36" s="1185"/>
      <c r="AM36" s="1286"/>
      <c r="AN36" s="1286"/>
      <c r="AO36" s="1286"/>
      <c r="AP36" s="1286"/>
      <c r="AQ36" s="3360" t="s">
        <v>52</v>
      </c>
      <c r="AR36" s="3360"/>
      <c r="AS36" s="3360" t="s">
        <v>53</v>
      </c>
      <c r="AT36" s="3360"/>
      <c r="AU36" s="3360" t="s">
        <v>54</v>
      </c>
      <c r="AV36" s="3360"/>
      <c r="AW36" s="3360" t="s">
        <v>55</v>
      </c>
      <c r="AX36" s="3360"/>
      <c r="AY36" s="3360" t="s">
        <v>56</v>
      </c>
      <c r="AZ36" s="3360"/>
      <c r="BA36" s="14"/>
      <c r="BB36" s="1300"/>
      <c r="BC36" s="1291"/>
      <c r="BD36" s="1291"/>
      <c r="BE36" s="1291"/>
    </row>
    <row r="37" spans="1:59" s="1281" customFormat="1" ht="23.25">
      <c r="A37" s="1244"/>
      <c r="B37" s="1245"/>
      <c r="C37" s="1288">
        <f t="shared" si="0"/>
        <v>0</v>
      </c>
      <c r="D37" s="1247">
        <f t="shared" si="1"/>
        <v>0</v>
      </c>
      <c r="E37" s="1248">
        <f>IF(ISTEXT(Z37),Z37,(Z37/Z7)*E6)</f>
        <v>0</v>
      </c>
      <c r="F37" s="1249">
        <f t="shared" si="2"/>
        <v>0</v>
      </c>
      <c r="G37" s="1248">
        <f>IF(ISTEXT(AB37),AB37,(AB37/AB7)*G6)</f>
        <v>0</v>
      </c>
      <c r="H37" s="1249">
        <f t="shared" si="3"/>
        <v>0</v>
      </c>
      <c r="I37" s="1248">
        <f>IF(ISTEXT(AD37),AD37,(AD37/AD7)*I6)</f>
        <v>0</v>
      </c>
      <c r="J37" s="1249">
        <f t="shared" si="4"/>
        <v>0</v>
      </c>
      <c r="K37" s="1248">
        <f>IF(ISTEXT(AF37),AF37,(AF37/AF7)*K6)</f>
        <v>0</v>
      </c>
      <c r="L37" s="1249">
        <f t="shared" si="5"/>
        <v>0</v>
      </c>
      <c r="M37" s="1248">
        <f>IF(ISTEXT(AH37),AH37,(AH37/AH7)*M6)</f>
        <v>0</v>
      </c>
      <c r="N37" s="1249">
        <f t="shared" si="6"/>
        <v>0</v>
      </c>
      <c r="O37" s="1250">
        <f t="shared" si="9"/>
        <v>0</v>
      </c>
      <c r="P37" s="1251">
        <f t="shared" si="8"/>
        <v>0</v>
      </c>
      <c r="Q37" s="1252">
        <f>IF(ISTEXT(P37),0,IF(P58=0,0,P37/P58))</f>
        <v>0</v>
      </c>
      <c r="R37" s="3421"/>
      <c r="U37" s="1244"/>
      <c r="V37" s="1268"/>
      <c r="W37" s="1269"/>
      <c r="X37" s="1270"/>
      <c r="Y37" s="1265"/>
      <c r="Z37" s="1257"/>
      <c r="AA37" s="1258">
        <f>IF(ISTEXT(Z37),0,IF(Z58=0,0,Z37/Z58))</f>
        <v>0</v>
      </c>
      <c r="AB37" s="1257"/>
      <c r="AC37" s="1258">
        <f>IF(ISTEXT(AB37),0,IF(AB58=0,0,AB37/AB58))</f>
        <v>0</v>
      </c>
      <c r="AD37" s="1257"/>
      <c r="AE37" s="1258">
        <f>IF(ISTEXT(AD37),0,IF(AD58=0,0,AD37/AD58))</f>
        <v>0</v>
      </c>
      <c r="AF37" s="1257"/>
      <c r="AG37" s="1258">
        <f>IF(ISTEXT(AF37),0,IF(AF58=0,0,AF37/AF58))</f>
        <v>0</v>
      </c>
      <c r="AH37" s="1257"/>
      <c r="AI37" s="1259">
        <f>IF(ISTEXT(AH37),0,IF(AH58=0,0,AH37/AH58))</f>
        <v>0</v>
      </c>
      <c r="AJ37" s="1179"/>
      <c r="AK37" s="1185"/>
      <c r="AL37" s="1185"/>
      <c r="AM37" s="1301"/>
      <c r="AN37" s="1302"/>
      <c r="AO37" s="1236" t="s">
        <v>57</v>
      </c>
      <c r="AP37" s="1303" t="s">
        <v>22</v>
      </c>
      <c r="AQ37" s="1304">
        <v>10</v>
      </c>
      <c r="AR37" s="1305" t="s">
        <v>58</v>
      </c>
      <c r="AS37" s="1304">
        <v>10</v>
      </c>
      <c r="AT37" s="1305" t="s">
        <v>58</v>
      </c>
      <c r="AU37" s="1304">
        <v>10</v>
      </c>
      <c r="AV37" s="1305" t="s">
        <v>58</v>
      </c>
      <c r="AW37" s="1304">
        <v>10</v>
      </c>
      <c r="AX37" s="1305" t="s">
        <v>58</v>
      </c>
      <c r="AY37" s="1304">
        <v>10</v>
      </c>
      <c r="AZ37" s="1306" t="s">
        <v>58</v>
      </c>
      <c r="BA37" s="1286"/>
      <c r="BB37" s="1300"/>
      <c r="BC37" s="1291"/>
      <c r="BD37" s="1291"/>
      <c r="BE37" s="1291"/>
    </row>
    <row r="38" spans="1:59" s="1281" customFormat="1" ht="23.25">
      <c r="A38" s="1244"/>
      <c r="B38" s="1245"/>
      <c r="C38" s="1288">
        <f t="shared" si="0"/>
        <v>0</v>
      </c>
      <c r="D38" s="1247">
        <f t="shared" si="1"/>
        <v>0</v>
      </c>
      <c r="E38" s="1248">
        <f>IF(ISTEXT(Z38),Z38,(Z38/Z7)*E6)</f>
        <v>0</v>
      </c>
      <c r="F38" s="1249">
        <f t="shared" si="2"/>
        <v>0</v>
      </c>
      <c r="G38" s="1248">
        <f>IF(ISTEXT(AB38),AB38,(AB38/AB7)*G6)</f>
        <v>0</v>
      </c>
      <c r="H38" s="1249">
        <f t="shared" si="3"/>
        <v>0</v>
      </c>
      <c r="I38" s="1248">
        <f>IF(ISTEXT(AD38),AD38,(AD38/AD7)*I6)</f>
        <v>0</v>
      </c>
      <c r="J38" s="1249">
        <f t="shared" si="4"/>
        <v>0</v>
      </c>
      <c r="K38" s="1248">
        <f>IF(ISTEXT(AF38),AF38,(AF38/AF7)*K6)</f>
        <v>0</v>
      </c>
      <c r="L38" s="1249">
        <f t="shared" si="5"/>
        <v>0</v>
      </c>
      <c r="M38" s="1248">
        <f>IF(ISTEXT(AH38),AH38,(AH38/AH7)*M6)</f>
        <v>0</v>
      </c>
      <c r="N38" s="1249">
        <f t="shared" si="6"/>
        <v>0</v>
      </c>
      <c r="O38" s="1250">
        <f t="shared" si="9"/>
        <v>0</v>
      </c>
      <c r="P38" s="1251">
        <f t="shared" si="8"/>
        <v>0</v>
      </c>
      <c r="Q38" s="1252">
        <f>IF(ISTEXT(P38),0,IF(P58=0,0,P38/P58))</f>
        <v>0</v>
      </c>
      <c r="R38" s="3421"/>
      <c r="U38" s="1244"/>
      <c r="V38" s="1268"/>
      <c r="W38" s="1269"/>
      <c r="X38" s="1270"/>
      <c r="Y38" s="1265"/>
      <c r="Z38" s="1257"/>
      <c r="AA38" s="1258">
        <f>IF(ISTEXT(Z38),0,IF(Z58=0,0,Z38/Z58))</f>
        <v>0</v>
      </c>
      <c r="AB38" s="1257"/>
      <c r="AC38" s="1258">
        <f>IF(ISTEXT(AB38),0,IF(AB58=0,0,AB38/AB58))</f>
        <v>0</v>
      </c>
      <c r="AD38" s="1257"/>
      <c r="AE38" s="1258">
        <f>IF(ISTEXT(AD38),0,IF(AD58=0,0,AD38/AD58))</f>
        <v>0</v>
      </c>
      <c r="AF38" s="1257"/>
      <c r="AG38" s="1258">
        <f>IF(ISTEXT(AF38),0,IF(AF58=0,0,AF38/AF58))</f>
        <v>0</v>
      </c>
      <c r="AH38" s="1257"/>
      <c r="AI38" s="1259">
        <f>IF(ISTEXT(AH38),0,IF(AH58=0,0,AH38/AH58))</f>
        <v>0</v>
      </c>
      <c r="AJ38" s="1185"/>
      <c r="AK38" s="1185"/>
      <c r="AL38" s="1185"/>
      <c r="AM38" s="1286"/>
      <c r="AN38" s="1286"/>
      <c r="AO38" s="1286"/>
      <c r="AP38" s="1286"/>
      <c r="AQ38" s="1286"/>
      <c r="AR38" s="1286"/>
      <c r="AS38" s="1286"/>
      <c r="AT38" s="1286"/>
      <c r="AU38" s="1286"/>
      <c r="AV38" s="1286"/>
      <c r="AW38" s="1286"/>
      <c r="AX38" s="1286"/>
      <c r="AY38" s="1286"/>
      <c r="AZ38" s="1286"/>
      <c r="BA38" s="1286"/>
      <c r="BB38" s="1300"/>
      <c r="BC38" s="1291"/>
      <c r="BD38" s="1291"/>
      <c r="BE38" s="1291"/>
    </row>
    <row r="39" spans="1:59" s="1281" customFormat="1" ht="69.75" customHeight="1">
      <c r="A39" s="1244"/>
      <c r="B39" s="1245"/>
      <c r="C39" s="1288">
        <f t="shared" si="0"/>
        <v>0</v>
      </c>
      <c r="D39" s="1247">
        <f t="shared" si="1"/>
        <v>0</v>
      </c>
      <c r="E39" s="1248">
        <f>IF(ISTEXT(Z39),Z39,(Z39/Z7)*E6)</f>
        <v>0</v>
      </c>
      <c r="F39" s="1249">
        <f t="shared" si="2"/>
        <v>0</v>
      </c>
      <c r="G39" s="1248">
        <f>IF(ISTEXT(AB39),AB39,(AB39/AB7)*G6)</f>
        <v>0</v>
      </c>
      <c r="H39" s="1249">
        <f t="shared" si="3"/>
        <v>0</v>
      </c>
      <c r="I39" s="1248">
        <f>IF(ISTEXT(AD39),AD39,(AD39/AD7)*I6)</f>
        <v>0</v>
      </c>
      <c r="J39" s="1249">
        <f t="shared" si="4"/>
        <v>0</v>
      </c>
      <c r="K39" s="1248">
        <f>IF(ISTEXT(AF39),AF39,(AF39/AF7)*K6)</f>
        <v>0</v>
      </c>
      <c r="L39" s="1249">
        <f t="shared" si="5"/>
        <v>0</v>
      </c>
      <c r="M39" s="1248">
        <f>IF(ISTEXT(AH39),AH39,(AH39/AH7)*M6)</f>
        <v>0</v>
      </c>
      <c r="N39" s="1249">
        <f t="shared" si="6"/>
        <v>0</v>
      </c>
      <c r="O39" s="1250">
        <f t="shared" si="9"/>
        <v>0</v>
      </c>
      <c r="P39" s="1251">
        <f t="shared" si="8"/>
        <v>0</v>
      </c>
      <c r="Q39" s="1252">
        <f>IF(ISTEXT(P39),0,IF(P58=0,0,P39/P58))</f>
        <v>0</v>
      </c>
      <c r="R39" s="3421"/>
      <c r="U39" s="1244"/>
      <c r="V39" s="1268"/>
      <c r="W39" s="1269"/>
      <c r="X39" s="1270"/>
      <c r="Y39" s="1265"/>
      <c r="Z39" s="1257"/>
      <c r="AA39" s="1258">
        <f>IF(ISTEXT(Z39),0,IF(Z58=0,0,Z39/Z58))</f>
        <v>0</v>
      </c>
      <c r="AB39" s="1257"/>
      <c r="AC39" s="1258">
        <f>IF(ISTEXT(AB39),0,IF(AB58=0,0,AB39/AB58))</f>
        <v>0</v>
      </c>
      <c r="AD39" s="1257"/>
      <c r="AE39" s="1258">
        <f>IF(ISTEXT(AD39),0,IF(AD58=0,0,AD39/AD58))</f>
        <v>0</v>
      </c>
      <c r="AF39" s="1257"/>
      <c r="AG39" s="1258">
        <f>IF(ISTEXT(AF39),0,IF(AF58=0,0,AF39/AF58))</f>
        <v>0</v>
      </c>
      <c r="AH39" s="1257"/>
      <c r="AI39" s="1259">
        <f>IF(ISTEXT(AH39),0,IF(AH58=0,0,AH39/AH58))</f>
        <v>0</v>
      </c>
      <c r="AJ39" s="1185"/>
      <c r="AK39" s="1185"/>
      <c r="AL39" s="1185"/>
      <c r="AM39" s="1286"/>
      <c r="AN39" s="1286"/>
      <c r="AO39" s="1286"/>
      <c r="AP39" s="1286"/>
      <c r="AQ39" s="1286"/>
      <c r="AR39" s="1286"/>
      <c r="AS39" s="1286"/>
      <c r="AT39" s="1286"/>
      <c r="AU39" s="1286"/>
      <c r="AV39" s="1286"/>
      <c r="AW39" s="1286"/>
      <c r="AX39" s="1286"/>
      <c r="AY39" s="1286"/>
      <c r="AZ39" s="1286"/>
      <c r="BA39" s="1286"/>
      <c r="BB39" s="1300"/>
      <c r="BC39" s="1291"/>
      <c r="BD39" s="1291"/>
      <c r="BE39" s="1291"/>
    </row>
    <row r="40" spans="1:59" s="1281" customFormat="1" ht="31.5">
      <c r="A40" s="1244"/>
      <c r="B40" s="1245"/>
      <c r="C40" s="1288">
        <f t="shared" si="0"/>
        <v>0</v>
      </c>
      <c r="D40" s="1247">
        <f t="shared" si="1"/>
        <v>0</v>
      </c>
      <c r="E40" s="1248">
        <f>IF(ISTEXT(Z40),Z40,(Z40/Z7)*E6)</f>
        <v>0</v>
      </c>
      <c r="F40" s="1249">
        <f t="shared" ref="F40:F57" si="10">IF(ISTEXT(E40),0,E40*Y40)</f>
        <v>0</v>
      </c>
      <c r="G40" s="1248">
        <f>IF(ISTEXT(AB40),AB40,(AB40/AB7)*G6)</f>
        <v>0</v>
      </c>
      <c r="H40" s="1249">
        <f t="shared" ref="H40:H57" si="11">IF(ISTEXT(G40),0,G40*Y40)</f>
        <v>0</v>
      </c>
      <c r="I40" s="1248">
        <f>IF(ISTEXT(AD40),AD40,(AD40/AD7)*I6)</f>
        <v>0</v>
      </c>
      <c r="J40" s="1249">
        <f t="shared" ref="J40:J57" si="12">IF(ISTEXT(I40),0,I40*Y40)</f>
        <v>0</v>
      </c>
      <c r="K40" s="1248">
        <f>IF(ISTEXT(AF40),AF40,(AF40/AF7)*K6)</f>
        <v>0</v>
      </c>
      <c r="L40" s="1249">
        <f t="shared" ref="L40:L57" si="13">IF(ISTEXT(K40),0,K40*Y40)</f>
        <v>0</v>
      </c>
      <c r="M40" s="1248">
        <f>IF(ISTEXT(AH40),AH40,(AH40/AH7)*M6)</f>
        <v>0</v>
      </c>
      <c r="N40" s="1249">
        <f t="shared" ref="N40:N57" si="14">IF(ISTEXT(M40),0,M40*Y40)</f>
        <v>0</v>
      </c>
      <c r="O40" s="1250">
        <f t="shared" si="9"/>
        <v>0</v>
      </c>
      <c r="P40" s="1251">
        <f t="shared" ref="P40:P57" si="15">O40*Y40</f>
        <v>0</v>
      </c>
      <c r="Q40" s="1252">
        <f>IF(ISTEXT(P40),0,IF(P58=0,0,P40/P58))</f>
        <v>0</v>
      </c>
      <c r="R40" s="3421"/>
      <c r="U40" s="1244"/>
      <c r="V40" s="1268"/>
      <c r="W40" s="1269"/>
      <c r="X40" s="1270"/>
      <c r="Y40" s="1265"/>
      <c r="Z40" s="1257"/>
      <c r="AA40" s="1258">
        <f>IF(ISTEXT(Z40),0,IF(Z58=0,0,Z40/Z58))</f>
        <v>0</v>
      </c>
      <c r="AB40" s="1257"/>
      <c r="AC40" s="1258">
        <f>IF(ISTEXT(AB40),0,IF(AB58=0,0,AB40/AB58))</f>
        <v>0</v>
      </c>
      <c r="AD40" s="1257"/>
      <c r="AE40" s="1258">
        <f>IF(ISTEXT(AD40),0,IF(AD58=0,0,AD40/AD58))</f>
        <v>0</v>
      </c>
      <c r="AF40" s="1257"/>
      <c r="AG40" s="1258">
        <f>IF(ISTEXT(AF40),0,IF(AF58=0,0,AF40/AF58))</f>
        <v>0</v>
      </c>
      <c r="AH40" s="1257"/>
      <c r="AI40" s="1259">
        <f>IF(ISTEXT(AH40),0,IF(AH58=0,0,AH40/AH58))</f>
        <v>0</v>
      </c>
      <c r="AJ40" s="1185"/>
      <c r="AK40" s="1185"/>
      <c r="AL40" s="1274" t="s">
        <v>59</v>
      </c>
      <c r="AM40" s="1286"/>
      <c r="AN40" s="1197" t="s">
        <v>60</v>
      </c>
      <c r="AO40" s="1286"/>
      <c r="AP40" s="1286"/>
      <c r="AQ40" s="1286"/>
      <c r="AR40" s="1286"/>
      <c r="AS40" s="1286"/>
      <c r="AT40" s="1286"/>
      <c r="AU40" s="1286"/>
      <c r="AV40" s="1286"/>
      <c r="AW40" s="1286"/>
      <c r="AX40" s="1286"/>
      <c r="AY40" s="1286"/>
      <c r="AZ40" s="1286"/>
      <c r="BA40" s="1286"/>
      <c r="BB40" s="1300"/>
      <c r="BC40" s="1291"/>
      <c r="BD40" s="1291"/>
      <c r="BE40" s="1291"/>
    </row>
    <row r="41" spans="1:59" s="1281" customFormat="1" ht="23.25">
      <c r="A41" s="1244"/>
      <c r="B41" s="1245"/>
      <c r="C41" s="1288">
        <f t="shared" si="0"/>
        <v>0</v>
      </c>
      <c r="D41" s="1247">
        <f t="shared" si="1"/>
        <v>0</v>
      </c>
      <c r="E41" s="1248">
        <f>IF(ISTEXT(Z41),Z41,(Z41/Z7)*E6)</f>
        <v>0</v>
      </c>
      <c r="F41" s="1249">
        <f t="shared" si="10"/>
        <v>0</v>
      </c>
      <c r="G41" s="1248">
        <f>IF(ISTEXT(AB41),AB41,(AB41/AB7)*G6)</f>
        <v>0</v>
      </c>
      <c r="H41" s="1249">
        <f t="shared" si="11"/>
        <v>0</v>
      </c>
      <c r="I41" s="1248">
        <f>IF(ISTEXT(AD41),AD41,(AD41/AD7)*I6)</f>
        <v>0</v>
      </c>
      <c r="J41" s="1249">
        <f t="shared" si="12"/>
        <v>0</v>
      </c>
      <c r="K41" s="1248">
        <f>IF(ISTEXT(AF41),AF41,(AF41/AF7)*K6)</f>
        <v>0</v>
      </c>
      <c r="L41" s="1249">
        <f t="shared" si="13"/>
        <v>0</v>
      </c>
      <c r="M41" s="1248">
        <f>IF(ISTEXT(AH41),AH41,(AH41/AH7)*M6)</f>
        <v>0</v>
      </c>
      <c r="N41" s="1249">
        <f t="shared" si="14"/>
        <v>0</v>
      </c>
      <c r="O41" s="1250">
        <f t="shared" si="9"/>
        <v>0</v>
      </c>
      <c r="P41" s="1251">
        <f t="shared" si="15"/>
        <v>0</v>
      </c>
      <c r="Q41" s="1252">
        <f>IF(ISTEXT(P41),0,IF(P58=0,0,P41/P58))</f>
        <v>0</v>
      </c>
      <c r="R41" s="3421"/>
      <c r="U41" s="1244"/>
      <c r="V41" s="1268"/>
      <c r="W41" s="1269"/>
      <c r="X41" s="1270"/>
      <c r="Y41" s="1265"/>
      <c r="Z41" s="1257"/>
      <c r="AA41" s="1258">
        <f>IF(ISTEXT(Z41),0,IF(Z58=0,0,Z41/Z58))</f>
        <v>0</v>
      </c>
      <c r="AB41" s="1257"/>
      <c r="AC41" s="1258">
        <f>IF(ISTEXT(AB41),0,IF(AB58=0,0,AB41/AB58))</f>
        <v>0</v>
      </c>
      <c r="AD41" s="1257"/>
      <c r="AE41" s="1258">
        <f>IF(ISTEXT(AD41),0,IF(AD58=0,0,AD41/AD58))</f>
        <v>0</v>
      </c>
      <c r="AF41" s="1257"/>
      <c r="AG41" s="1258">
        <f>IF(ISTEXT(AF41),0,IF(AF58=0,0,AF41/AF58))</f>
        <v>0</v>
      </c>
      <c r="AH41" s="1257"/>
      <c r="AI41" s="1259">
        <f>IF(ISTEXT(AH41),0,IF(AH58=0,0,AH41/AH58))</f>
        <v>0</v>
      </c>
      <c r="AJ41" s="1185"/>
      <c r="AK41" s="1185"/>
      <c r="AL41" s="1185"/>
      <c r="AM41" s="1286"/>
      <c r="AN41" s="1197" t="s">
        <v>61</v>
      </c>
      <c r="AO41" s="1286"/>
      <c r="AP41" s="1286"/>
      <c r="AQ41" s="1286"/>
      <c r="AR41" s="1286"/>
      <c r="AS41" s="1286"/>
      <c r="AT41" s="1286"/>
      <c r="AU41" s="1286"/>
      <c r="AV41" s="1286"/>
      <c r="AW41" s="14"/>
      <c r="AX41" s="14"/>
      <c r="AY41" s="14"/>
      <c r="AZ41" s="14"/>
      <c r="BA41" s="14"/>
      <c r="BB41" s="1300"/>
      <c r="BC41" s="1291"/>
      <c r="BD41" s="1291"/>
      <c r="BE41" s="1291"/>
    </row>
    <row r="42" spans="1:59" s="1281" customFormat="1" ht="23.25" customHeight="1">
      <c r="A42" s="1244"/>
      <c r="B42" s="1245"/>
      <c r="C42" s="1288">
        <f t="shared" si="0"/>
        <v>0</v>
      </c>
      <c r="D42" s="1247">
        <f t="shared" si="1"/>
        <v>0</v>
      </c>
      <c r="E42" s="1248">
        <f>IF(ISTEXT(Z42),Z42,(Z42/Z7)*E6)</f>
        <v>0</v>
      </c>
      <c r="F42" s="1249">
        <f t="shared" si="10"/>
        <v>0</v>
      </c>
      <c r="G42" s="1248">
        <f>IF(ISTEXT(AB42),AB42,(AB42/AB7)*G6)</f>
        <v>0</v>
      </c>
      <c r="H42" s="1249">
        <f t="shared" si="11"/>
        <v>0</v>
      </c>
      <c r="I42" s="1248">
        <f>IF(ISTEXT(AD42),AD42,(AD42/AD7)*I6)</f>
        <v>0</v>
      </c>
      <c r="J42" s="1249">
        <f t="shared" si="12"/>
        <v>0</v>
      </c>
      <c r="K42" s="1248">
        <f>IF(ISTEXT(AF42),AF42,(AF42/AF7)*K6)</f>
        <v>0</v>
      </c>
      <c r="L42" s="1249">
        <f t="shared" si="13"/>
        <v>0</v>
      </c>
      <c r="M42" s="1248">
        <f>IF(ISTEXT(AH42),AH42,(AH42/AH7)*M6)</f>
        <v>0</v>
      </c>
      <c r="N42" s="1249">
        <f t="shared" si="14"/>
        <v>0</v>
      </c>
      <c r="O42" s="1250">
        <f t="shared" si="9"/>
        <v>0</v>
      </c>
      <c r="P42" s="1251">
        <f t="shared" si="15"/>
        <v>0</v>
      </c>
      <c r="Q42" s="1252">
        <f>IF(ISTEXT(P42),0,IF(P58=0,0,P42/P58))</f>
        <v>0</v>
      </c>
      <c r="R42" s="3421"/>
      <c r="U42" s="1244"/>
      <c r="V42" s="1268"/>
      <c r="W42" s="1269"/>
      <c r="X42" s="1270"/>
      <c r="Y42" s="1265"/>
      <c r="Z42" s="1257"/>
      <c r="AA42" s="1258">
        <f>IF(ISTEXT(Z42),0,IF(Z58=0,0,Z42/Z58))</f>
        <v>0</v>
      </c>
      <c r="AB42" s="1257"/>
      <c r="AC42" s="1258">
        <f>IF(ISTEXT(AB42),0,IF(AB58=0,0,AB42/AB58))</f>
        <v>0</v>
      </c>
      <c r="AD42" s="1257"/>
      <c r="AE42" s="1258">
        <f>IF(ISTEXT(AD42),0,IF(AD58=0,0,AD42/AD58))</f>
        <v>0</v>
      </c>
      <c r="AF42" s="1257"/>
      <c r="AG42" s="1258">
        <f>IF(ISTEXT(AF42),0,IF(AF58=0,0,AF42/AF58))</f>
        <v>0</v>
      </c>
      <c r="AH42" s="1257"/>
      <c r="AI42" s="1259">
        <f>IF(ISTEXT(AH42),0,IF(AH58=0,0,AH42/AH58))</f>
        <v>0</v>
      </c>
      <c r="AJ42" s="1185"/>
      <c r="AK42" s="1185"/>
      <c r="AL42" s="1185"/>
      <c r="AM42" s="1286"/>
      <c r="AN42" s="1286"/>
      <c r="AO42" s="1286"/>
      <c r="AP42" s="1286"/>
      <c r="AQ42" s="1275" t="s">
        <v>62</v>
      </c>
      <c r="AR42" s="1286"/>
      <c r="AS42" s="1275" t="s">
        <v>63</v>
      </c>
      <c r="AT42" s="1286"/>
      <c r="AU42" s="1275" t="s">
        <v>64</v>
      </c>
      <c r="AV42" s="1286"/>
      <c r="AW42" s="1275" t="s">
        <v>65</v>
      </c>
      <c r="AX42" s="14"/>
      <c r="AY42" s="1275" t="s">
        <v>66</v>
      </c>
      <c r="AZ42" s="1286"/>
      <c r="BA42" s="1286"/>
      <c r="BB42" s="1300"/>
      <c r="BC42" s="1291"/>
      <c r="BD42" s="1291"/>
      <c r="BE42" s="1291"/>
    </row>
    <row r="43" spans="1:59" s="1281" customFormat="1" ht="23.25">
      <c r="A43" s="1244"/>
      <c r="B43" s="1245"/>
      <c r="C43" s="1288">
        <f t="shared" si="0"/>
        <v>0</v>
      </c>
      <c r="D43" s="1247">
        <f t="shared" si="1"/>
        <v>0</v>
      </c>
      <c r="E43" s="1248">
        <f>IF(ISTEXT(Z43),Z43,(Z43/Z7)*E6)</f>
        <v>0</v>
      </c>
      <c r="F43" s="1249">
        <f t="shared" si="10"/>
        <v>0</v>
      </c>
      <c r="G43" s="1248">
        <f>IF(ISTEXT(AB43),AB43,(AB43/AB7)*G6)</f>
        <v>0</v>
      </c>
      <c r="H43" s="1249">
        <f t="shared" si="11"/>
        <v>0</v>
      </c>
      <c r="I43" s="1248">
        <f>IF(ISTEXT(AD43),AD43,(AD43/AD7)*I6)</f>
        <v>0</v>
      </c>
      <c r="J43" s="1249">
        <f t="shared" si="12"/>
        <v>0</v>
      </c>
      <c r="K43" s="1248">
        <f>IF(ISTEXT(AF43),AF43,(AF43/AF7)*K6)</f>
        <v>0</v>
      </c>
      <c r="L43" s="1249">
        <f t="shared" si="13"/>
        <v>0</v>
      </c>
      <c r="M43" s="1248">
        <f>IF(ISTEXT(AH43),AH43,(AH43/AH7)*M6)</f>
        <v>0</v>
      </c>
      <c r="N43" s="1249">
        <f t="shared" si="14"/>
        <v>0</v>
      </c>
      <c r="O43" s="1250">
        <f t="shared" si="9"/>
        <v>0</v>
      </c>
      <c r="P43" s="1251">
        <f t="shared" si="15"/>
        <v>0</v>
      </c>
      <c r="Q43" s="1252">
        <f>IF(ISTEXT(P43),0,IF(P58=0,0,P43/P58))</f>
        <v>0</v>
      </c>
      <c r="R43" s="3421"/>
      <c r="U43" s="1244"/>
      <c r="V43" s="1268"/>
      <c r="W43" s="1269"/>
      <c r="X43" s="1270"/>
      <c r="Y43" s="1265"/>
      <c r="Z43" s="1257"/>
      <c r="AA43" s="1258">
        <f>IF(ISTEXT(Z43),0,IF(Z58=0,0,Z43/Z58))</f>
        <v>0</v>
      </c>
      <c r="AB43" s="1257"/>
      <c r="AC43" s="1258">
        <f>IF(ISTEXT(AB43),0,IF(AB58=0,0,AB43/AB58))</f>
        <v>0</v>
      </c>
      <c r="AD43" s="1257"/>
      <c r="AE43" s="1258">
        <f>IF(ISTEXT(AD43),0,IF(AD58=0,0,AD43/AD58))</f>
        <v>0</v>
      </c>
      <c r="AF43" s="1257"/>
      <c r="AG43" s="1258">
        <f>IF(ISTEXT(AF43),0,IF(AF58=0,0,AF43/AF58))</f>
        <v>0</v>
      </c>
      <c r="AH43" s="1257"/>
      <c r="AI43" s="1259">
        <f>IF(ISTEXT(AH43),0,IF(AH58=0,0,AH43/AH58))</f>
        <v>0</v>
      </c>
      <c r="AJ43" s="1185"/>
      <c r="AK43" s="1185"/>
      <c r="AL43" s="1185"/>
      <c r="AM43" s="1307"/>
      <c r="AN43" s="1308"/>
      <c r="AO43" s="1223" t="s">
        <v>67</v>
      </c>
      <c r="AP43" s="1309" t="s">
        <v>22</v>
      </c>
      <c r="AQ43" s="1310">
        <v>20</v>
      </c>
      <c r="AR43" s="1311"/>
      <c r="AS43" s="1310">
        <v>20</v>
      </c>
      <c r="AT43" s="1311"/>
      <c r="AU43" s="1310">
        <v>20</v>
      </c>
      <c r="AV43" s="1311"/>
      <c r="AW43" s="1310">
        <v>20</v>
      </c>
      <c r="AX43" s="1311"/>
      <c r="AY43" s="1310">
        <v>20</v>
      </c>
      <c r="AZ43" s="1312"/>
      <c r="BA43" s="1286"/>
      <c r="BB43" s="1300"/>
      <c r="BC43" s="1291"/>
      <c r="BD43" s="1291"/>
      <c r="BE43" s="1291"/>
    </row>
    <row r="44" spans="1:59" s="1281" customFormat="1" ht="23.25">
      <c r="A44" s="1244"/>
      <c r="B44" s="1245"/>
      <c r="C44" s="1288">
        <f t="shared" si="0"/>
        <v>0</v>
      </c>
      <c r="D44" s="1247">
        <f t="shared" si="1"/>
        <v>0</v>
      </c>
      <c r="E44" s="1248">
        <f>IF(ISTEXT(Z44),Z44,(Z44/Z7)*E6)</f>
        <v>0</v>
      </c>
      <c r="F44" s="1249">
        <f t="shared" si="10"/>
        <v>0</v>
      </c>
      <c r="G44" s="1248">
        <f>IF(ISTEXT(AB44),AB44,(AB44/AB7)*G6)</f>
        <v>0</v>
      </c>
      <c r="H44" s="1249">
        <f t="shared" si="11"/>
        <v>0</v>
      </c>
      <c r="I44" s="1248">
        <f>IF(ISTEXT(AD44),AD44,(AD44/AD7)*I6)</f>
        <v>0</v>
      </c>
      <c r="J44" s="1249">
        <f t="shared" si="12"/>
        <v>0</v>
      </c>
      <c r="K44" s="1248">
        <f>IF(ISTEXT(AF44),AF44,(AF44/AF7)*K6)</f>
        <v>0</v>
      </c>
      <c r="L44" s="1249">
        <f t="shared" si="13"/>
        <v>0</v>
      </c>
      <c r="M44" s="1248">
        <f>IF(ISTEXT(AH44),AH44,(AH44/AH7)*M6)</f>
        <v>0</v>
      </c>
      <c r="N44" s="1249">
        <f t="shared" si="14"/>
        <v>0</v>
      </c>
      <c r="O44" s="1250">
        <f t="shared" si="9"/>
        <v>0</v>
      </c>
      <c r="P44" s="1251">
        <f t="shared" si="15"/>
        <v>0</v>
      </c>
      <c r="Q44" s="1252">
        <f>IF(ISTEXT(P44),0,IF(P58=0,0,P44/P58))</f>
        <v>0</v>
      </c>
      <c r="R44" s="3421"/>
      <c r="U44" s="1244"/>
      <c r="V44" s="1268"/>
      <c r="W44" s="1269"/>
      <c r="X44" s="1270"/>
      <c r="Y44" s="1265"/>
      <c r="Z44" s="1257"/>
      <c r="AA44" s="1258">
        <f>IF(ISTEXT(Z44),0,IF(Z58=0,0,Z44/Z58))</f>
        <v>0</v>
      </c>
      <c r="AB44" s="1257"/>
      <c r="AC44" s="1258">
        <f>IF(ISTEXT(AB44),0,IF(AB58=0,0,AB44/AB58))</f>
        <v>0</v>
      </c>
      <c r="AD44" s="1257"/>
      <c r="AE44" s="1258">
        <f>IF(ISTEXT(AD44),0,IF(AD58=0,0,AD44/AD58))</f>
        <v>0</v>
      </c>
      <c r="AF44" s="1257"/>
      <c r="AG44" s="1258">
        <f>IF(ISTEXT(AF44),0,IF(AF58=0,0,AF44/AF58))</f>
        <v>0</v>
      </c>
      <c r="AH44" s="1257"/>
      <c r="AI44" s="1259">
        <f>IF(ISTEXT(AH44),0,IF(AH58=0,0,AH44/AH58))</f>
        <v>0</v>
      </c>
      <c r="AJ44" s="1185"/>
      <c r="AK44" s="1185"/>
      <c r="AL44" s="1185"/>
      <c r="AM44" s="1286"/>
      <c r="AN44" s="1286"/>
      <c r="AO44" s="1286"/>
      <c r="AP44" s="1286"/>
      <c r="AQ44" s="1286"/>
      <c r="AR44" s="1286"/>
      <c r="AS44" s="1286"/>
      <c r="AT44" s="1286"/>
      <c r="AU44" s="1286"/>
      <c r="AV44" s="1286"/>
      <c r="AW44" s="1286"/>
      <c r="AX44" s="1286"/>
      <c r="AY44" s="1286"/>
      <c r="AZ44" s="1286"/>
      <c r="BA44" s="1286"/>
      <c r="BB44" s="1300"/>
      <c r="BC44" s="1291"/>
      <c r="BD44" s="1291"/>
      <c r="BE44" s="1291"/>
    </row>
    <row r="45" spans="1:59" s="1281" customFormat="1" ht="23.25">
      <c r="A45" s="1244"/>
      <c r="B45" s="1245"/>
      <c r="C45" s="1288">
        <f t="shared" si="0"/>
        <v>0</v>
      </c>
      <c r="D45" s="1247">
        <f t="shared" si="1"/>
        <v>0</v>
      </c>
      <c r="E45" s="1248">
        <f>IF(ISTEXT(Z45),Z45,(Z45/Z7)*E6)</f>
        <v>0</v>
      </c>
      <c r="F45" s="1249">
        <f t="shared" si="10"/>
        <v>0</v>
      </c>
      <c r="G45" s="1248">
        <f>IF(ISTEXT(AB45),AB45,(AB45/AB7)*G6)</f>
        <v>0</v>
      </c>
      <c r="H45" s="1249">
        <f t="shared" si="11"/>
        <v>0</v>
      </c>
      <c r="I45" s="1248">
        <f>IF(ISTEXT(AD45),AD45,(AD45/AD7)*I6)</f>
        <v>0</v>
      </c>
      <c r="J45" s="1249">
        <f t="shared" si="12"/>
        <v>0</v>
      </c>
      <c r="K45" s="1248">
        <f>IF(ISTEXT(AF45),AF45,(AF45/AF7)*K6)</f>
        <v>0</v>
      </c>
      <c r="L45" s="1249">
        <f t="shared" si="13"/>
        <v>0</v>
      </c>
      <c r="M45" s="1248">
        <f>IF(ISTEXT(AH45),AH45,(AH45/AH7)*M6)</f>
        <v>0</v>
      </c>
      <c r="N45" s="1249">
        <f t="shared" si="14"/>
        <v>0</v>
      </c>
      <c r="O45" s="1250">
        <f t="shared" si="9"/>
        <v>0</v>
      </c>
      <c r="P45" s="1251">
        <f t="shared" si="15"/>
        <v>0</v>
      </c>
      <c r="Q45" s="1252">
        <f>IF(ISTEXT(P45),0,IF(P58=0,0,P45/P58))</f>
        <v>0</v>
      </c>
      <c r="R45" s="3421"/>
      <c r="U45" s="1244"/>
      <c r="V45" s="1268"/>
      <c r="W45" s="1269"/>
      <c r="X45" s="1270"/>
      <c r="Y45" s="1265"/>
      <c r="Z45" s="1257"/>
      <c r="AA45" s="1258">
        <f>IF(ISTEXT(Z45),0,IF(Z58=0,0,Z45/Z58))</f>
        <v>0</v>
      </c>
      <c r="AB45" s="1257"/>
      <c r="AC45" s="1258">
        <f>IF(ISTEXT(AB45),0,IF(AB58=0,0,AB45/AB58))</f>
        <v>0</v>
      </c>
      <c r="AD45" s="1257"/>
      <c r="AE45" s="1258">
        <f>IF(ISTEXT(AD45),0,IF(AD58=0,0,AD45/AD58))</f>
        <v>0</v>
      </c>
      <c r="AF45" s="1257"/>
      <c r="AG45" s="1258">
        <f>IF(ISTEXT(AF45),0,IF(AF58=0,0,AF45/AF58))</f>
        <v>0</v>
      </c>
      <c r="AH45" s="1257"/>
      <c r="AI45" s="1259">
        <f>IF(ISTEXT(AH45),0,IF(AH58=0,0,AH45/AH58))</f>
        <v>0</v>
      </c>
      <c r="AJ45" s="1185"/>
      <c r="AK45" s="1185"/>
      <c r="AL45" s="1185"/>
      <c r="AM45" s="1286"/>
      <c r="AN45" s="1286"/>
      <c r="AO45" s="1286"/>
      <c r="AP45" s="1286"/>
      <c r="AQ45" s="1286"/>
      <c r="AR45" s="1286"/>
      <c r="AS45" s="1286"/>
      <c r="AT45" s="1286"/>
      <c r="AU45" s="1286"/>
      <c r="AV45" s="1286"/>
      <c r="AW45" s="1286"/>
      <c r="AX45" s="1286"/>
      <c r="AY45" s="1286"/>
      <c r="AZ45" s="1286"/>
      <c r="BA45" s="1286"/>
      <c r="BB45" s="1300"/>
      <c r="BC45" s="1291"/>
      <c r="BD45" s="1291"/>
      <c r="BE45" s="1291"/>
    </row>
    <row r="46" spans="1:59" s="1281" customFormat="1" ht="31.5">
      <c r="A46" s="1244"/>
      <c r="B46" s="1245"/>
      <c r="C46" s="1288">
        <f t="shared" si="0"/>
        <v>0</v>
      </c>
      <c r="D46" s="1247">
        <f t="shared" si="1"/>
        <v>0</v>
      </c>
      <c r="E46" s="1248">
        <f>IF(ISTEXT(Z46),Z46,(Z46/Z7)*E6)</f>
        <v>0</v>
      </c>
      <c r="F46" s="1249">
        <f t="shared" si="10"/>
        <v>0</v>
      </c>
      <c r="G46" s="1248">
        <f>IF(ISTEXT(AB46),AB46,(AB46/AB7)*G6)</f>
        <v>0</v>
      </c>
      <c r="H46" s="1249">
        <f t="shared" si="11"/>
        <v>0</v>
      </c>
      <c r="I46" s="1248">
        <f>IF(ISTEXT(AD46),AD46,(AD46/AD7)*I6)</f>
        <v>0</v>
      </c>
      <c r="J46" s="1249">
        <f t="shared" si="12"/>
        <v>0</v>
      </c>
      <c r="K46" s="1248">
        <f>IF(ISTEXT(AF46),AF46,(AF46/AF7)*K6)</f>
        <v>0</v>
      </c>
      <c r="L46" s="1249">
        <f t="shared" si="13"/>
        <v>0</v>
      </c>
      <c r="M46" s="1248">
        <f>IF(ISTEXT(AH46),AH46,(AH46/AH7)*M6)</f>
        <v>0</v>
      </c>
      <c r="N46" s="1249">
        <f t="shared" si="14"/>
        <v>0</v>
      </c>
      <c r="O46" s="1250">
        <f t="shared" si="9"/>
        <v>0</v>
      </c>
      <c r="P46" s="1251">
        <f t="shared" si="15"/>
        <v>0</v>
      </c>
      <c r="Q46" s="1252">
        <f>IF(ISTEXT(P46),0,IF(P58=0,0,P46/P58))</f>
        <v>0</v>
      </c>
      <c r="R46" s="3421"/>
      <c r="U46" s="1244"/>
      <c r="V46" s="1268"/>
      <c r="W46" s="1269"/>
      <c r="X46" s="1270"/>
      <c r="Y46" s="1265"/>
      <c r="Z46" s="1257"/>
      <c r="AA46" s="1258">
        <f>IF(ISTEXT(Z46),0,IF(Z58=0,0,Z46/Z58))</f>
        <v>0</v>
      </c>
      <c r="AB46" s="1257"/>
      <c r="AC46" s="1258">
        <f>IF(ISTEXT(AB46),0,IF(AB58=0,0,AB46/AB58))</f>
        <v>0</v>
      </c>
      <c r="AD46" s="1257"/>
      <c r="AE46" s="1258">
        <f>IF(ISTEXT(AD46),0,IF(AD58=0,0,AD46/AD58))</f>
        <v>0</v>
      </c>
      <c r="AF46" s="1257"/>
      <c r="AG46" s="1258">
        <f>IF(ISTEXT(AF46),0,IF(AF58=0,0,AF46/AF58))</f>
        <v>0</v>
      </c>
      <c r="AH46" s="1257"/>
      <c r="AI46" s="1259">
        <f>IF(ISTEXT(AH46),0,IF(AH58=0,0,AH46/AH58))</f>
        <v>0</v>
      </c>
      <c r="AJ46" s="1185"/>
      <c r="AK46" s="1185"/>
      <c r="AL46" s="1274" t="s">
        <v>68</v>
      </c>
      <c r="AM46" s="1286"/>
      <c r="AN46" s="1197" t="s">
        <v>69</v>
      </c>
      <c r="AO46" s="1286"/>
      <c r="AP46" s="1286"/>
      <c r="AQ46" s="1286"/>
      <c r="AR46" s="1286"/>
      <c r="AS46" s="1286"/>
      <c r="AT46" s="1286"/>
      <c r="AU46" s="1286"/>
      <c r="AV46" s="1286"/>
      <c r="AW46" s="1286"/>
      <c r="AX46" s="1286"/>
      <c r="AY46" s="1286"/>
      <c r="AZ46" s="1286"/>
      <c r="BA46" s="1286"/>
      <c r="BB46" s="1300"/>
      <c r="BC46" s="1291"/>
      <c r="BD46" s="1291"/>
      <c r="BE46" s="1291"/>
    </row>
    <row r="47" spans="1:59" s="1281" customFormat="1" ht="23.25">
      <c r="A47" s="1244"/>
      <c r="B47" s="1245"/>
      <c r="C47" s="1288">
        <f t="shared" si="0"/>
        <v>0</v>
      </c>
      <c r="D47" s="1247">
        <f t="shared" si="1"/>
        <v>0</v>
      </c>
      <c r="E47" s="1248">
        <f>IF(ISTEXT(Z47),Z47,(Z47/Z7)*E6)</f>
        <v>0</v>
      </c>
      <c r="F47" s="1249">
        <f t="shared" si="10"/>
        <v>0</v>
      </c>
      <c r="G47" s="1248">
        <f>IF(ISTEXT(AB47),AB47,(AB47/AB7)*G6)</f>
        <v>0</v>
      </c>
      <c r="H47" s="1249">
        <f t="shared" si="11"/>
        <v>0</v>
      </c>
      <c r="I47" s="1248">
        <f>IF(ISTEXT(AD47),AD47,(AD47/AD7)*I6)</f>
        <v>0</v>
      </c>
      <c r="J47" s="1249">
        <f t="shared" si="12"/>
        <v>0</v>
      </c>
      <c r="K47" s="1248">
        <f>IF(ISTEXT(AF47),AF47,(AF47/AF7)*K6)</f>
        <v>0</v>
      </c>
      <c r="L47" s="1249">
        <f t="shared" si="13"/>
        <v>0</v>
      </c>
      <c r="M47" s="1248">
        <f>IF(ISTEXT(AH47),AH47,(AH47/AH7)*M6)</f>
        <v>0</v>
      </c>
      <c r="N47" s="1249">
        <f t="shared" si="14"/>
        <v>0</v>
      </c>
      <c r="O47" s="1250">
        <f t="shared" si="9"/>
        <v>0</v>
      </c>
      <c r="P47" s="1251">
        <f t="shared" si="15"/>
        <v>0</v>
      </c>
      <c r="Q47" s="1252">
        <f>IF(ISTEXT(P47),0,IF(P58=0,0,P47/P58))</f>
        <v>0</v>
      </c>
      <c r="R47" s="3421"/>
      <c r="U47" s="1244"/>
      <c r="V47" s="1268"/>
      <c r="W47" s="1269"/>
      <c r="X47" s="1270"/>
      <c r="Y47" s="1265"/>
      <c r="Z47" s="1257"/>
      <c r="AA47" s="1258">
        <f>IF(ISTEXT(Z47),0,IF(Z58=0,0,Z47/Z58))</f>
        <v>0</v>
      </c>
      <c r="AB47" s="1257"/>
      <c r="AC47" s="1258">
        <f>IF(ISTEXT(AB47),0,IF(AB58=0,0,AB47/AB58))</f>
        <v>0</v>
      </c>
      <c r="AD47" s="1257"/>
      <c r="AE47" s="1258">
        <f>IF(ISTEXT(AD47),0,IF(AD58=0,0,AD47/AD58))</f>
        <v>0</v>
      </c>
      <c r="AF47" s="1257"/>
      <c r="AG47" s="1258">
        <f>IF(ISTEXT(AF47),0,IF(AF58=0,0,AF47/AF58))</f>
        <v>0</v>
      </c>
      <c r="AH47" s="1257"/>
      <c r="AI47" s="1259">
        <f>IF(ISTEXT(AH47),0,IF(AH58=0,0,AH47/AH58))</f>
        <v>0</v>
      </c>
      <c r="AJ47" s="1185"/>
      <c r="AK47" s="1185"/>
      <c r="AL47" s="1185"/>
      <c r="AM47" s="1286"/>
      <c r="AN47" s="1197" t="s">
        <v>70</v>
      </c>
      <c r="AO47" s="1286"/>
      <c r="AP47" s="1286"/>
      <c r="AQ47" s="1286"/>
      <c r="AR47" s="1286"/>
      <c r="AS47" s="1286"/>
      <c r="AT47" s="1286"/>
      <c r="AU47" s="1286"/>
      <c r="AV47" s="1286"/>
      <c r="AW47" s="1286"/>
      <c r="AX47" s="1286"/>
      <c r="AY47" s="1286"/>
      <c r="AZ47" s="1286"/>
      <c r="BA47" s="1286"/>
      <c r="BB47" s="1300"/>
      <c r="BC47" s="1291"/>
      <c r="BD47" s="1291"/>
      <c r="BE47" s="1291"/>
    </row>
    <row r="48" spans="1:59" ht="23.25">
      <c r="A48" s="1244"/>
      <c r="B48" s="1245"/>
      <c r="C48" s="1288">
        <f t="shared" si="0"/>
        <v>0</v>
      </c>
      <c r="D48" s="1247">
        <f t="shared" si="1"/>
        <v>0</v>
      </c>
      <c r="E48" s="1248">
        <f>IF(ISTEXT(Z48),Z48,(Z48/Z7)*E6)</f>
        <v>0</v>
      </c>
      <c r="F48" s="1249">
        <f t="shared" si="10"/>
        <v>0</v>
      </c>
      <c r="G48" s="1248">
        <f>IF(ISTEXT(AB48),AB48,(AB48/AB7)*G6)</f>
        <v>0</v>
      </c>
      <c r="H48" s="1249">
        <f t="shared" si="11"/>
        <v>0</v>
      </c>
      <c r="I48" s="1248">
        <f>IF(ISTEXT(AD48),AD48,(AD48/AD7)*I6)</f>
        <v>0</v>
      </c>
      <c r="J48" s="1249">
        <f t="shared" si="12"/>
        <v>0</v>
      </c>
      <c r="K48" s="1248">
        <f>IF(ISTEXT(AF48),AF48,(AF48/AF7)*K6)</f>
        <v>0</v>
      </c>
      <c r="L48" s="1249">
        <f t="shared" si="13"/>
        <v>0</v>
      </c>
      <c r="M48" s="1248">
        <f>IF(ISTEXT(AH48),AH48,(AH48/AH7)*M6)</f>
        <v>0</v>
      </c>
      <c r="N48" s="1249">
        <f t="shared" si="14"/>
        <v>0</v>
      </c>
      <c r="O48" s="1250">
        <f t="shared" si="9"/>
        <v>0</v>
      </c>
      <c r="P48" s="1251">
        <f t="shared" si="15"/>
        <v>0</v>
      </c>
      <c r="Q48" s="1252">
        <f>IF(ISTEXT(P48),0,IF(P58=0,0,P48/P58))</f>
        <v>0</v>
      </c>
      <c r="R48" s="3421"/>
      <c r="U48" s="1244"/>
      <c r="V48" s="1268"/>
      <c r="W48" s="1269"/>
      <c r="X48" s="1270"/>
      <c r="Y48" s="1265"/>
      <c r="Z48" s="1257"/>
      <c r="AA48" s="1258">
        <f>IF(ISTEXT(Z48),0,IF(Z58=0,0,Z48/Z58))</f>
        <v>0</v>
      </c>
      <c r="AB48" s="1257"/>
      <c r="AC48" s="1258">
        <f>IF(ISTEXT(AB48),0,IF(AB58=0,0,AB48/AB58))</f>
        <v>0</v>
      </c>
      <c r="AD48" s="1257"/>
      <c r="AE48" s="1258">
        <f>IF(ISTEXT(AD48),0,IF(AD58=0,0,AD48/AD58))</f>
        <v>0</v>
      </c>
      <c r="AF48" s="1257"/>
      <c r="AG48" s="1258">
        <f>IF(ISTEXT(AF48),0,IF(AF58=0,0,AF48/AF58))</f>
        <v>0</v>
      </c>
      <c r="AH48" s="1257"/>
      <c r="AI48" s="1259">
        <f>IF(ISTEXT(AH48),0,IF(AH58=0,0,AH48/AH58))</f>
        <v>0</v>
      </c>
      <c r="AJ48" s="1185"/>
      <c r="AK48" s="1179"/>
      <c r="AL48" s="1185"/>
      <c r="AM48" s="1286"/>
      <c r="AN48" s="1197" t="s">
        <v>71</v>
      </c>
      <c r="AO48" s="1286"/>
      <c r="AP48" s="1286"/>
      <c r="AQ48" s="1286"/>
      <c r="AR48" s="1286"/>
      <c r="AS48" s="1286"/>
      <c r="AT48" s="1286"/>
      <c r="AU48" s="1286"/>
      <c r="AV48" s="1286"/>
      <c r="AW48" s="1286"/>
      <c r="AX48" s="1286"/>
      <c r="AY48" s="1286"/>
      <c r="AZ48" s="1286"/>
      <c r="BA48" s="1286"/>
      <c r="BB48" s="1300"/>
      <c r="BC48" s="1291"/>
      <c r="BD48" s="1291"/>
      <c r="BE48" s="1291"/>
      <c r="BF48" s="1281"/>
      <c r="BG48" s="1281"/>
    </row>
    <row r="49" spans="1:59" ht="23.25">
      <c r="A49" s="1244"/>
      <c r="B49" s="1245"/>
      <c r="C49" s="1288">
        <f t="shared" si="0"/>
        <v>0</v>
      </c>
      <c r="D49" s="1247">
        <f t="shared" si="1"/>
        <v>0</v>
      </c>
      <c r="E49" s="1248">
        <f>IF(ISTEXT(Z49),Z49,(Z49/Z7)*E6)</f>
        <v>0</v>
      </c>
      <c r="F49" s="1249">
        <f t="shared" si="10"/>
        <v>0</v>
      </c>
      <c r="G49" s="1248">
        <f>IF(ISTEXT(AB49),AB49,(AB49/AB7)*G6)</f>
        <v>0</v>
      </c>
      <c r="H49" s="1249">
        <f t="shared" si="11"/>
        <v>0</v>
      </c>
      <c r="I49" s="1248">
        <f>IF(ISTEXT(AD49),AD49,(AD49/AD7)*I6)</f>
        <v>0</v>
      </c>
      <c r="J49" s="1249">
        <f t="shared" si="12"/>
        <v>0</v>
      </c>
      <c r="K49" s="1248">
        <f>IF(ISTEXT(AF49),AF49,(AF49/AF7)*K6)</f>
        <v>0</v>
      </c>
      <c r="L49" s="1249">
        <f t="shared" si="13"/>
        <v>0</v>
      </c>
      <c r="M49" s="1248">
        <f>IF(ISTEXT(AH49),AH49,(AH49/AH7)*M6)</f>
        <v>0</v>
      </c>
      <c r="N49" s="1249">
        <f t="shared" si="14"/>
        <v>0</v>
      </c>
      <c r="O49" s="1250">
        <f t="shared" si="9"/>
        <v>0</v>
      </c>
      <c r="P49" s="1251">
        <f t="shared" si="15"/>
        <v>0</v>
      </c>
      <c r="Q49" s="1252">
        <f>IF(ISTEXT(P49),0,IF(P58=0,0,P49/P58))</f>
        <v>0</v>
      </c>
      <c r="R49" s="3421"/>
      <c r="U49" s="1244"/>
      <c r="V49" s="1268"/>
      <c r="W49" s="1269"/>
      <c r="X49" s="1270"/>
      <c r="Y49" s="1265"/>
      <c r="Z49" s="1257"/>
      <c r="AA49" s="1258">
        <f>IF(ISTEXT(Z49),0,IF(Z58=0,0,Z49/Z58))</f>
        <v>0</v>
      </c>
      <c r="AB49" s="1257"/>
      <c r="AC49" s="1258">
        <f>IF(ISTEXT(AB49),0,IF(AB58=0,0,AB49/AB58))</f>
        <v>0</v>
      </c>
      <c r="AD49" s="1257"/>
      <c r="AE49" s="1258">
        <f>IF(ISTEXT(AD49),0,IF(AD58=0,0,AD49/AD58))</f>
        <v>0</v>
      </c>
      <c r="AF49" s="1257"/>
      <c r="AG49" s="1258">
        <f>IF(ISTEXT(AF49),0,IF(AF58=0,0,AF49/AF58))</f>
        <v>0</v>
      </c>
      <c r="AH49" s="1257"/>
      <c r="AI49" s="1259">
        <f>IF(ISTEXT(AH49),0,IF(AH58=0,0,AH49/AH58))</f>
        <v>0</v>
      </c>
      <c r="AJ49" s="1185"/>
      <c r="AK49" s="1179"/>
      <c r="AL49" s="1313"/>
      <c r="AM49" s="1286"/>
      <c r="AN49" s="1286"/>
      <c r="AO49" s="1286"/>
      <c r="AP49" s="1286"/>
      <c r="AQ49" s="1286"/>
      <c r="AR49" s="1286"/>
      <c r="AS49" s="1286"/>
      <c r="AT49" s="1286"/>
      <c r="AU49" s="1286"/>
      <c r="AV49" s="1286"/>
      <c r="AW49" s="1286"/>
      <c r="AX49" s="1286"/>
      <c r="AY49" s="1286"/>
      <c r="AZ49" s="1286"/>
      <c r="BA49" s="1286"/>
      <c r="BB49" s="1300"/>
      <c r="BC49" s="1291"/>
      <c r="BD49" s="1291"/>
      <c r="BE49" s="1291"/>
      <c r="BF49" s="1281"/>
      <c r="BG49" s="1281"/>
    </row>
    <row r="50" spans="1:59" ht="31.5">
      <c r="A50" s="1244"/>
      <c r="B50" s="1245"/>
      <c r="C50" s="1288">
        <f t="shared" si="0"/>
        <v>0</v>
      </c>
      <c r="D50" s="1247">
        <f t="shared" si="1"/>
        <v>0</v>
      </c>
      <c r="E50" s="1248">
        <f>IF(ISTEXT(Z50),Z50,(Z50/Z7)*E6)</f>
        <v>0</v>
      </c>
      <c r="F50" s="1249">
        <f t="shared" si="10"/>
        <v>0</v>
      </c>
      <c r="G50" s="1248">
        <f>IF(ISTEXT(AB50),AB50,(AB50/AB7)*G6)</f>
        <v>0</v>
      </c>
      <c r="H50" s="1249">
        <f t="shared" si="11"/>
        <v>0</v>
      </c>
      <c r="I50" s="1248">
        <f>IF(ISTEXT(AD50),AD50,(AD50/AD7)*I6)</f>
        <v>0</v>
      </c>
      <c r="J50" s="1249">
        <f t="shared" si="12"/>
        <v>0</v>
      </c>
      <c r="K50" s="1248">
        <f>IF(ISTEXT(AF50),AF50,(AF50/AF7)*K6)</f>
        <v>0</v>
      </c>
      <c r="L50" s="1249">
        <f t="shared" si="13"/>
        <v>0</v>
      </c>
      <c r="M50" s="1248">
        <f>IF(ISTEXT(AH50),AH50,(AH50/AH7)*M6)</f>
        <v>0</v>
      </c>
      <c r="N50" s="1249">
        <f t="shared" si="14"/>
        <v>0</v>
      </c>
      <c r="O50" s="1250">
        <f t="shared" si="9"/>
        <v>0</v>
      </c>
      <c r="P50" s="1251">
        <f t="shared" si="15"/>
        <v>0</v>
      </c>
      <c r="Q50" s="1252">
        <f>IF(ISTEXT(P50),0,IF(P58=0,0,P50/P58))</f>
        <v>0</v>
      </c>
      <c r="R50" s="3421"/>
      <c r="U50" s="1244"/>
      <c r="V50" s="1268"/>
      <c r="W50" s="1269"/>
      <c r="X50" s="1270"/>
      <c r="Y50" s="1265"/>
      <c r="Z50" s="1257"/>
      <c r="AA50" s="1258">
        <f>IF(ISTEXT(Z50),0,IF(Z58=0,0,Z50/Z58))</f>
        <v>0</v>
      </c>
      <c r="AB50" s="1257"/>
      <c r="AC50" s="1258">
        <f>IF(ISTEXT(AB50),0,IF(AB58=0,0,AB50/AB58))</f>
        <v>0</v>
      </c>
      <c r="AD50" s="1257"/>
      <c r="AE50" s="1258">
        <f>IF(ISTEXT(AD50),0,IF(AD58=0,0,AD50/AD58))</f>
        <v>0</v>
      </c>
      <c r="AF50" s="1257"/>
      <c r="AG50" s="1258">
        <f>IF(ISTEXT(AF50),0,IF(AF58=0,0,AF50/AF58))</f>
        <v>0</v>
      </c>
      <c r="AH50" s="1257"/>
      <c r="AI50" s="1259">
        <f>IF(ISTEXT(AH50),0,IF(AH58=0,0,AH50/AH58))</f>
        <v>0</v>
      </c>
      <c r="AJ50" s="1185"/>
      <c r="AK50" s="1179"/>
      <c r="AL50" s="1274" t="s">
        <v>72</v>
      </c>
      <c r="AM50" s="1286"/>
      <c r="AN50" s="1197" t="s">
        <v>73</v>
      </c>
      <c r="AO50" s="1286"/>
      <c r="AP50" s="1286"/>
      <c r="AQ50" s="1286"/>
      <c r="AR50" s="1286"/>
      <c r="AS50" s="1286"/>
      <c r="AT50" s="1286"/>
      <c r="AU50" s="1286"/>
      <c r="AV50" s="1286"/>
      <c r="AW50" s="1286"/>
      <c r="AX50" s="1286"/>
      <c r="AY50" s="1286"/>
      <c r="AZ50" s="1286"/>
      <c r="BA50" s="1286"/>
      <c r="BB50" s="1300"/>
      <c r="BC50" s="1291"/>
      <c r="BD50" s="1291"/>
      <c r="BE50" s="1291"/>
      <c r="BF50" s="1281"/>
      <c r="BG50" s="1281"/>
    </row>
    <row r="51" spans="1:59" ht="23.25">
      <c r="A51" s="1244"/>
      <c r="B51" s="1245"/>
      <c r="C51" s="1288"/>
      <c r="D51" s="1247">
        <f t="shared" ref="D51:D57" si="16">X51</f>
        <v>0</v>
      </c>
      <c r="E51" s="1248">
        <f>IF(ISTEXT(Z51),Z51,(Z51/Z7)*E6)</f>
        <v>0</v>
      </c>
      <c r="F51" s="1249">
        <f t="shared" si="10"/>
        <v>0</v>
      </c>
      <c r="G51" s="1248">
        <f>IF(ISTEXT(AB51),AB51,(AB51/AB7)*G6)</f>
        <v>0</v>
      </c>
      <c r="H51" s="1249">
        <f t="shared" si="11"/>
        <v>0</v>
      </c>
      <c r="I51" s="1248">
        <f>IF(ISTEXT(AD51),AD51,(AD51/AD7)*I6)</f>
        <v>0</v>
      </c>
      <c r="J51" s="1249">
        <f t="shared" si="12"/>
        <v>0</v>
      </c>
      <c r="K51" s="1248">
        <f>IF(ISTEXT(AF51),AF51,(AF51/AF7)*K6)</f>
        <v>0</v>
      </c>
      <c r="L51" s="1249">
        <f t="shared" si="13"/>
        <v>0</v>
      </c>
      <c r="M51" s="1248">
        <f>IF(ISTEXT(AH51),AH51,(AH51/AH7)*M6)</f>
        <v>0</v>
      </c>
      <c r="N51" s="1249">
        <f t="shared" si="14"/>
        <v>0</v>
      </c>
      <c r="O51" s="1250">
        <f t="shared" si="9"/>
        <v>0</v>
      </c>
      <c r="P51" s="1251">
        <f t="shared" si="15"/>
        <v>0</v>
      </c>
      <c r="Q51" s="1252">
        <f>IF(ISTEXT(P51),0,IF(P58=0,0,P51/P58))</f>
        <v>0</v>
      </c>
      <c r="R51" s="3421"/>
      <c r="U51" s="1244"/>
      <c r="V51" s="1268"/>
      <c r="W51" s="1269"/>
      <c r="X51" s="1270"/>
      <c r="Y51" s="1265"/>
      <c r="Z51" s="1257"/>
      <c r="AA51" s="1258">
        <f>IF(ISTEXT(Z51),0,IF(Z58=0,0,Z51/Z58))</f>
        <v>0</v>
      </c>
      <c r="AB51" s="1257"/>
      <c r="AC51" s="1258">
        <f>IF(ISTEXT(AB51),0,IF(AB58=0,0,AB51/AB58))</f>
        <v>0</v>
      </c>
      <c r="AD51" s="1257"/>
      <c r="AE51" s="1258">
        <f>IF(ISTEXT(AD51),0,IF(AD58=0,0,AD51/AD58))</f>
        <v>0</v>
      </c>
      <c r="AF51" s="1257"/>
      <c r="AG51" s="1258">
        <f>IF(ISTEXT(AF51),0,IF(AF58=0,0,AF51/AF58))</f>
        <v>0</v>
      </c>
      <c r="AH51" s="1257"/>
      <c r="AI51" s="1259">
        <f>IF(ISTEXT(AH51),0,IF(AH58=0,0,AH51/AH58))</f>
        <v>0</v>
      </c>
      <c r="AJ51" s="1185"/>
      <c r="AK51" s="1185"/>
      <c r="AL51" s="1185"/>
      <c r="AM51" s="1286"/>
      <c r="AN51" s="1286"/>
      <c r="AO51" s="1275" t="s">
        <v>74</v>
      </c>
      <c r="AP51" s="1286"/>
      <c r="AQ51" s="1286"/>
      <c r="AR51" s="1286"/>
      <c r="AS51" s="1275" t="s">
        <v>75</v>
      </c>
      <c r="AT51" s="1286"/>
      <c r="AU51" s="1275" t="s">
        <v>76</v>
      </c>
      <c r="AV51" s="1286"/>
      <c r="AW51" s="1286"/>
      <c r="AX51" s="1286"/>
      <c r="AY51" s="1286"/>
      <c r="AZ51" s="1286"/>
      <c r="BA51" s="1286"/>
      <c r="BB51" s="1300"/>
      <c r="BC51" s="1291"/>
      <c r="BD51" s="1291"/>
      <c r="BE51" s="1291"/>
      <c r="BF51" s="1281"/>
      <c r="BG51" s="1281"/>
    </row>
    <row r="52" spans="1:59" ht="37.5">
      <c r="A52" s="1244"/>
      <c r="B52" s="1245"/>
      <c r="C52" s="1288">
        <f t="shared" ref="C52:C57" si="17">W52</f>
        <v>0</v>
      </c>
      <c r="D52" s="1247">
        <f t="shared" si="16"/>
        <v>0</v>
      </c>
      <c r="E52" s="1248">
        <f>IF(ISTEXT(Z52),Z52,(Z52/Z7)*E6)</f>
        <v>0</v>
      </c>
      <c r="F52" s="1249">
        <f t="shared" si="10"/>
        <v>0</v>
      </c>
      <c r="G52" s="1248">
        <f>IF(ISTEXT(AB52),AB52,(AB52/AB7)*G6)</f>
        <v>0</v>
      </c>
      <c r="H52" s="1249">
        <f t="shared" si="11"/>
        <v>0</v>
      </c>
      <c r="I52" s="1248">
        <f>IF(ISTEXT(AD52),AD52,(AD52/AD7)*I6)</f>
        <v>0</v>
      </c>
      <c r="J52" s="1249">
        <f t="shared" si="12"/>
        <v>0</v>
      </c>
      <c r="K52" s="1248">
        <f>IF(ISTEXT(AF52),AF52,(AF52/AF7)*K6)</f>
        <v>0</v>
      </c>
      <c r="L52" s="1249">
        <f t="shared" si="13"/>
        <v>0</v>
      </c>
      <c r="M52" s="1248">
        <f>IF(ISTEXT(AH52),AH52,(AH52/AH7)*M6)</f>
        <v>0</v>
      </c>
      <c r="N52" s="1249">
        <f t="shared" si="14"/>
        <v>0</v>
      </c>
      <c r="O52" s="1250">
        <f t="shared" si="9"/>
        <v>0</v>
      </c>
      <c r="P52" s="1251">
        <f t="shared" si="15"/>
        <v>0</v>
      </c>
      <c r="Q52" s="1252">
        <f>IF(ISTEXT(P52),0,IF(P58=0,0,P52/P58))</f>
        <v>0</v>
      </c>
      <c r="R52" s="3421"/>
      <c r="U52" s="1244"/>
      <c r="V52" s="1268"/>
      <c r="W52" s="1269"/>
      <c r="X52" s="1270"/>
      <c r="Y52" s="1265"/>
      <c r="Z52" s="1257"/>
      <c r="AA52" s="1258">
        <f>IF(ISTEXT(Z52),0,IF(Z58=0,0,Z52/Z58))</f>
        <v>0</v>
      </c>
      <c r="AB52" s="1257"/>
      <c r="AC52" s="1258">
        <f>IF(ISTEXT(AB52),0,IF(AB58=0,0,AB52/AB58))</f>
        <v>0</v>
      </c>
      <c r="AD52" s="1257"/>
      <c r="AE52" s="1258">
        <f>IF(ISTEXT(AD52),0,IF(AD58=0,0,AD52/AD58))</f>
        <v>0</v>
      </c>
      <c r="AF52" s="1257"/>
      <c r="AG52" s="1258">
        <f>IF(ISTEXT(AF52),0,IF(AF58=0,0,AF52/AF58))</f>
        <v>0</v>
      </c>
      <c r="AH52" s="1257"/>
      <c r="AI52" s="1259">
        <f>IF(ISTEXT(AH52),0,IF(AH58=0,0,AH52/AH58))</f>
        <v>0</v>
      </c>
      <c r="AJ52" s="1185"/>
      <c r="AK52" s="1185"/>
      <c r="AL52" s="1185"/>
      <c r="AM52" s="1286"/>
      <c r="AN52" s="3362" t="s">
        <v>77</v>
      </c>
      <c r="AO52" s="3362"/>
      <c r="AP52" s="3362"/>
      <c r="AQ52" s="3362"/>
      <c r="AR52" s="1285"/>
      <c r="AS52" s="1314" t="s">
        <v>78</v>
      </c>
      <c r="AT52" s="1285"/>
      <c r="AU52" s="1315" t="s">
        <v>79</v>
      </c>
      <c r="AV52" s="1286"/>
      <c r="AW52" s="1286"/>
      <c r="AX52" s="1286"/>
      <c r="AY52" s="1286"/>
      <c r="AZ52" s="1286"/>
      <c r="BA52" s="1286"/>
      <c r="BB52" s="1300"/>
      <c r="BC52" s="1291"/>
      <c r="BD52" s="1291"/>
      <c r="BE52" s="1291"/>
      <c r="BF52" s="1281"/>
      <c r="BG52" s="1281"/>
    </row>
    <row r="53" spans="1:59" ht="23.25">
      <c r="A53" s="1244"/>
      <c r="B53" s="1245"/>
      <c r="C53" s="1288">
        <f t="shared" si="17"/>
        <v>0</v>
      </c>
      <c r="D53" s="1247">
        <f t="shared" si="16"/>
        <v>0</v>
      </c>
      <c r="E53" s="1248">
        <f>IF(ISTEXT(Z53),Z53,(Z53/Z7)*E6)</f>
        <v>0</v>
      </c>
      <c r="F53" s="1249">
        <f t="shared" si="10"/>
        <v>0</v>
      </c>
      <c r="G53" s="1248">
        <f>IF(ISTEXT(AB53),AB53,(AB53/AB7)*G6)</f>
        <v>0</v>
      </c>
      <c r="H53" s="1249">
        <f t="shared" si="11"/>
        <v>0</v>
      </c>
      <c r="I53" s="1248">
        <f>IF(ISTEXT(AD53),AD53,(AD53/AD7)*I6)</f>
        <v>0</v>
      </c>
      <c r="J53" s="1249">
        <f t="shared" si="12"/>
        <v>0</v>
      </c>
      <c r="K53" s="1248">
        <f>IF(ISTEXT(AF53),AF53,(AF53/AF7)*K6)</f>
        <v>0</v>
      </c>
      <c r="L53" s="1249">
        <f t="shared" si="13"/>
        <v>0</v>
      </c>
      <c r="M53" s="1248">
        <f>IF(ISTEXT(AH53),AH53,(AH53/AH7)*M6)</f>
        <v>0</v>
      </c>
      <c r="N53" s="1249">
        <f t="shared" si="14"/>
        <v>0</v>
      </c>
      <c r="O53" s="1250">
        <f t="shared" si="9"/>
        <v>0</v>
      </c>
      <c r="P53" s="1251">
        <f t="shared" si="15"/>
        <v>0</v>
      </c>
      <c r="Q53" s="1252">
        <f>IF(ISTEXT(P53),0,IF(P58=0,0,P53/P58))</f>
        <v>0</v>
      </c>
      <c r="R53" s="3421"/>
      <c r="U53" s="1244"/>
      <c r="V53" s="1268"/>
      <c r="W53" s="1269"/>
      <c r="X53" s="1270"/>
      <c r="Y53" s="1265"/>
      <c r="Z53" s="1257"/>
      <c r="AA53" s="1258">
        <f>IF(ISTEXT(Z53),0,IF(Z58=0,0,Z53/Z58))</f>
        <v>0</v>
      </c>
      <c r="AB53" s="1257"/>
      <c r="AC53" s="1258">
        <f>IF(ISTEXT(AB53),0,IF(AB58=0,0,AB53/AB58))</f>
        <v>0</v>
      </c>
      <c r="AD53" s="1257"/>
      <c r="AE53" s="1258">
        <f>IF(ISTEXT(AD53),0,IF(AD58=0,0,AD53/AD58))</f>
        <v>0</v>
      </c>
      <c r="AF53" s="1257"/>
      <c r="AG53" s="1258">
        <f>IF(ISTEXT(AF53),0,IF(AF58=0,0,AF53/AF58))</f>
        <v>0</v>
      </c>
      <c r="AH53" s="1257"/>
      <c r="AI53" s="1259">
        <f>IF(ISTEXT(AH53),0,IF(AH58=0,0,AH53/AH58))</f>
        <v>0</v>
      </c>
      <c r="AJ53" s="1185"/>
      <c r="AK53" s="1185"/>
      <c r="AL53" s="1185"/>
      <c r="AM53" s="1286"/>
      <c r="AN53" s="1286"/>
      <c r="AO53" s="1286"/>
      <c r="AP53" s="1286"/>
      <c r="AQ53" s="1286"/>
      <c r="AR53" s="1286"/>
      <c r="AS53" s="1286"/>
      <c r="AT53" s="1286"/>
      <c r="AU53" s="1286"/>
      <c r="AV53" s="1286"/>
      <c r="AW53" s="14"/>
      <c r="AX53" s="14"/>
      <c r="AY53" s="14"/>
      <c r="AZ53" s="14"/>
      <c r="BA53" s="14"/>
      <c r="BB53" s="1300"/>
      <c r="BC53" s="1291"/>
      <c r="BD53" s="1291"/>
      <c r="BE53" s="1291"/>
      <c r="BF53" s="1281"/>
      <c r="BG53" s="1281"/>
    </row>
    <row r="54" spans="1:59" ht="23.25">
      <c r="A54" s="1244"/>
      <c r="B54" s="1245"/>
      <c r="C54" s="1288">
        <f t="shared" si="17"/>
        <v>0</v>
      </c>
      <c r="D54" s="1247">
        <f t="shared" si="16"/>
        <v>0</v>
      </c>
      <c r="E54" s="1248">
        <f>IF(ISTEXT(Z54),Z54,(Z54/Z7)*E6)</f>
        <v>0</v>
      </c>
      <c r="F54" s="1249">
        <f t="shared" si="10"/>
        <v>0</v>
      </c>
      <c r="G54" s="1248">
        <f>IF(ISTEXT(AB54),AB54,(AB54/AB7)*G6)</f>
        <v>0</v>
      </c>
      <c r="H54" s="1249">
        <f t="shared" si="11"/>
        <v>0</v>
      </c>
      <c r="I54" s="1248">
        <f>IF(ISTEXT(AD54),AD54,(AD54/AD7)*I6)</f>
        <v>0</v>
      </c>
      <c r="J54" s="1249">
        <f t="shared" si="12"/>
        <v>0</v>
      </c>
      <c r="K54" s="1248">
        <f>IF(ISTEXT(AF54),AF54,(AF54/AF7)*K6)</f>
        <v>0</v>
      </c>
      <c r="L54" s="1249">
        <f t="shared" si="13"/>
        <v>0</v>
      </c>
      <c r="M54" s="1248">
        <f>IF(ISTEXT(AH54),AH54,(AH54/AH7)*M6)</f>
        <v>0</v>
      </c>
      <c r="N54" s="1249">
        <f t="shared" si="14"/>
        <v>0</v>
      </c>
      <c r="O54" s="1250">
        <f t="shared" si="9"/>
        <v>0</v>
      </c>
      <c r="P54" s="1251">
        <f t="shared" si="15"/>
        <v>0</v>
      </c>
      <c r="Q54" s="1252">
        <f>IF(ISTEXT(P54),0,IF(P58=0,0,P54/P58))</f>
        <v>0</v>
      </c>
      <c r="R54" s="3421"/>
      <c r="U54" s="1244"/>
      <c r="V54" s="1268"/>
      <c r="W54" s="1269"/>
      <c r="X54" s="1270"/>
      <c r="Y54" s="1265"/>
      <c r="Z54" s="1257"/>
      <c r="AA54" s="1258">
        <f>IF(ISTEXT(Z54),0,IF(Z58=0,0,Z54/Z58))</f>
        <v>0</v>
      </c>
      <c r="AB54" s="1257"/>
      <c r="AC54" s="1258">
        <f>IF(ISTEXT(AB54),0,IF(AB58=0,0,AB54/AB58))</f>
        <v>0</v>
      </c>
      <c r="AD54" s="1257"/>
      <c r="AE54" s="1258">
        <f>IF(ISTEXT(AD54),0,IF(AD58=0,0,AD54/AD58))</f>
        <v>0</v>
      </c>
      <c r="AF54" s="1257"/>
      <c r="AG54" s="1258">
        <f>IF(ISTEXT(AF54),0,IF(AF58=0,0,AF54/AF58))</f>
        <v>0</v>
      </c>
      <c r="AH54" s="1257"/>
      <c r="AI54" s="1259">
        <f>IF(ISTEXT(AH54),0,IF(AH58=0,0,AH54/AH58))</f>
        <v>0</v>
      </c>
      <c r="AJ54" s="1185"/>
      <c r="AK54" s="1185"/>
      <c r="AL54" s="1185"/>
      <c r="AM54" s="1286"/>
      <c r="AN54" s="1286"/>
      <c r="AO54" s="1286"/>
      <c r="AP54" s="1286"/>
      <c r="AQ54" s="1286"/>
      <c r="AR54" s="1286"/>
      <c r="AS54" s="1286"/>
      <c r="AT54" s="1286"/>
      <c r="AU54" s="1286"/>
      <c r="AV54" s="1286"/>
      <c r="AW54" s="14"/>
      <c r="AX54" s="14"/>
      <c r="AY54" s="14"/>
      <c r="AZ54" s="14"/>
      <c r="BA54" s="14"/>
      <c r="BB54" s="1300"/>
      <c r="BC54" s="1291"/>
      <c r="BD54" s="1291"/>
      <c r="BE54" s="1291"/>
      <c r="BF54" s="1281"/>
      <c r="BG54" s="1281"/>
    </row>
    <row r="55" spans="1:59" ht="23.25">
      <c r="A55" s="1244"/>
      <c r="B55" s="1245"/>
      <c r="C55" s="1288">
        <f t="shared" si="17"/>
        <v>0</v>
      </c>
      <c r="D55" s="1247">
        <f t="shared" si="16"/>
        <v>0</v>
      </c>
      <c r="E55" s="1248">
        <f>IF(ISTEXT(Z55),Z55,(Z55/Z7)*E6)</f>
        <v>0</v>
      </c>
      <c r="F55" s="1249">
        <f t="shared" si="10"/>
        <v>0</v>
      </c>
      <c r="G55" s="1248">
        <f>IF(ISTEXT(AB55),AB55,(AB55/AB7)*G6)</f>
        <v>0</v>
      </c>
      <c r="H55" s="1249">
        <f t="shared" si="11"/>
        <v>0</v>
      </c>
      <c r="I55" s="1248">
        <f>IF(ISTEXT(AD55),AD55,(AD55/AD7)*I6)</f>
        <v>0</v>
      </c>
      <c r="J55" s="1249">
        <f t="shared" si="12"/>
        <v>0</v>
      </c>
      <c r="K55" s="1248">
        <f>IF(ISTEXT(AF55),AF55,(AF55/AF7)*K6)</f>
        <v>0</v>
      </c>
      <c r="L55" s="1249">
        <f t="shared" si="13"/>
        <v>0</v>
      </c>
      <c r="M55" s="1248">
        <f>IF(ISTEXT(AH55),AH55,(AH55/AH7)*M6)</f>
        <v>0</v>
      </c>
      <c r="N55" s="1249">
        <f t="shared" si="14"/>
        <v>0</v>
      </c>
      <c r="O55" s="1250">
        <f t="shared" si="9"/>
        <v>0</v>
      </c>
      <c r="P55" s="1251">
        <f t="shared" si="15"/>
        <v>0</v>
      </c>
      <c r="Q55" s="1252">
        <f>IF(ISTEXT(P55),0,IF(P58=0,0,P55/P58))</f>
        <v>0</v>
      </c>
      <c r="R55" s="3421"/>
      <c r="U55" s="1244"/>
      <c r="V55" s="1268"/>
      <c r="W55" s="1269"/>
      <c r="X55" s="1270"/>
      <c r="Y55" s="1265"/>
      <c r="Z55" s="1257"/>
      <c r="AA55" s="1258">
        <f>IF(ISTEXT(Z55),0,IF(Z58=0,0,Z55/Z58))</f>
        <v>0</v>
      </c>
      <c r="AB55" s="1257"/>
      <c r="AC55" s="1258">
        <f>IF(ISTEXT(AB55),0,IF(AB58=0,0,AB55/AB58))</f>
        <v>0</v>
      </c>
      <c r="AD55" s="1257"/>
      <c r="AE55" s="1258">
        <f>IF(ISTEXT(AD55),0,IF(AD58=0,0,AD55/AD58))</f>
        <v>0</v>
      </c>
      <c r="AF55" s="1257"/>
      <c r="AG55" s="1258">
        <f>IF(ISTEXT(AF55),0,IF(AF58=0,0,AF55/AF58))</f>
        <v>0</v>
      </c>
      <c r="AH55" s="1257"/>
      <c r="AI55" s="1259">
        <f>IF(ISTEXT(AH55),0,IF(AH58=0,0,AH55/AH58))</f>
        <v>0</v>
      </c>
      <c r="AJ55" s="1185"/>
      <c r="AK55" s="1185"/>
      <c r="AL55" s="1185"/>
      <c r="AM55" s="1286"/>
      <c r="AN55" s="3361" t="s">
        <v>80</v>
      </c>
      <c r="AO55" s="3362"/>
      <c r="AP55" s="3362"/>
      <c r="AQ55" s="3362"/>
      <c r="AR55" s="3362"/>
      <c r="AS55" s="3362"/>
      <c r="AT55" s="3362"/>
      <c r="AU55" s="3362"/>
      <c r="AV55" s="1286"/>
      <c r="AW55" s="14"/>
      <c r="AX55" s="14"/>
      <c r="AY55" s="14"/>
      <c r="AZ55" s="14"/>
      <c r="BA55" s="14"/>
      <c r="BB55" s="1300"/>
      <c r="BC55" s="1291"/>
      <c r="BD55" s="1291"/>
      <c r="BE55" s="1291"/>
      <c r="BF55" s="1281"/>
      <c r="BG55" s="1281"/>
    </row>
    <row r="56" spans="1:59" ht="23.25">
      <c r="A56" s="1244"/>
      <c r="B56" s="1245"/>
      <c r="C56" s="1288">
        <f t="shared" si="17"/>
        <v>0</v>
      </c>
      <c r="D56" s="1247">
        <f t="shared" si="16"/>
        <v>0</v>
      </c>
      <c r="E56" s="1248">
        <f>IF(ISTEXT(Z56),Z56,(Z56/Z7)*E6)</f>
        <v>0</v>
      </c>
      <c r="F56" s="1249">
        <f t="shared" si="10"/>
        <v>0</v>
      </c>
      <c r="G56" s="1248">
        <f>IF(ISTEXT(AB56),AB56,(AB56/AB7)*G6)</f>
        <v>0</v>
      </c>
      <c r="H56" s="1249">
        <f t="shared" si="11"/>
        <v>0</v>
      </c>
      <c r="I56" s="1248">
        <f>IF(ISTEXT(AD56),AD56,(AD56/AD7)*I6)</f>
        <v>0</v>
      </c>
      <c r="J56" s="1249">
        <f t="shared" si="12"/>
        <v>0</v>
      </c>
      <c r="K56" s="1248">
        <f>IF(ISTEXT(AF56),AF56,(AF56/AF7)*K6)</f>
        <v>0</v>
      </c>
      <c r="L56" s="1249">
        <f t="shared" si="13"/>
        <v>0</v>
      </c>
      <c r="M56" s="1248">
        <f>IF(ISTEXT(AH56),AH56,(AH56/AH7)*M6)</f>
        <v>0</v>
      </c>
      <c r="N56" s="1249">
        <f t="shared" si="14"/>
        <v>0</v>
      </c>
      <c r="O56" s="1250">
        <f t="shared" si="9"/>
        <v>0</v>
      </c>
      <c r="P56" s="1251">
        <f t="shared" si="15"/>
        <v>0</v>
      </c>
      <c r="Q56" s="1252">
        <f>IF(ISTEXT(P56),0,IF(P58=0,0,P56/P58))</f>
        <v>0</v>
      </c>
      <c r="R56" s="3421"/>
      <c r="U56" s="1244"/>
      <c r="V56" s="1268"/>
      <c r="W56" s="1269"/>
      <c r="X56" s="1270"/>
      <c r="Y56" s="1265"/>
      <c r="Z56" s="1257"/>
      <c r="AA56" s="1258">
        <f>IF(ISTEXT(Z56),0,IF(Z58=0,0,Z56/Z58))</f>
        <v>0</v>
      </c>
      <c r="AB56" s="1257"/>
      <c r="AC56" s="1258">
        <f>IF(ISTEXT(AB56),0,IF(AB58=0,0,AB56/AB58))</f>
        <v>0</v>
      </c>
      <c r="AD56" s="1257"/>
      <c r="AE56" s="1258">
        <f>IF(ISTEXT(AD56),0,IF(AD58=0,0,AD56/AD58))</f>
        <v>0</v>
      </c>
      <c r="AF56" s="1257"/>
      <c r="AG56" s="1258">
        <f>IF(ISTEXT(AF56),0,IF(AF58=0,0,AF56/AF58))</f>
        <v>0</v>
      </c>
      <c r="AH56" s="1257"/>
      <c r="AI56" s="1259">
        <f>IF(ISTEXT(AH56),0,IF(AH58=0,0,AH56/AH58))</f>
        <v>0</v>
      </c>
      <c r="AJ56" s="1185"/>
      <c r="AK56" s="1185"/>
      <c r="AL56" s="1185"/>
      <c r="AM56" s="1286"/>
      <c r="AN56" s="3361"/>
      <c r="AO56" s="3362"/>
      <c r="AP56" s="3362"/>
      <c r="AQ56" s="3362"/>
      <c r="AR56" s="3362"/>
      <c r="AS56" s="3362"/>
      <c r="AT56" s="3362"/>
      <c r="AU56" s="3362"/>
      <c r="AV56" s="1286"/>
      <c r="AW56" s="14"/>
      <c r="AX56" s="14"/>
      <c r="AY56" s="14"/>
      <c r="AZ56" s="14"/>
      <c r="BA56" s="14"/>
      <c r="BB56" s="1300"/>
      <c r="BC56" s="1291"/>
      <c r="BD56" s="1291"/>
      <c r="BE56" s="1291"/>
      <c r="BF56" s="1281"/>
      <c r="BG56" s="1281"/>
    </row>
    <row r="57" spans="1:59" ht="20.25" customHeight="1">
      <c r="A57" s="1244"/>
      <c r="B57" s="1245"/>
      <c r="C57" s="1288">
        <f t="shared" si="17"/>
        <v>0</v>
      </c>
      <c r="D57" s="1247">
        <f t="shared" si="16"/>
        <v>0</v>
      </c>
      <c r="E57" s="1248">
        <f>IF(ISTEXT(Z57),Z57,(Z57/Z7)*E6)</f>
        <v>0</v>
      </c>
      <c r="F57" s="1249">
        <f t="shared" si="10"/>
        <v>0</v>
      </c>
      <c r="G57" s="1248">
        <f>IF(ISTEXT(AB57),AB57,(AB57/AB7)*G6)</f>
        <v>0</v>
      </c>
      <c r="H57" s="1249">
        <f t="shared" si="11"/>
        <v>0</v>
      </c>
      <c r="I57" s="1248">
        <f>IF(ISTEXT(AD57),AD57,(AD57/AD7)*I6)</f>
        <v>0</v>
      </c>
      <c r="J57" s="1249">
        <f t="shared" si="12"/>
        <v>0</v>
      </c>
      <c r="K57" s="1248">
        <f>IF(ISTEXT(AF57),AF57,(AF57/AF7)*K6)</f>
        <v>0</v>
      </c>
      <c r="L57" s="1249">
        <f t="shared" si="13"/>
        <v>0</v>
      </c>
      <c r="M57" s="1248">
        <f>IF(ISTEXT(AH57),AH57,(AH57/AH7)*M6)</f>
        <v>0</v>
      </c>
      <c r="N57" s="1249">
        <f t="shared" si="14"/>
        <v>0</v>
      </c>
      <c r="O57" s="1316">
        <f t="shared" si="9"/>
        <v>0</v>
      </c>
      <c r="P57" s="1317">
        <f t="shared" si="15"/>
        <v>0</v>
      </c>
      <c r="Q57" s="1252">
        <f>IF(ISTEXT(P57),0,IF(P58=0,0,P57/P58))</f>
        <v>0</v>
      </c>
      <c r="R57" s="3421"/>
      <c r="U57" s="1244"/>
      <c r="V57" s="1268"/>
      <c r="W57" s="1269">
        <v>0</v>
      </c>
      <c r="X57" s="1270">
        <v>0</v>
      </c>
      <c r="Y57" s="1265"/>
      <c r="Z57" s="1318"/>
      <c r="AA57" s="1258">
        <f>IF(ISTEXT(Z57),0,IF(Z58=0,0,Z57/Z58))</f>
        <v>0</v>
      </c>
      <c r="AB57" s="1318"/>
      <c r="AC57" s="1258">
        <f>IF(ISTEXT(AB57),0,IF(AB58=0,0,AB57/AB58))</f>
        <v>0</v>
      </c>
      <c r="AD57" s="1318"/>
      <c r="AE57" s="1258">
        <f>IF(ISTEXT(AD57),0,IF(AD58=0,0,AD57/AD58))</f>
        <v>0</v>
      </c>
      <c r="AF57" s="1318"/>
      <c r="AG57" s="1258">
        <f>IF(ISTEXT(AF57),0,IF(AF58=0,0,AF57/AF58))</f>
        <v>0</v>
      </c>
      <c r="AH57" s="1318"/>
      <c r="AI57" s="1259">
        <f>IF(ISTEXT(AH57),0,IF(AH58=0,0,AH57/AH58))</f>
        <v>0</v>
      </c>
      <c r="AJ57" s="1185"/>
      <c r="AK57" s="1185"/>
      <c r="AL57" s="1185"/>
      <c r="AM57" s="1286"/>
      <c r="AN57" s="3361"/>
      <c r="AO57" s="3362"/>
      <c r="AP57" s="3362"/>
      <c r="AQ57" s="3362"/>
      <c r="AR57" s="3362"/>
      <c r="AS57" s="3362"/>
      <c r="AT57" s="3362"/>
      <c r="AU57" s="3362"/>
      <c r="AV57" s="1286"/>
      <c r="AW57" s="14"/>
      <c r="AX57" s="14"/>
      <c r="AY57" s="14"/>
      <c r="AZ57" s="14"/>
      <c r="BA57" s="14"/>
      <c r="BB57" s="1300"/>
      <c r="BC57" s="1291"/>
      <c r="BD57" s="1291"/>
      <c r="BE57" s="1291"/>
      <c r="BF57" s="1281"/>
      <c r="BG57" s="1281"/>
    </row>
    <row r="58" spans="1:59" ht="20.25" customHeight="1">
      <c r="A58" s="1319"/>
      <c r="B58" s="1320"/>
      <c r="C58" s="1321"/>
      <c r="D58" s="1322">
        <v>0</v>
      </c>
      <c r="E58" s="1323">
        <f t="shared" ref="E58:Q58" si="18">SUM(E8:E57)</f>
        <v>4.2</v>
      </c>
      <c r="F58" s="1324">
        <f t="shared" si="18"/>
        <v>68.096000000000004</v>
      </c>
      <c r="G58" s="1323">
        <f t="shared" si="18"/>
        <v>19.132000000000001</v>
      </c>
      <c r="H58" s="1324">
        <f t="shared" si="18"/>
        <v>8.6795200000000001</v>
      </c>
      <c r="I58" s="1323">
        <f t="shared" si="18"/>
        <v>2.2000000000000002</v>
      </c>
      <c r="J58" s="1324">
        <f t="shared" si="18"/>
        <v>2.036</v>
      </c>
      <c r="K58" s="1323">
        <f t="shared" si="18"/>
        <v>1.66</v>
      </c>
      <c r="L58" s="1324">
        <f t="shared" si="18"/>
        <v>10.228200000000001</v>
      </c>
      <c r="M58" s="1323">
        <f t="shared" si="18"/>
        <v>0</v>
      </c>
      <c r="N58" s="1325">
        <f t="shared" si="18"/>
        <v>0</v>
      </c>
      <c r="O58" s="1326">
        <f t="shared" si="18"/>
        <v>27.191999999999997</v>
      </c>
      <c r="P58" s="1327">
        <f t="shared" si="18"/>
        <v>89.039720000000017</v>
      </c>
      <c r="Q58" s="1328">
        <f t="shared" si="18"/>
        <v>0.99999999999999978</v>
      </c>
      <c r="R58" s="3421"/>
      <c r="U58" s="1319"/>
      <c r="V58" s="3503" t="s">
        <v>80</v>
      </c>
      <c r="W58" s="3504"/>
      <c r="X58" s="3504"/>
      <c r="Y58" s="3505"/>
      <c r="Z58" s="1329">
        <f t="shared" ref="Z58:AI58" si="19">SUM(Z8:Z57)</f>
        <v>2.1</v>
      </c>
      <c r="AA58" s="1330">
        <f t="shared" si="19"/>
        <v>1</v>
      </c>
      <c r="AB58" s="1331">
        <f t="shared" si="19"/>
        <v>9.5660000000000007</v>
      </c>
      <c r="AC58" s="1330">
        <f t="shared" si="19"/>
        <v>0.99999999999999989</v>
      </c>
      <c r="AD58" s="1331">
        <f t="shared" si="19"/>
        <v>1.1000000000000001</v>
      </c>
      <c r="AE58" s="1330">
        <f t="shared" si="19"/>
        <v>1</v>
      </c>
      <c r="AF58" s="1331">
        <f t="shared" si="19"/>
        <v>0.83</v>
      </c>
      <c r="AG58" s="1330">
        <f t="shared" si="19"/>
        <v>1</v>
      </c>
      <c r="AH58" s="1331">
        <f t="shared" si="19"/>
        <v>0</v>
      </c>
      <c r="AI58" s="1332">
        <f t="shared" si="19"/>
        <v>0</v>
      </c>
      <c r="AJ58" s="1185"/>
      <c r="AK58" s="1185"/>
      <c r="AL58" s="1185"/>
      <c r="AM58" s="1286"/>
      <c r="AN58" s="1286"/>
      <c r="AO58" s="1286"/>
      <c r="AP58" s="1286"/>
      <c r="AQ58" s="1286"/>
      <c r="AR58" s="1286"/>
      <c r="AS58" s="1286"/>
      <c r="AT58" s="1286"/>
      <c r="AU58" s="1286"/>
      <c r="AV58" s="1286"/>
      <c r="AW58" s="14"/>
      <c r="AX58" s="14"/>
      <c r="AY58" s="14"/>
      <c r="AZ58" s="14"/>
      <c r="BA58" s="14"/>
      <c r="BB58" s="1300"/>
      <c r="BC58" s="1291"/>
      <c r="BD58" s="1291"/>
      <c r="BE58" s="1291"/>
      <c r="BF58" s="1281"/>
      <c r="BG58" s="1281"/>
    </row>
    <row r="59" spans="1:59" ht="21" customHeight="1">
      <c r="A59" s="1333"/>
      <c r="B59" s="1334"/>
      <c r="C59" s="1335"/>
      <c r="D59" s="1336" t="s">
        <v>123</v>
      </c>
      <c r="E59" s="1337">
        <f>IF(E6=0,0,(E58/E6)*1)</f>
        <v>0.21000000000000002</v>
      </c>
      <c r="F59" s="1338" t="s">
        <v>122</v>
      </c>
      <c r="G59" s="1337">
        <f>IF(G6=0,0,(G58/G6)*1)</f>
        <v>0.95660000000000012</v>
      </c>
      <c r="H59" s="1338" t="s">
        <v>122</v>
      </c>
      <c r="I59" s="1337">
        <f>IF(I6=0,0,(I58/I6)*1)</f>
        <v>0.11000000000000001</v>
      </c>
      <c r="J59" s="1338" t="s">
        <v>122</v>
      </c>
      <c r="K59" s="1337">
        <f>IF(K6=0,0,(K58/K6)*1)</f>
        <v>8.299999999999999E-2</v>
      </c>
      <c r="L59" s="1338" t="s">
        <v>122</v>
      </c>
      <c r="M59" s="1337">
        <f>IF(M6=0,0,(M58/M6)*1)</f>
        <v>0</v>
      </c>
      <c r="N59" s="1339" t="s">
        <v>122</v>
      </c>
      <c r="O59" s="3468" t="s">
        <v>124</v>
      </c>
      <c r="P59" s="3469"/>
      <c r="Q59" s="3469"/>
      <c r="R59" s="3421"/>
      <c r="U59" s="1333"/>
      <c r="V59" s="3503"/>
      <c r="W59" s="3504"/>
      <c r="X59" s="3504"/>
      <c r="Y59" s="3505"/>
      <c r="Z59" s="1340">
        <f>Z58/Z7</f>
        <v>0.21000000000000002</v>
      </c>
      <c r="AA59" s="1341">
        <v>0</v>
      </c>
      <c r="AB59" s="1340">
        <f>AB58/AB7</f>
        <v>0.95660000000000012</v>
      </c>
      <c r="AC59" s="1341">
        <v>0</v>
      </c>
      <c r="AD59" s="1340">
        <f>AD58/AD7</f>
        <v>0.11000000000000001</v>
      </c>
      <c r="AE59" s="1341">
        <v>0</v>
      </c>
      <c r="AF59" s="1340">
        <f>AF58/AF7</f>
        <v>8.299999999999999E-2</v>
      </c>
      <c r="AG59" s="1341">
        <v>0</v>
      </c>
      <c r="AH59" s="1340">
        <f>AH58/AH7</f>
        <v>0</v>
      </c>
      <c r="AI59" s="1342">
        <v>0</v>
      </c>
      <c r="AJ59" s="1185"/>
      <c r="AK59" s="1185"/>
      <c r="AL59" s="1185"/>
      <c r="AM59" s="1286"/>
      <c r="AN59" s="1286"/>
      <c r="AO59" s="1286"/>
      <c r="AP59" s="1286"/>
      <c r="AQ59" s="1286"/>
      <c r="AR59" s="1286"/>
      <c r="AS59" s="1286"/>
      <c r="AT59" s="1286"/>
      <c r="AU59" s="1286"/>
      <c r="AV59" s="1286"/>
      <c r="AW59" s="14"/>
      <c r="AX59" s="14"/>
      <c r="AY59" s="14"/>
      <c r="AZ59" s="14"/>
      <c r="BA59" s="14"/>
      <c r="BB59" s="1300"/>
      <c r="BC59" s="1291"/>
      <c r="BD59" s="1291"/>
      <c r="BE59" s="1291"/>
      <c r="BF59" s="1281"/>
      <c r="BG59" s="1281"/>
    </row>
    <row r="60" spans="1:59" ht="24" customHeight="1" thickBot="1">
      <c r="A60" s="1343"/>
      <c r="B60" s="1344"/>
      <c r="C60" s="1345"/>
      <c r="D60" s="1346" t="s">
        <v>125</v>
      </c>
      <c r="E60" s="1347"/>
      <c r="F60" s="1348">
        <f>IF(E6=0,0,(F58/E6)*1)</f>
        <v>3.4048000000000003</v>
      </c>
      <c r="G60" s="1347"/>
      <c r="H60" s="1348">
        <f>IF(G6=0,0,(H58/G6)*1)</f>
        <v>0.43397600000000003</v>
      </c>
      <c r="I60" s="1347"/>
      <c r="J60" s="1348">
        <f>IF(I6=0,0,(J58/I6)*1)</f>
        <v>0.1018</v>
      </c>
      <c r="K60" s="1347"/>
      <c r="L60" s="1348">
        <f>IF(K6=0,0,(L58/K6)*1)</f>
        <v>0.51141000000000003</v>
      </c>
      <c r="M60" s="1347"/>
      <c r="N60" s="1348">
        <f>IF(M6=0,0,(N58/M6)*1)</f>
        <v>0</v>
      </c>
      <c r="O60" s="1349"/>
      <c r="P60" s="1350">
        <f>P58</f>
        <v>89.039720000000017</v>
      </c>
      <c r="Q60" s="1351"/>
      <c r="R60" s="3421"/>
      <c r="U60" s="1343"/>
      <c r="V60" s="3503"/>
      <c r="W60" s="3504"/>
      <c r="X60" s="3504"/>
      <c r="Y60" s="3505"/>
      <c r="Z60" s="3470" t="s">
        <v>123</v>
      </c>
      <c r="AA60" s="3471"/>
      <c r="AB60" s="3471"/>
      <c r="AC60" s="3471"/>
      <c r="AD60" s="3471"/>
      <c r="AE60" s="3471"/>
      <c r="AF60" s="3471"/>
      <c r="AG60" s="3471"/>
      <c r="AH60" s="3471"/>
      <c r="AI60" s="3472"/>
      <c r="AJ60" s="1185"/>
      <c r="AK60" s="1185"/>
      <c r="AL60" s="3363" t="s">
        <v>2831</v>
      </c>
      <c r="AM60" s="3364"/>
      <c r="AN60" s="3364"/>
      <c r="AO60" s="3364"/>
      <c r="AP60" s="3364"/>
      <c r="AQ60" s="3364"/>
      <c r="AR60" s="3364"/>
      <c r="AS60" s="3364"/>
      <c r="AT60" s="3364"/>
      <c r="AU60" s="3364"/>
      <c r="AV60" s="3364"/>
      <c r="AW60" s="3364"/>
      <c r="AX60" s="3364"/>
      <c r="AY60" s="3364"/>
      <c r="AZ60" s="3364"/>
      <c r="BA60" s="3364"/>
      <c r="BB60" s="3364"/>
      <c r="BC60" s="3364"/>
      <c r="BD60" s="3364"/>
      <c r="BE60" s="3365"/>
    </row>
    <row r="61" spans="1:59" ht="24" customHeight="1" thickBot="1">
      <c r="A61" s="1343"/>
      <c r="B61" s="1352"/>
      <c r="C61" s="1192"/>
      <c r="D61" s="1353" t="s">
        <v>88</v>
      </c>
      <c r="E61" s="1354"/>
      <c r="F61" s="1355">
        <v>2</v>
      </c>
      <c r="G61" s="1354"/>
      <c r="H61" s="1355">
        <v>2</v>
      </c>
      <c r="I61" s="1354"/>
      <c r="J61" s="1355">
        <v>2</v>
      </c>
      <c r="K61" s="1354"/>
      <c r="L61" s="1355">
        <v>2</v>
      </c>
      <c r="M61" s="1354"/>
      <c r="N61" s="1356">
        <v>2</v>
      </c>
      <c r="O61" s="1357"/>
      <c r="P61" s="1358">
        <v>2</v>
      </c>
      <c r="Q61" s="1359"/>
      <c r="R61" s="3421"/>
      <c r="U61" s="1343"/>
      <c r="V61" s="1360"/>
      <c r="W61" s="1361"/>
      <c r="X61" s="1361"/>
      <c r="Y61" s="1361"/>
      <c r="Z61" s="1361"/>
      <c r="AA61" s="1361"/>
      <c r="AB61" s="1361"/>
      <c r="AC61" s="1361"/>
      <c r="AD61" s="1361"/>
      <c r="AE61" s="1361"/>
      <c r="AF61" s="1361"/>
      <c r="AG61" s="1361"/>
      <c r="AH61" s="1361"/>
      <c r="AI61" s="1362"/>
      <c r="AJ61" s="1185"/>
      <c r="AK61" s="1185"/>
      <c r="AL61" s="1199"/>
      <c r="AM61" s="1211"/>
      <c r="AN61" s="1199"/>
      <c r="AO61" s="1199"/>
      <c r="AP61" s="1199"/>
      <c r="AQ61" s="1199"/>
      <c r="AR61" s="1199"/>
      <c r="AS61" s="1199"/>
      <c r="AT61" s="1199"/>
      <c r="AU61" s="1199"/>
      <c r="AV61" s="1199"/>
      <c r="AW61" s="1200"/>
      <c r="AX61" s="1200"/>
      <c r="AY61" s="1200"/>
      <c r="AZ61" s="1200"/>
      <c r="BA61" s="1201"/>
      <c r="BB61" s="1291"/>
      <c r="BC61" s="1291"/>
      <c r="BD61" s="1291"/>
      <c r="BE61" s="1291"/>
      <c r="BF61" s="1281"/>
      <c r="BG61" s="1281"/>
    </row>
    <row r="62" spans="1:59" ht="20.25" customHeight="1">
      <c r="A62" s="1343"/>
      <c r="B62" s="1363"/>
      <c r="C62" s="1364"/>
      <c r="D62" s="1365" t="s">
        <v>127</v>
      </c>
      <c r="E62" s="1366"/>
      <c r="F62" s="1367">
        <f>F60*F61</f>
        <v>6.8096000000000005</v>
      </c>
      <c r="G62" s="1366"/>
      <c r="H62" s="1367">
        <f>H60*H61</f>
        <v>0.86795200000000006</v>
      </c>
      <c r="I62" s="1366"/>
      <c r="J62" s="1367">
        <f>J60*J61</f>
        <v>0.2036</v>
      </c>
      <c r="K62" s="1366"/>
      <c r="L62" s="1367">
        <f>L60*L61</f>
        <v>1.0228200000000001</v>
      </c>
      <c r="M62" s="1366"/>
      <c r="N62" s="1368">
        <f>N60*N61</f>
        <v>0</v>
      </c>
      <c r="O62" s="1369"/>
      <c r="P62" s="1368">
        <f>P58*P61</f>
        <v>178.07944000000003</v>
      </c>
      <c r="Q62" s="1370"/>
      <c r="R62" s="3421"/>
      <c r="AJ62" s="1185"/>
      <c r="AK62" s="1185"/>
      <c r="AL62" s="1274" t="s">
        <v>81</v>
      </c>
      <c r="AM62" s="1286"/>
      <c r="AN62" s="1197" t="s">
        <v>82</v>
      </c>
      <c r="AO62" s="1286"/>
      <c r="AP62" s="1286"/>
      <c r="AQ62" s="1286"/>
      <c r="AR62" s="1286"/>
      <c r="AS62" s="1286"/>
      <c r="AT62" s="1286"/>
      <c r="AU62" s="1286"/>
      <c r="AV62" s="1286"/>
      <c r="AW62" s="14"/>
      <c r="AX62" s="14"/>
      <c r="AY62" s="14"/>
      <c r="AZ62" s="14"/>
      <c r="BA62" s="14"/>
      <c r="BB62" s="1371"/>
      <c r="BC62" s="1202"/>
      <c r="BD62" s="1202"/>
      <c r="BE62" s="1202"/>
    </row>
    <row r="63" spans="1:59" ht="20.25" customHeight="1">
      <c r="A63" s="1343"/>
      <c r="B63" s="1372" t="s">
        <v>80</v>
      </c>
      <c r="C63" s="1192"/>
      <c r="D63" s="1192"/>
      <c r="E63" s="1192"/>
      <c r="F63" s="1192"/>
      <c r="G63" s="1192"/>
      <c r="H63" s="1192"/>
      <c r="I63" s="1192"/>
      <c r="J63" s="1192"/>
      <c r="K63" s="1192"/>
      <c r="L63" s="1192"/>
      <c r="M63" s="1192"/>
      <c r="N63" s="1192"/>
      <c r="O63" s="1373"/>
      <c r="P63" s="1373"/>
      <c r="Q63" s="1373"/>
      <c r="R63" s="3421"/>
      <c r="W63" s="1374" t="s">
        <v>225</v>
      </c>
      <c r="AJ63" s="1185"/>
      <c r="AK63" s="1185"/>
      <c r="AL63" s="1185"/>
      <c r="AM63" s="1286"/>
      <c r="AN63" s="1286"/>
      <c r="AO63" s="1286"/>
      <c r="AP63" s="1286"/>
      <c r="AQ63" s="1286"/>
      <c r="AR63" s="1275" t="s">
        <v>83</v>
      </c>
      <c r="AS63" s="1286"/>
      <c r="AT63" s="1275" t="s">
        <v>84</v>
      </c>
      <c r="AU63" s="1286"/>
      <c r="AV63" s="1275" t="s">
        <v>85</v>
      </c>
      <c r="AW63" s="14"/>
      <c r="AX63" s="1275" t="s">
        <v>86</v>
      </c>
      <c r="AY63" s="14"/>
      <c r="AZ63" s="1275" t="s">
        <v>87</v>
      </c>
      <c r="BA63" s="14"/>
      <c r="BB63" s="1371"/>
      <c r="BC63" s="1202"/>
      <c r="BD63" s="1202"/>
      <c r="BE63" s="1202"/>
    </row>
    <row r="64" spans="1:59" ht="20.25" customHeight="1">
      <c r="A64" s="1343"/>
      <c r="B64" s="1375"/>
      <c r="C64" s="1376"/>
      <c r="D64" s="1376"/>
      <c r="E64" s="1376"/>
      <c r="F64" s="1376"/>
      <c r="G64" s="1376"/>
      <c r="H64" s="1376"/>
      <c r="I64" s="1376"/>
      <c r="J64" s="1376"/>
      <c r="K64" s="1376"/>
      <c r="L64" s="1376"/>
      <c r="M64" s="1376"/>
      <c r="N64" s="1376"/>
      <c r="O64" s="1376"/>
      <c r="P64" s="1376"/>
      <c r="Q64" s="1376"/>
      <c r="R64" s="3421"/>
      <c r="AJ64" s="1185"/>
      <c r="AK64" s="1185"/>
      <c r="AL64" s="1185"/>
      <c r="AM64" s="1377"/>
      <c r="AN64" s="1378"/>
      <c r="AO64" s="1378"/>
      <c r="AP64" s="1379" t="s">
        <v>88</v>
      </c>
      <c r="AQ64" s="1380"/>
      <c r="AR64" s="1381">
        <v>2</v>
      </c>
      <c r="AS64" s="1380"/>
      <c r="AT64" s="1381">
        <v>2</v>
      </c>
      <c r="AU64" s="1380"/>
      <c r="AV64" s="1381">
        <v>2</v>
      </c>
      <c r="AW64" s="1380"/>
      <c r="AX64" s="1381">
        <v>2</v>
      </c>
      <c r="AY64" s="1380"/>
      <c r="AZ64" s="1382">
        <v>2</v>
      </c>
      <c r="BA64" s="1383"/>
      <c r="BB64" s="1371"/>
      <c r="BC64" s="1202"/>
      <c r="BD64" s="1202"/>
      <c r="BE64" s="1202"/>
    </row>
    <row r="65" spans="1:57" ht="20.25" customHeight="1">
      <c r="A65" s="1343"/>
      <c r="B65" s="3435" t="s">
        <v>131</v>
      </c>
      <c r="C65" s="3436"/>
      <c r="D65" s="3436"/>
      <c r="E65" s="3436"/>
      <c r="F65" s="3436"/>
      <c r="G65" s="3436"/>
      <c r="H65" s="3436"/>
      <c r="I65" s="3436"/>
      <c r="J65" s="3436"/>
      <c r="K65" s="3436"/>
      <c r="L65" s="3436"/>
      <c r="M65" s="3436"/>
      <c r="N65" s="3436"/>
      <c r="O65" s="3436"/>
      <c r="P65" s="3436"/>
      <c r="Q65" s="3436"/>
      <c r="R65" s="3422"/>
      <c r="AJ65" s="1185"/>
      <c r="AK65" s="1185"/>
      <c r="AL65" s="1185"/>
      <c r="AM65" s="1286"/>
      <c r="AN65" s="1286"/>
      <c r="AO65" s="1286"/>
      <c r="AP65" s="1286"/>
      <c r="AQ65" s="1286"/>
      <c r="AR65" s="1286"/>
      <c r="AS65" s="1286"/>
      <c r="AT65" s="1286"/>
      <c r="AU65" s="1286"/>
      <c r="AV65" s="1286"/>
      <c r="AW65" s="14"/>
      <c r="AX65" s="14"/>
      <c r="AY65" s="14"/>
      <c r="AZ65" s="14"/>
      <c r="BA65" s="14"/>
      <c r="BB65" s="1371"/>
      <c r="BC65" s="1202"/>
      <c r="BD65" s="1202"/>
      <c r="BE65" s="1202"/>
    </row>
    <row r="66" spans="1:57" ht="20.25" customHeight="1">
      <c r="A66" s="1343"/>
      <c r="B66" s="3435"/>
      <c r="C66" s="3436"/>
      <c r="D66" s="3436"/>
      <c r="E66" s="3436"/>
      <c r="F66" s="3436"/>
      <c r="G66" s="3436"/>
      <c r="H66" s="3436"/>
      <c r="I66" s="3436"/>
      <c r="J66" s="3436"/>
      <c r="K66" s="3436"/>
      <c r="L66" s="3436"/>
      <c r="M66" s="3436"/>
      <c r="N66" s="3436"/>
      <c r="O66" s="3436"/>
      <c r="P66" s="3436"/>
      <c r="Q66" s="3436"/>
      <c r="R66" s="3597">
        <f>R2</f>
        <v>7</v>
      </c>
      <c r="AJ66" s="1185"/>
      <c r="AK66" s="1185"/>
      <c r="AL66" s="1185"/>
      <c r="AM66" s="1286"/>
      <c r="AN66" s="1197" t="s">
        <v>89</v>
      </c>
      <c r="AO66" s="1286"/>
      <c r="AP66" s="1286"/>
      <c r="AQ66" s="1286"/>
      <c r="AR66" s="1286"/>
      <c r="AS66" s="1286"/>
      <c r="AT66" s="1286"/>
      <c r="AU66" s="1286"/>
      <c r="AV66" s="1286"/>
      <c r="AW66" s="14"/>
      <c r="AX66" s="14"/>
      <c r="AY66" s="14"/>
      <c r="AZ66" s="14"/>
      <c r="BA66" s="14"/>
      <c r="BB66" s="1371"/>
      <c r="BC66" s="1202"/>
      <c r="BD66" s="1202"/>
      <c r="BE66" s="1202"/>
    </row>
    <row r="67" spans="1:57" ht="20.25" customHeight="1">
      <c r="A67" s="1343"/>
      <c r="B67" s="3435"/>
      <c r="C67" s="3436"/>
      <c r="D67" s="3436"/>
      <c r="E67" s="3436"/>
      <c r="F67" s="3436"/>
      <c r="G67" s="3436"/>
      <c r="H67" s="3436"/>
      <c r="I67" s="3436"/>
      <c r="J67" s="3436"/>
      <c r="K67" s="3436"/>
      <c r="L67" s="3436"/>
      <c r="M67" s="3436"/>
      <c r="N67" s="3436"/>
      <c r="O67" s="3436"/>
      <c r="P67" s="3436"/>
      <c r="Q67" s="3436"/>
      <c r="R67" s="3598"/>
      <c r="AJ67" s="1185"/>
      <c r="AK67" s="1185"/>
      <c r="AL67" s="1185"/>
      <c r="AM67" s="1286"/>
      <c r="AN67" s="1286"/>
      <c r="AO67" s="1286"/>
      <c r="AP67" s="1286"/>
      <c r="AQ67" s="1286"/>
      <c r="AR67" s="1286"/>
      <c r="AS67" s="1286"/>
      <c r="AT67" s="1286"/>
      <c r="AU67" s="1286"/>
      <c r="AV67" s="1286"/>
      <c r="AW67" s="14"/>
      <c r="AX67" s="14"/>
      <c r="AY67" s="14"/>
      <c r="AZ67" s="14"/>
      <c r="BA67" s="14"/>
      <c r="BB67" s="1371"/>
      <c r="BC67" s="1202"/>
      <c r="BD67" s="1202"/>
      <c r="BE67" s="1202"/>
    </row>
    <row r="68" spans="1:57" ht="20.25" customHeight="1" thickBot="1">
      <c r="A68" s="1343"/>
      <c r="B68" s="1360"/>
      <c r="C68" s="1361">
        <v>0</v>
      </c>
      <c r="D68" s="1361">
        <v>0</v>
      </c>
      <c r="E68" s="1361"/>
      <c r="F68" s="1361">
        <v>0</v>
      </c>
      <c r="G68" s="1361"/>
      <c r="H68" s="1361"/>
      <c r="I68" s="1361"/>
      <c r="J68" s="1361"/>
      <c r="K68" s="1361"/>
      <c r="L68" s="1361"/>
      <c r="M68" s="1361"/>
      <c r="N68" s="1361"/>
      <c r="O68" s="1361"/>
      <c r="P68" s="1361"/>
      <c r="Q68" s="1361"/>
      <c r="R68" s="3599"/>
      <c r="AJ68" s="1185"/>
      <c r="AK68" s="1185"/>
      <c r="AL68" s="3363" t="s">
        <v>2832</v>
      </c>
      <c r="AM68" s="3364"/>
      <c r="AN68" s="3364"/>
      <c r="AO68" s="3364"/>
      <c r="AP68" s="3364"/>
      <c r="AQ68" s="3364"/>
      <c r="AR68" s="3364"/>
      <c r="AS68" s="3364"/>
      <c r="AT68" s="3364"/>
      <c r="AU68" s="3364"/>
      <c r="AV68" s="3364"/>
      <c r="AW68" s="3364"/>
      <c r="AX68" s="3364"/>
      <c r="AY68" s="3364"/>
      <c r="AZ68" s="3364"/>
      <c r="BA68" s="3364"/>
      <c r="BB68" s="3364"/>
      <c r="BC68" s="3364"/>
      <c r="BD68" s="3364"/>
      <c r="BE68" s="3365"/>
    </row>
    <row r="69" spans="1:57" ht="20.25" customHeight="1" thickBot="1">
      <c r="A69" s="1177"/>
      <c r="B69" s="1177"/>
      <c r="C69" s="1177"/>
      <c r="D69" s="1177"/>
      <c r="E69" s="1177"/>
      <c r="F69" s="1177"/>
      <c r="G69" s="1177"/>
      <c r="H69" s="1177"/>
      <c r="I69" s="1177"/>
      <c r="J69" s="1177"/>
      <c r="K69" s="1177"/>
      <c r="L69" s="1177"/>
      <c r="M69" s="1177"/>
      <c r="N69" s="1177"/>
      <c r="O69" s="1177"/>
      <c r="P69" s="1177"/>
      <c r="Q69" s="1177"/>
      <c r="R69" s="1177"/>
      <c r="AJ69" s="1185"/>
      <c r="AK69" s="1185"/>
      <c r="AL69" s="1185"/>
      <c r="AM69" s="1185"/>
      <c r="AN69" s="1185"/>
      <c r="AO69" s="1185"/>
      <c r="AP69" s="1185"/>
      <c r="AQ69" s="1185"/>
      <c r="AR69" s="1185"/>
      <c r="AS69" s="1185"/>
      <c r="AT69" s="1185"/>
      <c r="AU69" s="1185"/>
      <c r="AV69" s="1185"/>
      <c r="AW69" s="1201"/>
      <c r="AX69" s="1201"/>
      <c r="AY69" s="1201"/>
      <c r="AZ69" s="1201"/>
      <c r="BA69" s="1201"/>
      <c r="BB69" s="1202"/>
      <c r="BC69" s="1202"/>
      <c r="BD69" s="1202"/>
      <c r="BE69" s="1202"/>
    </row>
    <row r="70" spans="1:57" ht="35.25" customHeight="1">
      <c r="A70" s="1343"/>
      <c r="B70" s="1182"/>
      <c r="C70" s="1183" t="str">
        <f>C2</f>
        <v>FF.8.B.Restauration, mis à jour le 13/08/2020 </v>
      </c>
      <c r="D70" s="1184"/>
      <c r="E70" s="1184"/>
      <c r="F70" s="1184"/>
      <c r="G70" s="1184"/>
      <c r="H70" s="1184"/>
      <c r="I70" s="1184"/>
      <c r="J70" s="1184"/>
      <c r="K70" s="1184"/>
      <c r="L70" s="1184"/>
      <c r="M70" s="3437" t="s">
        <v>103</v>
      </c>
      <c r="N70" s="3438"/>
      <c r="O70" s="3439"/>
      <c r="P70" s="3440" t="s">
        <v>104</v>
      </c>
      <c r="Q70" s="3441"/>
      <c r="R70" s="3609">
        <f>R2</f>
        <v>7</v>
      </c>
      <c r="AJ70" s="1185"/>
      <c r="AK70" s="1185"/>
      <c r="AL70" s="1274" t="s">
        <v>90</v>
      </c>
      <c r="AM70" s="1211" t="s">
        <v>91</v>
      </c>
      <c r="AN70" s="1185"/>
      <c r="AO70" s="1185"/>
      <c r="AP70" s="1185"/>
      <c r="AQ70" s="1185"/>
      <c r="AR70" s="1185"/>
      <c r="AS70" s="1185"/>
      <c r="AT70" s="1185"/>
      <c r="AU70" s="1185"/>
      <c r="AV70" s="1185"/>
      <c r="AW70" s="1201"/>
      <c r="AX70" s="1201"/>
      <c r="AY70" s="1201"/>
      <c r="AZ70" s="1201"/>
      <c r="BA70" s="1201"/>
      <c r="BB70" s="1202"/>
      <c r="BC70" s="1202"/>
      <c r="BD70" s="1202"/>
      <c r="BE70" s="1202"/>
    </row>
    <row r="71" spans="1:57" ht="40.5" customHeight="1">
      <c r="A71" s="1343"/>
      <c r="B71" s="1187"/>
      <c r="C71" s="3444" t="str">
        <f>C3</f>
        <v>TERRINE DE LANGOUSTINE AUX TOMATES CONFITES</v>
      </c>
      <c r="D71" s="3444"/>
      <c r="E71" s="3444"/>
      <c r="F71" s="3444"/>
      <c r="G71" s="3444"/>
      <c r="H71" s="3444"/>
      <c r="I71" s="3444"/>
      <c r="J71" s="3444"/>
      <c r="K71" s="3444"/>
      <c r="L71" s="3445"/>
      <c r="M71" s="3446">
        <f ca="1">NOW()</f>
        <v>44545.461550462962</v>
      </c>
      <c r="N71" s="3447"/>
      <c r="O71" s="3448"/>
      <c r="P71" s="3449">
        <f>P3</f>
        <v>7</v>
      </c>
      <c r="Q71" s="3450"/>
      <c r="R71" s="3610"/>
      <c r="AJ71" s="1185"/>
      <c r="AK71" s="1185"/>
      <c r="AL71" s="1185"/>
      <c r="AM71" s="1185"/>
      <c r="AN71" s="1185"/>
      <c r="AO71" s="1185"/>
      <c r="AP71" s="1185"/>
      <c r="AQ71" s="1185"/>
      <c r="AR71" s="1185"/>
      <c r="AS71" s="1185"/>
      <c r="AT71" s="1185"/>
      <c r="AU71" s="1185"/>
      <c r="AV71" s="1185"/>
      <c r="AW71" s="1201"/>
      <c r="AX71" s="1201"/>
      <c r="AY71" s="1201"/>
      <c r="AZ71" s="1201"/>
      <c r="BA71" s="1201"/>
      <c r="BB71" s="1202"/>
      <c r="BC71" s="1202"/>
      <c r="BD71" s="1202"/>
      <c r="BE71" s="1202"/>
    </row>
    <row r="72" spans="1:57" ht="35.25" customHeight="1">
      <c r="A72" s="1343"/>
      <c r="B72" s="1190"/>
      <c r="C72" s="1191" t="str">
        <f ca="1">MID(CELL("filename",C72),FIND("[",CELL("filename",C72)),300)</f>
        <v>[ff-8-restauration-Christian.Frechede.xlsx]FF.8.B.Terrine de langoustine</v>
      </c>
      <c r="D72" s="1192"/>
      <c r="E72" s="3451" t="s">
        <v>136</v>
      </c>
      <c r="F72" s="3451"/>
      <c r="G72" s="3451"/>
      <c r="H72" s="3451"/>
      <c r="I72" s="3451"/>
      <c r="J72" s="3452" t="str">
        <f>J4</f>
        <v>par  Christian FRECHEDE </v>
      </c>
      <c r="K72" s="3452"/>
      <c r="L72" s="3453"/>
      <c r="M72" s="3454">
        <f ca="1">NOW()</f>
        <v>44545.461550462962</v>
      </c>
      <c r="N72" s="3447"/>
      <c r="O72" s="3448"/>
      <c r="P72" s="3449"/>
      <c r="Q72" s="3449"/>
      <c r="R72" s="3421" t="str">
        <f>R4</f>
        <v>TERRINE DE LANGOUSTINE AUX TOMATES CONFITES</v>
      </c>
      <c r="AJ72" s="1185"/>
      <c r="AK72" s="1185"/>
      <c r="AL72" s="1185"/>
      <c r="AM72" s="1286"/>
      <c r="AN72" s="1197" t="s">
        <v>92</v>
      </c>
      <c r="AO72" s="1286"/>
      <c r="AP72" s="1286"/>
      <c r="AQ72" s="1286"/>
      <c r="AR72" s="1286"/>
      <c r="AS72" s="1286"/>
      <c r="AT72" s="1286"/>
      <c r="AU72" s="1286"/>
      <c r="AV72" s="1286"/>
      <c r="AW72" s="14"/>
      <c r="AX72" s="14"/>
      <c r="AY72" s="14"/>
      <c r="AZ72" s="14"/>
      <c r="BA72" s="1201"/>
      <c r="BB72" s="1202"/>
      <c r="BC72" s="1202"/>
      <c r="BD72" s="1202"/>
      <c r="BE72" s="1202"/>
    </row>
    <row r="73" spans="1:57" ht="20.25" customHeight="1">
      <c r="A73" s="1343"/>
      <c r="B73" s="1384"/>
      <c r="C73" s="1385"/>
      <c r="D73" s="1385"/>
      <c r="E73" s="1385"/>
      <c r="F73" s="1385"/>
      <c r="G73" s="1385"/>
      <c r="H73" s="1385"/>
      <c r="I73" s="1385"/>
      <c r="J73" s="1385"/>
      <c r="K73" s="1385"/>
      <c r="L73" s="1385"/>
      <c r="M73" s="1385"/>
      <c r="N73" s="1385"/>
      <c r="O73" s="1386"/>
      <c r="P73" s="1386"/>
      <c r="Q73" s="1386"/>
      <c r="R73" s="3421"/>
      <c r="AJ73" s="1185"/>
      <c r="AK73" s="1185"/>
      <c r="AL73" s="1185"/>
      <c r="AM73" s="1286"/>
      <c r="AN73" s="1286"/>
      <c r="AO73" s="1286"/>
      <c r="AP73" s="1286"/>
      <c r="AQ73" s="1286"/>
      <c r="AR73" s="1286"/>
      <c r="AS73" s="1286"/>
      <c r="AT73" s="1286"/>
      <c r="AU73" s="1286"/>
      <c r="AV73" s="1286"/>
      <c r="AW73" s="14"/>
      <c r="AX73" s="14"/>
      <c r="AY73" s="14"/>
      <c r="AZ73" s="14"/>
      <c r="BA73" s="1201"/>
      <c r="BB73" s="1202"/>
      <c r="BC73" s="1202"/>
      <c r="BD73" s="1202"/>
      <c r="BE73" s="1202"/>
    </row>
    <row r="74" spans="1:57" ht="30" customHeight="1">
      <c r="A74" s="1343"/>
      <c r="B74" s="3455" t="s">
        <v>137</v>
      </c>
      <c r="C74" s="3456"/>
      <c r="D74" s="3456"/>
      <c r="E74" s="3456"/>
      <c r="F74" s="3456"/>
      <c r="G74" s="3456"/>
      <c r="H74" s="3456"/>
      <c r="I74" s="3456"/>
      <c r="J74" s="3456"/>
      <c r="K74" s="3456"/>
      <c r="L74" s="3456"/>
      <c r="M74" s="3456"/>
      <c r="N74" s="3456"/>
      <c r="O74" s="3456"/>
      <c r="P74" s="3456"/>
      <c r="Q74" s="3456"/>
      <c r="R74" s="3421"/>
      <c r="AJ74" s="1185"/>
      <c r="AK74" s="1185"/>
      <c r="AL74" s="1185"/>
      <c r="AM74" s="1286"/>
      <c r="AN74" s="1197" t="s">
        <v>93</v>
      </c>
      <c r="AO74" s="1286"/>
      <c r="AP74" s="1286"/>
      <c r="AQ74" s="1286"/>
      <c r="AR74" s="1286"/>
      <c r="AS74" s="1286"/>
      <c r="AT74" s="1286"/>
      <c r="AU74" s="1286"/>
      <c r="AV74" s="1286"/>
      <c r="AW74" s="14"/>
      <c r="AX74" s="14"/>
      <c r="AY74" s="14"/>
      <c r="AZ74" s="14"/>
      <c r="BA74" s="1201"/>
      <c r="BB74" s="1202"/>
      <c r="BC74" s="1202"/>
      <c r="BD74" s="1202"/>
      <c r="BE74" s="1202"/>
    </row>
    <row r="75" spans="1:57" ht="41.25" customHeight="1" thickBot="1">
      <c r="A75" s="1343"/>
      <c r="B75" s="1387"/>
      <c r="C75" s="3457" t="s">
        <v>138</v>
      </c>
      <c r="D75" s="3458"/>
      <c r="E75" s="3458"/>
      <c r="F75" s="3458"/>
      <c r="G75" s="3458"/>
      <c r="H75" s="3459"/>
      <c r="I75" s="1388"/>
      <c r="J75" s="3457" t="s">
        <v>139</v>
      </c>
      <c r="K75" s="3457"/>
      <c r="L75" s="3457"/>
      <c r="M75" s="3457"/>
      <c r="N75" s="3457"/>
      <c r="O75" s="3457"/>
      <c r="P75" s="3457"/>
      <c r="Q75" s="3457"/>
      <c r="R75" s="3421"/>
      <c r="AE75" s="1389"/>
      <c r="AJ75" s="1185"/>
      <c r="AK75" s="1185"/>
      <c r="AL75" s="1185"/>
      <c r="AM75" s="1286"/>
      <c r="AN75" s="1286"/>
      <c r="AO75" s="1286"/>
      <c r="AP75" s="1286"/>
      <c r="AQ75" s="1286"/>
      <c r="AR75" s="1286"/>
      <c r="AS75" s="1286"/>
      <c r="AT75" s="1286"/>
      <c r="AU75" s="1286"/>
      <c r="AV75" s="1286"/>
      <c r="AW75" s="14"/>
      <c r="AX75" s="14"/>
      <c r="AY75" s="14"/>
      <c r="AZ75" s="14"/>
      <c r="BA75" s="1201"/>
      <c r="BB75" s="1202"/>
      <c r="BC75" s="1202"/>
      <c r="BD75" s="1202"/>
      <c r="BE75" s="1202"/>
    </row>
    <row r="76" spans="1:57" ht="27.75" customHeight="1">
      <c r="A76" s="1343"/>
      <c r="B76" s="1390">
        <v>1</v>
      </c>
      <c r="C76" s="3427" t="s">
        <v>140</v>
      </c>
      <c r="D76" s="3427"/>
      <c r="E76" s="3427"/>
      <c r="F76" s="3427"/>
      <c r="G76" s="3427"/>
      <c r="H76" s="3428"/>
      <c r="I76" s="1388">
        <v>1</v>
      </c>
      <c r="J76" s="3429" t="s">
        <v>226</v>
      </c>
      <c r="K76" s="3429"/>
      <c r="L76" s="3429"/>
      <c r="M76" s="3429"/>
      <c r="N76" s="3429"/>
      <c r="O76" s="3429"/>
      <c r="P76" s="3429"/>
      <c r="Q76" s="3430"/>
      <c r="R76" s="3421"/>
      <c r="AE76" s="1389"/>
      <c r="AJ76" s="1185"/>
      <c r="AK76" s="1185"/>
      <c r="AL76" s="1185"/>
      <c r="AM76" s="1185"/>
      <c r="AN76" s="3366" t="s">
        <v>94</v>
      </c>
      <c r="AO76" s="3367"/>
      <c r="AP76" s="3367"/>
      <c r="AQ76" s="3367"/>
      <c r="AR76" s="3368" t="s">
        <v>95</v>
      </c>
      <c r="AS76" s="3367"/>
      <c r="AT76" s="3367"/>
      <c r="AU76" s="3369"/>
      <c r="AV76" s="1185"/>
      <c r="AW76" s="1201"/>
      <c r="AX76" s="1201"/>
      <c r="AY76" s="1201"/>
      <c r="AZ76" s="1201"/>
      <c r="BA76" s="1201"/>
      <c r="BB76" s="1202"/>
      <c r="BC76" s="1202"/>
      <c r="BD76" s="1202"/>
      <c r="BE76" s="1202"/>
    </row>
    <row r="77" spans="1:57" ht="38.25" customHeight="1">
      <c r="A77" s="1343"/>
      <c r="B77" s="1390">
        <v>2</v>
      </c>
      <c r="C77" s="3427" t="s">
        <v>141</v>
      </c>
      <c r="D77" s="3427"/>
      <c r="E77" s="3427"/>
      <c r="F77" s="3427"/>
      <c r="G77" s="3427"/>
      <c r="H77" s="3428"/>
      <c r="I77" s="1388">
        <v>2</v>
      </c>
      <c r="J77" s="3429" t="s">
        <v>227</v>
      </c>
      <c r="K77" s="3429"/>
      <c r="L77" s="3429"/>
      <c r="M77" s="3429"/>
      <c r="N77" s="3429"/>
      <c r="O77" s="3429"/>
      <c r="P77" s="3429"/>
      <c r="Q77" s="3430"/>
      <c r="R77" s="3421"/>
      <c r="AE77" s="1389"/>
      <c r="AJ77" s="1185"/>
      <c r="AK77" s="1185"/>
      <c r="AL77" s="1185"/>
      <c r="AM77" s="1185"/>
      <c r="AN77" s="1391">
        <v>1</v>
      </c>
      <c r="AO77" s="3357"/>
      <c r="AP77" s="3357"/>
      <c r="AQ77" s="3357"/>
      <c r="AR77" s="1392">
        <v>1</v>
      </c>
      <c r="AS77" s="3358"/>
      <c r="AT77" s="3358"/>
      <c r="AU77" s="3359"/>
      <c r="AV77" s="1185"/>
      <c r="AW77" s="1201"/>
      <c r="AX77" s="1201"/>
      <c r="AY77" s="1201"/>
      <c r="AZ77" s="1201"/>
      <c r="BA77" s="1201"/>
      <c r="BB77" s="1202"/>
      <c r="BC77" s="1202"/>
      <c r="BD77" s="1202"/>
      <c r="BE77" s="1202"/>
    </row>
    <row r="78" spans="1:57" ht="39" customHeight="1">
      <c r="A78" s="1343"/>
      <c r="B78" s="1390">
        <v>3</v>
      </c>
      <c r="C78" s="3427" t="s">
        <v>228</v>
      </c>
      <c r="D78" s="3427"/>
      <c r="E78" s="3427"/>
      <c r="F78" s="3427"/>
      <c r="G78" s="3427"/>
      <c r="H78" s="3428"/>
      <c r="I78" s="1388">
        <v>3</v>
      </c>
      <c r="J78" s="3429" t="s">
        <v>229</v>
      </c>
      <c r="K78" s="3429"/>
      <c r="L78" s="3429"/>
      <c r="M78" s="3429"/>
      <c r="N78" s="3429"/>
      <c r="O78" s="3429"/>
      <c r="P78" s="3429"/>
      <c r="Q78" s="3430"/>
      <c r="R78" s="3421"/>
      <c r="AE78" s="1389"/>
      <c r="AJ78" s="1185"/>
      <c r="AK78" s="1185"/>
      <c r="AL78" s="1185"/>
      <c r="AM78" s="1185"/>
      <c r="AN78" s="1391">
        <v>2</v>
      </c>
      <c r="AO78" s="3347"/>
      <c r="AP78" s="3347"/>
      <c r="AQ78" s="3347"/>
      <c r="AR78" s="1392">
        <v>2</v>
      </c>
      <c r="AS78" s="3348"/>
      <c r="AT78" s="3348"/>
      <c r="AU78" s="3349"/>
      <c r="AV78" s="1185"/>
      <c r="AW78" s="1201"/>
      <c r="AX78" s="1201"/>
      <c r="AY78" s="1201"/>
      <c r="AZ78" s="1201"/>
      <c r="BA78" s="1201"/>
      <c r="BB78" s="1202"/>
      <c r="BC78" s="1202"/>
      <c r="BD78" s="1202"/>
      <c r="BE78" s="1202"/>
    </row>
    <row r="79" spans="1:57" ht="39" customHeight="1">
      <c r="A79" s="1343"/>
      <c r="B79" s="1390">
        <v>4</v>
      </c>
      <c r="C79" s="3427" t="s">
        <v>230</v>
      </c>
      <c r="D79" s="3427"/>
      <c r="E79" s="3427"/>
      <c r="F79" s="3427"/>
      <c r="G79" s="3427"/>
      <c r="H79" s="3428"/>
      <c r="I79" s="1388">
        <v>4</v>
      </c>
      <c r="J79" s="3429" t="s">
        <v>231</v>
      </c>
      <c r="K79" s="3429"/>
      <c r="L79" s="3429"/>
      <c r="M79" s="3429"/>
      <c r="N79" s="3429"/>
      <c r="O79" s="3429"/>
      <c r="P79" s="3429"/>
      <c r="Q79" s="3430"/>
      <c r="R79" s="3421"/>
      <c r="AE79" s="1389"/>
      <c r="AJ79" s="1185"/>
      <c r="AK79" s="1185"/>
      <c r="AL79" s="1185"/>
      <c r="AM79" s="1185"/>
      <c r="AN79" s="1393">
        <v>3</v>
      </c>
      <c r="AO79" s="3347"/>
      <c r="AP79" s="3347"/>
      <c r="AQ79" s="3347"/>
      <c r="AR79" s="1392">
        <v>3</v>
      </c>
      <c r="AS79" s="1394"/>
      <c r="AT79" s="1394"/>
      <c r="AU79" s="1395"/>
      <c r="AV79" s="1185"/>
      <c r="AW79" s="1201"/>
      <c r="AX79" s="1201"/>
      <c r="AY79" s="1201"/>
      <c r="AZ79" s="1201"/>
      <c r="BA79" s="1201"/>
      <c r="BB79" s="1202"/>
      <c r="BC79" s="1202"/>
      <c r="BD79" s="1202"/>
      <c r="BE79" s="1202"/>
    </row>
    <row r="80" spans="1:57" ht="39" customHeight="1">
      <c r="A80" s="1343"/>
      <c r="B80" s="1390"/>
      <c r="C80" s="1396"/>
      <c r="D80" s="1396"/>
      <c r="E80" s="1396"/>
      <c r="F80" s="1396"/>
      <c r="G80" s="1396"/>
      <c r="H80" s="1397"/>
      <c r="I80" s="1388">
        <v>5</v>
      </c>
      <c r="J80" s="3429" t="s">
        <v>232</v>
      </c>
      <c r="K80" s="3429"/>
      <c r="L80" s="3429"/>
      <c r="M80" s="3429"/>
      <c r="N80" s="3429"/>
      <c r="O80" s="3429"/>
      <c r="P80" s="3429"/>
      <c r="Q80" s="3430"/>
      <c r="R80" s="3421"/>
      <c r="AE80" s="1389"/>
      <c r="AK80" s="1185"/>
      <c r="AL80" s="1185"/>
      <c r="AM80" s="1185"/>
      <c r="AN80" s="1398">
        <f>AM84*AK84</f>
        <v>0</v>
      </c>
      <c r="AO80" s="1399">
        <f>AN80*AM84</f>
        <v>0</v>
      </c>
      <c r="AP80" s="1399">
        <f>AO80*AN80</f>
        <v>0</v>
      </c>
      <c r="AQ80" s="1399">
        <f>AP80*AO80</f>
        <v>0</v>
      </c>
      <c r="AR80" s="1399" t="e">
        <f>#REF!*#REF!</f>
        <v>#REF!</v>
      </c>
      <c r="AS80" s="1399" t="e">
        <f>AR80*#REF!</f>
        <v>#REF!</v>
      </c>
      <c r="AT80" s="1399" t="e">
        <f>AS80*AR80</f>
        <v>#REF!</v>
      </c>
      <c r="AU80" s="1400" t="e">
        <f>AT80*AS80</f>
        <v>#REF!</v>
      </c>
      <c r="AV80" s="1185"/>
      <c r="AW80" s="1201"/>
      <c r="AX80" s="1201"/>
      <c r="AY80" s="1201"/>
      <c r="AZ80" s="1201"/>
      <c r="BA80" s="1201"/>
      <c r="BB80" s="1202"/>
      <c r="BC80" s="1202"/>
      <c r="BD80" s="1202"/>
      <c r="BE80" s="1202"/>
    </row>
    <row r="81" spans="1:59" s="1281" customFormat="1" ht="39" customHeight="1">
      <c r="A81" s="1343"/>
      <c r="B81" s="1390"/>
      <c r="C81" s="3602" t="s">
        <v>233</v>
      </c>
      <c r="D81" s="3603"/>
      <c r="E81" s="3603"/>
      <c r="F81" s="3603"/>
      <c r="G81" s="3603"/>
      <c r="H81" s="3604"/>
      <c r="I81" s="1388">
        <v>6</v>
      </c>
      <c r="J81" s="3429" t="s">
        <v>234</v>
      </c>
      <c r="K81" s="3429"/>
      <c r="L81" s="3429"/>
      <c r="M81" s="3429"/>
      <c r="N81" s="3429"/>
      <c r="O81" s="3429"/>
      <c r="P81" s="3429"/>
      <c r="Q81" s="3430"/>
      <c r="R81" s="3421"/>
      <c r="S81" s="1177"/>
      <c r="AE81" s="1389"/>
      <c r="AJ81" s="1178"/>
      <c r="AK81" s="1185"/>
      <c r="AL81" s="1185"/>
      <c r="AM81" s="1185"/>
      <c r="AN81" s="3350" t="s">
        <v>96</v>
      </c>
      <c r="AO81" s="3351"/>
      <c r="AP81" s="3351"/>
      <c r="AQ81" s="3351"/>
      <c r="AR81" s="3351"/>
      <c r="AS81" s="3351"/>
      <c r="AT81" s="3351"/>
      <c r="AU81" s="3352"/>
      <c r="AV81" s="1185"/>
      <c r="AW81" s="1201"/>
      <c r="AX81" s="1201"/>
      <c r="AY81" s="1201"/>
      <c r="AZ81" s="1201"/>
      <c r="BA81" s="1201"/>
      <c r="BB81" s="1202"/>
      <c r="BC81" s="1202"/>
      <c r="BD81" s="1202"/>
      <c r="BE81" s="1202"/>
      <c r="BF81" s="1177"/>
      <c r="BG81" s="1177"/>
    </row>
    <row r="82" spans="1:59" s="1281" customFormat="1" ht="39" customHeight="1">
      <c r="A82" s="1343"/>
      <c r="B82" s="1390">
        <v>1</v>
      </c>
      <c r="C82" s="3427" t="s">
        <v>235</v>
      </c>
      <c r="D82" s="3427"/>
      <c r="E82" s="3427"/>
      <c r="F82" s="3427"/>
      <c r="G82" s="3427"/>
      <c r="H82" s="3428"/>
      <c r="I82" s="1388"/>
      <c r="J82" s="1401"/>
      <c r="K82" s="1401"/>
      <c r="L82" s="1401"/>
      <c r="M82" s="1401"/>
      <c r="N82" s="1401"/>
      <c r="O82" s="1401"/>
      <c r="P82" s="1401"/>
      <c r="Q82" s="1402"/>
      <c r="R82" s="3421"/>
      <c r="S82" s="1177"/>
      <c r="AE82" s="1389"/>
      <c r="AJ82" s="1178"/>
      <c r="AK82" s="1185"/>
      <c r="AL82" s="1185"/>
      <c r="AM82" s="1185"/>
      <c r="AN82" s="3353" t="s">
        <v>97</v>
      </c>
      <c r="AO82" s="3354"/>
      <c r="AP82" s="3354"/>
      <c r="AQ82" s="3354"/>
      <c r="AR82" s="3355" t="s">
        <v>98</v>
      </c>
      <c r="AS82" s="3355"/>
      <c r="AT82" s="3355"/>
      <c r="AU82" s="3356"/>
      <c r="AV82" s="1185"/>
      <c r="AW82" s="1201"/>
      <c r="AX82" s="1201"/>
      <c r="AY82" s="1201"/>
      <c r="AZ82" s="1201"/>
      <c r="BA82" s="1201"/>
      <c r="BB82" s="1202"/>
      <c r="BC82" s="1202"/>
      <c r="BD82" s="1202"/>
      <c r="BE82" s="1202"/>
      <c r="BF82" s="1177"/>
      <c r="BG82" s="1177"/>
    </row>
    <row r="83" spans="1:59" s="1281" customFormat="1" ht="39" customHeight="1">
      <c r="A83" s="1343"/>
      <c r="B83" s="1390">
        <v>2</v>
      </c>
      <c r="C83" s="3427" t="s">
        <v>236</v>
      </c>
      <c r="D83" s="3427"/>
      <c r="E83" s="3427"/>
      <c r="F83" s="3427"/>
      <c r="G83" s="3427"/>
      <c r="H83" s="3428"/>
      <c r="I83" s="1403"/>
      <c r="J83" s="3602" t="s">
        <v>237</v>
      </c>
      <c r="K83" s="3602"/>
      <c r="L83" s="3602"/>
      <c r="M83" s="3602"/>
      <c r="N83" s="3602"/>
      <c r="O83" s="3602"/>
      <c r="P83" s="3602"/>
      <c r="Q83" s="3608"/>
      <c r="R83" s="3421"/>
      <c r="S83" s="1177"/>
      <c r="AE83" s="1389"/>
      <c r="AJ83" s="1178"/>
      <c r="AK83" s="1185"/>
      <c r="AL83" s="1185"/>
      <c r="AM83" s="1185"/>
      <c r="AN83" s="1404" t="s">
        <v>99</v>
      </c>
      <c r="AO83" s="3337"/>
      <c r="AP83" s="3337"/>
      <c r="AQ83" s="3338"/>
      <c r="AR83" s="3339"/>
      <c r="AS83" s="3340"/>
      <c r="AT83" s="3340"/>
      <c r="AU83" s="3341"/>
      <c r="AV83" s="1185"/>
      <c r="AW83" s="1201"/>
      <c r="AX83" s="1201"/>
      <c r="AY83" s="1201"/>
      <c r="AZ83" s="1201"/>
      <c r="BA83" s="1201"/>
      <c r="BB83" s="1202"/>
      <c r="BC83" s="1202"/>
      <c r="BD83" s="1202"/>
      <c r="BE83" s="1202"/>
      <c r="BF83" s="1177"/>
      <c r="BG83" s="1177"/>
    </row>
    <row r="84" spans="1:59" s="1281" customFormat="1" ht="39" customHeight="1">
      <c r="A84" s="1343"/>
      <c r="B84" s="1390">
        <v>3</v>
      </c>
      <c r="C84" s="3427" t="s">
        <v>238</v>
      </c>
      <c r="D84" s="3427"/>
      <c r="E84" s="3427"/>
      <c r="F84" s="3427"/>
      <c r="G84" s="3427"/>
      <c r="H84" s="3428"/>
      <c r="I84" s="3607">
        <v>1</v>
      </c>
      <c r="J84" s="3429" t="s">
        <v>239</v>
      </c>
      <c r="K84" s="3429"/>
      <c r="L84" s="3429"/>
      <c r="M84" s="3429"/>
      <c r="N84" s="3429"/>
      <c r="O84" s="3429"/>
      <c r="P84" s="3429"/>
      <c r="Q84" s="3430"/>
      <c r="R84" s="3421"/>
      <c r="S84" s="1177"/>
      <c r="AE84" s="1389"/>
      <c r="AJ84" s="1178"/>
      <c r="AK84" s="1185"/>
      <c r="AL84" s="1185"/>
      <c r="AM84" s="1185"/>
      <c r="AN84" s="1404" t="s">
        <v>100</v>
      </c>
      <c r="AO84" s="3337"/>
      <c r="AP84" s="3337"/>
      <c r="AQ84" s="3338"/>
      <c r="AR84" s="3339"/>
      <c r="AS84" s="3340"/>
      <c r="AT84" s="3340"/>
      <c r="AU84" s="3341"/>
      <c r="AV84" s="1185"/>
      <c r="AW84" s="1201"/>
      <c r="AX84" s="1201"/>
      <c r="AY84" s="1201"/>
      <c r="AZ84" s="1201"/>
      <c r="BA84" s="1201"/>
      <c r="BB84" s="1202"/>
      <c r="BC84" s="1202"/>
      <c r="BD84" s="1202"/>
      <c r="BE84" s="1202"/>
      <c r="BF84" s="1177"/>
      <c r="BG84" s="1177"/>
    </row>
    <row r="85" spans="1:59" s="1281" customFormat="1" ht="39" customHeight="1" thickBot="1">
      <c r="A85" s="1343"/>
      <c r="B85" s="1390">
        <v>4</v>
      </c>
      <c r="C85" s="3427" t="s">
        <v>240</v>
      </c>
      <c r="D85" s="3427"/>
      <c r="E85" s="3427"/>
      <c r="F85" s="3427"/>
      <c r="G85" s="3427"/>
      <c r="H85" s="3428"/>
      <c r="I85" s="3607"/>
      <c r="J85" s="3429"/>
      <c r="K85" s="3429"/>
      <c r="L85" s="3429"/>
      <c r="M85" s="3429"/>
      <c r="N85" s="3429"/>
      <c r="O85" s="3429"/>
      <c r="P85" s="3429"/>
      <c r="Q85" s="3430"/>
      <c r="R85" s="3421"/>
      <c r="S85" s="1177"/>
      <c r="AE85" s="1389"/>
      <c r="AJ85" s="1178"/>
      <c r="AK85" s="1185"/>
      <c r="AL85" s="1185"/>
      <c r="AM85" s="1185"/>
      <c r="AN85" s="1405" t="s">
        <v>101</v>
      </c>
      <c r="AO85" s="3342"/>
      <c r="AP85" s="3342"/>
      <c r="AQ85" s="3343"/>
      <c r="AR85" s="3344"/>
      <c r="AS85" s="3345"/>
      <c r="AT85" s="3345"/>
      <c r="AU85" s="3346"/>
      <c r="AV85" s="1185"/>
      <c r="AW85" s="1201"/>
      <c r="AX85" s="1201"/>
      <c r="AY85" s="1201"/>
      <c r="AZ85" s="1201"/>
      <c r="BA85" s="1201"/>
      <c r="BB85" s="1202"/>
      <c r="BC85" s="1202"/>
      <c r="BD85" s="1202"/>
      <c r="BE85" s="1202"/>
      <c r="BF85" s="1177"/>
      <c r="BG85" s="1177"/>
    </row>
    <row r="86" spans="1:59" s="1281" customFormat="1" ht="39" customHeight="1">
      <c r="A86" s="1343"/>
      <c r="B86" s="1390"/>
      <c r="C86" s="1406"/>
      <c r="D86" s="1406"/>
      <c r="E86" s="1406"/>
      <c r="F86" s="1406"/>
      <c r="G86" s="1406"/>
      <c r="H86" s="1407"/>
      <c r="I86" s="1388"/>
      <c r="J86" s="1401"/>
      <c r="K86" s="1401"/>
      <c r="L86" s="1401"/>
      <c r="M86" s="1401"/>
      <c r="N86" s="1401"/>
      <c r="O86" s="1401"/>
      <c r="P86" s="1401"/>
      <c r="Q86" s="1402"/>
      <c r="R86" s="3421"/>
      <c r="S86" s="1177"/>
      <c r="AE86" s="1389"/>
      <c r="AJ86" s="1178"/>
      <c r="AK86" s="1185"/>
      <c r="AL86" s="1185"/>
      <c r="AM86" s="1185"/>
      <c r="AN86" s="1185"/>
      <c r="AO86" s="1185"/>
      <c r="AP86" s="1185"/>
      <c r="AQ86" s="1185"/>
      <c r="AR86" s="1185"/>
      <c r="AS86" s="1185"/>
      <c r="AT86" s="1201"/>
      <c r="AU86" s="1185"/>
      <c r="AV86" s="1185"/>
      <c r="AW86" s="1201"/>
      <c r="AX86" s="1201"/>
      <c r="AY86" s="1201"/>
      <c r="AZ86" s="1201"/>
      <c r="BA86" s="1201"/>
      <c r="BB86" s="1202"/>
      <c r="BC86" s="1202"/>
      <c r="BD86" s="1202"/>
      <c r="BE86" s="1202"/>
      <c r="BF86" s="1177"/>
      <c r="BG86" s="1177"/>
    </row>
    <row r="87" spans="1:59" s="1281" customFormat="1" ht="39" customHeight="1">
      <c r="A87" s="1343"/>
      <c r="B87" s="1390"/>
      <c r="C87" s="3602" t="s">
        <v>241</v>
      </c>
      <c r="D87" s="3603"/>
      <c r="E87" s="3603"/>
      <c r="F87" s="3603"/>
      <c r="G87" s="3603"/>
      <c r="H87" s="3604"/>
      <c r="I87" s="1388"/>
      <c r="J87" s="1401"/>
      <c r="K87" s="1401"/>
      <c r="L87" s="1401"/>
      <c r="M87" s="1401"/>
      <c r="N87" s="1401"/>
      <c r="O87" s="1401"/>
      <c r="P87" s="1401"/>
      <c r="Q87" s="1402"/>
      <c r="R87" s="3421"/>
      <c r="S87" s="1177"/>
      <c r="AE87" s="1389"/>
      <c r="AJ87" s="1178"/>
      <c r="AK87" s="1185"/>
      <c r="AL87" s="1185"/>
      <c r="AM87" s="1408" t="s">
        <v>102</v>
      </c>
      <c r="AN87" s="1185"/>
      <c r="AO87" s="1185"/>
      <c r="AP87" s="1185"/>
      <c r="AQ87" s="1185"/>
      <c r="AR87" s="1185"/>
      <c r="AS87" s="1185"/>
      <c r="AT87" s="1185"/>
      <c r="AU87" s="1185"/>
      <c r="AV87" s="1185"/>
      <c r="AW87" s="1185"/>
      <c r="AX87" s="1185"/>
      <c r="AY87" s="1185"/>
      <c r="AZ87" s="1185"/>
      <c r="BA87" s="1185"/>
      <c r="BB87" s="1185"/>
      <c r="BC87" s="1185"/>
      <c r="BD87" s="1202"/>
      <c r="BE87" s="1202"/>
      <c r="BF87" s="1177"/>
      <c r="BG87" s="1177"/>
    </row>
    <row r="88" spans="1:59" s="1281" customFormat="1" ht="39" customHeight="1">
      <c r="A88" s="1343"/>
      <c r="B88" s="3605">
        <v>1</v>
      </c>
      <c r="C88" s="3429" t="s">
        <v>242</v>
      </c>
      <c r="D88" s="3429"/>
      <c r="E88" s="3429"/>
      <c r="F88" s="3429"/>
      <c r="G88" s="3429"/>
      <c r="H88" s="3606"/>
      <c r="I88" s="1388"/>
      <c r="J88" s="1401"/>
      <c r="K88" s="1401"/>
      <c r="L88" s="1401"/>
      <c r="M88" s="1401"/>
      <c r="N88" s="1401"/>
      <c r="O88" s="1401"/>
      <c r="P88" s="1401"/>
      <c r="Q88" s="1402"/>
      <c r="R88" s="3421"/>
      <c r="S88" s="1177"/>
      <c r="AE88" s="1389"/>
      <c r="AJ88" s="1178"/>
      <c r="AK88" s="1185"/>
      <c r="AL88" s="1185"/>
      <c r="AM88" s="1185"/>
      <c r="AN88" s="1185"/>
      <c r="AO88" s="1185"/>
      <c r="AP88" s="1185"/>
      <c r="AQ88" s="1185"/>
      <c r="AR88" s="1185"/>
      <c r="AS88" s="1185"/>
      <c r="AT88" s="1185"/>
      <c r="AU88" s="1185"/>
      <c r="AV88" s="1185"/>
      <c r="AW88" s="1185"/>
      <c r="AX88" s="1185"/>
      <c r="AY88" s="1185"/>
      <c r="AZ88" s="1199"/>
      <c r="BA88" s="1199"/>
      <c r="BB88" s="1199"/>
      <c r="BC88" s="1185"/>
      <c r="BD88" s="1291"/>
      <c r="BE88" s="1291"/>
    </row>
    <row r="89" spans="1:59" s="1281" customFormat="1" ht="39" customHeight="1">
      <c r="A89" s="1343"/>
      <c r="B89" s="3605"/>
      <c r="C89" s="3429"/>
      <c r="D89" s="3429"/>
      <c r="E89" s="3429"/>
      <c r="F89" s="3429"/>
      <c r="G89" s="3429"/>
      <c r="H89" s="3606"/>
      <c r="I89" s="1388"/>
      <c r="J89" s="1401"/>
      <c r="K89" s="1401"/>
      <c r="L89" s="1401"/>
      <c r="M89" s="1401"/>
      <c r="N89" s="1401"/>
      <c r="O89" s="1401"/>
      <c r="P89" s="1401"/>
      <c r="Q89" s="1402"/>
      <c r="R89" s="3421"/>
      <c r="S89" s="1177"/>
      <c r="AE89" s="1389"/>
      <c r="AJ89" s="1178"/>
      <c r="AK89" s="1178"/>
      <c r="AL89" s="1178"/>
      <c r="AM89" s="1178"/>
      <c r="AN89" s="1178"/>
      <c r="AO89" s="1178"/>
      <c r="AP89" s="1178"/>
      <c r="AQ89" s="1178"/>
      <c r="AR89" s="1178"/>
      <c r="AS89" s="1178"/>
      <c r="AT89" s="1178"/>
      <c r="AU89" s="1178"/>
      <c r="AV89" s="1178"/>
      <c r="AW89" s="1178"/>
      <c r="AX89" s="1178"/>
      <c r="AY89" s="1178"/>
      <c r="AZ89" s="1178"/>
      <c r="BA89" s="1178"/>
      <c r="BB89" s="1178"/>
      <c r="BC89" s="1178"/>
    </row>
    <row r="90" spans="1:59" s="1281" customFormat="1" ht="39" customHeight="1">
      <c r="A90" s="1343"/>
      <c r="B90" s="1390">
        <v>2</v>
      </c>
      <c r="C90" s="3427" t="s">
        <v>243</v>
      </c>
      <c r="D90" s="3427"/>
      <c r="E90" s="3427"/>
      <c r="F90" s="3427"/>
      <c r="G90" s="3427"/>
      <c r="H90" s="3428"/>
      <c r="I90" s="1388"/>
      <c r="J90" s="1401"/>
      <c r="K90" s="1401"/>
      <c r="L90" s="1401"/>
      <c r="M90" s="1401"/>
      <c r="N90" s="1401"/>
      <c r="O90" s="1401"/>
      <c r="P90" s="1401"/>
      <c r="Q90" s="1402"/>
      <c r="R90" s="3421"/>
      <c r="S90" s="1177"/>
      <c r="AE90" s="1389"/>
      <c r="AJ90" s="1178"/>
      <c r="AK90" s="1178"/>
      <c r="AL90" s="1178"/>
      <c r="AM90" s="1178"/>
      <c r="AN90" s="1178"/>
      <c r="AO90" s="1178"/>
      <c r="AP90" s="1178"/>
      <c r="AQ90" s="1178"/>
      <c r="AR90" s="1178"/>
      <c r="AS90" s="1178"/>
      <c r="AT90" s="1178"/>
      <c r="AU90" s="1178"/>
      <c r="AV90" s="1178"/>
      <c r="AW90" s="1178"/>
      <c r="AX90" s="1178"/>
      <c r="AY90" s="1178"/>
      <c r="AZ90" s="1178"/>
      <c r="BA90" s="1178"/>
      <c r="BB90" s="1178"/>
      <c r="BC90" s="1178"/>
    </row>
    <row r="91" spans="1:59" s="1281" customFormat="1" ht="39" customHeight="1">
      <c r="A91" s="1343"/>
      <c r="B91" s="1390"/>
      <c r="C91" s="3427"/>
      <c r="D91" s="3427"/>
      <c r="E91" s="3427"/>
      <c r="F91" s="3427"/>
      <c r="G91" s="3427"/>
      <c r="H91" s="3428"/>
      <c r="I91" s="1388"/>
      <c r="J91" s="3600"/>
      <c r="K91" s="3600"/>
      <c r="L91" s="3600"/>
      <c r="M91" s="3600"/>
      <c r="N91" s="3600"/>
      <c r="O91" s="3600"/>
      <c r="P91" s="3600"/>
      <c r="Q91" s="3600"/>
      <c r="R91" s="3421"/>
      <c r="S91" s="1177"/>
      <c r="AE91" s="1389"/>
      <c r="AJ91" s="1178"/>
      <c r="AK91" s="1178"/>
      <c r="AL91" s="1178"/>
      <c r="AM91" s="1178"/>
      <c r="AN91" s="1178"/>
      <c r="AO91" s="1178"/>
      <c r="AP91" s="1178"/>
      <c r="AQ91" s="1178"/>
      <c r="AR91" s="1178"/>
      <c r="AS91" s="1178"/>
      <c r="AT91" s="1178"/>
      <c r="AU91" s="1178"/>
      <c r="AV91" s="1178"/>
      <c r="AW91" s="1178"/>
      <c r="AX91" s="1178"/>
      <c r="AY91" s="1178"/>
      <c r="AZ91" s="1178"/>
      <c r="BA91" s="1178"/>
      <c r="BB91" s="1178"/>
      <c r="BC91" s="1178"/>
    </row>
    <row r="92" spans="1:59" s="1281" customFormat="1" ht="39" customHeight="1">
      <c r="A92" s="1343"/>
      <c r="B92" s="1390"/>
      <c r="C92" s="1401"/>
      <c r="D92" s="1401"/>
      <c r="E92" s="1401"/>
      <c r="F92" s="1401"/>
      <c r="G92" s="1401"/>
      <c r="H92" s="1409"/>
      <c r="I92" s="1388"/>
      <c r="J92" s="3600"/>
      <c r="K92" s="3600"/>
      <c r="L92" s="3600"/>
      <c r="M92" s="3600"/>
      <c r="N92" s="3600"/>
      <c r="O92" s="3600"/>
      <c r="P92" s="3600"/>
      <c r="Q92" s="3600"/>
      <c r="R92" s="3421"/>
      <c r="S92" s="1177"/>
      <c r="AE92" s="1389"/>
      <c r="AJ92" s="1178"/>
      <c r="AK92" s="1178"/>
      <c r="AL92" s="1178"/>
      <c r="AM92" s="1178"/>
      <c r="AN92" s="1178"/>
      <c r="AO92" s="1178"/>
      <c r="AP92" s="1178"/>
      <c r="AQ92" s="1178"/>
      <c r="AR92" s="1178"/>
      <c r="AS92" s="1178"/>
      <c r="AT92" s="1178"/>
      <c r="AU92" s="1178"/>
      <c r="AV92" s="1178"/>
      <c r="AW92" s="1178"/>
      <c r="AX92" s="1178"/>
      <c r="AY92" s="1178"/>
      <c r="AZ92" s="1178"/>
      <c r="BA92" s="1178"/>
      <c r="BB92" s="1178"/>
      <c r="BC92" s="1178"/>
    </row>
    <row r="93" spans="1:59" s="1281" customFormat="1" ht="39" customHeight="1">
      <c r="A93" s="1343"/>
      <c r="B93" s="1390"/>
      <c r="C93" s="3600"/>
      <c r="D93" s="3600"/>
      <c r="E93" s="3600"/>
      <c r="F93" s="3600"/>
      <c r="G93" s="3600"/>
      <c r="H93" s="3601"/>
      <c r="I93" s="1388"/>
      <c r="J93" s="3600">
        <v>0</v>
      </c>
      <c r="K93" s="3600"/>
      <c r="L93" s="3600"/>
      <c r="M93" s="3600"/>
      <c r="N93" s="3600"/>
      <c r="O93" s="3600"/>
      <c r="P93" s="3600"/>
      <c r="Q93" s="3600"/>
      <c r="R93" s="3421"/>
      <c r="S93" s="1177"/>
      <c r="AE93" s="1389"/>
      <c r="AJ93" s="1178"/>
      <c r="AK93" s="1178"/>
      <c r="AL93" s="1178"/>
      <c r="AM93" s="1178"/>
      <c r="AN93" s="1178"/>
      <c r="AO93" s="1178"/>
      <c r="AP93" s="1178"/>
      <c r="AQ93" s="1178"/>
      <c r="AR93" s="1178"/>
      <c r="AS93" s="1178"/>
      <c r="AT93" s="1178"/>
      <c r="AU93" s="1178"/>
      <c r="AV93" s="1178"/>
      <c r="AW93" s="1178"/>
      <c r="AX93" s="1178"/>
      <c r="AY93" s="1178"/>
      <c r="AZ93" s="1178"/>
      <c r="BA93" s="1178"/>
      <c r="BB93" s="1178"/>
      <c r="BC93" s="1178"/>
    </row>
    <row r="94" spans="1:59" s="1281" customFormat="1" ht="24.75" customHeight="1">
      <c r="A94" s="1343"/>
      <c r="B94" s="3431" t="s">
        <v>94</v>
      </c>
      <c r="C94" s="3432"/>
      <c r="D94" s="3432"/>
      <c r="E94" s="3432"/>
      <c r="F94" s="3432"/>
      <c r="G94" s="3432"/>
      <c r="H94" s="3433"/>
      <c r="I94" s="3434" t="s">
        <v>95</v>
      </c>
      <c r="J94" s="3432"/>
      <c r="K94" s="3432"/>
      <c r="L94" s="3432"/>
      <c r="M94" s="3432"/>
      <c r="N94" s="3432"/>
      <c r="O94" s="3432"/>
      <c r="P94" s="3432"/>
      <c r="Q94" s="3432"/>
      <c r="R94" s="3421"/>
      <c r="S94" s="1177"/>
      <c r="AJ94" s="1178"/>
      <c r="AK94" s="1178"/>
      <c r="AL94" s="1178"/>
      <c r="AM94" s="1178"/>
      <c r="AN94" s="1178"/>
      <c r="AO94" s="1178"/>
      <c r="AP94" s="1178"/>
      <c r="AQ94" s="1178"/>
      <c r="AR94" s="1178"/>
      <c r="AS94" s="1178"/>
      <c r="AT94" s="1178"/>
      <c r="AU94" s="1178"/>
      <c r="AV94" s="1178"/>
      <c r="AW94" s="1180"/>
      <c r="AX94" s="1180"/>
      <c r="AY94" s="1180"/>
      <c r="AZ94" s="1180"/>
      <c r="BA94" s="1180"/>
    </row>
    <row r="95" spans="1:59" s="1281" customFormat="1" ht="20.100000000000001" customHeight="1">
      <c r="A95" s="1343"/>
      <c r="B95" s="1410">
        <v>1</v>
      </c>
      <c r="C95" s="3358"/>
      <c r="D95" s="3358"/>
      <c r="E95" s="3358"/>
      <c r="F95" s="3358"/>
      <c r="G95" s="3358"/>
      <c r="H95" s="3426"/>
      <c r="I95" s="1392">
        <v>1</v>
      </c>
      <c r="J95" s="3358"/>
      <c r="K95" s="3358"/>
      <c r="L95" s="3358"/>
      <c r="M95" s="3358"/>
      <c r="N95" s="3358"/>
      <c r="O95" s="3358"/>
      <c r="P95" s="3358"/>
      <c r="Q95" s="3358"/>
      <c r="R95" s="3421"/>
      <c r="S95" s="1177"/>
      <c r="AJ95" s="1178"/>
      <c r="AK95" s="1178"/>
      <c r="AL95" s="1178"/>
      <c r="AO95" s="1178"/>
      <c r="AP95" s="1178"/>
      <c r="AQ95" s="1178"/>
      <c r="AR95" s="1178"/>
      <c r="AS95" s="1178"/>
      <c r="AT95" s="1178"/>
      <c r="AU95" s="1178"/>
      <c r="AV95" s="1178"/>
      <c r="AW95" s="1180"/>
      <c r="AX95" s="1180"/>
      <c r="AY95" s="1180"/>
      <c r="AZ95" s="1180"/>
      <c r="BA95" s="1180"/>
    </row>
    <row r="96" spans="1:59" s="1281" customFormat="1" ht="20.100000000000001" customHeight="1">
      <c r="A96" s="1343"/>
      <c r="B96" s="1410">
        <v>2</v>
      </c>
      <c r="C96" s="3348"/>
      <c r="D96" s="3348"/>
      <c r="E96" s="3348"/>
      <c r="F96" s="3348"/>
      <c r="G96" s="3348"/>
      <c r="H96" s="3423"/>
      <c r="I96" s="1392">
        <v>2</v>
      </c>
      <c r="J96" s="3348"/>
      <c r="K96" s="3348"/>
      <c r="L96" s="3348"/>
      <c r="M96" s="3348"/>
      <c r="N96" s="3348"/>
      <c r="O96" s="3348"/>
      <c r="P96" s="3348"/>
      <c r="Q96" s="3348"/>
      <c r="R96" s="3421"/>
      <c r="S96" s="1177"/>
      <c r="AJ96" s="1178"/>
      <c r="AK96" s="1178"/>
      <c r="AL96" s="1178"/>
      <c r="AO96" s="1178"/>
      <c r="AP96" s="1178"/>
      <c r="AQ96" s="1178"/>
      <c r="AR96" s="1178"/>
      <c r="AS96" s="1178"/>
      <c r="AT96" s="1178"/>
      <c r="AU96" s="1178"/>
      <c r="AV96" s="1178"/>
      <c r="AW96" s="1180"/>
      <c r="AX96" s="1180"/>
      <c r="AY96" s="1180"/>
      <c r="AZ96" s="1180"/>
      <c r="BA96" s="1180"/>
    </row>
    <row r="97" spans="1:53" s="1281" customFormat="1" ht="20.100000000000001" customHeight="1">
      <c r="A97" s="1343"/>
      <c r="B97" s="1411">
        <v>3</v>
      </c>
      <c r="C97" s="3348"/>
      <c r="D97" s="3348"/>
      <c r="E97" s="3348"/>
      <c r="F97" s="3348"/>
      <c r="G97" s="3348"/>
      <c r="H97" s="3423"/>
      <c r="I97" s="1392">
        <v>3</v>
      </c>
      <c r="J97" s="3348"/>
      <c r="K97" s="3348"/>
      <c r="L97" s="3348"/>
      <c r="M97" s="3348"/>
      <c r="N97" s="3348"/>
      <c r="O97" s="3348"/>
      <c r="P97" s="3348"/>
      <c r="Q97" s="3348"/>
      <c r="R97" s="3421"/>
      <c r="S97" s="1177"/>
      <c r="AJ97" s="1178"/>
      <c r="AK97" s="1178"/>
      <c r="AL97" s="1178"/>
      <c r="AO97" s="1178"/>
      <c r="AP97" s="1178"/>
      <c r="AQ97" s="1178"/>
      <c r="AR97" s="1178"/>
      <c r="AS97" s="1178"/>
      <c r="AT97" s="1178"/>
      <c r="AU97" s="1178"/>
      <c r="AV97" s="1178"/>
      <c r="AW97" s="1180"/>
      <c r="AX97" s="1180"/>
      <c r="AY97" s="1180"/>
      <c r="AZ97" s="1180"/>
      <c r="BA97" s="1180"/>
    </row>
    <row r="98" spans="1:53" s="1281" customFormat="1" ht="20.100000000000001" customHeight="1">
      <c r="A98" s="1343"/>
      <c r="B98" s="1410">
        <v>4</v>
      </c>
      <c r="C98" s="3348"/>
      <c r="D98" s="3348"/>
      <c r="E98" s="3348"/>
      <c r="F98" s="3348"/>
      <c r="G98" s="3348"/>
      <c r="H98" s="3423"/>
      <c r="I98" s="1392">
        <v>4</v>
      </c>
      <c r="J98" s="3348"/>
      <c r="K98" s="3348"/>
      <c r="L98" s="3348"/>
      <c r="M98" s="3348"/>
      <c r="N98" s="3348"/>
      <c r="O98" s="3348"/>
      <c r="P98" s="3348"/>
      <c r="Q98" s="3348"/>
      <c r="R98" s="3421"/>
      <c r="S98" s="1177"/>
      <c r="AJ98" s="1178"/>
      <c r="AK98" s="1178"/>
      <c r="AL98" s="1412"/>
      <c r="AO98" s="1412"/>
      <c r="AP98" s="1412"/>
      <c r="AQ98" s="1412"/>
      <c r="AR98" s="1178"/>
      <c r="AS98" s="1178"/>
      <c r="AT98" s="1178"/>
      <c r="AU98" s="1178"/>
      <c r="AV98" s="1178"/>
      <c r="AW98" s="1180"/>
      <c r="AX98" s="1180"/>
      <c r="AY98" s="1180"/>
      <c r="AZ98" s="1180"/>
      <c r="BA98" s="1180"/>
    </row>
    <row r="99" spans="1:53" s="1281" customFormat="1" ht="20.100000000000001" customHeight="1">
      <c r="A99" s="1343"/>
      <c r="B99" s="1410">
        <v>5</v>
      </c>
      <c r="C99" s="3348"/>
      <c r="D99" s="3348"/>
      <c r="E99" s="3348"/>
      <c r="F99" s="3348"/>
      <c r="G99" s="3348"/>
      <c r="H99" s="3423"/>
      <c r="I99" s="1392">
        <v>5</v>
      </c>
      <c r="J99" s="3348"/>
      <c r="K99" s="3348"/>
      <c r="L99" s="3348"/>
      <c r="M99" s="3348"/>
      <c r="N99" s="3348"/>
      <c r="O99" s="3348"/>
      <c r="P99" s="3348"/>
      <c r="Q99" s="3348"/>
      <c r="R99" s="3421"/>
      <c r="S99" s="1177"/>
      <c r="AJ99" s="1178"/>
      <c r="AK99" s="1178"/>
      <c r="AL99" s="1413"/>
      <c r="AO99" s="1413"/>
      <c r="AP99" s="1413"/>
      <c r="AQ99" s="1413"/>
      <c r="AR99" s="1413"/>
      <c r="AS99" s="1413"/>
      <c r="AT99" s="1178"/>
      <c r="AU99" s="1178"/>
      <c r="AV99" s="1178"/>
      <c r="AW99" s="1180"/>
      <c r="AX99" s="1180"/>
      <c r="AY99" s="1180"/>
      <c r="AZ99" s="1180"/>
      <c r="BA99" s="1180"/>
    </row>
    <row r="100" spans="1:53" s="1281" customFormat="1" ht="20.100000000000001" customHeight="1">
      <c r="A100" s="1343"/>
      <c r="B100" s="1410">
        <v>6</v>
      </c>
      <c r="C100" s="3348"/>
      <c r="D100" s="3348"/>
      <c r="E100" s="3348"/>
      <c r="F100" s="3348"/>
      <c r="G100" s="3348"/>
      <c r="H100" s="3423"/>
      <c r="I100" s="1392">
        <v>6</v>
      </c>
      <c r="J100" s="3348"/>
      <c r="K100" s="3348"/>
      <c r="L100" s="3348"/>
      <c r="M100" s="3348"/>
      <c r="N100" s="3348"/>
      <c r="O100" s="3348"/>
      <c r="P100" s="3348"/>
      <c r="Q100" s="3348"/>
      <c r="R100" s="3421"/>
      <c r="S100" s="1177"/>
      <c r="AJ100" s="1178"/>
      <c r="AK100" s="1178"/>
      <c r="AL100" s="1413"/>
      <c r="AO100" s="1413"/>
      <c r="AP100" s="1413"/>
      <c r="AQ100" s="1413"/>
      <c r="AR100" s="1413"/>
      <c r="AS100" s="1413"/>
      <c r="AT100" s="1178"/>
      <c r="AU100" s="1178"/>
      <c r="AV100" s="1178"/>
      <c r="AW100" s="1180"/>
      <c r="AX100" s="1180"/>
      <c r="AY100" s="1180"/>
      <c r="AZ100" s="1180"/>
      <c r="BA100" s="1180"/>
    </row>
    <row r="101" spans="1:53" s="1281" customFormat="1" ht="20.100000000000001" customHeight="1">
      <c r="A101" s="1343"/>
      <c r="B101" s="1410">
        <v>7</v>
      </c>
      <c r="C101" s="3348"/>
      <c r="D101" s="3348"/>
      <c r="E101" s="3348"/>
      <c r="F101" s="3348"/>
      <c r="G101" s="3348"/>
      <c r="H101" s="3423"/>
      <c r="I101" s="1392">
        <v>7</v>
      </c>
      <c r="J101" s="3348"/>
      <c r="K101" s="3348"/>
      <c r="L101" s="3348"/>
      <c r="M101" s="3348"/>
      <c r="N101" s="3348"/>
      <c r="O101" s="3348"/>
      <c r="P101" s="3348"/>
      <c r="Q101" s="3348"/>
      <c r="R101" s="3421"/>
      <c r="S101" s="1177"/>
      <c r="AJ101" s="1178"/>
      <c r="AK101" s="1178"/>
      <c r="AL101" s="1413"/>
      <c r="AO101" s="1413"/>
      <c r="AP101" s="1413"/>
      <c r="AQ101" s="1413"/>
      <c r="AR101" s="1413"/>
      <c r="AS101" s="1413"/>
      <c r="AT101" s="1178"/>
      <c r="AU101" s="1178"/>
      <c r="AV101" s="1178"/>
      <c r="AW101" s="1180"/>
      <c r="AX101" s="1180"/>
      <c r="AY101" s="1180"/>
      <c r="AZ101" s="1180"/>
      <c r="BA101" s="1180"/>
    </row>
    <row r="102" spans="1:53" s="1281" customFormat="1" ht="21">
      <c r="A102" s="1343"/>
      <c r="B102" s="1414">
        <f>A106*AI106</f>
        <v>0</v>
      </c>
      <c r="C102" s="1399">
        <f>B102*A106</f>
        <v>0</v>
      </c>
      <c r="D102" s="1399">
        <f>C102*B102</f>
        <v>0</v>
      </c>
      <c r="E102" s="1399">
        <f>D102*C102</f>
        <v>0</v>
      </c>
      <c r="F102" s="1399">
        <f>E102*D102</f>
        <v>0</v>
      </c>
      <c r="G102" s="1399">
        <f>D102*C102</f>
        <v>0</v>
      </c>
      <c r="H102" s="1399">
        <f t="shared" ref="H102:M102" si="20">G102*F102</f>
        <v>0</v>
      </c>
      <c r="I102" s="1399">
        <f t="shared" si="20"/>
        <v>0</v>
      </c>
      <c r="J102" s="1399">
        <f t="shared" si="20"/>
        <v>0</v>
      </c>
      <c r="K102" s="1399">
        <f t="shared" si="20"/>
        <v>0</v>
      </c>
      <c r="L102" s="1399">
        <f t="shared" si="20"/>
        <v>0</v>
      </c>
      <c r="M102" s="1399">
        <f t="shared" si="20"/>
        <v>0</v>
      </c>
      <c r="N102" s="1399">
        <f>G102*D102</f>
        <v>0</v>
      </c>
      <c r="O102" s="1399">
        <f>N102*M102</f>
        <v>0</v>
      </c>
      <c r="P102" s="1399">
        <f>O102*N102</f>
        <v>0</v>
      </c>
      <c r="Q102" s="1399">
        <f>P102*O102</f>
        <v>0</v>
      </c>
      <c r="R102" s="3421"/>
      <c r="S102" s="1177"/>
      <c r="AJ102" s="1178"/>
      <c r="AK102" s="1178"/>
      <c r="AL102" s="1413"/>
      <c r="AO102" s="1413"/>
      <c r="AP102" s="1413"/>
      <c r="AQ102" s="1413"/>
      <c r="AR102" s="1413"/>
      <c r="AS102" s="1413"/>
      <c r="AT102" s="1178"/>
      <c r="AU102" s="1178"/>
      <c r="AV102" s="1178"/>
      <c r="AW102" s="1180"/>
      <c r="AX102" s="1180"/>
      <c r="AY102" s="1180"/>
      <c r="AZ102" s="1180"/>
      <c r="BA102" s="1180"/>
    </row>
    <row r="103" spans="1:53" s="1281" customFormat="1" ht="21">
      <c r="A103" s="1343"/>
      <c r="B103" s="3424" t="s">
        <v>96</v>
      </c>
      <c r="C103" s="3351"/>
      <c r="D103" s="3351"/>
      <c r="E103" s="3351"/>
      <c r="F103" s="3351"/>
      <c r="G103" s="3351"/>
      <c r="H103" s="3351"/>
      <c r="I103" s="3351"/>
      <c r="J103" s="3351"/>
      <c r="K103" s="3351"/>
      <c r="L103" s="3351"/>
      <c r="M103" s="3351"/>
      <c r="N103" s="3351"/>
      <c r="O103" s="3351"/>
      <c r="P103" s="3351"/>
      <c r="Q103" s="3351"/>
      <c r="R103" s="3421"/>
      <c r="S103" s="1177"/>
      <c r="AJ103" s="1178"/>
      <c r="AK103" s="1178"/>
      <c r="AL103" s="1413"/>
      <c r="AO103" s="1413"/>
      <c r="AP103" s="1413"/>
      <c r="AQ103" s="1413"/>
      <c r="AR103" s="1413"/>
      <c r="AS103" s="1413"/>
      <c r="AT103" s="1178"/>
      <c r="AU103" s="1178"/>
      <c r="AV103" s="1178"/>
      <c r="AW103" s="1180"/>
      <c r="AX103" s="1180"/>
      <c r="AY103" s="1180"/>
      <c r="AZ103" s="1180"/>
      <c r="BA103" s="1180"/>
    </row>
    <row r="104" spans="1:53" s="1281" customFormat="1" ht="21">
      <c r="A104" s="1343"/>
      <c r="B104" s="3425" t="s">
        <v>97</v>
      </c>
      <c r="C104" s="3354"/>
      <c r="D104" s="3354"/>
      <c r="E104" s="3354"/>
      <c r="F104" s="3354"/>
      <c r="G104" s="3354"/>
      <c r="H104" s="3354"/>
      <c r="I104" s="3355" t="s">
        <v>98</v>
      </c>
      <c r="J104" s="3355"/>
      <c r="K104" s="3355"/>
      <c r="L104" s="3355"/>
      <c r="M104" s="3355"/>
      <c r="N104" s="3355"/>
      <c r="O104" s="3355"/>
      <c r="P104" s="3355"/>
      <c r="Q104" s="3355"/>
      <c r="R104" s="3421"/>
      <c r="S104" s="1177"/>
      <c r="AJ104" s="1178"/>
      <c r="AK104" s="1178"/>
      <c r="AL104" s="1413"/>
      <c r="AO104" s="1413"/>
      <c r="AP104" s="1413"/>
      <c r="AQ104" s="1413"/>
      <c r="AR104" s="1413"/>
      <c r="AS104" s="1413"/>
      <c r="AT104" s="1178"/>
      <c r="AU104" s="1178"/>
      <c r="AV104" s="1178"/>
      <c r="AW104" s="1180"/>
      <c r="AX104" s="1180"/>
      <c r="AY104" s="1180"/>
      <c r="AZ104" s="1180"/>
      <c r="BA104" s="1180"/>
    </row>
    <row r="105" spans="1:53" s="1281" customFormat="1" ht="21">
      <c r="A105" s="1343"/>
      <c r="B105" s="1415">
        <v>0</v>
      </c>
      <c r="C105" s="1416"/>
      <c r="D105" s="1416"/>
      <c r="E105" s="1416"/>
      <c r="F105" s="1416"/>
      <c r="G105" s="1416"/>
      <c r="H105" s="1416"/>
      <c r="I105" s="3339"/>
      <c r="J105" s="3340"/>
      <c r="K105" s="3340"/>
      <c r="L105" s="3340"/>
      <c r="M105" s="3340"/>
      <c r="N105" s="3340"/>
      <c r="O105" s="3340"/>
      <c r="P105" s="3340"/>
      <c r="Q105" s="3340"/>
      <c r="R105" s="3421"/>
      <c r="S105" s="1177"/>
      <c r="AJ105" s="1178"/>
      <c r="AK105" s="1178"/>
      <c r="AL105" s="1413"/>
      <c r="AO105" s="1413"/>
      <c r="AP105" s="1413"/>
      <c r="AQ105" s="1413"/>
      <c r="AR105" s="1413"/>
      <c r="AS105" s="1413"/>
      <c r="AT105" s="1178"/>
      <c r="AU105" s="1178"/>
      <c r="AV105" s="1178"/>
      <c r="AW105" s="1180"/>
      <c r="AX105" s="1180"/>
      <c r="AY105" s="1180"/>
      <c r="AZ105" s="1180"/>
      <c r="BA105" s="1180"/>
    </row>
    <row r="106" spans="1:53" s="1281" customFormat="1" ht="21">
      <c r="A106" s="1343"/>
      <c r="B106" s="1417" t="s">
        <v>99</v>
      </c>
      <c r="C106" s="3337"/>
      <c r="D106" s="3337"/>
      <c r="E106" s="3337"/>
      <c r="F106" s="3337"/>
      <c r="G106" s="3337"/>
      <c r="H106" s="3338"/>
      <c r="I106" s="3339"/>
      <c r="J106" s="3340"/>
      <c r="K106" s="3340"/>
      <c r="L106" s="3340"/>
      <c r="M106" s="3340"/>
      <c r="N106" s="3340"/>
      <c r="O106" s="3340"/>
      <c r="P106" s="3340"/>
      <c r="Q106" s="3340"/>
      <c r="R106" s="3421"/>
      <c r="S106" s="1177"/>
      <c r="AJ106" s="1178"/>
      <c r="AK106" s="1178"/>
      <c r="AL106" s="1413"/>
      <c r="AO106" s="1413"/>
      <c r="AP106" s="1413"/>
      <c r="AQ106" s="1413"/>
      <c r="AR106" s="1413"/>
      <c r="AS106" s="1413"/>
      <c r="AT106" s="1178"/>
      <c r="AU106" s="1178"/>
      <c r="AV106" s="1178"/>
      <c r="AW106" s="1180"/>
      <c r="AX106" s="1180"/>
      <c r="AY106" s="1180"/>
      <c r="AZ106" s="1180"/>
      <c r="BA106" s="1180"/>
    </row>
    <row r="107" spans="1:53" s="1281" customFormat="1" ht="21">
      <c r="A107" s="1343"/>
      <c r="B107" s="1417" t="s">
        <v>100</v>
      </c>
      <c r="C107" s="3337"/>
      <c r="D107" s="3337"/>
      <c r="E107" s="3337"/>
      <c r="F107" s="3337"/>
      <c r="G107" s="3337"/>
      <c r="H107" s="3338"/>
      <c r="I107" s="3339"/>
      <c r="J107" s="3340"/>
      <c r="K107" s="3340"/>
      <c r="L107" s="3340"/>
      <c r="M107" s="3340"/>
      <c r="N107" s="3340"/>
      <c r="O107" s="3340"/>
      <c r="P107" s="3340"/>
      <c r="Q107" s="3340"/>
      <c r="R107" s="3421"/>
      <c r="S107" s="1177"/>
      <c r="AJ107" s="1178"/>
      <c r="AK107" s="1178"/>
      <c r="AL107" s="1178"/>
      <c r="AM107" s="1178"/>
      <c r="AN107" s="1178"/>
      <c r="AO107" s="1178"/>
      <c r="AP107" s="1178"/>
      <c r="AQ107" s="1178"/>
      <c r="AR107" s="1178"/>
      <c r="AS107" s="1178"/>
      <c r="AT107" s="1178"/>
      <c r="AU107" s="1178"/>
      <c r="AV107" s="1178"/>
      <c r="AW107" s="1180"/>
      <c r="AX107" s="1180"/>
      <c r="AY107" s="1180"/>
      <c r="AZ107" s="1180"/>
      <c r="BA107" s="1180"/>
    </row>
    <row r="108" spans="1:53" s="1281" customFormat="1" ht="21">
      <c r="A108" s="1343"/>
      <c r="B108" s="1417" t="s">
        <v>101</v>
      </c>
      <c r="C108" s="3337"/>
      <c r="D108" s="3337"/>
      <c r="E108" s="3337"/>
      <c r="F108" s="3337"/>
      <c r="G108" s="3337"/>
      <c r="H108" s="3338"/>
      <c r="I108" s="3339"/>
      <c r="J108" s="3340"/>
      <c r="K108" s="3340"/>
      <c r="L108" s="3340"/>
      <c r="M108" s="3340"/>
      <c r="N108" s="3340"/>
      <c r="O108" s="3340"/>
      <c r="P108" s="3340"/>
      <c r="Q108" s="3340"/>
      <c r="R108" s="3421"/>
      <c r="S108" s="1177"/>
      <c r="AJ108" s="1178"/>
      <c r="AK108" s="1178"/>
      <c r="AL108" s="1178"/>
      <c r="AM108" s="1178"/>
      <c r="AN108" s="1178"/>
      <c r="AO108" s="1178"/>
      <c r="AP108" s="1178"/>
      <c r="AQ108" s="1178"/>
      <c r="AR108" s="1178"/>
      <c r="AS108" s="1178"/>
      <c r="AT108" s="1178"/>
      <c r="AU108" s="1178"/>
      <c r="AV108" s="1178"/>
      <c r="AW108" s="1180"/>
      <c r="AX108" s="1180"/>
      <c r="AY108" s="1180"/>
      <c r="AZ108" s="1180"/>
      <c r="BA108" s="1180"/>
    </row>
    <row r="109" spans="1:53" s="1281" customFormat="1" ht="21">
      <c r="A109" s="1343"/>
      <c r="B109" s="1417" t="s">
        <v>111</v>
      </c>
      <c r="C109" s="3337"/>
      <c r="D109" s="3337"/>
      <c r="E109" s="3337"/>
      <c r="F109" s="3337"/>
      <c r="G109" s="3337"/>
      <c r="H109" s="3338"/>
      <c r="I109" s="3339"/>
      <c r="J109" s="3340"/>
      <c r="K109" s="3340"/>
      <c r="L109" s="3340"/>
      <c r="M109" s="3340"/>
      <c r="N109" s="3340"/>
      <c r="O109" s="3340"/>
      <c r="P109" s="3340"/>
      <c r="Q109" s="3340"/>
      <c r="R109" s="3421"/>
      <c r="S109" s="1177"/>
      <c r="AJ109" s="1178"/>
      <c r="AK109" s="1178"/>
      <c r="AL109" s="1178"/>
      <c r="AM109" s="1178"/>
      <c r="AN109" s="1178"/>
      <c r="AO109" s="1178"/>
      <c r="AP109" s="1178"/>
      <c r="AQ109" s="1178"/>
      <c r="AR109" s="1178"/>
      <c r="AS109" s="1178"/>
      <c r="AT109" s="1178"/>
      <c r="AU109" s="1178"/>
      <c r="AV109" s="1178"/>
      <c r="AW109" s="1180"/>
      <c r="AX109" s="1180"/>
      <c r="AY109" s="1180"/>
      <c r="AZ109" s="1180"/>
      <c r="BA109" s="1180"/>
    </row>
    <row r="110" spans="1:53" s="1281" customFormat="1" ht="21">
      <c r="A110" s="1343"/>
      <c r="B110" s="1417" t="s">
        <v>112</v>
      </c>
      <c r="C110" s="3337"/>
      <c r="D110" s="3337"/>
      <c r="E110" s="3337"/>
      <c r="F110" s="3337"/>
      <c r="G110" s="3337"/>
      <c r="H110" s="3338"/>
      <c r="I110" s="3339"/>
      <c r="J110" s="3340"/>
      <c r="K110" s="3340"/>
      <c r="L110" s="3340"/>
      <c r="M110" s="3340"/>
      <c r="N110" s="3340"/>
      <c r="O110" s="3340"/>
      <c r="P110" s="3340"/>
      <c r="Q110" s="3340"/>
      <c r="R110" s="3421"/>
      <c r="S110" s="1177"/>
      <c r="AJ110" s="1178"/>
      <c r="AK110" s="1178"/>
      <c r="AL110" s="1178"/>
      <c r="AM110" s="1178"/>
      <c r="AN110" s="1178"/>
      <c r="AO110" s="1178"/>
      <c r="AP110" s="1178"/>
      <c r="AQ110" s="1178"/>
      <c r="AR110" s="1178"/>
      <c r="AS110" s="1178"/>
      <c r="AT110" s="1178"/>
      <c r="AU110" s="1178"/>
      <c r="AV110" s="1178"/>
      <c r="AW110" s="1180"/>
      <c r="AX110" s="1180"/>
      <c r="AY110" s="1180"/>
      <c r="AZ110" s="1180"/>
      <c r="BA110" s="1180"/>
    </row>
    <row r="111" spans="1:53" s="1281" customFormat="1" ht="21">
      <c r="A111" s="1343"/>
      <c r="B111" s="1417" t="s">
        <v>142</v>
      </c>
      <c r="C111" s="3337"/>
      <c r="D111" s="3337"/>
      <c r="E111" s="3337"/>
      <c r="F111" s="3337"/>
      <c r="G111" s="3337"/>
      <c r="H111" s="3338"/>
      <c r="I111" s="3339"/>
      <c r="J111" s="3340"/>
      <c r="K111" s="3340"/>
      <c r="L111" s="3340"/>
      <c r="M111" s="3340"/>
      <c r="N111" s="3340"/>
      <c r="O111" s="3340"/>
      <c r="P111" s="3340"/>
      <c r="Q111" s="3340"/>
      <c r="R111" s="3421"/>
      <c r="S111" s="1177"/>
      <c r="AJ111" s="1178"/>
      <c r="AK111" s="1178"/>
      <c r="AL111" s="1178"/>
      <c r="AM111" s="1178"/>
      <c r="AN111" s="1178"/>
      <c r="AO111" s="1178"/>
      <c r="AP111" s="1178"/>
      <c r="AQ111" s="1178"/>
      <c r="AR111" s="1178"/>
      <c r="AS111" s="1178"/>
      <c r="AT111" s="1178"/>
      <c r="AU111" s="1178"/>
      <c r="AV111" s="1178"/>
      <c r="AW111" s="1180"/>
      <c r="AX111" s="1180"/>
      <c r="AY111" s="1180"/>
      <c r="AZ111" s="1180"/>
      <c r="BA111" s="1180"/>
    </row>
    <row r="112" spans="1:53" s="1281" customFormat="1" ht="21">
      <c r="A112" s="1343"/>
      <c r="B112" s="1417" t="s">
        <v>143</v>
      </c>
      <c r="C112" s="3337"/>
      <c r="D112" s="3337"/>
      <c r="E112" s="3337"/>
      <c r="F112" s="3337"/>
      <c r="G112" s="3337"/>
      <c r="H112" s="3338"/>
      <c r="I112" s="3339"/>
      <c r="J112" s="3340"/>
      <c r="K112" s="3340"/>
      <c r="L112" s="3340"/>
      <c r="M112" s="3340"/>
      <c r="N112" s="3340"/>
      <c r="O112" s="3340"/>
      <c r="P112" s="3340"/>
      <c r="Q112" s="3340"/>
      <c r="R112" s="3421"/>
      <c r="S112" s="1177"/>
      <c r="AJ112" s="1178"/>
      <c r="AK112" s="1178"/>
      <c r="AL112" s="1178"/>
      <c r="AM112" s="1178"/>
      <c r="AN112" s="1178"/>
      <c r="AO112" s="1178"/>
      <c r="AP112" s="1178"/>
      <c r="AQ112" s="1178"/>
      <c r="AR112" s="1178"/>
      <c r="AS112" s="1178"/>
      <c r="AT112" s="1178"/>
      <c r="AU112" s="1178"/>
      <c r="AV112" s="1178"/>
      <c r="AW112" s="1180"/>
      <c r="AX112" s="1180"/>
      <c r="AY112" s="1180"/>
      <c r="AZ112" s="1180"/>
      <c r="BA112" s="1180"/>
    </row>
    <row r="113" spans="1:59" s="1281" customFormat="1" ht="21">
      <c r="A113" s="1343"/>
      <c r="B113" s="1417" t="s">
        <v>144</v>
      </c>
      <c r="C113" s="3337"/>
      <c r="D113" s="3337"/>
      <c r="E113" s="3337"/>
      <c r="F113" s="3337"/>
      <c r="G113" s="3337"/>
      <c r="H113" s="3338"/>
      <c r="I113" s="3339"/>
      <c r="J113" s="3340"/>
      <c r="K113" s="3340"/>
      <c r="L113" s="3340"/>
      <c r="M113" s="3340"/>
      <c r="N113" s="3340"/>
      <c r="O113" s="3340"/>
      <c r="P113" s="3340"/>
      <c r="Q113" s="3340"/>
      <c r="R113" s="3422"/>
      <c r="S113" s="1177"/>
      <c r="AJ113" s="1178"/>
      <c r="AK113" s="1178"/>
      <c r="AL113" s="1178"/>
      <c r="AM113" s="1178"/>
      <c r="AN113" s="1178"/>
      <c r="AO113" s="1178"/>
      <c r="AP113" s="1178"/>
      <c r="AQ113" s="1178"/>
      <c r="AR113" s="1178"/>
      <c r="AS113" s="1178"/>
      <c r="AT113" s="1178"/>
      <c r="AU113" s="1178"/>
      <c r="AV113" s="1178"/>
      <c r="AW113" s="1180"/>
      <c r="AX113" s="1180"/>
      <c r="AY113" s="1180"/>
      <c r="AZ113" s="1180"/>
      <c r="BA113" s="1180"/>
    </row>
    <row r="114" spans="1:59" s="1281" customFormat="1" ht="21">
      <c r="A114" s="1343"/>
      <c r="B114" s="1417" t="s">
        <v>145</v>
      </c>
      <c r="C114" s="3337"/>
      <c r="D114" s="3337"/>
      <c r="E114" s="3337"/>
      <c r="F114" s="3337"/>
      <c r="G114" s="3337"/>
      <c r="H114" s="3338"/>
      <c r="I114" s="3339"/>
      <c r="J114" s="3340"/>
      <c r="K114" s="3340"/>
      <c r="L114" s="3340"/>
      <c r="M114" s="3340"/>
      <c r="N114" s="3340"/>
      <c r="O114" s="3340"/>
      <c r="P114" s="3340"/>
      <c r="Q114" s="3415"/>
      <c r="R114" s="3597">
        <f>R66</f>
        <v>7</v>
      </c>
      <c r="S114" s="1177"/>
      <c r="AJ114" s="1178"/>
      <c r="AK114" s="1178"/>
      <c r="AL114" s="1178"/>
      <c r="AM114" s="1178"/>
      <c r="AN114" s="1178"/>
      <c r="AO114" s="1178"/>
      <c r="AP114" s="1178"/>
      <c r="AQ114" s="1178"/>
      <c r="AR114" s="1178"/>
      <c r="AS114" s="1178"/>
      <c r="AT114" s="1178"/>
      <c r="AU114" s="1178"/>
      <c r="AV114" s="1178"/>
      <c r="AW114" s="1180"/>
      <c r="AX114" s="1180"/>
      <c r="AY114" s="1180"/>
      <c r="AZ114" s="1180"/>
      <c r="BA114" s="1180"/>
      <c r="BB114" s="1177"/>
      <c r="BC114" s="1177"/>
      <c r="BD114" s="1177"/>
      <c r="BE114" s="1177"/>
      <c r="BF114" s="1177"/>
      <c r="BG114" s="1177"/>
    </row>
    <row r="115" spans="1:59" s="1281" customFormat="1" ht="21">
      <c r="A115" s="1343"/>
      <c r="B115" s="1417" t="s">
        <v>146</v>
      </c>
      <c r="C115" s="3337"/>
      <c r="D115" s="3337"/>
      <c r="E115" s="3337"/>
      <c r="F115" s="3337"/>
      <c r="G115" s="3337"/>
      <c r="H115" s="3338"/>
      <c r="I115" s="3339"/>
      <c r="J115" s="3340"/>
      <c r="K115" s="3340"/>
      <c r="L115" s="3340"/>
      <c r="M115" s="3340"/>
      <c r="N115" s="3340"/>
      <c r="O115" s="3340"/>
      <c r="P115" s="3340"/>
      <c r="Q115" s="3415"/>
      <c r="R115" s="3598"/>
      <c r="S115" s="1177"/>
      <c r="AJ115" s="1178"/>
      <c r="AK115" s="1178"/>
      <c r="AL115" s="1178"/>
      <c r="AM115" s="1178"/>
      <c r="AN115" s="1178"/>
      <c r="AO115" s="1178"/>
      <c r="AP115" s="1178"/>
      <c r="AQ115" s="1178"/>
      <c r="AR115" s="1178"/>
      <c r="AS115" s="1178"/>
      <c r="AT115" s="1178"/>
      <c r="AU115" s="1178"/>
      <c r="AV115" s="1178"/>
      <c r="AW115" s="1180"/>
      <c r="AX115" s="1180"/>
      <c r="AY115" s="1180"/>
      <c r="AZ115" s="1180"/>
      <c r="BA115" s="1180"/>
      <c r="BB115" s="1177"/>
      <c r="BC115" s="1177"/>
      <c r="BD115" s="1177"/>
      <c r="BE115" s="1177"/>
      <c r="BF115" s="1177"/>
      <c r="BG115" s="1177"/>
    </row>
    <row r="116" spans="1:59" s="1281" customFormat="1" ht="28.5" customHeight="1" thickBot="1">
      <c r="A116" s="1343"/>
      <c r="B116" s="1418" t="s">
        <v>147</v>
      </c>
      <c r="C116" s="3416"/>
      <c r="D116" s="3416"/>
      <c r="E116" s="3416"/>
      <c r="F116" s="3416"/>
      <c r="G116" s="3416"/>
      <c r="H116" s="3417"/>
      <c r="I116" s="3418"/>
      <c r="J116" s="3419"/>
      <c r="K116" s="3419"/>
      <c r="L116" s="3419"/>
      <c r="M116" s="3419"/>
      <c r="N116" s="3419"/>
      <c r="O116" s="3419"/>
      <c r="P116" s="3419"/>
      <c r="Q116" s="3420"/>
      <c r="R116" s="3599"/>
      <c r="S116" s="1177"/>
      <c r="AJ116" s="1178"/>
      <c r="AK116" s="1178"/>
      <c r="AL116" s="1178"/>
      <c r="AM116" s="1178"/>
      <c r="AN116" s="1178"/>
      <c r="AO116" s="1178"/>
      <c r="AP116" s="1178"/>
      <c r="AQ116" s="1178"/>
      <c r="AR116" s="1178"/>
      <c r="AS116" s="1178"/>
      <c r="AT116" s="1178"/>
      <c r="AU116" s="1178"/>
      <c r="AV116" s="1178"/>
      <c r="AW116" s="1180"/>
      <c r="AX116" s="1180"/>
      <c r="AY116" s="1180"/>
      <c r="AZ116" s="1180"/>
      <c r="BA116" s="1180"/>
      <c r="BB116" s="1177"/>
      <c r="BC116" s="1177"/>
      <c r="BD116" s="1177"/>
      <c r="BE116" s="1177"/>
      <c r="BF116" s="1177"/>
      <c r="BG116" s="1177"/>
    </row>
    <row r="117" spans="1:59" s="1281" customFormat="1">
      <c r="P117" s="1177"/>
      <c r="Q117" s="1177"/>
      <c r="S117" s="1177"/>
      <c r="AJ117" s="1178"/>
      <c r="AK117" s="1178"/>
      <c r="AL117" s="1178"/>
      <c r="AM117" s="1178"/>
      <c r="AN117" s="1178"/>
      <c r="AO117" s="1178"/>
      <c r="AP117" s="1178"/>
      <c r="AQ117" s="1178"/>
      <c r="AR117" s="1178"/>
      <c r="AS117" s="1178"/>
      <c r="AT117" s="1178"/>
      <c r="AU117" s="1178"/>
      <c r="AV117" s="1178"/>
      <c r="AW117" s="1180"/>
      <c r="AX117" s="1180"/>
      <c r="AY117" s="1180"/>
      <c r="AZ117" s="1180"/>
      <c r="BA117" s="1180"/>
      <c r="BB117" s="1177"/>
      <c r="BC117" s="1177"/>
      <c r="BD117" s="1177"/>
      <c r="BE117" s="1177"/>
      <c r="BF117" s="1177"/>
      <c r="BG117" s="1177"/>
    </row>
    <row r="120" spans="1:59">
      <c r="S120" s="1281"/>
    </row>
  </sheetData>
  <mergeCells count="164">
    <mergeCell ref="W3:AG3"/>
    <mergeCell ref="AH3:AI4"/>
    <mergeCell ref="AL3:BE3"/>
    <mergeCell ref="E4:I4"/>
    <mergeCell ref="M4:O4"/>
    <mergeCell ref="R4:R65"/>
    <mergeCell ref="Z4:AG4"/>
    <mergeCell ref="M2:O2"/>
    <mergeCell ref="P2:Q2"/>
    <mergeCell ref="R2:R3"/>
    <mergeCell ref="Z2:AG2"/>
    <mergeCell ref="AH2:AI2"/>
    <mergeCell ref="AL2:BE2"/>
    <mergeCell ref="E5:F5"/>
    <mergeCell ref="G5:H5"/>
    <mergeCell ref="I5:J5"/>
    <mergeCell ref="K5:L5"/>
    <mergeCell ref="M5:N5"/>
    <mergeCell ref="O5:Q5"/>
    <mergeCell ref="C3:L3"/>
    <mergeCell ref="M3:O3"/>
    <mergeCell ref="P3:Q4"/>
    <mergeCell ref="Z5:AA5"/>
    <mergeCell ref="AB5:AC5"/>
    <mergeCell ref="AD5:AE5"/>
    <mergeCell ref="AF5:AG5"/>
    <mergeCell ref="AH5:AI5"/>
    <mergeCell ref="Z6:AA6"/>
    <mergeCell ref="AB6:AC6"/>
    <mergeCell ref="AD6:AE6"/>
    <mergeCell ref="AF6:AG6"/>
    <mergeCell ref="AH6:AI6"/>
    <mergeCell ref="AM7:AO7"/>
    <mergeCell ref="AM8:AO8"/>
    <mergeCell ref="AM9:AO9"/>
    <mergeCell ref="AL11:BE11"/>
    <mergeCell ref="AT14:AU15"/>
    <mergeCell ref="AO23:AO26"/>
    <mergeCell ref="AP23:AP26"/>
    <mergeCell ref="AQ23:AQ26"/>
    <mergeCell ref="AR23:AR26"/>
    <mergeCell ref="AQ30:AR30"/>
    <mergeCell ref="AS30:AT30"/>
    <mergeCell ref="AU30:AV30"/>
    <mergeCell ref="AW30:AX30"/>
    <mergeCell ref="AY30:AZ30"/>
    <mergeCell ref="AQ31:AR31"/>
    <mergeCell ref="AS31:AT31"/>
    <mergeCell ref="AU31:AV31"/>
    <mergeCell ref="AW31:AX31"/>
    <mergeCell ref="AY31:AZ31"/>
    <mergeCell ref="AN55:AU57"/>
    <mergeCell ref="V58:Y60"/>
    <mergeCell ref="O59:Q59"/>
    <mergeCell ref="Z60:AI60"/>
    <mergeCell ref="AL60:BE60"/>
    <mergeCell ref="B65:Q67"/>
    <mergeCell ref="R66:R68"/>
    <mergeCell ref="AL68:BE68"/>
    <mergeCell ref="AQ36:AR36"/>
    <mergeCell ref="AS36:AT36"/>
    <mergeCell ref="AU36:AV36"/>
    <mergeCell ref="AW36:AX36"/>
    <mergeCell ref="AY36:AZ36"/>
    <mergeCell ref="AN52:AQ52"/>
    <mergeCell ref="B74:Q74"/>
    <mergeCell ref="C75:H75"/>
    <mergeCell ref="J75:Q75"/>
    <mergeCell ref="C76:H76"/>
    <mergeCell ref="J76:Q76"/>
    <mergeCell ref="AN76:AQ76"/>
    <mergeCell ref="M70:O70"/>
    <mergeCell ref="P70:Q70"/>
    <mergeCell ref="R70:R71"/>
    <mergeCell ref="C71:L71"/>
    <mergeCell ref="M71:O71"/>
    <mergeCell ref="P71:Q72"/>
    <mergeCell ref="E72:I72"/>
    <mergeCell ref="J72:L72"/>
    <mergeCell ref="M72:O72"/>
    <mergeCell ref="R72:R113"/>
    <mergeCell ref="C79:H79"/>
    <mergeCell ref="J79:Q79"/>
    <mergeCell ref="AO79:AQ79"/>
    <mergeCell ref="J80:Q80"/>
    <mergeCell ref="C81:H81"/>
    <mergeCell ref="J81:Q81"/>
    <mergeCell ref="AN81:AU81"/>
    <mergeCell ref="AR76:AU76"/>
    <mergeCell ref="C77:H77"/>
    <mergeCell ref="J77:Q77"/>
    <mergeCell ref="AO77:AQ77"/>
    <mergeCell ref="AS77:AU77"/>
    <mergeCell ref="C78:H78"/>
    <mergeCell ref="J78:Q78"/>
    <mergeCell ref="AO78:AQ78"/>
    <mergeCell ref="AS78:AU78"/>
    <mergeCell ref="AO84:AQ84"/>
    <mergeCell ref="AR84:AU84"/>
    <mergeCell ref="AO85:AQ85"/>
    <mergeCell ref="AR85:AU85"/>
    <mergeCell ref="C82:H82"/>
    <mergeCell ref="AN82:AQ82"/>
    <mergeCell ref="AR82:AU82"/>
    <mergeCell ref="C83:H83"/>
    <mergeCell ref="J83:Q83"/>
    <mergeCell ref="AO83:AQ83"/>
    <mergeCell ref="AR83:AU83"/>
    <mergeCell ref="C87:H87"/>
    <mergeCell ref="B88:B89"/>
    <mergeCell ref="C88:H89"/>
    <mergeCell ref="C90:H90"/>
    <mergeCell ref="C91:H91"/>
    <mergeCell ref="J91:Q91"/>
    <mergeCell ref="C84:H84"/>
    <mergeCell ref="I84:I85"/>
    <mergeCell ref="J84:Q85"/>
    <mergeCell ref="C85:H85"/>
    <mergeCell ref="C96:H96"/>
    <mergeCell ref="J96:Q96"/>
    <mergeCell ref="C97:H97"/>
    <mergeCell ref="J97:Q97"/>
    <mergeCell ref="C98:H98"/>
    <mergeCell ref="J98:Q98"/>
    <mergeCell ref="J92:Q92"/>
    <mergeCell ref="C93:H93"/>
    <mergeCell ref="J93:Q93"/>
    <mergeCell ref="B94:H94"/>
    <mergeCell ref="I94:Q94"/>
    <mergeCell ref="C95:H95"/>
    <mergeCell ref="J95:Q95"/>
    <mergeCell ref="B103:Q103"/>
    <mergeCell ref="B104:H104"/>
    <mergeCell ref="I104:Q104"/>
    <mergeCell ref="I105:Q105"/>
    <mergeCell ref="C106:H106"/>
    <mergeCell ref="I106:Q106"/>
    <mergeCell ref="C99:H99"/>
    <mergeCell ref="J99:Q99"/>
    <mergeCell ref="C100:H100"/>
    <mergeCell ref="J100:Q100"/>
    <mergeCell ref="C101:H101"/>
    <mergeCell ref="J101:Q101"/>
    <mergeCell ref="C110:H110"/>
    <mergeCell ref="I110:Q110"/>
    <mergeCell ref="C111:H111"/>
    <mergeCell ref="I111:Q111"/>
    <mergeCell ref="C112:H112"/>
    <mergeCell ref="I112:Q112"/>
    <mergeCell ref="C107:H107"/>
    <mergeCell ref="I107:Q107"/>
    <mergeCell ref="C108:H108"/>
    <mergeCell ref="I108:Q108"/>
    <mergeCell ref="C109:H109"/>
    <mergeCell ref="I109:Q109"/>
    <mergeCell ref="C113:H113"/>
    <mergeCell ref="I113:Q113"/>
    <mergeCell ref="C114:H114"/>
    <mergeCell ref="I114:Q114"/>
    <mergeCell ref="R114:R116"/>
    <mergeCell ref="C115:H115"/>
    <mergeCell ref="I115:Q115"/>
    <mergeCell ref="C116:H116"/>
    <mergeCell ref="I116:Q116"/>
  </mergeCells>
  <hyperlinks>
    <hyperlink ref="J4" r:id="rId1" display="http://etab.ac-poitiers.fr/lycee-hotelier-la-rochelle/spip.php?auteur10" xr:uid="{00000000-0004-0000-0400-000000000000}"/>
    <hyperlink ref="AM4" r:id="rId2" xr:uid="{00000000-0004-0000-0400-000001000000}"/>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3"/>
  <headerFooter alignWithMargins="0"/>
  <rowBreaks count="1" manualBreakCount="1">
    <brk id="68" max="16383"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C9BE-24DC-492D-BF6F-1A8A98D42DC1}">
  <dimension ref="A1:AA98"/>
  <sheetViews>
    <sheetView showZeros="0" zoomScaleNormal="100" zoomScalePageLayoutView="150" workbookViewId="0">
      <selection activeCell="O7" sqref="O7"/>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0.7109375" style="1281" customWidth="1"/>
    <col min="18" max="18" width="16.28515625" style="1281" customWidth="1"/>
    <col min="19" max="19" width="3.42578125" style="1281" customWidth="1"/>
    <col min="20" max="20" width="4" style="1281" customWidth="1"/>
    <col min="21" max="21" width="4.28515625" style="1281" customWidth="1"/>
    <col min="22" max="22" width="4.7109375" style="1281" customWidth="1"/>
    <col min="23" max="23" width="5.28515625" style="1281" customWidth="1"/>
    <col min="24" max="24" width="4.85546875" style="1281" customWidth="1"/>
    <col min="25" max="25" width="4.42578125" style="1281" customWidth="1"/>
    <col min="26" max="26" width="4.28515625" style="1281" customWidth="1"/>
    <col min="27" max="27" width="4.42578125" style="1281" customWidth="1"/>
    <col min="28"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704"/>
      <c r="B2" s="3616" t="s">
        <v>2163</v>
      </c>
      <c r="C2" s="3617"/>
      <c r="D2" s="3617"/>
      <c r="E2" s="3617"/>
      <c r="F2" s="3617"/>
      <c r="G2" s="3617"/>
      <c r="H2" s="2844" t="s">
        <v>1444</v>
      </c>
      <c r="I2" s="2845">
        <f>X2</f>
        <v>10</v>
      </c>
      <c r="J2" s="2841"/>
      <c r="K2" s="2843" t="s">
        <v>2873</v>
      </c>
      <c r="L2" s="2842">
        <v>5</v>
      </c>
      <c r="M2" s="1675">
        <v>42.75</v>
      </c>
      <c r="P2" s="1766"/>
      <c r="Q2" s="3618" t="s">
        <v>2163</v>
      </c>
      <c r="R2" s="3619"/>
      <c r="S2" s="3619"/>
      <c r="T2" s="3619"/>
      <c r="U2" s="3619"/>
      <c r="V2" s="3620"/>
      <c r="W2" s="1767" t="s">
        <v>1444</v>
      </c>
      <c r="X2" s="1768">
        <v>10</v>
      </c>
      <c r="Y2" s="1769"/>
      <c r="Z2" s="1769"/>
      <c r="AA2" s="1770"/>
    </row>
    <row r="3" spans="1:27" ht="24.75" customHeight="1">
      <c r="A3" s="1710"/>
      <c r="B3" s="1711" t="s">
        <v>1391</v>
      </c>
      <c r="C3" s="1712"/>
      <c r="D3" s="1712"/>
      <c r="E3" s="1713"/>
      <c r="F3" s="1714" t="s">
        <v>1445</v>
      </c>
      <c r="G3" s="1715"/>
      <c r="H3" s="1531"/>
      <c r="I3" s="1531"/>
      <c r="J3" s="1715"/>
      <c r="K3" s="1715"/>
      <c r="L3" s="1716"/>
      <c r="M3" s="1675">
        <v>25.5</v>
      </c>
      <c r="P3" s="1771"/>
      <c r="Q3" s="1772" t="s">
        <v>1391</v>
      </c>
      <c r="R3" s="1773"/>
      <c r="S3" s="1773"/>
      <c r="T3" s="1774"/>
      <c r="U3" s="1775" t="s">
        <v>1445</v>
      </c>
      <c r="V3" s="1776"/>
      <c r="W3" s="1192"/>
      <c r="X3" s="1192"/>
      <c r="Y3" s="1776"/>
      <c r="Z3" s="1776"/>
      <c r="AA3" s="1537"/>
    </row>
    <row r="4" spans="1:27" ht="112.5" customHeight="1">
      <c r="A4" s="1705"/>
      <c r="B4" s="3621"/>
      <c r="C4" s="3621"/>
      <c r="D4" s="3621"/>
      <c r="E4" s="3621"/>
      <c r="F4" s="1720"/>
      <c r="G4" s="1721"/>
      <c r="H4" s="1721"/>
      <c r="I4" s="1721"/>
      <c r="J4" s="1531"/>
      <c r="K4" s="1531"/>
      <c r="L4" s="1716"/>
      <c r="M4" s="1675">
        <v>112.5</v>
      </c>
      <c r="P4" s="1766"/>
      <c r="Q4" s="3622"/>
      <c r="R4" s="3623"/>
      <c r="S4" s="3623"/>
      <c r="T4" s="3624"/>
      <c r="U4" s="1766"/>
      <c r="V4" s="1777"/>
      <c r="W4" s="1777"/>
      <c r="X4" s="1777"/>
      <c r="Y4" s="1192"/>
      <c r="Z4" s="1192"/>
      <c r="AA4" s="1537"/>
    </row>
    <row r="5" spans="1:27" ht="63.75" customHeight="1">
      <c r="A5" s="1778"/>
      <c r="B5" s="1779" t="s">
        <v>151</v>
      </c>
      <c r="C5" s="3625" t="s">
        <v>1446</v>
      </c>
      <c r="D5" s="3625"/>
      <c r="E5" s="3626" t="s">
        <v>1447</v>
      </c>
      <c r="F5" s="3626"/>
      <c r="G5" s="3626"/>
      <c r="H5" s="3626"/>
      <c r="I5" s="3626"/>
      <c r="J5" s="3627" t="s">
        <v>1448</v>
      </c>
      <c r="K5" s="3627"/>
      <c r="L5" s="3627"/>
      <c r="M5" s="1675">
        <v>63.75</v>
      </c>
      <c r="N5" s="1192"/>
      <c r="P5" s="1780"/>
      <c r="Q5" s="1781" t="s">
        <v>151</v>
      </c>
      <c r="R5" s="1782" t="s">
        <v>1446</v>
      </c>
      <c r="S5" s="1553"/>
      <c r="T5" s="1783" t="s">
        <v>1447</v>
      </c>
      <c r="U5" s="1784"/>
      <c r="V5" s="1784"/>
      <c r="W5" s="1784"/>
      <c r="X5" s="1785"/>
      <c r="Y5" s="1782" t="s">
        <v>1448</v>
      </c>
      <c r="Z5" s="1786"/>
      <c r="AA5" s="1787"/>
    </row>
    <row r="6" spans="1:27" ht="57.75" customHeight="1">
      <c r="A6" s="1788"/>
      <c r="B6" s="1789"/>
      <c r="C6" s="2861" t="s">
        <v>1449</v>
      </c>
      <c r="D6" s="2862" t="str">
        <f t="shared" ref="D6:I6" si="0">S6</f>
        <v>unite</v>
      </c>
      <c r="E6" s="2862">
        <f t="shared" si="0"/>
        <v>1</v>
      </c>
      <c r="F6" s="2862">
        <f t="shared" si="0"/>
        <v>2</v>
      </c>
      <c r="G6" s="2862">
        <f t="shared" si="0"/>
        <v>3</v>
      </c>
      <c r="H6" s="2862">
        <f t="shared" si="0"/>
        <v>4</v>
      </c>
      <c r="I6" s="2862" t="str">
        <f t="shared" si="0"/>
        <v>finition</v>
      </c>
      <c r="J6" s="1726" t="s">
        <v>110</v>
      </c>
      <c r="K6" s="1726" t="s">
        <v>117</v>
      </c>
      <c r="L6" s="1726" t="s">
        <v>118</v>
      </c>
      <c r="M6" s="1675">
        <v>57.75</v>
      </c>
      <c r="P6" s="1771"/>
      <c r="Q6" s="1790"/>
      <c r="R6" s="1791" t="s">
        <v>1449</v>
      </c>
      <c r="S6" s="1792" t="s">
        <v>1450</v>
      </c>
      <c r="T6" s="1793">
        <v>1</v>
      </c>
      <c r="U6" s="1793">
        <v>2</v>
      </c>
      <c r="V6" s="1793">
        <v>3</v>
      </c>
      <c r="W6" s="1794">
        <v>4</v>
      </c>
      <c r="X6" s="1795" t="s">
        <v>48</v>
      </c>
      <c r="Y6" s="1796" t="s">
        <v>110</v>
      </c>
      <c r="Z6" s="1796" t="s">
        <v>117</v>
      </c>
      <c r="AA6" s="1573" t="s">
        <v>118</v>
      </c>
    </row>
    <row r="7" spans="1:27" ht="25.5" customHeight="1">
      <c r="A7" s="1797"/>
      <c r="B7" s="1531"/>
      <c r="C7" s="1735" t="str">
        <f t="shared" ref="C7:D46" si="1">R7</f>
        <v>Viandes/Poissons</v>
      </c>
      <c r="D7" s="2860" t="str">
        <f t="shared" si="1"/>
        <v xml:space="preserve"> </v>
      </c>
      <c r="E7" s="2860">
        <f t="shared" ref="E7:I21" si="2">IF(ISTEXT(T7),T7,(T7/$I$2)*$L$2)</f>
        <v>0</v>
      </c>
      <c r="F7" s="2860">
        <f t="shared" si="2"/>
        <v>0</v>
      </c>
      <c r="G7" s="2860">
        <f t="shared" si="2"/>
        <v>0</v>
      </c>
      <c r="H7" s="2860">
        <f t="shared" si="2"/>
        <v>0</v>
      </c>
      <c r="I7" s="2860">
        <f t="shared" si="2"/>
        <v>0</v>
      </c>
      <c r="J7" s="1736"/>
      <c r="K7" s="1737"/>
      <c r="L7" s="1738" t="str">
        <f t="shared" ref="L7:L46" si="3">IF(ISBLANK(K7),"",K7*J7)</f>
        <v/>
      </c>
      <c r="M7" s="1519">
        <v>25.5</v>
      </c>
      <c r="P7" s="1798"/>
      <c r="Q7" s="1799"/>
      <c r="R7" s="1800" t="s">
        <v>120</v>
      </c>
      <c r="S7" s="1801" t="s">
        <v>1456</v>
      </c>
      <c r="T7" s="1802"/>
      <c r="U7" s="1802"/>
      <c r="V7" s="1802"/>
      <c r="W7" s="1802"/>
      <c r="X7" s="1802"/>
      <c r="Y7" s="1802"/>
      <c r="Z7" s="1802"/>
      <c r="AA7" s="1803"/>
    </row>
    <row r="8" spans="1:27" ht="25.5" customHeight="1">
      <c r="A8" s="1797"/>
      <c r="B8" s="1804"/>
      <c r="C8" s="2853" t="str">
        <f t="shared" si="1"/>
        <v xml:space="preserve">chipirons ou </v>
      </c>
      <c r="D8" s="2851" t="str">
        <f t="shared" si="1"/>
        <v>kg</v>
      </c>
      <c r="E8" s="2852">
        <f t="shared" si="2"/>
        <v>0</v>
      </c>
      <c r="F8" s="2852">
        <f t="shared" si="2"/>
        <v>0</v>
      </c>
      <c r="G8" s="2852">
        <f t="shared" si="2"/>
        <v>0</v>
      </c>
      <c r="H8" s="2852">
        <f t="shared" si="2"/>
        <v>0.2</v>
      </c>
      <c r="I8" s="2852">
        <f t="shared" si="2"/>
        <v>0</v>
      </c>
      <c r="J8" s="2857">
        <f>IF(SUM(E8:I8)=0,"",SUM(E8:I8))</f>
        <v>0.2</v>
      </c>
      <c r="K8" s="1590">
        <v>5.35</v>
      </c>
      <c r="L8" s="1591">
        <f t="shared" si="3"/>
        <v>1.07</v>
      </c>
      <c r="M8" s="1519">
        <v>25.5</v>
      </c>
      <c r="P8" s="1798"/>
      <c r="Q8" s="1799"/>
      <c r="R8" s="1805" t="s">
        <v>2164</v>
      </c>
      <c r="S8" s="1780" t="s">
        <v>166</v>
      </c>
      <c r="T8" s="1806"/>
      <c r="U8" s="1806"/>
      <c r="V8" s="1806"/>
      <c r="W8" s="1806">
        <v>0.4</v>
      </c>
      <c r="X8" s="1806"/>
      <c r="Y8" s="1806">
        <f>IF(SUM(T8:X8)=0,"",SUM(T8:X8))</f>
        <v>0.4</v>
      </c>
      <c r="Z8" s="1806">
        <v>5.35</v>
      </c>
      <c r="AA8" s="1807">
        <f>(Z8*Y8)</f>
        <v>2.14</v>
      </c>
    </row>
    <row r="9" spans="1:27" ht="25.5" customHeight="1">
      <c r="A9" s="1797"/>
      <c r="B9" s="1804"/>
      <c r="C9" s="2853" t="str">
        <f t="shared" si="1"/>
        <v>casserons</v>
      </c>
      <c r="D9" s="2851">
        <f t="shared" si="1"/>
        <v>0</v>
      </c>
      <c r="E9" s="2852">
        <f t="shared" si="2"/>
        <v>0</v>
      </c>
      <c r="F9" s="2852">
        <f t="shared" si="2"/>
        <v>0</v>
      </c>
      <c r="G9" s="2852">
        <f t="shared" si="2"/>
        <v>0</v>
      </c>
      <c r="H9" s="2852">
        <f t="shared" si="2"/>
        <v>0</v>
      </c>
      <c r="I9" s="2852">
        <f t="shared" si="2"/>
        <v>0</v>
      </c>
      <c r="J9" s="2857" t="str">
        <f t="shared" ref="J9:J41" si="4">IF(SUM(E9:I9)=0,"",SUM(E9:I9))</f>
        <v/>
      </c>
      <c r="K9" s="1590"/>
      <c r="L9" s="1591" t="str">
        <f t="shared" si="3"/>
        <v/>
      </c>
      <c r="M9" s="1519">
        <v>25.5</v>
      </c>
      <c r="P9" s="1798"/>
      <c r="Q9" s="1799"/>
      <c r="R9" s="1805" t="s">
        <v>47</v>
      </c>
      <c r="S9" s="1780"/>
      <c r="T9" s="1806"/>
      <c r="U9" s="1806"/>
      <c r="V9" s="1806"/>
      <c r="W9" s="1806"/>
      <c r="X9" s="1806"/>
      <c r="Y9" s="1806" t="str">
        <f t="shared" ref="Y9" si="5">IF(SUM(T9:X9)=0,"",SUM(T9:X9))</f>
        <v/>
      </c>
      <c r="Z9" s="1806" t="s">
        <v>1456</v>
      </c>
      <c r="AA9" s="1807"/>
    </row>
    <row r="10" spans="1:27" ht="25.5" customHeight="1">
      <c r="A10" s="1797"/>
      <c r="B10" s="1804"/>
      <c r="C10" s="2853">
        <f t="shared" si="1"/>
        <v>0</v>
      </c>
      <c r="D10" s="2851">
        <f t="shared" si="1"/>
        <v>0</v>
      </c>
      <c r="E10" s="2852">
        <f t="shared" si="2"/>
        <v>0</v>
      </c>
      <c r="F10" s="2852">
        <f t="shared" si="2"/>
        <v>0</v>
      </c>
      <c r="G10" s="2852">
        <f t="shared" si="2"/>
        <v>0</v>
      </c>
      <c r="H10" s="2852">
        <f t="shared" si="2"/>
        <v>0</v>
      </c>
      <c r="I10" s="2852">
        <f t="shared" si="2"/>
        <v>0</v>
      </c>
      <c r="J10" s="2857" t="str">
        <f>IF(SUM(E10:I10)=0,"",SUM(E10:I10))</f>
        <v/>
      </c>
      <c r="K10" s="1590"/>
      <c r="L10" s="1591" t="str">
        <f t="shared" si="3"/>
        <v/>
      </c>
      <c r="M10" s="1519">
        <v>25.5</v>
      </c>
      <c r="P10" s="1798"/>
      <c r="Q10" s="1799"/>
      <c r="R10" s="1805"/>
      <c r="S10" s="1780"/>
      <c r="T10" s="1806"/>
      <c r="U10" s="1806"/>
      <c r="V10" s="1806"/>
      <c r="W10" s="1806"/>
      <c r="X10" s="1806"/>
      <c r="Y10" s="1806" t="str">
        <f>IF(SUM(T10:X10)=0,"",SUM(T10:X10))</f>
        <v/>
      </c>
      <c r="Z10" s="1806" t="s">
        <v>2411</v>
      </c>
      <c r="AA10" s="1807"/>
    </row>
    <row r="11" spans="1:27" ht="25.5" customHeight="1">
      <c r="A11" s="1797"/>
      <c r="B11" s="1804"/>
      <c r="C11" s="2853" t="str">
        <f t="shared" si="1"/>
        <v xml:space="preserve"> </v>
      </c>
      <c r="D11" s="2851">
        <f t="shared" si="1"/>
        <v>0</v>
      </c>
      <c r="E11" s="2852">
        <f t="shared" si="2"/>
        <v>0</v>
      </c>
      <c r="F11" s="2852">
        <f t="shared" si="2"/>
        <v>0</v>
      </c>
      <c r="G11" s="2852">
        <f t="shared" si="2"/>
        <v>0</v>
      </c>
      <c r="H11" s="2852">
        <f t="shared" si="2"/>
        <v>0</v>
      </c>
      <c r="I11" s="2852">
        <f t="shared" si="2"/>
        <v>0</v>
      </c>
      <c r="J11" s="2857" t="str">
        <f t="shared" si="4"/>
        <v/>
      </c>
      <c r="K11" s="1590"/>
      <c r="L11" s="1591" t="str">
        <f t="shared" si="3"/>
        <v/>
      </c>
      <c r="M11" s="1519">
        <v>25.5</v>
      </c>
      <c r="P11" s="1798"/>
      <c r="Q11" s="1799"/>
      <c r="R11" s="1808" t="s">
        <v>1456</v>
      </c>
      <c r="S11" s="1780"/>
      <c r="T11" s="1806"/>
      <c r="U11" s="1806"/>
      <c r="V11" s="1806"/>
      <c r="W11" s="1806"/>
      <c r="X11" s="1806"/>
      <c r="Y11" s="1806" t="str">
        <f t="shared" ref="Y11:Y24" si="6">IF(SUM(T11:X11)=0,"",SUM(T11:X11))</f>
        <v/>
      </c>
      <c r="Z11" s="1806" t="s">
        <v>2411</v>
      </c>
      <c r="AA11" s="1807"/>
    </row>
    <row r="12" spans="1:27" ht="25.5" customHeight="1">
      <c r="A12" s="1797"/>
      <c r="B12" s="1804"/>
      <c r="C12" s="2863" t="str">
        <f t="shared" si="1"/>
        <v>LEGUMERIE</v>
      </c>
      <c r="D12" s="2864" t="str">
        <f t="shared" si="1"/>
        <v xml:space="preserve"> </v>
      </c>
      <c r="E12" s="2864">
        <f t="shared" si="2"/>
        <v>0</v>
      </c>
      <c r="F12" s="2864" t="str">
        <f t="shared" si="2"/>
        <v xml:space="preserve"> </v>
      </c>
      <c r="G12" s="2864">
        <f t="shared" si="2"/>
        <v>0</v>
      </c>
      <c r="H12" s="2864">
        <f t="shared" si="2"/>
        <v>0</v>
      </c>
      <c r="I12" s="2864">
        <f t="shared" si="2"/>
        <v>0</v>
      </c>
      <c r="J12" s="1736" t="str">
        <f t="shared" si="4"/>
        <v/>
      </c>
      <c r="K12" s="1737"/>
      <c r="L12" s="1738" t="str">
        <f t="shared" si="3"/>
        <v/>
      </c>
      <c r="M12" s="1519">
        <v>25.5</v>
      </c>
      <c r="P12" s="1798"/>
      <c r="Q12" s="1799"/>
      <c r="R12" s="1809" t="s">
        <v>1460</v>
      </c>
      <c r="S12" s="1801" t="s">
        <v>1456</v>
      </c>
      <c r="T12" s="1810"/>
      <c r="U12" s="1810" t="s">
        <v>1456</v>
      </c>
      <c r="V12" s="1810"/>
      <c r="W12" s="1810"/>
      <c r="X12" s="1810"/>
      <c r="Y12" s="1810" t="str">
        <f t="shared" si="6"/>
        <v/>
      </c>
      <c r="Z12" s="1810" t="s">
        <v>1456</v>
      </c>
      <c r="AA12" s="1807"/>
    </row>
    <row r="13" spans="1:27" ht="25.5" customHeight="1">
      <c r="A13" s="1797"/>
      <c r="B13" s="1804"/>
      <c r="C13" s="2853" t="str">
        <f t="shared" si="1"/>
        <v>tomates cocktail</v>
      </c>
      <c r="D13" s="2851" t="str">
        <f t="shared" si="1"/>
        <v>P</v>
      </c>
      <c r="E13" s="2852">
        <f t="shared" si="2"/>
        <v>5</v>
      </c>
      <c r="F13" s="2852">
        <f t="shared" si="2"/>
        <v>0</v>
      </c>
      <c r="G13" s="2852">
        <f t="shared" si="2"/>
        <v>0</v>
      </c>
      <c r="H13" s="2852">
        <f t="shared" si="2"/>
        <v>0</v>
      </c>
      <c r="I13" s="2852">
        <f t="shared" si="2"/>
        <v>0</v>
      </c>
      <c r="J13" s="2857">
        <f t="shared" si="4"/>
        <v>5</v>
      </c>
      <c r="K13" s="1590">
        <v>1.35</v>
      </c>
      <c r="L13" s="1591">
        <f t="shared" si="3"/>
        <v>6.75</v>
      </c>
      <c r="M13" s="1519">
        <v>25.5</v>
      </c>
      <c r="P13" s="1798"/>
      <c r="Q13" s="1799"/>
      <c r="R13" s="1805" t="s">
        <v>2165</v>
      </c>
      <c r="S13" s="1780" t="s">
        <v>318</v>
      </c>
      <c r="T13" s="1806">
        <v>10</v>
      </c>
      <c r="U13" s="1806"/>
      <c r="V13" s="1806"/>
      <c r="W13" s="1806"/>
      <c r="X13" s="1806"/>
      <c r="Y13" s="1806">
        <f t="shared" si="6"/>
        <v>10</v>
      </c>
      <c r="Z13" s="1806">
        <v>1.35</v>
      </c>
      <c r="AA13" s="1807">
        <f>(Z13*Y13)</f>
        <v>13.5</v>
      </c>
    </row>
    <row r="14" spans="1:27" ht="25.5" customHeight="1">
      <c r="A14" s="1797"/>
      <c r="B14" s="1811"/>
      <c r="C14" s="2853" t="str">
        <f t="shared" si="1"/>
        <v xml:space="preserve"> </v>
      </c>
      <c r="D14" s="2851">
        <f t="shared" si="1"/>
        <v>0</v>
      </c>
      <c r="E14" s="2852">
        <f t="shared" si="2"/>
        <v>0</v>
      </c>
      <c r="F14" s="2852">
        <f t="shared" si="2"/>
        <v>0</v>
      </c>
      <c r="G14" s="2852">
        <f t="shared" si="2"/>
        <v>0</v>
      </c>
      <c r="H14" s="2852">
        <f t="shared" si="2"/>
        <v>0</v>
      </c>
      <c r="I14" s="2852">
        <f t="shared" si="2"/>
        <v>0</v>
      </c>
      <c r="J14" s="2857" t="str">
        <f t="shared" si="4"/>
        <v/>
      </c>
      <c r="K14" s="1590"/>
      <c r="L14" s="1591" t="str">
        <f t="shared" si="3"/>
        <v/>
      </c>
      <c r="M14" s="1519">
        <v>25.5</v>
      </c>
      <c r="P14" s="1798"/>
      <c r="Q14" s="1812"/>
      <c r="R14" s="1813" t="s">
        <v>1456</v>
      </c>
      <c r="S14" s="1780"/>
      <c r="T14" s="1814"/>
      <c r="U14" s="1806"/>
      <c r="V14" s="1806"/>
      <c r="W14" s="1806"/>
      <c r="X14" s="1806"/>
      <c r="Y14" s="1806" t="str">
        <f t="shared" si="6"/>
        <v/>
      </c>
      <c r="Z14" s="1806" t="s">
        <v>1456</v>
      </c>
      <c r="AA14" s="1807"/>
    </row>
    <row r="15" spans="1:27" ht="25.5" customHeight="1">
      <c r="A15" s="1797"/>
      <c r="B15" s="1804"/>
      <c r="C15" s="2853" t="str">
        <f t="shared" si="1"/>
        <v>basilic</v>
      </c>
      <c r="D15" s="2851" t="str">
        <f t="shared" si="1"/>
        <v>btte</v>
      </c>
      <c r="E15" s="2852">
        <f t="shared" si="2"/>
        <v>0</v>
      </c>
      <c r="F15" s="2852">
        <f t="shared" si="2"/>
        <v>0</v>
      </c>
      <c r="G15" s="2852">
        <f t="shared" si="2"/>
        <v>1</v>
      </c>
      <c r="H15" s="2852">
        <f t="shared" si="2"/>
        <v>0</v>
      </c>
      <c r="I15" s="2852">
        <f t="shared" si="2"/>
        <v>0</v>
      </c>
      <c r="J15" s="2857">
        <f t="shared" si="4"/>
        <v>1</v>
      </c>
      <c r="K15" s="1590">
        <v>0.65</v>
      </c>
      <c r="L15" s="1591">
        <f t="shared" si="3"/>
        <v>0.65</v>
      </c>
      <c r="M15" s="1519">
        <v>25.5</v>
      </c>
      <c r="P15" s="1798"/>
      <c r="Q15" s="1799"/>
      <c r="R15" s="1805" t="s">
        <v>1495</v>
      </c>
      <c r="S15" s="1780" t="s">
        <v>2166</v>
      </c>
      <c r="T15" s="1806"/>
      <c r="U15" s="1806"/>
      <c r="V15" s="1806">
        <v>2</v>
      </c>
      <c r="W15" s="1806"/>
      <c r="X15" s="1806"/>
      <c r="Y15" s="1806">
        <f t="shared" si="6"/>
        <v>2</v>
      </c>
      <c r="Z15" s="1806">
        <v>0.65</v>
      </c>
      <c r="AA15" s="1807">
        <f>(Z15*Y15)</f>
        <v>1.3</v>
      </c>
    </row>
    <row r="16" spans="1:27" ht="25.5" customHeight="1">
      <c r="A16" s="1797"/>
      <c r="B16" s="1804"/>
      <c r="C16" s="2853" t="str">
        <f t="shared" si="1"/>
        <v>poivrons rouges</v>
      </c>
      <c r="D16" s="2851" t="str">
        <f t="shared" si="1"/>
        <v>kg</v>
      </c>
      <c r="E16" s="2852">
        <f t="shared" si="2"/>
        <v>0</v>
      </c>
      <c r="F16" s="2852">
        <f t="shared" si="2"/>
        <v>0</v>
      </c>
      <c r="G16" s="2852">
        <f t="shared" si="2"/>
        <v>0</v>
      </c>
      <c r="H16" s="2852">
        <f t="shared" si="2"/>
        <v>0.05</v>
      </c>
      <c r="I16" s="2852">
        <f t="shared" si="2"/>
        <v>0</v>
      </c>
      <c r="J16" s="2857">
        <f t="shared" si="4"/>
        <v>0.05</v>
      </c>
      <c r="K16" s="1590">
        <v>4.8499999999999996</v>
      </c>
      <c r="L16" s="1591">
        <f t="shared" si="3"/>
        <v>0.24249999999999999</v>
      </c>
      <c r="M16" s="1519">
        <v>25.5</v>
      </c>
      <c r="P16" s="1798"/>
      <c r="Q16" s="1799"/>
      <c r="R16" s="1805" t="s">
        <v>2167</v>
      </c>
      <c r="S16" s="1780" t="s">
        <v>166</v>
      </c>
      <c r="T16" s="1806"/>
      <c r="U16" s="1806"/>
      <c r="V16" s="1806"/>
      <c r="W16" s="1806">
        <v>0.1</v>
      </c>
      <c r="X16" s="1806"/>
      <c r="Y16" s="1806">
        <f t="shared" si="6"/>
        <v>0.1</v>
      </c>
      <c r="Z16" s="1806">
        <v>4.8499999999999996</v>
      </c>
      <c r="AA16" s="1807">
        <f>(Z16*Y16)</f>
        <v>0.48499999999999999</v>
      </c>
    </row>
    <row r="17" spans="1:27" ht="25.5" customHeight="1">
      <c r="A17" s="1797"/>
      <c r="B17" s="1804"/>
      <c r="C17" s="2853" t="str">
        <f t="shared" si="1"/>
        <v xml:space="preserve">poivrons verts </v>
      </c>
      <c r="D17" s="2851" t="str">
        <f t="shared" si="1"/>
        <v>kg</v>
      </c>
      <c r="E17" s="2852">
        <f t="shared" si="2"/>
        <v>0</v>
      </c>
      <c r="F17" s="2852">
        <f t="shared" si="2"/>
        <v>0</v>
      </c>
      <c r="G17" s="2852">
        <f t="shared" si="2"/>
        <v>0</v>
      </c>
      <c r="H17" s="2852">
        <f t="shared" si="2"/>
        <v>0.05</v>
      </c>
      <c r="I17" s="2852">
        <f t="shared" si="2"/>
        <v>0</v>
      </c>
      <c r="J17" s="2857">
        <f t="shared" si="4"/>
        <v>0.05</v>
      </c>
      <c r="K17" s="1590">
        <v>2.99</v>
      </c>
      <c r="L17" s="1591">
        <f t="shared" si="3"/>
        <v>0.14950000000000002</v>
      </c>
      <c r="M17" s="1519">
        <v>25.5</v>
      </c>
      <c r="P17" s="1798"/>
      <c r="Q17" s="1799"/>
      <c r="R17" s="1805" t="s">
        <v>2168</v>
      </c>
      <c r="S17" s="1780" t="s">
        <v>166</v>
      </c>
      <c r="T17" s="1806"/>
      <c r="U17" s="1806"/>
      <c r="V17" s="1806"/>
      <c r="W17" s="1806">
        <v>0.1</v>
      </c>
      <c r="X17" s="1806"/>
      <c r="Y17" s="1806">
        <f t="shared" si="6"/>
        <v>0.1</v>
      </c>
      <c r="Z17" s="1806">
        <v>2.99</v>
      </c>
      <c r="AA17" s="1807">
        <f>(Z17*Y17)</f>
        <v>0.29900000000000004</v>
      </c>
    </row>
    <row r="18" spans="1:27" ht="25.5" customHeight="1">
      <c r="A18" s="1797"/>
      <c r="B18" s="1804"/>
      <c r="C18" s="2853" t="str">
        <f t="shared" si="1"/>
        <v>ail</v>
      </c>
      <c r="D18" s="2851" t="str">
        <f t="shared" si="1"/>
        <v>pm</v>
      </c>
      <c r="E18" s="2852">
        <f t="shared" si="2"/>
        <v>0</v>
      </c>
      <c r="F18" s="2852" t="str">
        <f t="shared" si="2"/>
        <v>pm</v>
      </c>
      <c r="G18" s="2852">
        <f t="shared" si="2"/>
        <v>0</v>
      </c>
      <c r="H18" s="2852">
        <f t="shared" si="2"/>
        <v>0</v>
      </c>
      <c r="I18" s="2852">
        <f t="shared" si="2"/>
        <v>0</v>
      </c>
      <c r="J18" s="2857" t="str">
        <f t="shared" si="4"/>
        <v/>
      </c>
      <c r="K18" s="1590"/>
      <c r="L18" s="1591" t="str">
        <f t="shared" si="3"/>
        <v/>
      </c>
      <c r="M18" s="1519">
        <v>25.5</v>
      </c>
      <c r="P18" s="1798"/>
      <c r="Q18" s="1799"/>
      <c r="R18" s="1805" t="s">
        <v>1485</v>
      </c>
      <c r="S18" s="1780" t="s">
        <v>214</v>
      </c>
      <c r="T18" s="1806"/>
      <c r="U18" s="1806" t="s">
        <v>214</v>
      </c>
      <c r="V18" s="1806"/>
      <c r="W18" s="1806"/>
      <c r="X18" s="1806"/>
      <c r="Y18" s="1806" t="str">
        <f t="shared" si="6"/>
        <v/>
      </c>
      <c r="Z18" s="1806" t="s">
        <v>1456</v>
      </c>
      <c r="AA18" s="1807"/>
    </row>
    <row r="19" spans="1:27" ht="25.5" customHeight="1">
      <c r="A19" s="1797"/>
      <c r="B19" s="1804"/>
      <c r="C19" s="2853" t="str">
        <f t="shared" si="1"/>
        <v>echalotes</v>
      </c>
      <c r="D19" s="2851" t="str">
        <f t="shared" si="1"/>
        <v>kg</v>
      </c>
      <c r="E19" s="2852">
        <f t="shared" si="2"/>
        <v>0</v>
      </c>
      <c r="F19" s="2852">
        <f t="shared" si="2"/>
        <v>0.05</v>
      </c>
      <c r="G19" s="2852">
        <f t="shared" si="2"/>
        <v>0</v>
      </c>
      <c r="H19" s="2852">
        <f t="shared" si="2"/>
        <v>0</v>
      </c>
      <c r="I19" s="2852">
        <f t="shared" si="2"/>
        <v>0</v>
      </c>
      <c r="J19" s="2857">
        <f t="shared" si="4"/>
        <v>0.05</v>
      </c>
      <c r="K19" s="1702">
        <v>0.88</v>
      </c>
      <c r="L19" s="1591">
        <f t="shared" si="3"/>
        <v>4.4000000000000004E-2</v>
      </c>
      <c r="M19" s="1519">
        <v>25.5</v>
      </c>
      <c r="P19" s="1798"/>
      <c r="Q19" s="1799"/>
      <c r="R19" s="1813" t="s">
        <v>1517</v>
      </c>
      <c r="S19" s="1780" t="s">
        <v>166</v>
      </c>
      <c r="T19" s="1806"/>
      <c r="U19" s="1806">
        <v>0.1</v>
      </c>
      <c r="V19" s="1806"/>
      <c r="W19" s="1806"/>
      <c r="X19" s="1806"/>
      <c r="Y19" s="1806">
        <f t="shared" si="6"/>
        <v>0.1</v>
      </c>
      <c r="Z19" s="1806">
        <v>0.88</v>
      </c>
      <c r="AA19" s="1807">
        <f>(Y19*Z19)</f>
        <v>8.8000000000000009E-2</v>
      </c>
    </row>
    <row r="20" spans="1:27" ht="25.5" customHeight="1">
      <c r="A20" s="1797"/>
      <c r="B20" s="1804"/>
      <c r="C20" s="2853">
        <f t="shared" si="1"/>
        <v>0</v>
      </c>
      <c r="D20" s="2851">
        <f t="shared" si="1"/>
        <v>0</v>
      </c>
      <c r="E20" s="2852">
        <f t="shared" si="2"/>
        <v>0</v>
      </c>
      <c r="F20" s="2852">
        <f t="shared" si="2"/>
        <v>0</v>
      </c>
      <c r="G20" s="2852">
        <f t="shared" si="2"/>
        <v>0</v>
      </c>
      <c r="H20" s="2852">
        <f t="shared" si="2"/>
        <v>0</v>
      </c>
      <c r="I20" s="2852">
        <f t="shared" si="2"/>
        <v>0</v>
      </c>
      <c r="J20" s="2857" t="str">
        <f t="shared" si="4"/>
        <v/>
      </c>
      <c r="K20" s="1590"/>
      <c r="L20" s="1591" t="str">
        <f t="shared" si="3"/>
        <v/>
      </c>
      <c r="M20" s="1519">
        <v>25.5</v>
      </c>
      <c r="P20" s="1798"/>
      <c r="Q20" s="1799"/>
      <c r="R20" s="1805"/>
      <c r="S20" s="1780"/>
      <c r="T20" s="1806"/>
      <c r="U20" s="1806"/>
      <c r="V20" s="1806"/>
      <c r="W20" s="1806"/>
      <c r="X20" s="1806"/>
      <c r="Y20" s="1806" t="str">
        <f t="shared" si="6"/>
        <v/>
      </c>
      <c r="Z20" s="1806" t="s">
        <v>1456</v>
      </c>
      <c r="AA20" s="1807" t="s">
        <v>1456</v>
      </c>
    </row>
    <row r="21" spans="1:27" ht="25.5" customHeight="1">
      <c r="A21" s="1797"/>
      <c r="B21" s="1804"/>
      <c r="C21" s="2853">
        <f t="shared" si="1"/>
        <v>0</v>
      </c>
      <c r="D21" s="2851">
        <f t="shared" si="1"/>
        <v>0</v>
      </c>
      <c r="E21" s="2852">
        <f t="shared" si="2"/>
        <v>0</v>
      </c>
      <c r="F21" s="2852">
        <f t="shared" si="2"/>
        <v>0</v>
      </c>
      <c r="G21" s="2852">
        <f t="shared" si="2"/>
        <v>0</v>
      </c>
      <c r="H21" s="2852">
        <f t="shared" si="2"/>
        <v>0</v>
      </c>
      <c r="I21" s="2852">
        <f t="shared" si="2"/>
        <v>0</v>
      </c>
      <c r="J21" s="2857" t="str">
        <f t="shared" si="4"/>
        <v/>
      </c>
      <c r="K21" s="1590"/>
      <c r="L21" s="1591" t="str">
        <f t="shared" si="3"/>
        <v/>
      </c>
      <c r="M21" s="1519">
        <v>25.5</v>
      </c>
      <c r="P21" s="1798"/>
      <c r="Q21" s="1799"/>
      <c r="R21" s="1805"/>
      <c r="S21" s="1780"/>
      <c r="T21" s="1806"/>
      <c r="U21" s="1806"/>
      <c r="V21" s="1806"/>
      <c r="W21" s="1806"/>
      <c r="X21" s="1806"/>
      <c r="Y21" s="1806" t="str">
        <f t="shared" si="6"/>
        <v/>
      </c>
      <c r="Z21" s="1806" t="s">
        <v>2411</v>
      </c>
      <c r="AA21" s="1807" t="str">
        <f>IF(Y21="","",(Y21*Z21))</f>
        <v/>
      </c>
    </row>
    <row r="22" spans="1:27" ht="25.5" customHeight="1">
      <c r="A22" s="1797"/>
      <c r="B22" s="1804"/>
      <c r="C22" s="2853">
        <f t="shared" si="1"/>
        <v>0</v>
      </c>
      <c r="D22" s="2851">
        <f t="shared" si="1"/>
        <v>0</v>
      </c>
      <c r="E22" s="2852">
        <f t="shared" ref="E22:I46" si="7">IF(ISTEXT(T22),T22,(T22/$I$2)*$L$2)</f>
        <v>0</v>
      </c>
      <c r="F22" s="2852">
        <f t="shared" si="7"/>
        <v>0</v>
      </c>
      <c r="G22" s="2852">
        <f t="shared" si="7"/>
        <v>0</v>
      </c>
      <c r="H22" s="2852">
        <f t="shared" si="7"/>
        <v>0</v>
      </c>
      <c r="I22" s="2852">
        <f t="shared" si="7"/>
        <v>0</v>
      </c>
      <c r="J22" s="2857" t="str">
        <f t="shared" si="4"/>
        <v/>
      </c>
      <c r="K22" s="1590"/>
      <c r="L22" s="1591" t="str">
        <f t="shared" si="3"/>
        <v/>
      </c>
      <c r="M22" s="1519">
        <v>25.5</v>
      </c>
      <c r="P22" s="1798"/>
      <c r="Q22" s="1799"/>
      <c r="R22" s="1805"/>
      <c r="S22" s="1780"/>
      <c r="T22" s="1806"/>
      <c r="U22" s="1806"/>
      <c r="V22" s="1806"/>
      <c r="W22" s="1806"/>
      <c r="X22" s="1806"/>
      <c r="Y22" s="1806" t="str">
        <f t="shared" si="6"/>
        <v/>
      </c>
      <c r="Z22" s="1806" t="s">
        <v>2411</v>
      </c>
      <c r="AA22" s="1807" t="str">
        <f>IF(Y22="","",(Y22*Z22))</f>
        <v/>
      </c>
    </row>
    <row r="23" spans="1:27" ht="25.5" customHeight="1">
      <c r="A23" s="1797"/>
      <c r="B23" s="1804"/>
      <c r="C23" s="2853">
        <f t="shared" si="1"/>
        <v>0</v>
      </c>
      <c r="D23" s="2851">
        <f t="shared" si="1"/>
        <v>0</v>
      </c>
      <c r="E23" s="2852">
        <f t="shared" si="7"/>
        <v>0</v>
      </c>
      <c r="F23" s="2852">
        <f t="shared" si="7"/>
        <v>0</v>
      </c>
      <c r="G23" s="2852">
        <f t="shared" si="7"/>
        <v>0</v>
      </c>
      <c r="H23" s="2852">
        <f t="shared" si="7"/>
        <v>0</v>
      </c>
      <c r="I23" s="2852">
        <f t="shared" si="7"/>
        <v>0</v>
      </c>
      <c r="J23" s="2857" t="str">
        <f t="shared" si="4"/>
        <v/>
      </c>
      <c r="K23" s="1590"/>
      <c r="L23" s="1591" t="str">
        <f t="shared" si="3"/>
        <v/>
      </c>
      <c r="M23" s="1519">
        <v>25.5</v>
      </c>
      <c r="P23" s="1798"/>
      <c r="Q23" s="1799"/>
      <c r="R23" s="1805"/>
      <c r="S23" s="1780"/>
      <c r="T23" s="1806"/>
      <c r="U23" s="1806"/>
      <c r="V23" s="1806"/>
      <c r="W23" s="1806"/>
      <c r="X23" s="1806"/>
      <c r="Y23" s="1806" t="str">
        <f t="shared" si="6"/>
        <v/>
      </c>
      <c r="Z23" s="1806" t="s">
        <v>2411</v>
      </c>
      <c r="AA23" s="1807" t="str">
        <f>IF(Y23="","",(Y23*Z23))</f>
        <v/>
      </c>
    </row>
    <row r="24" spans="1:27" ht="25.5" customHeight="1">
      <c r="A24" s="1797"/>
      <c r="B24" s="1804"/>
      <c r="C24" s="2853">
        <f t="shared" si="1"/>
        <v>0</v>
      </c>
      <c r="D24" s="2851">
        <f t="shared" si="1"/>
        <v>0</v>
      </c>
      <c r="E24" s="2852">
        <f t="shared" si="7"/>
        <v>0</v>
      </c>
      <c r="F24" s="2852">
        <f t="shared" si="7"/>
        <v>0</v>
      </c>
      <c r="G24" s="2852">
        <f t="shared" si="7"/>
        <v>0</v>
      </c>
      <c r="H24" s="2852">
        <f t="shared" si="7"/>
        <v>0</v>
      </c>
      <c r="I24" s="2852">
        <f t="shared" si="7"/>
        <v>0</v>
      </c>
      <c r="J24" s="2857" t="str">
        <f t="shared" si="4"/>
        <v/>
      </c>
      <c r="K24" s="1590"/>
      <c r="L24" s="1591" t="str">
        <f t="shared" si="3"/>
        <v/>
      </c>
      <c r="M24" s="1519">
        <v>25.5</v>
      </c>
      <c r="P24" s="1798"/>
      <c r="Q24" s="1799"/>
      <c r="R24" s="1805"/>
      <c r="S24" s="1780"/>
      <c r="T24" s="1806"/>
      <c r="U24" s="1806"/>
      <c r="V24" s="1806"/>
      <c r="W24" s="1806"/>
      <c r="X24" s="1806"/>
      <c r="Y24" s="1806" t="str">
        <f t="shared" si="6"/>
        <v/>
      </c>
      <c r="Z24" s="1806" t="s">
        <v>2411</v>
      </c>
      <c r="AA24" s="1807" t="str">
        <f>IF(Y24="","",(Y24*Z24))</f>
        <v/>
      </c>
    </row>
    <row r="25" spans="1:27" ht="25.5" customHeight="1">
      <c r="A25" s="1797"/>
      <c r="B25" s="1804"/>
      <c r="C25" s="2863" t="str">
        <f t="shared" si="1"/>
        <v>B.O.F</v>
      </c>
      <c r="D25" s="2864" t="str">
        <f t="shared" si="1"/>
        <v xml:space="preserve"> </v>
      </c>
      <c r="E25" s="2864">
        <f t="shared" si="7"/>
        <v>0</v>
      </c>
      <c r="F25" s="2864">
        <f t="shared" si="7"/>
        <v>0</v>
      </c>
      <c r="G25" s="2864">
        <f t="shared" si="7"/>
        <v>0</v>
      </c>
      <c r="H25" s="2864">
        <f t="shared" si="7"/>
        <v>0</v>
      </c>
      <c r="I25" s="2864">
        <f t="shared" si="7"/>
        <v>0</v>
      </c>
      <c r="J25" s="1736" t="s">
        <v>1456</v>
      </c>
      <c r="K25" s="1737"/>
      <c r="L25" s="1738" t="str">
        <f t="shared" si="3"/>
        <v/>
      </c>
      <c r="M25" s="1519">
        <v>25.5</v>
      </c>
      <c r="P25" s="1798"/>
      <c r="Q25" s="1799"/>
      <c r="R25" s="1809" t="s">
        <v>1465</v>
      </c>
      <c r="S25" s="1801" t="s">
        <v>1456</v>
      </c>
      <c r="T25" s="1810"/>
      <c r="U25" s="1810"/>
      <c r="V25" s="1810"/>
      <c r="W25" s="1810"/>
      <c r="X25" s="1810"/>
      <c r="Y25" s="1810" t="s">
        <v>1456</v>
      </c>
      <c r="Z25" s="1810" t="s">
        <v>1456</v>
      </c>
      <c r="AA25" s="1815" t="s">
        <v>1456</v>
      </c>
    </row>
    <row r="26" spans="1:27" ht="25.5" customHeight="1">
      <c r="A26" s="1797"/>
      <c r="B26" s="1804"/>
      <c r="C26" s="2853">
        <f t="shared" si="1"/>
        <v>0</v>
      </c>
      <c r="D26" s="2851">
        <f t="shared" si="1"/>
        <v>0</v>
      </c>
      <c r="E26" s="2852">
        <f t="shared" si="7"/>
        <v>0</v>
      </c>
      <c r="F26" s="2852">
        <f t="shared" si="7"/>
        <v>0</v>
      </c>
      <c r="G26" s="2852">
        <f t="shared" si="7"/>
        <v>0</v>
      </c>
      <c r="H26" s="2852">
        <f t="shared" si="7"/>
        <v>0</v>
      </c>
      <c r="I26" s="2852">
        <f t="shared" si="7"/>
        <v>0</v>
      </c>
      <c r="J26" s="2857" t="str">
        <f t="shared" si="4"/>
        <v/>
      </c>
      <c r="K26" s="1590"/>
      <c r="L26" s="1591" t="str">
        <f t="shared" si="3"/>
        <v/>
      </c>
      <c r="M26" s="1519">
        <v>25.5</v>
      </c>
      <c r="P26" s="1798"/>
      <c r="Q26" s="1799"/>
      <c r="R26" s="1805"/>
      <c r="S26" s="1780"/>
      <c r="T26" s="1806"/>
      <c r="U26" s="1806"/>
      <c r="V26" s="1806"/>
      <c r="W26" s="1806"/>
      <c r="X26" s="1806"/>
      <c r="Y26" s="1806" t="str">
        <f t="shared" ref="Y26:Y33" si="8">IF(SUM(T26:X26)=0,"",SUM(T26:X26))</f>
        <v/>
      </c>
      <c r="Z26" s="1806" t="s">
        <v>1456</v>
      </c>
      <c r="AA26" s="1807" t="s">
        <v>1456</v>
      </c>
    </row>
    <row r="27" spans="1:27" ht="25.5" customHeight="1">
      <c r="A27" s="1797"/>
      <c r="B27" s="1804"/>
      <c r="C27" s="2853">
        <f t="shared" si="1"/>
        <v>0</v>
      </c>
      <c r="D27" s="2851">
        <f t="shared" si="1"/>
        <v>0</v>
      </c>
      <c r="E27" s="2852">
        <f t="shared" si="7"/>
        <v>0</v>
      </c>
      <c r="F27" s="2852">
        <f t="shared" si="7"/>
        <v>0</v>
      </c>
      <c r="G27" s="2852">
        <f t="shared" si="7"/>
        <v>0</v>
      </c>
      <c r="H27" s="2852">
        <f t="shared" si="7"/>
        <v>0</v>
      </c>
      <c r="I27" s="2852">
        <f t="shared" si="7"/>
        <v>0</v>
      </c>
      <c r="J27" s="2857" t="str">
        <f t="shared" si="4"/>
        <v/>
      </c>
      <c r="K27" s="1590"/>
      <c r="L27" s="1591" t="str">
        <f t="shared" si="3"/>
        <v/>
      </c>
      <c r="M27" s="1519">
        <v>25.5</v>
      </c>
      <c r="P27" s="1798"/>
      <c r="Q27" s="1799"/>
      <c r="R27" s="1805"/>
      <c r="S27" s="1780"/>
      <c r="T27" s="1806"/>
      <c r="U27" s="1806"/>
      <c r="V27" s="1806"/>
      <c r="W27" s="1806"/>
      <c r="X27" s="1806"/>
      <c r="Y27" s="1806" t="str">
        <f t="shared" si="8"/>
        <v/>
      </c>
      <c r="Z27" s="1806" t="s">
        <v>1456</v>
      </c>
      <c r="AA27" s="1807" t="s">
        <v>1456</v>
      </c>
    </row>
    <row r="28" spans="1:27" ht="25.5" customHeight="1">
      <c r="A28" s="1797"/>
      <c r="B28" s="1804"/>
      <c r="C28" s="2853">
        <f t="shared" si="1"/>
        <v>0</v>
      </c>
      <c r="D28" s="2851">
        <f t="shared" si="1"/>
        <v>0</v>
      </c>
      <c r="E28" s="2852">
        <f t="shared" si="7"/>
        <v>0</v>
      </c>
      <c r="F28" s="2852">
        <f t="shared" si="7"/>
        <v>0</v>
      </c>
      <c r="G28" s="2852">
        <f t="shared" si="7"/>
        <v>0</v>
      </c>
      <c r="H28" s="2852">
        <f t="shared" si="7"/>
        <v>0</v>
      </c>
      <c r="I28" s="2852">
        <f t="shared" si="7"/>
        <v>0</v>
      </c>
      <c r="J28" s="2857" t="str">
        <f t="shared" si="4"/>
        <v/>
      </c>
      <c r="K28" s="1590"/>
      <c r="L28" s="1591" t="str">
        <f t="shared" si="3"/>
        <v/>
      </c>
      <c r="M28" s="1519">
        <v>25.5</v>
      </c>
      <c r="P28" s="1798"/>
      <c r="Q28" s="1799"/>
      <c r="R28" s="1805"/>
      <c r="S28" s="1780"/>
      <c r="T28" s="1806"/>
      <c r="U28" s="1806"/>
      <c r="V28" s="1806"/>
      <c r="W28" s="1806"/>
      <c r="X28" s="1806"/>
      <c r="Y28" s="1806" t="str">
        <f t="shared" si="8"/>
        <v/>
      </c>
      <c r="Z28" s="1806" t="s">
        <v>2411</v>
      </c>
      <c r="AA28" s="1807" t="str">
        <f t="shared" ref="AA28:AA33" si="9">IF(Y28="","",(Y28*Z28))</f>
        <v/>
      </c>
    </row>
    <row r="29" spans="1:27" ht="25.5" customHeight="1">
      <c r="A29" s="1797"/>
      <c r="B29" s="1804"/>
      <c r="C29" s="2853">
        <f t="shared" si="1"/>
        <v>0</v>
      </c>
      <c r="D29" s="2851">
        <f t="shared" si="1"/>
        <v>0</v>
      </c>
      <c r="E29" s="2852">
        <f t="shared" si="7"/>
        <v>0</v>
      </c>
      <c r="F29" s="2852">
        <f t="shared" si="7"/>
        <v>0</v>
      </c>
      <c r="G29" s="2852">
        <f t="shared" si="7"/>
        <v>0</v>
      </c>
      <c r="H29" s="2852">
        <f t="shared" si="7"/>
        <v>0</v>
      </c>
      <c r="I29" s="2852">
        <f t="shared" si="7"/>
        <v>0</v>
      </c>
      <c r="J29" s="2857" t="str">
        <f t="shared" si="4"/>
        <v/>
      </c>
      <c r="K29" s="1590"/>
      <c r="L29" s="1591" t="str">
        <f t="shared" si="3"/>
        <v/>
      </c>
      <c r="M29" s="1519">
        <v>25.5</v>
      </c>
      <c r="P29" s="1798"/>
      <c r="Q29" s="1799"/>
      <c r="R29" s="1805"/>
      <c r="S29" s="1780"/>
      <c r="T29" s="1806"/>
      <c r="U29" s="1806"/>
      <c r="V29" s="1806"/>
      <c r="W29" s="1806"/>
      <c r="X29" s="1806"/>
      <c r="Y29" s="1806" t="str">
        <f t="shared" si="8"/>
        <v/>
      </c>
      <c r="Z29" s="1806" t="s">
        <v>2411</v>
      </c>
      <c r="AA29" s="1807" t="str">
        <f t="shared" si="9"/>
        <v/>
      </c>
    </row>
    <row r="30" spans="1:27" ht="25.5" customHeight="1">
      <c r="A30" s="1797"/>
      <c r="B30" s="1804"/>
      <c r="C30" s="2853">
        <f t="shared" si="1"/>
        <v>0</v>
      </c>
      <c r="D30" s="2851">
        <f t="shared" si="1"/>
        <v>0</v>
      </c>
      <c r="E30" s="2852">
        <f t="shared" si="7"/>
        <v>0</v>
      </c>
      <c r="F30" s="2852">
        <f t="shared" si="7"/>
        <v>0</v>
      </c>
      <c r="G30" s="2852">
        <f t="shared" si="7"/>
        <v>0</v>
      </c>
      <c r="H30" s="2852">
        <f t="shared" si="7"/>
        <v>0</v>
      </c>
      <c r="I30" s="2852">
        <f t="shared" si="7"/>
        <v>0</v>
      </c>
      <c r="J30" s="2857" t="str">
        <f t="shared" si="4"/>
        <v/>
      </c>
      <c r="K30" s="1590"/>
      <c r="L30" s="1591" t="str">
        <f t="shared" si="3"/>
        <v/>
      </c>
      <c r="M30" s="1519">
        <v>25.5</v>
      </c>
      <c r="P30" s="1798"/>
      <c r="Q30" s="1799"/>
      <c r="R30" s="1805"/>
      <c r="S30" s="1780"/>
      <c r="T30" s="1806"/>
      <c r="U30" s="1806"/>
      <c r="V30" s="1806"/>
      <c r="W30" s="1806"/>
      <c r="X30" s="1806"/>
      <c r="Y30" s="1806" t="str">
        <f t="shared" si="8"/>
        <v/>
      </c>
      <c r="Z30" s="1806" t="s">
        <v>2411</v>
      </c>
      <c r="AA30" s="1807" t="str">
        <f t="shared" si="9"/>
        <v/>
      </c>
    </row>
    <row r="31" spans="1:27" ht="25.5" customHeight="1">
      <c r="A31" s="1797"/>
      <c r="B31" s="1804"/>
      <c r="C31" s="2853">
        <f t="shared" si="1"/>
        <v>0</v>
      </c>
      <c r="D31" s="2851">
        <f t="shared" si="1"/>
        <v>0</v>
      </c>
      <c r="E31" s="2852">
        <f t="shared" si="7"/>
        <v>0</v>
      </c>
      <c r="F31" s="2852">
        <f t="shared" si="7"/>
        <v>0</v>
      </c>
      <c r="G31" s="2852">
        <f t="shared" si="7"/>
        <v>0</v>
      </c>
      <c r="H31" s="2852">
        <f t="shared" si="7"/>
        <v>0</v>
      </c>
      <c r="I31" s="2852">
        <f t="shared" si="7"/>
        <v>0</v>
      </c>
      <c r="J31" s="2857" t="str">
        <f t="shared" si="4"/>
        <v/>
      </c>
      <c r="K31" s="1590"/>
      <c r="L31" s="1591" t="str">
        <f t="shared" si="3"/>
        <v/>
      </c>
      <c r="M31" s="1519">
        <v>25.5</v>
      </c>
      <c r="P31" s="1798"/>
      <c r="Q31" s="1799"/>
      <c r="R31" s="1805"/>
      <c r="S31" s="1780"/>
      <c r="T31" s="1806"/>
      <c r="U31" s="1806"/>
      <c r="V31" s="1806"/>
      <c r="W31" s="1806"/>
      <c r="X31" s="1806"/>
      <c r="Y31" s="1806" t="str">
        <f t="shared" si="8"/>
        <v/>
      </c>
      <c r="Z31" s="1806" t="s">
        <v>2411</v>
      </c>
      <c r="AA31" s="1807" t="str">
        <f t="shared" si="9"/>
        <v/>
      </c>
    </row>
    <row r="32" spans="1:27" ht="25.5" customHeight="1">
      <c r="A32" s="1797"/>
      <c r="B32" s="1804"/>
      <c r="C32" s="2853">
        <f t="shared" si="1"/>
        <v>0</v>
      </c>
      <c r="D32" s="2851">
        <f t="shared" si="1"/>
        <v>0</v>
      </c>
      <c r="E32" s="2852">
        <f t="shared" si="7"/>
        <v>0</v>
      </c>
      <c r="F32" s="2852">
        <f t="shared" si="7"/>
        <v>0</v>
      </c>
      <c r="G32" s="2852">
        <f t="shared" si="7"/>
        <v>0</v>
      </c>
      <c r="H32" s="2852">
        <f t="shared" si="7"/>
        <v>0</v>
      </c>
      <c r="I32" s="2852">
        <f t="shared" si="7"/>
        <v>0</v>
      </c>
      <c r="J32" s="2857" t="str">
        <f t="shared" si="4"/>
        <v/>
      </c>
      <c r="K32" s="1590"/>
      <c r="L32" s="1591" t="str">
        <f t="shared" si="3"/>
        <v/>
      </c>
      <c r="M32" s="1519">
        <v>25.5</v>
      </c>
      <c r="P32" s="1798"/>
      <c r="Q32" s="1799"/>
      <c r="R32" s="1805"/>
      <c r="S32" s="1780"/>
      <c r="T32" s="1806"/>
      <c r="U32" s="1806"/>
      <c r="V32" s="1806"/>
      <c r="W32" s="1806"/>
      <c r="X32" s="1806"/>
      <c r="Y32" s="1806" t="str">
        <f t="shared" si="8"/>
        <v/>
      </c>
      <c r="Z32" s="1806" t="s">
        <v>2411</v>
      </c>
      <c r="AA32" s="1807" t="str">
        <f t="shared" si="9"/>
        <v/>
      </c>
    </row>
    <row r="33" spans="1:27" ht="25.5" customHeight="1">
      <c r="A33" s="1797"/>
      <c r="B33" s="1804"/>
      <c r="C33" s="2853">
        <f t="shared" si="1"/>
        <v>0</v>
      </c>
      <c r="D33" s="2851">
        <f t="shared" si="1"/>
        <v>0</v>
      </c>
      <c r="E33" s="2852">
        <f t="shared" si="7"/>
        <v>0</v>
      </c>
      <c r="F33" s="2852">
        <f t="shared" si="7"/>
        <v>0</v>
      </c>
      <c r="G33" s="2852">
        <f t="shared" si="7"/>
        <v>0</v>
      </c>
      <c r="H33" s="2852">
        <f t="shared" si="7"/>
        <v>0</v>
      </c>
      <c r="I33" s="2852">
        <f t="shared" si="7"/>
        <v>0</v>
      </c>
      <c r="J33" s="2857" t="str">
        <f t="shared" si="4"/>
        <v/>
      </c>
      <c r="K33" s="1590"/>
      <c r="L33" s="1591" t="str">
        <f t="shared" si="3"/>
        <v/>
      </c>
      <c r="M33" s="1519">
        <v>25.5</v>
      </c>
      <c r="P33" s="1798"/>
      <c r="Q33" s="1799"/>
      <c r="R33" s="1805"/>
      <c r="S33" s="1780"/>
      <c r="T33" s="1806"/>
      <c r="U33" s="1806"/>
      <c r="V33" s="1806"/>
      <c r="W33" s="1806"/>
      <c r="X33" s="1806"/>
      <c r="Y33" s="1806" t="str">
        <f t="shared" si="8"/>
        <v/>
      </c>
      <c r="Z33" s="1806" t="s">
        <v>2411</v>
      </c>
      <c r="AA33" s="1807" t="str">
        <f t="shared" si="9"/>
        <v/>
      </c>
    </row>
    <row r="34" spans="1:27" ht="25.5" customHeight="1">
      <c r="A34" s="1797"/>
      <c r="B34" s="1804"/>
      <c r="C34" s="2863" t="str">
        <f t="shared" si="1"/>
        <v>ECONOMAT/CAVE</v>
      </c>
      <c r="D34" s="2864" t="str">
        <f t="shared" si="1"/>
        <v xml:space="preserve"> </v>
      </c>
      <c r="E34" s="2864">
        <f t="shared" si="7"/>
        <v>0</v>
      </c>
      <c r="F34" s="2864">
        <f t="shared" si="7"/>
        <v>0</v>
      </c>
      <c r="G34" s="2864">
        <f t="shared" si="7"/>
        <v>0</v>
      </c>
      <c r="H34" s="2864">
        <f t="shared" si="7"/>
        <v>0</v>
      </c>
      <c r="I34" s="2864">
        <f t="shared" si="7"/>
        <v>0</v>
      </c>
      <c r="J34" s="1736" t="s">
        <v>1456</v>
      </c>
      <c r="K34" s="1737"/>
      <c r="L34" s="1738" t="str">
        <f t="shared" si="3"/>
        <v/>
      </c>
      <c r="M34" s="1519">
        <v>25.5</v>
      </c>
      <c r="P34" s="1798"/>
      <c r="Q34" s="1799"/>
      <c r="R34" s="1809" t="s">
        <v>1967</v>
      </c>
      <c r="S34" s="1801" t="s">
        <v>1456</v>
      </c>
      <c r="T34" s="1810"/>
      <c r="U34" s="1810"/>
      <c r="V34" s="1810"/>
      <c r="W34" s="1810"/>
      <c r="X34" s="1810"/>
      <c r="Y34" s="1810" t="s">
        <v>1456</v>
      </c>
      <c r="Z34" s="1810" t="s">
        <v>1456</v>
      </c>
      <c r="AA34" s="1815" t="s">
        <v>1456</v>
      </c>
    </row>
    <row r="35" spans="1:27" ht="25.5" customHeight="1">
      <c r="A35" s="1797"/>
      <c r="B35" s="1804"/>
      <c r="C35" s="2853" t="str">
        <f t="shared" si="1"/>
        <v>huile d'olive</v>
      </c>
      <c r="D35" s="2851" t="str">
        <f t="shared" si="1"/>
        <v>L</v>
      </c>
      <c r="E35" s="2852">
        <f t="shared" si="7"/>
        <v>0</v>
      </c>
      <c r="F35" s="2852">
        <f t="shared" si="7"/>
        <v>0.1</v>
      </c>
      <c r="G35" s="2852">
        <f t="shared" si="7"/>
        <v>0.1</v>
      </c>
      <c r="H35" s="2852">
        <f t="shared" si="7"/>
        <v>0.1</v>
      </c>
      <c r="I35" s="2852">
        <f t="shared" si="7"/>
        <v>0</v>
      </c>
      <c r="J35" s="2857">
        <f t="shared" si="4"/>
        <v>0.30000000000000004</v>
      </c>
      <c r="K35" s="1590">
        <v>2.39</v>
      </c>
      <c r="L35" s="1591">
        <f t="shared" si="3"/>
        <v>0.71700000000000019</v>
      </c>
      <c r="M35" s="1519">
        <v>25.5</v>
      </c>
      <c r="P35" s="1798"/>
      <c r="Q35" s="1799"/>
      <c r="R35" s="1805" t="s">
        <v>1634</v>
      </c>
      <c r="S35" s="1780" t="s">
        <v>224</v>
      </c>
      <c r="T35" s="1806"/>
      <c r="U35" s="1806">
        <v>0.2</v>
      </c>
      <c r="V35" s="1806">
        <v>0.2</v>
      </c>
      <c r="W35" s="1806">
        <v>0.2</v>
      </c>
      <c r="X35" s="1806"/>
      <c r="Y35" s="1806">
        <f t="shared" ref="Y35:Y41" si="10">IF(SUM(T35:X35)=0,"",SUM(T35:X35))</f>
        <v>0.60000000000000009</v>
      </c>
      <c r="Z35" s="1806">
        <v>2.39</v>
      </c>
      <c r="AA35" s="1807">
        <f>(Z35*Y35)</f>
        <v>1.4340000000000004</v>
      </c>
    </row>
    <row r="36" spans="1:27" ht="25.5" customHeight="1">
      <c r="A36" s="1797"/>
      <c r="B36" s="1804"/>
      <c r="C36" s="2853" t="str">
        <f t="shared" si="1"/>
        <v>tomates entières</v>
      </c>
      <c r="D36" s="2851" t="str">
        <f t="shared" si="1"/>
        <v>bte</v>
      </c>
      <c r="E36" s="2852">
        <f t="shared" si="7"/>
        <v>0</v>
      </c>
      <c r="F36" s="2852">
        <f t="shared" si="7"/>
        <v>0.25</v>
      </c>
      <c r="G36" s="2852">
        <f t="shared" si="7"/>
        <v>0</v>
      </c>
      <c r="H36" s="2852">
        <f t="shared" si="7"/>
        <v>0</v>
      </c>
      <c r="I36" s="2852">
        <f t="shared" si="7"/>
        <v>0</v>
      </c>
      <c r="J36" s="2857">
        <f t="shared" si="4"/>
        <v>0.25</v>
      </c>
      <c r="K36" s="1590">
        <v>0.73</v>
      </c>
      <c r="L36" s="1591">
        <f t="shared" si="3"/>
        <v>0.1825</v>
      </c>
      <c r="M36" s="1519">
        <v>25.5</v>
      </c>
      <c r="P36" s="1798"/>
      <c r="Q36" s="1799"/>
      <c r="R36" s="1805" t="s">
        <v>2169</v>
      </c>
      <c r="S36" s="1780" t="s">
        <v>218</v>
      </c>
      <c r="T36" s="1806"/>
      <c r="U36" s="1806">
        <v>0.5</v>
      </c>
      <c r="V36" s="1806"/>
      <c r="W36" s="1806"/>
      <c r="X36" s="1806"/>
      <c r="Y36" s="1806">
        <f t="shared" si="10"/>
        <v>0.5</v>
      </c>
      <c r="Z36" s="1806">
        <v>0.73</v>
      </c>
      <c r="AA36" s="1807">
        <f>(Z36*Y36)</f>
        <v>0.36499999999999999</v>
      </c>
    </row>
    <row r="37" spans="1:27" ht="25.5" customHeight="1">
      <c r="A37" s="1797"/>
      <c r="B37" s="1804"/>
      <c r="C37" s="2853" t="str">
        <f t="shared" si="1"/>
        <v>pelées 4/4</v>
      </c>
      <c r="D37" s="2851">
        <f t="shared" si="1"/>
        <v>0</v>
      </c>
      <c r="E37" s="2852">
        <f t="shared" si="7"/>
        <v>0</v>
      </c>
      <c r="F37" s="2852">
        <f t="shared" si="7"/>
        <v>0</v>
      </c>
      <c r="G37" s="2852">
        <f t="shared" si="7"/>
        <v>0</v>
      </c>
      <c r="H37" s="2852">
        <f t="shared" si="7"/>
        <v>0</v>
      </c>
      <c r="I37" s="2852">
        <f t="shared" si="7"/>
        <v>0</v>
      </c>
      <c r="J37" s="2857" t="str">
        <f t="shared" si="4"/>
        <v/>
      </c>
      <c r="K37" s="1590"/>
      <c r="L37" s="1591" t="str">
        <f t="shared" si="3"/>
        <v/>
      </c>
      <c r="M37" s="1519">
        <v>25.5</v>
      </c>
      <c r="P37" s="1798"/>
      <c r="Q37" s="1799"/>
      <c r="R37" s="1805" t="s">
        <v>2170</v>
      </c>
      <c r="S37" s="1780"/>
      <c r="T37" s="1806"/>
      <c r="U37" s="1806"/>
      <c r="V37" s="1806"/>
      <c r="W37" s="1806"/>
      <c r="X37" s="1806"/>
      <c r="Y37" s="1806" t="str">
        <f t="shared" si="10"/>
        <v/>
      </c>
      <c r="Z37" s="1806" t="s">
        <v>1456</v>
      </c>
      <c r="AA37" s="1807"/>
    </row>
    <row r="38" spans="1:27" ht="25.5" customHeight="1">
      <c r="A38" s="1797"/>
      <c r="B38" s="1804"/>
      <c r="C38" s="2853" t="str">
        <f t="shared" si="1"/>
        <v>glucose</v>
      </c>
      <c r="D38" s="2851" t="str">
        <f t="shared" si="1"/>
        <v>kg</v>
      </c>
      <c r="E38" s="2852">
        <f t="shared" si="7"/>
        <v>0</v>
      </c>
      <c r="F38" s="2852">
        <f t="shared" si="7"/>
        <v>0.1</v>
      </c>
      <c r="G38" s="2852">
        <f t="shared" si="7"/>
        <v>0</v>
      </c>
      <c r="H38" s="2852">
        <f t="shared" si="7"/>
        <v>0</v>
      </c>
      <c r="I38" s="2852">
        <f t="shared" si="7"/>
        <v>0</v>
      </c>
      <c r="J38" s="2857">
        <f t="shared" si="4"/>
        <v>0.1</v>
      </c>
      <c r="K38" s="1590">
        <v>3.93</v>
      </c>
      <c r="L38" s="1591">
        <f t="shared" si="3"/>
        <v>0.39300000000000002</v>
      </c>
      <c r="M38" s="1519">
        <v>25.5</v>
      </c>
      <c r="P38" s="1798"/>
      <c r="Q38" s="1799"/>
      <c r="R38" s="1805" t="s">
        <v>2171</v>
      </c>
      <c r="S38" s="1780" t="s">
        <v>166</v>
      </c>
      <c r="T38" s="1806"/>
      <c r="U38" s="1806">
        <v>0.2</v>
      </c>
      <c r="V38" s="1806"/>
      <c r="W38" s="1806"/>
      <c r="X38" s="1806"/>
      <c r="Y38" s="1806">
        <f t="shared" si="10"/>
        <v>0.2</v>
      </c>
      <c r="Z38" s="1806">
        <v>3.93</v>
      </c>
      <c r="AA38" s="1807">
        <f>(Z38*Y38)</f>
        <v>0.78600000000000003</v>
      </c>
    </row>
    <row r="39" spans="1:27" ht="25.5" customHeight="1">
      <c r="A39" s="1797"/>
      <c r="B39" s="1804"/>
      <c r="C39" s="2853" t="str">
        <f t="shared" si="1"/>
        <v>tabasco</v>
      </c>
      <c r="D39" s="2851" t="str">
        <f t="shared" si="1"/>
        <v>pm</v>
      </c>
      <c r="E39" s="2852">
        <f t="shared" si="7"/>
        <v>0</v>
      </c>
      <c r="F39" s="2852" t="str">
        <f t="shared" si="7"/>
        <v>pm</v>
      </c>
      <c r="G39" s="2852">
        <f t="shared" si="7"/>
        <v>0</v>
      </c>
      <c r="H39" s="2852">
        <f t="shared" si="7"/>
        <v>0</v>
      </c>
      <c r="I39" s="2852">
        <f t="shared" si="7"/>
        <v>0</v>
      </c>
      <c r="J39" s="2857" t="str">
        <f t="shared" si="4"/>
        <v/>
      </c>
      <c r="K39" s="1590"/>
      <c r="L39" s="1591" t="str">
        <f t="shared" si="3"/>
        <v/>
      </c>
      <c r="M39" s="1519">
        <v>25.5</v>
      </c>
      <c r="P39" s="1798"/>
      <c r="Q39" s="1799"/>
      <c r="R39" s="1805" t="s">
        <v>1703</v>
      </c>
      <c r="S39" s="1780" t="s">
        <v>214</v>
      </c>
      <c r="T39" s="1806"/>
      <c r="U39" s="1806" t="s">
        <v>214</v>
      </c>
      <c r="V39" s="1806"/>
      <c r="W39" s="1806"/>
      <c r="X39" s="1806"/>
      <c r="Y39" s="1806" t="str">
        <f t="shared" si="10"/>
        <v/>
      </c>
      <c r="Z39" s="1806" t="s">
        <v>1456</v>
      </c>
      <c r="AA39" s="1807"/>
    </row>
    <row r="40" spans="1:27" ht="25.5" customHeight="1">
      <c r="A40" s="1797"/>
      <c r="B40" s="1804"/>
      <c r="C40" s="2853" t="str">
        <f t="shared" si="1"/>
        <v>cardamome</v>
      </c>
      <c r="D40" s="2851" t="str">
        <f t="shared" si="1"/>
        <v>pm</v>
      </c>
      <c r="E40" s="2852">
        <f t="shared" si="7"/>
        <v>0</v>
      </c>
      <c r="F40" s="2852" t="str">
        <f t="shared" si="7"/>
        <v>pm</v>
      </c>
      <c r="G40" s="2852">
        <f t="shared" si="7"/>
        <v>0</v>
      </c>
      <c r="H40" s="2852">
        <f t="shared" si="7"/>
        <v>0</v>
      </c>
      <c r="I40" s="2852">
        <f t="shared" si="7"/>
        <v>0</v>
      </c>
      <c r="J40" s="2857" t="str">
        <f t="shared" si="4"/>
        <v/>
      </c>
      <c r="K40" s="1697"/>
      <c r="L40" s="1591" t="str">
        <f t="shared" si="3"/>
        <v/>
      </c>
      <c r="M40" s="1519">
        <v>25.5</v>
      </c>
      <c r="P40" s="1798"/>
      <c r="Q40" s="1799"/>
      <c r="R40" s="1805" t="s">
        <v>2172</v>
      </c>
      <c r="S40" s="1780" t="s">
        <v>214</v>
      </c>
      <c r="T40" s="1806"/>
      <c r="U40" s="1806" t="s">
        <v>214</v>
      </c>
      <c r="V40" s="1806"/>
      <c r="W40" s="1806"/>
      <c r="X40" s="1806"/>
      <c r="Y40" s="1806" t="str">
        <f t="shared" si="10"/>
        <v/>
      </c>
      <c r="Z40" s="1806" t="s">
        <v>1456</v>
      </c>
      <c r="AA40" s="1807"/>
    </row>
    <row r="41" spans="1:27" ht="25.5" customHeight="1">
      <c r="A41" s="1797"/>
      <c r="B41" s="1804"/>
      <c r="C41" s="2853" t="str">
        <f t="shared" si="1"/>
        <v>vinaigre balsamique</v>
      </c>
      <c r="D41" s="2851" t="str">
        <f t="shared" si="1"/>
        <v>L</v>
      </c>
      <c r="E41" s="2852">
        <f t="shared" si="7"/>
        <v>0</v>
      </c>
      <c r="F41" s="2852">
        <f t="shared" si="7"/>
        <v>0</v>
      </c>
      <c r="G41" s="2852">
        <f t="shared" si="7"/>
        <v>0</v>
      </c>
      <c r="H41" s="2852">
        <f t="shared" si="7"/>
        <v>0.05</v>
      </c>
      <c r="I41" s="2852">
        <f t="shared" si="7"/>
        <v>0</v>
      </c>
      <c r="J41" s="2857">
        <f t="shared" si="4"/>
        <v>0.05</v>
      </c>
      <c r="K41" s="1590">
        <v>7.12</v>
      </c>
      <c r="L41" s="1591">
        <f t="shared" si="3"/>
        <v>0.35600000000000004</v>
      </c>
      <c r="M41" s="1519">
        <v>25.5</v>
      </c>
      <c r="P41" s="1798"/>
      <c r="Q41" s="1799"/>
      <c r="R41" s="1805" t="s">
        <v>2173</v>
      </c>
      <c r="S41" s="1780" t="s">
        <v>224</v>
      </c>
      <c r="T41" s="1806"/>
      <c r="U41" s="1806"/>
      <c r="V41" s="1806"/>
      <c r="W41" s="1806">
        <v>0.1</v>
      </c>
      <c r="X41" s="1806"/>
      <c r="Y41" s="1806">
        <f t="shared" si="10"/>
        <v>0.1</v>
      </c>
      <c r="Z41" s="1806">
        <v>7.12</v>
      </c>
      <c r="AA41" s="1807">
        <f>(Z41*Y41)</f>
        <v>0.71200000000000008</v>
      </c>
    </row>
    <row r="42" spans="1:27" ht="25.5" customHeight="1">
      <c r="A42" s="1797"/>
      <c r="B42" s="1804"/>
      <c r="C42" s="2853" t="str">
        <f t="shared" si="1"/>
        <v>thym</v>
      </c>
      <c r="D42" s="2851" t="str">
        <f t="shared" si="1"/>
        <v>pm</v>
      </c>
      <c r="E42" s="2852">
        <f t="shared" si="7"/>
        <v>0</v>
      </c>
      <c r="F42" s="2852" t="str">
        <f t="shared" si="7"/>
        <v>pm</v>
      </c>
      <c r="G42" s="2852">
        <f t="shared" si="7"/>
        <v>0</v>
      </c>
      <c r="H42" s="2852">
        <f t="shared" si="7"/>
        <v>0</v>
      </c>
      <c r="I42" s="2852">
        <f t="shared" si="7"/>
        <v>0</v>
      </c>
      <c r="J42" s="2857">
        <v>0</v>
      </c>
      <c r="K42" s="1590"/>
      <c r="L42" s="1591" t="str">
        <f t="shared" si="3"/>
        <v/>
      </c>
      <c r="M42" s="1519">
        <v>25.5</v>
      </c>
      <c r="P42" s="1798"/>
      <c r="Q42" s="1799"/>
      <c r="R42" s="1805" t="s">
        <v>1706</v>
      </c>
      <c r="S42" s="1780" t="s">
        <v>214</v>
      </c>
      <c r="T42" s="1806"/>
      <c r="U42" s="1806" t="s">
        <v>214</v>
      </c>
      <c r="V42" s="1806"/>
      <c r="W42" s="1806"/>
      <c r="X42" s="1806"/>
      <c r="Y42" s="1806">
        <v>0</v>
      </c>
      <c r="Z42" s="1806"/>
      <c r="AA42" s="1807">
        <f>IF(Y42="","",(Y42*Z42))</f>
        <v>0</v>
      </c>
    </row>
    <row r="43" spans="1:27" ht="25.5" customHeight="1">
      <c r="A43" s="1797"/>
      <c r="B43" s="1804"/>
      <c r="C43" s="2853" t="str">
        <f t="shared" si="1"/>
        <v>laurier</v>
      </c>
      <c r="D43" s="2851" t="str">
        <f t="shared" si="1"/>
        <v>pm</v>
      </c>
      <c r="E43" s="2852">
        <f t="shared" si="7"/>
        <v>0</v>
      </c>
      <c r="F43" s="2852" t="str">
        <f t="shared" si="7"/>
        <v>pm</v>
      </c>
      <c r="G43" s="2852">
        <f t="shared" si="7"/>
        <v>0</v>
      </c>
      <c r="H43" s="2852">
        <f t="shared" si="7"/>
        <v>0</v>
      </c>
      <c r="I43" s="2852">
        <f t="shared" si="7"/>
        <v>0</v>
      </c>
      <c r="J43" s="2857">
        <v>0</v>
      </c>
      <c r="K43" s="1590"/>
      <c r="L43" s="1591" t="str">
        <f t="shared" si="3"/>
        <v/>
      </c>
      <c r="M43" s="1519">
        <v>25.5</v>
      </c>
      <c r="P43" s="1798"/>
      <c r="Q43" s="1799"/>
      <c r="R43" s="1805" t="s">
        <v>2174</v>
      </c>
      <c r="S43" s="1780" t="s">
        <v>214</v>
      </c>
      <c r="T43" s="1806"/>
      <c r="U43" s="1806" t="s">
        <v>214</v>
      </c>
      <c r="V43" s="1806"/>
      <c r="W43" s="1806"/>
      <c r="X43" s="1806"/>
      <c r="Y43" s="1806">
        <v>0</v>
      </c>
      <c r="Z43" s="1806"/>
      <c r="AA43" s="1807">
        <f>IF(Y43="","",(Y43*Z43))</f>
        <v>0</v>
      </c>
    </row>
    <row r="44" spans="1:27" ht="25.5" customHeight="1">
      <c r="A44" s="1797"/>
      <c r="B44" s="1804"/>
      <c r="C44" s="2853" t="str">
        <f t="shared" si="1"/>
        <v>sel fin</v>
      </c>
      <c r="D44" s="2851" t="str">
        <f t="shared" si="1"/>
        <v>pm</v>
      </c>
      <c r="E44" s="2852">
        <f t="shared" si="7"/>
        <v>0</v>
      </c>
      <c r="F44" s="2852" t="str">
        <f t="shared" si="7"/>
        <v>pm</v>
      </c>
      <c r="G44" s="2852">
        <f t="shared" si="7"/>
        <v>0</v>
      </c>
      <c r="H44" s="2852">
        <f t="shared" si="7"/>
        <v>0</v>
      </c>
      <c r="I44" s="2852">
        <f t="shared" si="7"/>
        <v>0</v>
      </c>
      <c r="J44" s="2857">
        <v>0</v>
      </c>
      <c r="K44" s="1590"/>
      <c r="L44" s="1591" t="str">
        <f t="shared" si="3"/>
        <v/>
      </c>
      <c r="M44" s="1519">
        <v>25.5</v>
      </c>
      <c r="P44" s="1798"/>
      <c r="Q44" s="1799"/>
      <c r="R44" s="1805" t="s">
        <v>213</v>
      </c>
      <c r="S44" s="1780" t="s">
        <v>214</v>
      </c>
      <c r="T44" s="1806"/>
      <c r="U44" s="1806" t="s">
        <v>214</v>
      </c>
      <c r="V44" s="1806"/>
      <c r="W44" s="1806"/>
      <c r="X44" s="1806"/>
      <c r="Y44" s="1806">
        <v>0</v>
      </c>
      <c r="Z44" s="1806"/>
      <c r="AA44" s="1807">
        <f>IF(Y44="","",(Y44*Z44))</f>
        <v>0</v>
      </c>
    </row>
    <row r="45" spans="1:27" ht="25.5" customHeight="1">
      <c r="A45" s="1797"/>
      <c r="B45" s="1804"/>
      <c r="C45" s="2853" t="str">
        <f t="shared" si="1"/>
        <v>poivre</v>
      </c>
      <c r="D45" s="2851" t="str">
        <f t="shared" si="1"/>
        <v>pm</v>
      </c>
      <c r="E45" s="2852">
        <f t="shared" si="7"/>
        <v>0</v>
      </c>
      <c r="F45" s="2852" t="str">
        <f t="shared" si="7"/>
        <v>pm</v>
      </c>
      <c r="G45" s="2852">
        <f t="shared" si="7"/>
        <v>0</v>
      </c>
      <c r="H45" s="2852">
        <f t="shared" si="7"/>
        <v>0</v>
      </c>
      <c r="I45" s="2852">
        <f t="shared" si="7"/>
        <v>0</v>
      </c>
      <c r="J45" s="2857">
        <v>0</v>
      </c>
      <c r="K45" s="1590"/>
      <c r="L45" s="1591" t="str">
        <f t="shared" si="3"/>
        <v/>
      </c>
      <c r="M45" s="1519">
        <v>25.5</v>
      </c>
      <c r="P45" s="1798"/>
      <c r="Q45" s="1799"/>
      <c r="R45" s="1805" t="s">
        <v>2077</v>
      </c>
      <c r="S45" s="1780" t="s">
        <v>214</v>
      </c>
      <c r="T45" s="1806"/>
      <c r="U45" s="1806" t="s">
        <v>214</v>
      </c>
      <c r="V45" s="1806"/>
      <c r="W45" s="1806"/>
      <c r="X45" s="1806"/>
      <c r="Y45" s="1806">
        <v>0</v>
      </c>
      <c r="Z45" s="1806"/>
      <c r="AA45" s="1807">
        <v>0</v>
      </c>
    </row>
    <row r="46" spans="1:27" ht="25.5" customHeight="1">
      <c r="A46" s="1720"/>
      <c r="B46" s="1804"/>
      <c r="C46" s="2853" t="str">
        <f t="shared" si="1"/>
        <v>glaçons</v>
      </c>
      <c r="D46" s="2851" t="str">
        <f t="shared" si="1"/>
        <v xml:space="preserve">P </v>
      </c>
      <c r="E46" s="2852">
        <f t="shared" si="7"/>
        <v>0</v>
      </c>
      <c r="F46" s="2852">
        <f t="shared" si="7"/>
        <v>0</v>
      </c>
      <c r="G46" s="2852">
        <f t="shared" si="7"/>
        <v>1.5</v>
      </c>
      <c r="H46" s="2852">
        <f t="shared" si="7"/>
        <v>0</v>
      </c>
      <c r="I46" s="2852">
        <f t="shared" si="7"/>
        <v>0</v>
      </c>
      <c r="J46" s="2857">
        <v>0</v>
      </c>
      <c r="K46" s="1590"/>
      <c r="L46" s="1591" t="str">
        <f t="shared" si="3"/>
        <v/>
      </c>
      <c r="M46" s="1519">
        <v>25.5</v>
      </c>
      <c r="P46" s="1766"/>
      <c r="Q46" s="1799"/>
      <c r="R46" s="1805" t="s">
        <v>2175</v>
      </c>
      <c r="S46" s="1780" t="s">
        <v>2176</v>
      </c>
      <c r="T46" s="1816"/>
      <c r="U46" s="1816"/>
      <c r="V46" s="1816">
        <v>3</v>
      </c>
      <c r="W46" s="1816"/>
      <c r="X46" s="1816"/>
      <c r="Y46" s="1816">
        <v>0</v>
      </c>
      <c r="Z46" s="1806"/>
      <c r="AA46" s="1817">
        <f>IF(Y46="","",(Y46*Z46))</f>
        <v>0</v>
      </c>
    </row>
    <row r="47" spans="1:27" ht="25.5" customHeight="1">
      <c r="A47" s="1614"/>
      <c r="B47" s="1690" t="s">
        <v>1480</v>
      </c>
      <c r="C47" s="1615"/>
      <c r="D47" s="1615"/>
      <c r="E47" s="1615"/>
      <c r="F47" s="1615"/>
      <c r="G47" s="1614"/>
      <c r="H47" s="1615"/>
      <c r="I47" s="1615"/>
      <c r="J47" s="1615" t="str">
        <f t="shared" ref="J47" si="11">IF(SUM(E47:I47)=0,"",SUM(E47:I47))</f>
        <v/>
      </c>
      <c r="K47" s="1615" t="s">
        <v>2411</v>
      </c>
      <c r="L47" s="1616" t="str">
        <f>IF(J47="","",(J47*K47))</f>
        <v/>
      </c>
      <c r="M47" s="1519">
        <v>25.5</v>
      </c>
      <c r="P47" s="1771"/>
      <c r="Q47" s="1818" t="s">
        <v>1456</v>
      </c>
      <c r="R47" s="1776"/>
      <c r="S47" s="1776"/>
      <c r="T47" s="1192"/>
      <c r="U47" s="1192"/>
      <c r="V47" s="1771"/>
      <c r="W47" s="1776"/>
      <c r="X47" s="1776"/>
      <c r="Y47" s="1776" t="str">
        <f t="shared" ref="Y47" si="12">IF(SUM(T47:X47)=0,"",SUM(T47:X47))</f>
        <v/>
      </c>
      <c r="Z47" s="1776" t="s">
        <v>2411</v>
      </c>
      <c r="AA47" s="1819" t="s">
        <v>2177</v>
      </c>
    </row>
    <row r="48" spans="1:27" ht="25.5" customHeight="1">
      <c r="A48" s="1681"/>
      <c r="B48" s="1618"/>
      <c r="C48" s="1619"/>
      <c r="D48" s="1618"/>
      <c r="E48" s="1619"/>
      <c r="F48" s="1619"/>
      <c r="G48" s="3522" t="s">
        <v>2288</v>
      </c>
      <c r="H48" s="3523"/>
      <c r="I48" s="1620">
        <f>L2</f>
        <v>5</v>
      </c>
      <c r="J48" s="1621"/>
      <c r="K48" s="1621"/>
      <c r="L48" s="1622">
        <f>SUM(L8:L46)</f>
        <v>10.554500000000001</v>
      </c>
      <c r="M48" s="1519">
        <v>25.5</v>
      </c>
      <c r="P48" s="1798"/>
      <c r="Q48" s="1799"/>
      <c r="R48" s="1623"/>
      <c r="S48" s="1192"/>
      <c r="T48" s="1623"/>
      <c r="U48" s="1623"/>
      <c r="V48" s="1820" t="s">
        <v>1482</v>
      </c>
      <c r="W48" s="1625"/>
      <c r="X48" s="1625"/>
      <c r="Y48" s="1625"/>
      <c r="Z48" s="1625"/>
      <c r="AA48" s="1626">
        <f>SUM(AA8:AA47)</f>
        <v>21.109000000000002</v>
      </c>
    </row>
    <row r="49" spans="1:27" ht="25.5" customHeight="1">
      <c r="A49" s="1681"/>
      <c r="B49" s="1618"/>
      <c r="C49" s="1618"/>
      <c r="D49" s="1618"/>
      <c r="E49" s="1618"/>
      <c r="F49" s="1618"/>
      <c r="G49" s="3548" t="s">
        <v>1483</v>
      </c>
      <c r="H49" s="3549"/>
      <c r="I49" s="3549"/>
      <c r="J49" s="3549"/>
      <c r="K49" s="1627">
        <v>0.02</v>
      </c>
      <c r="L49" s="1622">
        <f>L48*K49</f>
        <v>0.21109000000000003</v>
      </c>
      <c r="M49" s="1519">
        <v>25.5</v>
      </c>
      <c r="P49" s="1798"/>
      <c r="Q49" s="1799"/>
      <c r="R49" s="1192"/>
      <c r="S49" s="1192"/>
      <c r="T49" s="1192"/>
      <c r="U49" s="1192"/>
      <c r="V49" s="1821" t="s">
        <v>1483</v>
      </c>
      <c r="W49" s="1192"/>
      <c r="X49" s="1192"/>
      <c r="Y49" s="1192"/>
      <c r="Z49" s="1192"/>
      <c r="AA49" s="1693">
        <v>0.02</v>
      </c>
    </row>
    <row r="50" spans="1:27" ht="25.5" customHeight="1" thickBot="1">
      <c r="A50" s="1689"/>
      <c r="B50" s="1694"/>
      <c r="C50" s="1694"/>
      <c r="D50" s="1694"/>
      <c r="E50" s="1694"/>
      <c r="F50" s="1694"/>
      <c r="G50" s="3614" t="s">
        <v>2289</v>
      </c>
      <c r="H50" s="3615"/>
      <c r="I50" s="3615"/>
      <c r="J50" s="3615"/>
      <c r="K50" s="1630"/>
      <c r="L50" s="1631">
        <f>(L48+L49)/I48</f>
        <v>2.1531180000000001</v>
      </c>
      <c r="M50" s="1519">
        <v>25.5</v>
      </c>
      <c r="P50" s="1766"/>
      <c r="Q50" s="1822"/>
      <c r="R50" s="1823"/>
      <c r="S50" s="1823"/>
      <c r="T50" s="1823"/>
      <c r="U50" s="1823"/>
      <c r="V50" s="1824" t="s">
        <v>2027</v>
      </c>
      <c r="W50" s="1823"/>
      <c r="X50" s="1823"/>
      <c r="Y50" s="1823"/>
      <c r="Z50" s="1825"/>
      <c r="AA50" s="1826">
        <f>AA48/X2</f>
        <v>2.1109</v>
      </c>
    </row>
    <row r="51" spans="1:27">
      <c r="M51" s="1519"/>
    </row>
    <row r="52" spans="1:27">
      <c r="M52" s="1519"/>
    </row>
    <row r="53" spans="1:27">
      <c r="M53" s="1519"/>
    </row>
    <row r="54" spans="1:27">
      <c r="M54" s="1519"/>
    </row>
    <row r="55" spans="1:27">
      <c r="M55" s="1519"/>
    </row>
    <row r="56" spans="1:27">
      <c r="M56" s="1519"/>
    </row>
    <row r="57" spans="1:27">
      <c r="M57" s="1519"/>
    </row>
    <row r="58" spans="1:27">
      <c r="M58" s="1519"/>
    </row>
    <row r="59" spans="1:27">
      <c r="M59" s="1519"/>
    </row>
    <row r="60" spans="1:27">
      <c r="M60" s="1519"/>
    </row>
    <row r="61" spans="1:27">
      <c r="M61" s="1519"/>
    </row>
    <row r="62" spans="1:27">
      <c r="M62" s="1519"/>
    </row>
    <row r="63" spans="1:27">
      <c r="M63" s="1519"/>
    </row>
    <row r="64" spans="1:27">
      <c r="M64" s="1519"/>
    </row>
    <row r="65" spans="13:13">
      <c r="M65" s="1519"/>
    </row>
    <row r="66" spans="13:13">
      <c r="M66" s="1519"/>
    </row>
    <row r="67" spans="13:13">
      <c r="M67" s="1519"/>
    </row>
    <row r="68" spans="13:13">
      <c r="M68" s="1519"/>
    </row>
    <row r="69" spans="13:13">
      <c r="M69" s="1519"/>
    </row>
    <row r="70" spans="13:13">
      <c r="M70" s="1519"/>
    </row>
    <row r="71" spans="13:13">
      <c r="M71" s="1519"/>
    </row>
    <row r="72" spans="13:13">
      <c r="M72" s="1519"/>
    </row>
    <row r="73" spans="13:13">
      <c r="M73" s="1519"/>
    </row>
    <row r="74" spans="13:13">
      <c r="M74" s="1519"/>
    </row>
    <row r="75" spans="13:13">
      <c r="M75" s="1519"/>
    </row>
    <row r="76" spans="13:13">
      <c r="M76" s="1519"/>
    </row>
    <row r="77" spans="13:13">
      <c r="M77" s="1519"/>
    </row>
    <row r="78" spans="13:13">
      <c r="M78" s="1519"/>
    </row>
    <row r="79" spans="13:13">
      <c r="M79" s="1519"/>
    </row>
    <row r="80" spans="1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11">
    <mergeCell ref="P1:AA1"/>
    <mergeCell ref="G48:H48"/>
    <mergeCell ref="G49:J49"/>
    <mergeCell ref="G50:J50"/>
    <mergeCell ref="B2:G2"/>
    <mergeCell ref="Q2:V2"/>
    <mergeCell ref="B4:E4"/>
    <mergeCell ref="Q4:T4"/>
    <mergeCell ref="C5:D5"/>
    <mergeCell ref="E5:I5"/>
    <mergeCell ref="J5:L5"/>
  </mergeCells>
  <printOptions horizontalCentered="1" verticalCentered="1"/>
  <pageMargins left="0" right="0" top="0.15748031496062992" bottom="0" header="0" footer="0"/>
  <headerFooter>
    <oddHeader>&amp;L&amp;"Copperplate Gothic Light,Normal"&amp;8fiche technique &amp;C&amp;D &amp;T&amp;R2TSB</oddHeader>
    <oddFooter>&amp;L&amp;F</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28D20-1554-4D74-A3FD-6AE41CABDC38}">
  <dimension ref="A1:AA98"/>
  <sheetViews>
    <sheetView showZeros="0" zoomScaleNormal="100" workbookViewId="0">
      <selection activeCell="N13" sqref="N13"/>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4" width="11.42578125" style="1513"/>
    <col min="15" max="15" width="11.42578125" style="1281"/>
    <col min="16"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5.140625" style="1281" customWidth="1"/>
    <col min="24" max="24" width="2.28515625" style="1281" customWidth="1"/>
    <col min="25" max="25" width="6" style="1281" customWidth="1"/>
    <col min="26" max="26" width="5.42578125" style="1281" customWidth="1"/>
    <col min="27" max="27" width="5.7109375" style="1281" customWidth="1"/>
    <col min="28" max="257" width="11.42578125" style="1281"/>
    <col min="258" max="258" width="0" style="1281" hidden="1" customWidth="1"/>
    <col min="259" max="259" width="28.28515625" style="1281" customWidth="1"/>
    <col min="260" max="260" width="16.28515625" style="1281" customWidth="1"/>
    <col min="261" max="261" width="3.42578125" style="1281" customWidth="1"/>
    <col min="262" max="262" width="5.7109375" style="1281" customWidth="1"/>
    <col min="263" max="263" width="5.85546875" style="1281" customWidth="1"/>
    <col min="264" max="264" width="6.7109375" style="1281" customWidth="1"/>
    <col min="265" max="265" width="5.140625" style="1281" customWidth="1"/>
    <col min="266" max="266" width="2.28515625" style="1281" customWidth="1"/>
    <col min="267" max="267" width="6" style="1281" customWidth="1"/>
    <col min="268" max="268" width="5.42578125" style="1281" customWidth="1"/>
    <col min="269" max="269" width="5.7109375" style="1281" customWidth="1"/>
    <col min="270" max="513" width="11.42578125" style="1281"/>
    <col min="514" max="514" width="0" style="1281" hidden="1" customWidth="1"/>
    <col min="515" max="515" width="28.28515625" style="1281" customWidth="1"/>
    <col min="516" max="516" width="16.28515625" style="1281" customWidth="1"/>
    <col min="517" max="517" width="3.42578125" style="1281" customWidth="1"/>
    <col min="518" max="518" width="5.7109375" style="1281" customWidth="1"/>
    <col min="519" max="519" width="5.85546875" style="1281" customWidth="1"/>
    <col min="520" max="520" width="6.7109375" style="1281" customWidth="1"/>
    <col min="521" max="521" width="5.140625" style="1281" customWidth="1"/>
    <col min="522" max="522" width="2.28515625" style="1281" customWidth="1"/>
    <col min="523" max="523" width="6" style="1281" customWidth="1"/>
    <col min="524" max="524" width="5.42578125" style="1281" customWidth="1"/>
    <col min="525" max="525" width="5.7109375" style="1281" customWidth="1"/>
    <col min="526" max="769" width="11.42578125" style="1281"/>
    <col min="770" max="770" width="0" style="1281" hidden="1" customWidth="1"/>
    <col min="771" max="771" width="28.28515625" style="1281" customWidth="1"/>
    <col min="772" max="772" width="16.28515625" style="1281" customWidth="1"/>
    <col min="773" max="773" width="3.42578125" style="1281" customWidth="1"/>
    <col min="774" max="774" width="5.7109375" style="1281" customWidth="1"/>
    <col min="775" max="775" width="5.85546875" style="1281" customWidth="1"/>
    <col min="776" max="776" width="6.7109375" style="1281" customWidth="1"/>
    <col min="777" max="777" width="5.140625" style="1281" customWidth="1"/>
    <col min="778" max="778" width="2.28515625" style="1281" customWidth="1"/>
    <col min="779" max="779" width="6" style="1281" customWidth="1"/>
    <col min="780" max="780" width="5.42578125" style="1281" customWidth="1"/>
    <col min="781" max="781" width="5.7109375" style="1281" customWidth="1"/>
    <col min="782" max="1025" width="11.42578125" style="1281"/>
    <col min="1026" max="1026" width="0" style="1281" hidden="1" customWidth="1"/>
    <col min="1027" max="1027" width="28.28515625" style="1281" customWidth="1"/>
    <col min="1028" max="1028" width="16.28515625" style="1281" customWidth="1"/>
    <col min="1029" max="1029" width="3.42578125" style="1281" customWidth="1"/>
    <col min="1030" max="1030" width="5.7109375" style="1281" customWidth="1"/>
    <col min="1031" max="1031" width="5.85546875" style="1281" customWidth="1"/>
    <col min="1032" max="1032" width="6.7109375" style="1281" customWidth="1"/>
    <col min="1033" max="1033" width="5.140625" style="1281" customWidth="1"/>
    <col min="1034" max="1034" width="2.28515625" style="1281" customWidth="1"/>
    <col min="1035" max="1035" width="6" style="1281" customWidth="1"/>
    <col min="1036" max="1036" width="5.42578125" style="1281" customWidth="1"/>
    <col min="1037" max="1037" width="5.7109375" style="1281" customWidth="1"/>
    <col min="1038" max="1281" width="11.42578125" style="1281"/>
    <col min="1282" max="1282" width="0" style="1281" hidden="1" customWidth="1"/>
    <col min="1283" max="1283" width="28.28515625" style="1281" customWidth="1"/>
    <col min="1284" max="1284" width="16.28515625" style="1281" customWidth="1"/>
    <col min="1285" max="1285" width="3.42578125" style="1281" customWidth="1"/>
    <col min="1286" max="1286" width="5.7109375" style="1281" customWidth="1"/>
    <col min="1287" max="1287" width="5.85546875" style="1281" customWidth="1"/>
    <col min="1288" max="1288" width="6.7109375" style="1281" customWidth="1"/>
    <col min="1289" max="1289" width="5.140625" style="1281" customWidth="1"/>
    <col min="1290" max="1290" width="2.28515625" style="1281" customWidth="1"/>
    <col min="1291" max="1291" width="6" style="1281" customWidth="1"/>
    <col min="1292" max="1292" width="5.42578125" style="1281" customWidth="1"/>
    <col min="1293" max="1293" width="5.7109375" style="1281" customWidth="1"/>
    <col min="1294" max="1537" width="11.42578125" style="1281"/>
    <col min="1538" max="1538" width="0" style="1281" hidden="1" customWidth="1"/>
    <col min="1539" max="1539" width="28.28515625" style="1281" customWidth="1"/>
    <col min="1540" max="1540" width="16.28515625" style="1281" customWidth="1"/>
    <col min="1541" max="1541" width="3.42578125" style="1281" customWidth="1"/>
    <col min="1542" max="1542" width="5.7109375" style="1281" customWidth="1"/>
    <col min="1543" max="1543" width="5.85546875" style="1281" customWidth="1"/>
    <col min="1544" max="1544" width="6.7109375" style="1281" customWidth="1"/>
    <col min="1545" max="1545" width="5.140625" style="1281" customWidth="1"/>
    <col min="1546" max="1546" width="2.28515625" style="1281" customWidth="1"/>
    <col min="1547" max="1547" width="6" style="1281" customWidth="1"/>
    <col min="1548" max="1548" width="5.42578125" style="1281" customWidth="1"/>
    <col min="1549" max="1549" width="5.7109375" style="1281" customWidth="1"/>
    <col min="1550" max="1793" width="11.42578125" style="1281"/>
    <col min="1794" max="1794" width="0" style="1281" hidden="1" customWidth="1"/>
    <col min="1795" max="1795" width="28.28515625" style="1281" customWidth="1"/>
    <col min="1796" max="1796" width="16.28515625" style="1281" customWidth="1"/>
    <col min="1797" max="1797" width="3.42578125" style="1281" customWidth="1"/>
    <col min="1798" max="1798" width="5.7109375" style="1281" customWidth="1"/>
    <col min="1799" max="1799" width="5.85546875" style="1281" customWidth="1"/>
    <col min="1800" max="1800" width="6.7109375" style="1281" customWidth="1"/>
    <col min="1801" max="1801" width="5.140625" style="1281" customWidth="1"/>
    <col min="1802" max="1802" width="2.28515625" style="1281" customWidth="1"/>
    <col min="1803" max="1803" width="6" style="1281" customWidth="1"/>
    <col min="1804" max="1804" width="5.42578125" style="1281" customWidth="1"/>
    <col min="1805" max="1805" width="5.7109375" style="1281" customWidth="1"/>
    <col min="1806" max="2049" width="11.42578125" style="1281"/>
    <col min="2050" max="2050" width="0" style="1281" hidden="1" customWidth="1"/>
    <col min="2051" max="2051" width="28.28515625" style="1281" customWidth="1"/>
    <col min="2052" max="2052" width="16.28515625" style="1281" customWidth="1"/>
    <col min="2053" max="2053" width="3.42578125" style="1281" customWidth="1"/>
    <col min="2054" max="2054" width="5.7109375" style="1281" customWidth="1"/>
    <col min="2055" max="2055" width="5.85546875" style="1281" customWidth="1"/>
    <col min="2056" max="2056" width="6.7109375" style="1281" customWidth="1"/>
    <col min="2057" max="2057" width="5.140625" style="1281" customWidth="1"/>
    <col min="2058" max="2058" width="2.28515625" style="1281" customWidth="1"/>
    <col min="2059" max="2059" width="6" style="1281" customWidth="1"/>
    <col min="2060" max="2060" width="5.42578125" style="1281" customWidth="1"/>
    <col min="2061" max="2061" width="5.7109375" style="1281" customWidth="1"/>
    <col min="2062" max="2305" width="11.42578125" style="1281"/>
    <col min="2306" max="2306" width="0" style="1281" hidden="1" customWidth="1"/>
    <col min="2307" max="2307" width="28.28515625" style="1281" customWidth="1"/>
    <col min="2308" max="2308" width="16.28515625" style="1281" customWidth="1"/>
    <col min="2309" max="2309" width="3.42578125" style="1281" customWidth="1"/>
    <col min="2310" max="2310" width="5.7109375" style="1281" customWidth="1"/>
    <col min="2311" max="2311" width="5.85546875" style="1281" customWidth="1"/>
    <col min="2312" max="2312" width="6.7109375" style="1281" customWidth="1"/>
    <col min="2313" max="2313" width="5.140625" style="1281" customWidth="1"/>
    <col min="2314" max="2314" width="2.28515625" style="1281" customWidth="1"/>
    <col min="2315" max="2315" width="6" style="1281" customWidth="1"/>
    <col min="2316" max="2316" width="5.42578125" style="1281" customWidth="1"/>
    <col min="2317" max="2317" width="5.7109375" style="1281" customWidth="1"/>
    <col min="2318" max="2561" width="11.42578125" style="1281"/>
    <col min="2562" max="2562" width="0" style="1281" hidden="1" customWidth="1"/>
    <col min="2563" max="2563" width="28.28515625" style="1281" customWidth="1"/>
    <col min="2564" max="2564" width="16.28515625" style="1281" customWidth="1"/>
    <col min="2565" max="2565" width="3.42578125" style="1281" customWidth="1"/>
    <col min="2566" max="2566" width="5.7109375" style="1281" customWidth="1"/>
    <col min="2567" max="2567" width="5.85546875" style="1281" customWidth="1"/>
    <col min="2568" max="2568" width="6.7109375" style="1281" customWidth="1"/>
    <col min="2569" max="2569" width="5.140625" style="1281" customWidth="1"/>
    <col min="2570" max="2570" width="2.28515625" style="1281" customWidth="1"/>
    <col min="2571" max="2571" width="6" style="1281" customWidth="1"/>
    <col min="2572" max="2572" width="5.42578125" style="1281" customWidth="1"/>
    <col min="2573" max="2573" width="5.7109375" style="1281" customWidth="1"/>
    <col min="2574" max="2817" width="11.42578125" style="1281"/>
    <col min="2818" max="2818" width="0" style="1281" hidden="1" customWidth="1"/>
    <col min="2819" max="2819" width="28.28515625" style="1281" customWidth="1"/>
    <col min="2820" max="2820" width="16.28515625" style="1281" customWidth="1"/>
    <col min="2821" max="2821" width="3.42578125" style="1281" customWidth="1"/>
    <col min="2822" max="2822" width="5.7109375" style="1281" customWidth="1"/>
    <col min="2823" max="2823" width="5.85546875" style="1281" customWidth="1"/>
    <col min="2824" max="2824" width="6.7109375" style="1281" customWidth="1"/>
    <col min="2825" max="2825" width="5.140625" style="1281" customWidth="1"/>
    <col min="2826" max="2826" width="2.28515625" style="1281" customWidth="1"/>
    <col min="2827" max="2827" width="6" style="1281" customWidth="1"/>
    <col min="2828" max="2828" width="5.42578125" style="1281" customWidth="1"/>
    <col min="2829" max="2829" width="5.7109375" style="1281" customWidth="1"/>
    <col min="2830" max="3073" width="11.42578125" style="1281"/>
    <col min="3074" max="3074" width="0" style="1281" hidden="1" customWidth="1"/>
    <col min="3075" max="3075" width="28.28515625" style="1281" customWidth="1"/>
    <col min="3076" max="3076" width="16.28515625" style="1281" customWidth="1"/>
    <col min="3077" max="3077" width="3.42578125" style="1281" customWidth="1"/>
    <col min="3078" max="3078" width="5.7109375" style="1281" customWidth="1"/>
    <col min="3079" max="3079" width="5.85546875" style="1281" customWidth="1"/>
    <col min="3080" max="3080" width="6.7109375" style="1281" customWidth="1"/>
    <col min="3081" max="3081" width="5.140625" style="1281" customWidth="1"/>
    <col min="3082" max="3082" width="2.28515625" style="1281" customWidth="1"/>
    <col min="3083" max="3083" width="6" style="1281" customWidth="1"/>
    <col min="3084" max="3084" width="5.42578125" style="1281" customWidth="1"/>
    <col min="3085" max="3085" width="5.7109375" style="1281" customWidth="1"/>
    <col min="3086" max="3329" width="11.42578125" style="1281"/>
    <col min="3330" max="3330" width="0" style="1281" hidden="1" customWidth="1"/>
    <col min="3331" max="3331" width="28.28515625" style="1281" customWidth="1"/>
    <col min="3332" max="3332" width="16.28515625" style="1281" customWidth="1"/>
    <col min="3333" max="3333" width="3.42578125" style="1281" customWidth="1"/>
    <col min="3334" max="3334" width="5.7109375" style="1281" customWidth="1"/>
    <col min="3335" max="3335" width="5.85546875" style="1281" customWidth="1"/>
    <col min="3336" max="3336" width="6.7109375" style="1281" customWidth="1"/>
    <col min="3337" max="3337" width="5.140625" style="1281" customWidth="1"/>
    <col min="3338" max="3338" width="2.28515625" style="1281" customWidth="1"/>
    <col min="3339" max="3339" width="6" style="1281" customWidth="1"/>
    <col min="3340" max="3340" width="5.42578125" style="1281" customWidth="1"/>
    <col min="3341" max="3341" width="5.7109375" style="1281" customWidth="1"/>
    <col min="3342" max="3585" width="11.42578125" style="1281"/>
    <col min="3586" max="3586" width="0" style="1281" hidden="1" customWidth="1"/>
    <col min="3587" max="3587" width="28.28515625" style="1281" customWidth="1"/>
    <col min="3588" max="3588" width="16.28515625" style="1281" customWidth="1"/>
    <col min="3589" max="3589" width="3.42578125" style="1281" customWidth="1"/>
    <col min="3590" max="3590" width="5.7109375" style="1281" customWidth="1"/>
    <col min="3591" max="3591" width="5.85546875" style="1281" customWidth="1"/>
    <col min="3592" max="3592" width="6.7109375" style="1281" customWidth="1"/>
    <col min="3593" max="3593" width="5.140625" style="1281" customWidth="1"/>
    <col min="3594" max="3594" width="2.28515625" style="1281" customWidth="1"/>
    <col min="3595" max="3595" width="6" style="1281" customWidth="1"/>
    <col min="3596" max="3596" width="5.42578125" style="1281" customWidth="1"/>
    <col min="3597" max="3597" width="5.7109375" style="1281" customWidth="1"/>
    <col min="3598" max="3841" width="11.42578125" style="1281"/>
    <col min="3842" max="3842" width="0" style="1281" hidden="1" customWidth="1"/>
    <col min="3843" max="3843" width="28.28515625" style="1281" customWidth="1"/>
    <col min="3844" max="3844" width="16.28515625" style="1281" customWidth="1"/>
    <col min="3845" max="3845" width="3.42578125" style="1281" customWidth="1"/>
    <col min="3846" max="3846" width="5.7109375" style="1281" customWidth="1"/>
    <col min="3847" max="3847" width="5.85546875" style="1281" customWidth="1"/>
    <col min="3848" max="3848" width="6.7109375" style="1281" customWidth="1"/>
    <col min="3849" max="3849" width="5.140625" style="1281" customWidth="1"/>
    <col min="3850" max="3850" width="2.28515625" style="1281" customWidth="1"/>
    <col min="3851" max="3851" width="6" style="1281" customWidth="1"/>
    <col min="3852" max="3852" width="5.42578125" style="1281" customWidth="1"/>
    <col min="3853" max="3853" width="5.7109375" style="1281" customWidth="1"/>
    <col min="3854" max="4097" width="11.42578125" style="1281"/>
    <col min="4098" max="4098" width="0" style="1281" hidden="1" customWidth="1"/>
    <col min="4099" max="4099" width="28.28515625" style="1281" customWidth="1"/>
    <col min="4100" max="4100" width="16.28515625" style="1281" customWidth="1"/>
    <col min="4101" max="4101" width="3.42578125" style="1281" customWidth="1"/>
    <col min="4102" max="4102" width="5.7109375" style="1281" customWidth="1"/>
    <col min="4103" max="4103" width="5.85546875" style="1281" customWidth="1"/>
    <col min="4104" max="4104" width="6.7109375" style="1281" customWidth="1"/>
    <col min="4105" max="4105" width="5.140625" style="1281" customWidth="1"/>
    <col min="4106" max="4106" width="2.28515625" style="1281" customWidth="1"/>
    <col min="4107" max="4107" width="6" style="1281" customWidth="1"/>
    <col min="4108" max="4108" width="5.42578125" style="1281" customWidth="1"/>
    <col min="4109" max="4109" width="5.7109375" style="1281" customWidth="1"/>
    <col min="4110" max="4353" width="11.42578125" style="1281"/>
    <col min="4354" max="4354" width="0" style="1281" hidden="1" customWidth="1"/>
    <col min="4355" max="4355" width="28.28515625" style="1281" customWidth="1"/>
    <col min="4356" max="4356" width="16.28515625" style="1281" customWidth="1"/>
    <col min="4357" max="4357" width="3.42578125" style="1281" customWidth="1"/>
    <col min="4358" max="4358" width="5.7109375" style="1281" customWidth="1"/>
    <col min="4359" max="4359" width="5.85546875" style="1281" customWidth="1"/>
    <col min="4360" max="4360" width="6.7109375" style="1281" customWidth="1"/>
    <col min="4361" max="4361" width="5.140625" style="1281" customWidth="1"/>
    <col min="4362" max="4362" width="2.28515625" style="1281" customWidth="1"/>
    <col min="4363" max="4363" width="6" style="1281" customWidth="1"/>
    <col min="4364" max="4364" width="5.42578125" style="1281" customWidth="1"/>
    <col min="4365" max="4365" width="5.7109375" style="1281" customWidth="1"/>
    <col min="4366" max="4609" width="11.42578125" style="1281"/>
    <col min="4610" max="4610" width="0" style="1281" hidden="1" customWidth="1"/>
    <col min="4611" max="4611" width="28.28515625" style="1281" customWidth="1"/>
    <col min="4612" max="4612" width="16.28515625" style="1281" customWidth="1"/>
    <col min="4613" max="4613" width="3.42578125" style="1281" customWidth="1"/>
    <col min="4614" max="4614" width="5.7109375" style="1281" customWidth="1"/>
    <col min="4615" max="4615" width="5.85546875" style="1281" customWidth="1"/>
    <col min="4616" max="4616" width="6.7109375" style="1281" customWidth="1"/>
    <col min="4617" max="4617" width="5.140625" style="1281" customWidth="1"/>
    <col min="4618" max="4618" width="2.28515625" style="1281" customWidth="1"/>
    <col min="4619" max="4619" width="6" style="1281" customWidth="1"/>
    <col min="4620" max="4620" width="5.42578125" style="1281" customWidth="1"/>
    <col min="4621" max="4621" width="5.7109375" style="1281" customWidth="1"/>
    <col min="4622" max="4865" width="11.42578125" style="1281"/>
    <col min="4866" max="4866" width="0" style="1281" hidden="1" customWidth="1"/>
    <col min="4867" max="4867" width="28.28515625" style="1281" customWidth="1"/>
    <col min="4868" max="4868" width="16.28515625" style="1281" customWidth="1"/>
    <col min="4869" max="4869" width="3.42578125" style="1281" customWidth="1"/>
    <col min="4870" max="4870" width="5.7109375" style="1281" customWidth="1"/>
    <col min="4871" max="4871" width="5.85546875" style="1281" customWidth="1"/>
    <col min="4872" max="4872" width="6.7109375" style="1281" customWidth="1"/>
    <col min="4873" max="4873" width="5.140625" style="1281" customWidth="1"/>
    <col min="4874" max="4874" width="2.28515625" style="1281" customWidth="1"/>
    <col min="4875" max="4875" width="6" style="1281" customWidth="1"/>
    <col min="4876" max="4876" width="5.42578125" style="1281" customWidth="1"/>
    <col min="4877" max="4877" width="5.7109375" style="1281" customWidth="1"/>
    <col min="4878" max="5121" width="11.42578125" style="1281"/>
    <col min="5122" max="5122" width="0" style="1281" hidden="1" customWidth="1"/>
    <col min="5123" max="5123" width="28.28515625" style="1281" customWidth="1"/>
    <col min="5124" max="5124" width="16.28515625" style="1281" customWidth="1"/>
    <col min="5125" max="5125" width="3.42578125" style="1281" customWidth="1"/>
    <col min="5126" max="5126" width="5.7109375" style="1281" customWidth="1"/>
    <col min="5127" max="5127" width="5.85546875" style="1281" customWidth="1"/>
    <col min="5128" max="5128" width="6.7109375" style="1281" customWidth="1"/>
    <col min="5129" max="5129" width="5.140625" style="1281" customWidth="1"/>
    <col min="5130" max="5130" width="2.28515625" style="1281" customWidth="1"/>
    <col min="5131" max="5131" width="6" style="1281" customWidth="1"/>
    <col min="5132" max="5132" width="5.42578125" style="1281" customWidth="1"/>
    <col min="5133" max="5133" width="5.7109375" style="1281" customWidth="1"/>
    <col min="5134" max="5377" width="11.42578125" style="1281"/>
    <col min="5378" max="5378" width="0" style="1281" hidden="1" customWidth="1"/>
    <col min="5379" max="5379" width="28.28515625" style="1281" customWidth="1"/>
    <col min="5380" max="5380" width="16.28515625" style="1281" customWidth="1"/>
    <col min="5381" max="5381" width="3.42578125" style="1281" customWidth="1"/>
    <col min="5382" max="5382" width="5.7109375" style="1281" customWidth="1"/>
    <col min="5383" max="5383" width="5.85546875" style="1281" customWidth="1"/>
    <col min="5384" max="5384" width="6.7109375" style="1281" customWidth="1"/>
    <col min="5385" max="5385" width="5.140625" style="1281" customWidth="1"/>
    <col min="5386" max="5386" width="2.28515625" style="1281" customWidth="1"/>
    <col min="5387" max="5387" width="6" style="1281" customWidth="1"/>
    <col min="5388" max="5388" width="5.42578125" style="1281" customWidth="1"/>
    <col min="5389" max="5389" width="5.7109375" style="1281" customWidth="1"/>
    <col min="5390" max="5633" width="11.42578125" style="1281"/>
    <col min="5634" max="5634" width="0" style="1281" hidden="1" customWidth="1"/>
    <col min="5635" max="5635" width="28.28515625" style="1281" customWidth="1"/>
    <col min="5636" max="5636" width="16.28515625" style="1281" customWidth="1"/>
    <col min="5637" max="5637" width="3.42578125" style="1281" customWidth="1"/>
    <col min="5638" max="5638" width="5.7109375" style="1281" customWidth="1"/>
    <col min="5639" max="5639" width="5.85546875" style="1281" customWidth="1"/>
    <col min="5640" max="5640" width="6.7109375" style="1281" customWidth="1"/>
    <col min="5641" max="5641" width="5.140625" style="1281" customWidth="1"/>
    <col min="5642" max="5642" width="2.28515625" style="1281" customWidth="1"/>
    <col min="5643" max="5643" width="6" style="1281" customWidth="1"/>
    <col min="5644" max="5644" width="5.42578125" style="1281" customWidth="1"/>
    <col min="5645" max="5645" width="5.7109375" style="1281" customWidth="1"/>
    <col min="5646" max="5889" width="11.42578125" style="1281"/>
    <col min="5890" max="5890" width="0" style="1281" hidden="1" customWidth="1"/>
    <col min="5891" max="5891" width="28.28515625" style="1281" customWidth="1"/>
    <col min="5892" max="5892" width="16.28515625" style="1281" customWidth="1"/>
    <col min="5893" max="5893" width="3.42578125" style="1281" customWidth="1"/>
    <col min="5894" max="5894" width="5.7109375" style="1281" customWidth="1"/>
    <col min="5895" max="5895" width="5.85546875" style="1281" customWidth="1"/>
    <col min="5896" max="5896" width="6.7109375" style="1281" customWidth="1"/>
    <col min="5897" max="5897" width="5.140625" style="1281" customWidth="1"/>
    <col min="5898" max="5898" width="2.28515625" style="1281" customWidth="1"/>
    <col min="5899" max="5899" width="6" style="1281" customWidth="1"/>
    <col min="5900" max="5900" width="5.42578125" style="1281" customWidth="1"/>
    <col min="5901" max="5901" width="5.7109375" style="1281" customWidth="1"/>
    <col min="5902" max="6145" width="11.42578125" style="1281"/>
    <col min="6146" max="6146" width="0" style="1281" hidden="1" customWidth="1"/>
    <col min="6147" max="6147" width="28.28515625" style="1281" customWidth="1"/>
    <col min="6148" max="6148" width="16.28515625" style="1281" customWidth="1"/>
    <col min="6149" max="6149" width="3.42578125" style="1281" customWidth="1"/>
    <col min="6150" max="6150" width="5.7109375" style="1281" customWidth="1"/>
    <col min="6151" max="6151" width="5.85546875" style="1281" customWidth="1"/>
    <col min="6152" max="6152" width="6.7109375" style="1281" customWidth="1"/>
    <col min="6153" max="6153" width="5.140625" style="1281" customWidth="1"/>
    <col min="6154" max="6154" width="2.28515625" style="1281" customWidth="1"/>
    <col min="6155" max="6155" width="6" style="1281" customWidth="1"/>
    <col min="6156" max="6156" width="5.42578125" style="1281" customWidth="1"/>
    <col min="6157" max="6157" width="5.7109375" style="1281" customWidth="1"/>
    <col min="6158" max="6401" width="11.42578125" style="1281"/>
    <col min="6402" max="6402" width="0" style="1281" hidden="1" customWidth="1"/>
    <col min="6403" max="6403" width="28.28515625" style="1281" customWidth="1"/>
    <col min="6404" max="6404" width="16.28515625" style="1281" customWidth="1"/>
    <col min="6405" max="6405" width="3.42578125" style="1281" customWidth="1"/>
    <col min="6406" max="6406" width="5.7109375" style="1281" customWidth="1"/>
    <col min="6407" max="6407" width="5.85546875" style="1281" customWidth="1"/>
    <col min="6408" max="6408" width="6.7109375" style="1281" customWidth="1"/>
    <col min="6409" max="6409" width="5.140625" style="1281" customWidth="1"/>
    <col min="6410" max="6410" width="2.28515625" style="1281" customWidth="1"/>
    <col min="6411" max="6411" width="6" style="1281" customWidth="1"/>
    <col min="6412" max="6412" width="5.42578125" style="1281" customWidth="1"/>
    <col min="6413" max="6413" width="5.7109375" style="1281" customWidth="1"/>
    <col min="6414" max="6657" width="11.42578125" style="1281"/>
    <col min="6658" max="6658" width="0" style="1281" hidden="1" customWidth="1"/>
    <col min="6659" max="6659" width="28.28515625" style="1281" customWidth="1"/>
    <col min="6660" max="6660" width="16.28515625" style="1281" customWidth="1"/>
    <col min="6661" max="6661" width="3.42578125" style="1281" customWidth="1"/>
    <col min="6662" max="6662" width="5.7109375" style="1281" customWidth="1"/>
    <col min="6663" max="6663" width="5.85546875" style="1281" customWidth="1"/>
    <col min="6664" max="6664" width="6.7109375" style="1281" customWidth="1"/>
    <col min="6665" max="6665" width="5.140625" style="1281" customWidth="1"/>
    <col min="6666" max="6666" width="2.28515625" style="1281" customWidth="1"/>
    <col min="6667" max="6667" width="6" style="1281" customWidth="1"/>
    <col min="6668" max="6668" width="5.42578125" style="1281" customWidth="1"/>
    <col min="6669" max="6669" width="5.7109375" style="1281" customWidth="1"/>
    <col min="6670" max="6913" width="11.42578125" style="1281"/>
    <col min="6914" max="6914" width="0" style="1281" hidden="1" customWidth="1"/>
    <col min="6915" max="6915" width="28.28515625" style="1281" customWidth="1"/>
    <col min="6916" max="6916" width="16.28515625" style="1281" customWidth="1"/>
    <col min="6917" max="6917" width="3.42578125" style="1281" customWidth="1"/>
    <col min="6918" max="6918" width="5.7109375" style="1281" customWidth="1"/>
    <col min="6919" max="6919" width="5.85546875" style="1281" customWidth="1"/>
    <col min="6920" max="6920" width="6.7109375" style="1281" customWidth="1"/>
    <col min="6921" max="6921" width="5.140625" style="1281" customWidth="1"/>
    <col min="6922" max="6922" width="2.28515625" style="1281" customWidth="1"/>
    <col min="6923" max="6923" width="6" style="1281" customWidth="1"/>
    <col min="6924" max="6924" width="5.42578125" style="1281" customWidth="1"/>
    <col min="6925" max="6925" width="5.7109375" style="1281" customWidth="1"/>
    <col min="6926" max="7169" width="11.42578125" style="1281"/>
    <col min="7170" max="7170" width="0" style="1281" hidden="1" customWidth="1"/>
    <col min="7171" max="7171" width="28.28515625" style="1281" customWidth="1"/>
    <col min="7172" max="7172" width="16.28515625" style="1281" customWidth="1"/>
    <col min="7173" max="7173" width="3.42578125" style="1281" customWidth="1"/>
    <col min="7174" max="7174" width="5.7109375" style="1281" customWidth="1"/>
    <col min="7175" max="7175" width="5.85546875" style="1281" customWidth="1"/>
    <col min="7176" max="7176" width="6.7109375" style="1281" customWidth="1"/>
    <col min="7177" max="7177" width="5.140625" style="1281" customWidth="1"/>
    <col min="7178" max="7178" width="2.28515625" style="1281" customWidth="1"/>
    <col min="7179" max="7179" width="6" style="1281" customWidth="1"/>
    <col min="7180" max="7180" width="5.42578125" style="1281" customWidth="1"/>
    <col min="7181" max="7181" width="5.7109375" style="1281" customWidth="1"/>
    <col min="7182" max="7425" width="11.42578125" style="1281"/>
    <col min="7426" max="7426" width="0" style="1281" hidden="1" customWidth="1"/>
    <col min="7427" max="7427" width="28.28515625" style="1281" customWidth="1"/>
    <col min="7428" max="7428" width="16.28515625" style="1281" customWidth="1"/>
    <col min="7429" max="7429" width="3.42578125" style="1281" customWidth="1"/>
    <col min="7430" max="7430" width="5.7109375" style="1281" customWidth="1"/>
    <col min="7431" max="7431" width="5.85546875" style="1281" customWidth="1"/>
    <col min="7432" max="7432" width="6.7109375" style="1281" customWidth="1"/>
    <col min="7433" max="7433" width="5.140625" style="1281" customWidth="1"/>
    <col min="7434" max="7434" width="2.28515625" style="1281" customWidth="1"/>
    <col min="7435" max="7435" width="6" style="1281" customWidth="1"/>
    <col min="7436" max="7436" width="5.42578125" style="1281" customWidth="1"/>
    <col min="7437" max="7437" width="5.7109375" style="1281" customWidth="1"/>
    <col min="7438" max="7681" width="11.42578125" style="1281"/>
    <col min="7682" max="7682" width="0" style="1281" hidden="1" customWidth="1"/>
    <col min="7683" max="7683" width="28.28515625" style="1281" customWidth="1"/>
    <col min="7684" max="7684" width="16.28515625" style="1281" customWidth="1"/>
    <col min="7685" max="7685" width="3.42578125" style="1281" customWidth="1"/>
    <col min="7686" max="7686" width="5.7109375" style="1281" customWidth="1"/>
    <col min="7687" max="7687" width="5.85546875" style="1281" customWidth="1"/>
    <col min="7688" max="7688" width="6.7109375" style="1281" customWidth="1"/>
    <col min="7689" max="7689" width="5.140625" style="1281" customWidth="1"/>
    <col min="7690" max="7690" width="2.28515625" style="1281" customWidth="1"/>
    <col min="7691" max="7691" width="6" style="1281" customWidth="1"/>
    <col min="7692" max="7692" width="5.42578125" style="1281" customWidth="1"/>
    <col min="7693" max="7693" width="5.7109375" style="1281" customWidth="1"/>
    <col min="7694" max="7937" width="11.42578125" style="1281"/>
    <col min="7938" max="7938" width="0" style="1281" hidden="1" customWidth="1"/>
    <col min="7939" max="7939" width="28.28515625" style="1281" customWidth="1"/>
    <col min="7940" max="7940" width="16.28515625" style="1281" customWidth="1"/>
    <col min="7941" max="7941" width="3.42578125" style="1281" customWidth="1"/>
    <col min="7942" max="7942" width="5.7109375" style="1281" customWidth="1"/>
    <col min="7943" max="7943" width="5.85546875" style="1281" customWidth="1"/>
    <col min="7944" max="7944" width="6.7109375" style="1281" customWidth="1"/>
    <col min="7945" max="7945" width="5.140625" style="1281" customWidth="1"/>
    <col min="7946" max="7946" width="2.28515625" style="1281" customWidth="1"/>
    <col min="7947" max="7947" width="6" style="1281" customWidth="1"/>
    <col min="7948" max="7948" width="5.42578125" style="1281" customWidth="1"/>
    <col min="7949" max="7949" width="5.7109375" style="1281" customWidth="1"/>
    <col min="7950" max="8193" width="11.42578125" style="1281"/>
    <col min="8194" max="8194" width="0" style="1281" hidden="1" customWidth="1"/>
    <col min="8195" max="8195" width="28.28515625" style="1281" customWidth="1"/>
    <col min="8196" max="8196" width="16.28515625" style="1281" customWidth="1"/>
    <col min="8197" max="8197" width="3.42578125" style="1281" customWidth="1"/>
    <col min="8198" max="8198" width="5.7109375" style="1281" customWidth="1"/>
    <col min="8199" max="8199" width="5.85546875" style="1281" customWidth="1"/>
    <col min="8200" max="8200" width="6.7109375" style="1281" customWidth="1"/>
    <col min="8201" max="8201" width="5.140625" style="1281" customWidth="1"/>
    <col min="8202" max="8202" width="2.28515625" style="1281" customWidth="1"/>
    <col min="8203" max="8203" width="6" style="1281" customWidth="1"/>
    <col min="8204" max="8204" width="5.42578125" style="1281" customWidth="1"/>
    <col min="8205" max="8205" width="5.7109375" style="1281" customWidth="1"/>
    <col min="8206" max="8449" width="11.42578125" style="1281"/>
    <col min="8450" max="8450" width="0" style="1281" hidden="1" customWidth="1"/>
    <col min="8451" max="8451" width="28.28515625" style="1281" customWidth="1"/>
    <col min="8452" max="8452" width="16.28515625" style="1281" customWidth="1"/>
    <col min="8453" max="8453" width="3.42578125" style="1281" customWidth="1"/>
    <col min="8454" max="8454" width="5.7109375" style="1281" customWidth="1"/>
    <col min="8455" max="8455" width="5.85546875" style="1281" customWidth="1"/>
    <col min="8456" max="8456" width="6.7109375" style="1281" customWidth="1"/>
    <col min="8457" max="8457" width="5.140625" style="1281" customWidth="1"/>
    <col min="8458" max="8458" width="2.28515625" style="1281" customWidth="1"/>
    <col min="8459" max="8459" width="6" style="1281" customWidth="1"/>
    <col min="8460" max="8460" width="5.42578125" style="1281" customWidth="1"/>
    <col min="8461" max="8461" width="5.7109375" style="1281" customWidth="1"/>
    <col min="8462" max="8705" width="11.42578125" style="1281"/>
    <col min="8706" max="8706" width="0" style="1281" hidden="1" customWidth="1"/>
    <col min="8707" max="8707" width="28.28515625" style="1281" customWidth="1"/>
    <col min="8708" max="8708" width="16.28515625" style="1281" customWidth="1"/>
    <col min="8709" max="8709" width="3.42578125" style="1281" customWidth="1"/>
    <col min="8710" max="8710" width="5.7109375" style="1281" customWidth="1"/>
    <col min="8711" max="8711" width="5.85546875" style="1281" customWidth="1"/>
    <col min="8712" max="8712" width="6.7109375" style="1281" customWidth="1"/>
    <col min="8713" max="8713" width="5.140625" style="1281" customWidth="1"/>
    <col min="8714" max="8714" width="2.28515625" style="1281" customWidth="1"/>
    <col min="8715" max="8715" width="6" style="1281" customWidth="1"/>
    <col min="8716" max="8716" width="5.42578125" style="1281" customWidth="1"/>
    <col min="8717" max="8717" width="5.7109375" style="1281" customWidth="1"/>
    <col min="8718" max="8961" width="11.42578125" style="1281"/>
    <col min="8962" max="8962" width="0" style="1281" hidden="1" customWidth="1"/>
    <col min="8963" max="8963" width="28.28515625" style="1281" customWidth="1"/>
    <col min="8964" max="8964" width="16.28515625" style="1281" customWidth="1"/>
    <col min="8965" max="8965" width="3.42578125" style="1281" customWidth="1"/>
    <col min="8966" max="8966" width="5.7109375" style="1281" customWidth="1"/>
    <col min="8967" max="8967" width="5.85546875" style="1281" customWidth="1"/>
    <col min="8968" max="8968" width="6.7109375" style="1281" customWidth="1"/>
    <col min="8969" max="8969" width="5.140625" style="1281" customWidth="1"/>
    <col min="8970" max="8970" width="2.28515625" style="1281" customWidth="1"/>
    <col min="8971" max="8971" width="6" style="1281" customWidth="1"/>
    <col min="8972" max="8972" width="5.42578125" style="1281" customWidth="1"/>
    <col min="8973" max="8973" width="5.7109375" style="1281" customWidth="1"/>
    <col min="8974" max="9217" width="11.42578125" style="1281"/>
    <col min="9218" max="9218" width="0" style="1281" hidden="1" customWidth="1"/>
    <col min="9219" max="9219" width="28.28515625" style="1281" customWidth="1"/>
    <col min="9220" max="9220" width="16.28515625" style="1281" customWidth="1"/>
    <col min="9221" max="9221" width="3.42578125" style="1281" customWidth="1"/>
    <col min="9222" max="9222" width="5.7109375" style="1281" customWidth="1"/>
    <col min="9223" max="9223" width="5.85546875" style="1281" customWidth="1"/>
    <col min="9224" max="9224" width="6.7109375" style="1281" customWidth="1"/>
    <col min="9225" max="9225" width="5.140625" style="1281" customWidth="1"/>
    <col min="9226" max="9226" width="2.28515625" style="1281" customWidth="1"/>
    <col min="9227" max="9227" width="6" style="1281" customWidth="1"/>
    <col min="9228" max="9228" width="5.42578125" style="1281" customWidth="1"/>
    <col min="9229" max="9229" width="5.7109375" style="1281" customWidth="1"/>
    <col min="9230" max="9473" width="11.42578125" style="1281"/>
    <col min="9474" max="9474" width="0" style="1281" hidden="1" customWidth="1"/>
    <col min="9475" max="9475" width="28.28515625" style="1281" customWidth="1"/>
    <col min="9476" max="9476" width="16.28515625" style="1281" customWidth="1"/>
    <col min="9477" max="9477" width="3.42578125" style="1281" customWidth="1"/>
    <col min="9478" max="9478" width="5.7109375" style="1281" customWidth="1"/>
    <col min="9479" max="9479" width="5.85546875" style="1281" customWidth="1"/>
    <col min="9480" max="9480" width="6.7109375" style="1281" customWidth="1"/>
    <col min="9481" max="9481" width="5.140625" style="1281" customWidth="1"/>
    <col min="9482" max="9482" width="2.28515625" style="1281" customWidth="1"/>
    <col min="9483" max="9483" width="6" style="1281" customWidth="1"/>
    <col min="9484" max="9484" width="5.42578125" style="1281" customWidth="1"/>
    <col min="9485" max="9485" width="5.7109375" style="1281" customWidth="1"/>
    <col min="9486" max="9729" width="11.42578125" style="1281"/>
    <col min="9730" max="9730" width="0" style="1281" hidden="1" customWidth="1"/>
    <col min="9731" max="9731" width="28.28515625" style="1281" customWidth="1"/>
    <col min="9732" max="9732" width="16.28515625" style="1281" customWidth="1"/>
    <col min="9733" max="9733" width="3.42578125" style="1281" customWidth="1"/>
    <col min="9734" max="9734" width="5.7109375" style="1281" customWidth="1"/>
    <col min="9735" max="9735" width="5.85546875" style="1281" customWidth="1"/>
    <col min="9736" max="9736" width="6.7109375" style="1281" customWidth="1"/>
    <col min="9737" max="9737" width="5.140625" style="1281" customWidth="1"/>
    <col min="9738" max="9738" width="2.28515625" style="1281" customWidth="1"/>
    <col min="9739" max="9739" width="6" style="1281" customWidth="1"/>
    <col min="9740" max="9740" width="5.42578125" style="1281" customWidth="1"/>
    <col min="9741" max="9741" width="5.7109375" style="1281" customWidth="1"/>
    <col min="9742" max="9985" width="11.42578125" style="1281"/>
    <col min="9986" max="9986" width="0" style="1281" hidden="1" customWidth="1"/>
    <col min="9987" max="9987" width="28.28515625" style="1281" customWidth="1"/>
    <col min="9988" max="9988" width="16.28515625" style="1281" customWidth="1"/>
    <col min="9989" max="9989" width="3.42578125" style="1281" customWidth="1"/>
    <col min="9990" max="9990" width="5.7109375" style="1281" customWidth="1"/>
    <col min="9991" max="9991" width="5.85546875" style="1281" customWidth="1"/>
    <col min="9992" max="9992" width="6.7109375" style="1281" customWidth="1"/>
    <col min="9993" max="9993" width="5.140625" style="1281" customWidth="1"/>
    <col min="9994" max="9994" width="2.28515625" style="1281" customWidth="1"/>
    <col min="9995" max="9995" width="6" style="1281" customWidth="1"/>
    <col min="9996" max="9996" width="5.42578125" style="1281" customWidth="1"/>
    <col min="9997" max="9997" width="5.7109375" style="1281" customWidth="1"/>
    <col min="9998" max="10241" width="11.42578125" style="1281"/>
    <col min="10242" max="10242" width="0" style="1281" hidden="1" customWidth="1"/>
    <col min="10243" max="10243" width="28.28515625" style="1281" customWidth="1"/>
    <col min="10244" max="10244" width="16.28515625" style="1281" customWidth="1"/>
    <col min="10245" max="10245" width="3.42578125" style="1281" customWidth="1"/>
    <col min="10246" max="10246" width="5.7109375" style="1281" customWidth="1"/>
    <col min="10247" max="10247" width="5.85546875" style="1281" customWidth="1"/>
    <col min="10248" max="10248" width="6.7109375" style="1281" customWidth="1"/>
    <col min="10249" max="10249" width="5.140625" style="1281" customWidth="1"/>
    <col min="10250" max="10250" width="2.28515625" style="1281" customWidth="1"/>
    <col min="10251" max="10251" width="6" style="1281" customWidth="1"/>
    <col min="10252" max="10252" width="5.42578125" style="1281" customWidth="1"/>
    <col min="10253" max="10253" width="5.7109375" style="1281" customWidth="1"/>
    <col min="10254" max="10497" width="11.42578125" style="1281"/>
    <col min="10498" max="10498" width="0" style="1281" hidden="1" customWidth="1"/>
    <col min="10499" max="10499" width="28.28515625" style="1281" customWidth="1"/>
    <col min="10500" max="10500" width="16.28515625" style="1281" customWidth="1"/>
    <col min="10501" max="10501" width="3.42578125" style="1281" customWidth="1"/>
    <col min="10502" max="10502" width="5.7109375" style="1281" customWidth="1"/>
    <col min="10503" max="10503" width="5.85546875" style="1281" customWidth="1"/>
    <col min="10504" max="10504" width="6.7109375" style="1281" customWidth="1"/>
    <col min="10505" max="10505" width="5.140625" style="1281" customWidth="1"/>
    <col min="10506" max="10506" width="2.28515625" style="1281" customWidth="1"/>
    <col min="10507" max="10507" width="6" style="1281" customWidth="1"/>
    <col min="10508" max="10508" width="5.42578125" style="1281" customWidth="1"/>
    <col min="10509" max="10509" width="5.7109375" style="1281" customWidth="1"/>
    <col min="10510" max="10753" width="11.42578125" style="1281"/>
    <col min="10754" max="10754" width="0" style="1281" hidden="1" customWidth="1"/>
    <col min="10755" max="10755" width="28.28515625" style="1281" customWidth="1"/>
    <col min="10756" max="10756" width="16.28515625" style="1281" customWidth="1"/>
    <col min="10757" max="10757" width="3.42578125" style="1281" customWidth="1"/>
    <col min="10758" max="10758" width="5.7109375" style="1281" customWidth="1"/>
    <col min="10759" max="10759" width="5.85546875" style="1281" customWidth="1"/>
    <col min="10760" max="10760" width="6.7109375" style="1281" customWidth="1"/>
    <col min="10761" max="10761" width="5.140625" style="1281" customWidth="1"/>
    <col min="10762" max="10762" width="2.28515625" style="1281" customWidth="1"/>
    <col min="10763" max="10763" width="6" style="1281" customWidth="1"/>
    <col min="10764" max="10764" width="5.42578125" style="1281" customWidth="1"/>
    <col min="10765" max="10765" width="5.7109375" style="1281" customWidth="1"/>
    <col min="10766" max="11009" width="11.42578125" style="1281"/>
    <col min="11010" max="11010" width="0" style="1281" hidden="1" customWidth="1"/>
    <col min="11011" max="11011" width="28.28515625" style="1281" customWidth="1"/>
    <col min="11012" max="11012" width="16.28515625" style="1281" customWidth="1"/>
    <col min="11013" max="11013" width="3.42578125" style="1281" customWidth="1"/>
    <col min="11014" max="11014" width="5.7109375" style="1281" customWidth="1"/>
    <col min="11015" max="11015" width="5.85546875" style="1281" customWidth="1"/>
    <col min="11016" max="11016" width="6.7109375" style="1281" customWidth="1"/>
    <col min="11017" max="11017" width="5.140625" style="1281" customWidth="1"/>
    <col min="11018" max="11018" width="2.28515625" style="1281" customWidth="1"/>
    <col min="11019" max="11019" width="6" style="1281" customWidth="1"/>
    <col min="11020" max="11020" width="5.42578125" style="1281" customWidth="1"/>
    <col min="11021" max="11021" width="5.7109375" style="1281" customWidth="1"/>
    <col min="11022" max="11265" width="11.42578125" style="1281"/>
    <col min="11266" max="11266" width="0" style="1281" hidden="1" customWidth="1"/>
    <col min="11267" max="11267" width="28.28515625" style="1281" customWidth="1"/>
    <col min="11268" max="11268" width="16.28515625" style="1281" customWidth="1"/>
    <col min="11269" max="11269" width="3.42578125" style="1281" customWidth="1"/>
    <col min="11270" max="11270" width="5.7109375" style="1281" customWidth="1"/>
    <col min="11271" max="11271" width="5.85546875" style="1281" customWidth="1"/>
    <col min="11272" max="11272" width="6.7109375" style="1281" customWidth="1"/>
    <col min="11273" max="11273" width="5.140625" style="1281" customWidth="1"/>
    <col min="11274" max="11274" width="2.28515625" style="1281" customWidth="1"/>
    <col min="11275" max="11275" width="6" style="1281" customWidth="1"/>
    <col min="11276" max="11276" width="5.42578125" style="1281" customWidth="1"/>
    <col min="11277" max="11277" width="5.7109375" style="1281" customWidth="1"/>
    <col min="11278" max="11521" width="11.42578125" style="1281"/>
    <col min="11522" max="11522" width="0" style="1281" hidden="1" customWidth="1"/>
    <col min="11523" max="11523" width="28.28515625" style="1281" customWidth="1"/>
    <col min="11524" max="11524" width="16.28515625" style="1281" customWidth="1"/>
    <col min="11525" max="11525" width="3.42578125" style="1281" customWidth="1"/>
    <col min="11526" max="11526" width="5.7109375" style="1281" customWidth="1"/>
    <col min="11527" max="11527" width="5.85546875" style="1281" customWidth="1"/>
    <col min="11528" max="11528" width="6.7109375" style="1281" customWidth="1"/>
    <col min="11529" max="11529" width="5.140625" style="1281" customWidth="1"/>
    <col min="11530" max="11530" width="2.28515625" style="1281" customWidth="1"/>
    <col min="11531" max="11531" width="6" style="1281" customWidth="1"/>
    <col min="11532" max="11532" width="5.42578125" style="1281" customWidth="1"/>
    <col min="11533" max="11533" width="5.7109375" style="1281" customWidth="1"/>
    <col min="11534" max="11777" width="11.42578125" style="1281"/>
    <col min="11778" max="11778" width="0" style="1281" hidden="1" customWidth="1"/>
    <col min="11779" max="11779" width="28.28515625" style="1281" customWidth="1"/>
    <col min="11780" max="11780" width="16.28515625" style="1281" customWidth="1"/>
    <col min="11781" max="11781" width="3.42578125" style="1281" customWidth="1"/>
    <col min="11782" max="11782" width="5.7109375" style="1281" customWidth="1"/>
    <col min="11783" max="11783" width="5.85546875" style="1281" customWidth="1"/>
    <col min="11784" max="11784" width="6.7109375" style="1281" customWidth="1"/>
    <col min="11785" max="11785" width="5.140625" style="1281" customWidth="1"/>
    <col min="11786" max="11786" width="2.28515625" style="1281" customWidth="1"/>
    <col min="11787" max="11787" width="6" style="1281" customWidth="1"/>
    <col min="11788" max="11788" width="5.42578125" style="1281" customWidth="1"/>
    <col min="11789" max="11789" width="5.7109375" style="1281" customWidth="1"/>
    <col min="11790" max="12033" width="11.42578125" style="1281"/>
    <col min="12034" max="12034" width="0" style="1281" hidden="1" customWidth="1"/>
    <col min="12035" max="12035" width="28.28515625" style="1281" customWidth="1"/>
    <col min="12036" max="12036" width="16.28515625" style="1281" customWidth="1"/>
    <col min="12037" max="12037" width="3.42578125" style="1281" customWidth="1"/>
    <col min="12038" max="12038" width="5.7109375" style="1281" customWidth="1"/>
    <col min="12039" max="12039" width="5.85546875" style="1281" customWidth="1"/>
    <col min="12040" max="12040" width="6.7109375" style="1281" customWidth="1"/>
    <col min="12041" max="12041" width="5.140625" style="1281" customWidth="1"/>
    <col min="12042" max="12042" width="2.28515625" style="1281" customWidth="1"/>
    <col min="12043" max="12043" width="6" style="1281" customWidth="1"/>
    <col min="12044" max="12044" width="5.42578125" style="1281" customWidth="1"/>
    <col min="12045" max="12045" width="5.7109375" style="1281" customWidth="1"/>
    <col min="12046" max="12289" width="11.42578125" style="1281"/>
    <col min="12290" max="12290" width="0" style="1281" hidden="1" customWidth="1"/>
    <col min="12291" max="12291" width="28.28515625" style="1281" customWidth="1"/>
    <col min="12292" max="12292" width="16.28515625" style="1281" customWidth="1"/>
    <col min="12293" max="12293" width="3.42578125" style="1281" customWidth="1"/>
    <col min="12294" max="12294" width="5.7109375" style="1281" customWidth="1"/>
    <col min="12295" max="12295" width="5.85546875" style="1281" customWidth="1"/>
    <col min="12296" max="12296" width="6.7109375" style="1281" customWidth="1"/>
    <col min="12297" max="12297" width="5.140625" style="1281" customWidth="1"/>
    <col min="12298" max="12298" width="2.28515625" style="1281" customWidth="1"/>
    <col min="12299" max="12299" width="6" style="1281" customWidth="1"/>
    <col min="12300" max="12300" width="5.42578125" style="1281" customWidth="1"/>
    <col min="12301" max="12301" width="5.7109375" style="1281" customWidth="1"/>
    <col min="12302" max="12545" width="11.42578125" style="1281"/>
    <col min="12546" max="12546" width="0" style="1281" hidden="1" customWidth="1"/>
    <col min="12547" max="12547" width="28.28515625" style="1281" customWidth="1"/>
    <col min="12548" max="12548" width="16.28515625" style="1281" customWidth="1"/>
    <col min="12549" max="12549" width="3.42578125" style="1281" customWidth="1"/>
    <col min="12550" max="12550" width="5.7109375" style="1281" customWidth="1"/>
    <col min="12551" max="12551" width="5.85546875" style="1281" customWidth="1"/>
    <col min="12552" max="12552" width="6.7109375" style="1281" customWidth="1"/>
    <col min="12553" max="12553" width="5.140625" style="1281" customWidth="1"/>
    <col min="12554" max="12554" width="2.28515625" style="1281" customWidth="1"/>
    <col min="12555" max="12555" width="6" style="1281" customWidth="1"/>
    <col min="12556" max="12556" width="5.42578125" style="1281" customWidth="1"/>
    <col min="12557" max="12557" width="5.7109375" style="1281" customWidth="1"/>
    <col min="12558" max="12801" width="11.42578125" style="1281"/>
    <col min="12802" max="12802" width="0" style="1281" hidden="1" customWidth="1"/>
    <col min="12803" max="12803" width="28.28515625" style="1281" customWidth="1"/>
    <col min="12804" max="12804" width="16.28515625" style="1281" customWidth="1"/>
    <col min="12805" max="12805" width="3.42578125" style="1281" customWidth="1"/>
    <col min="12806" max="12806" width="5.7109375" style="1281" customWidth="1"/>
    <col min="12807" max="12807" width="5.85546875" style="1281" customWidth="1"/>
    <col min="12808" max="12808" width="6.7109375" style="1281" customWidth="1"/>
    <col min="12809" max="12809" width="5.140625" style="1281" customWidth="1"/>
    <col min="12810" max="12810" width="2.28515625" style="1281" customWidth="1"/>
    <col min="12811" max="12811" width="6" style="1281" customWidth="1"/>
    <col min="12812" max="12812" width="5.42578125" style="1281" customWidth="1"/>
    <col min="12813" max="12813" width="5.7109375" style="1281" customWidth="1"/>
    <col min="12814" max="13057" width="11.42578125" style="1281"/>
    <col min="13058" max="13058" width="0" style="1281" hidden="1" customWidth="1"/>
    <col min="13059" max="13059" width="28.28515625" style="1281" customWidth="1"/>
    <col min="13060" max="13060" width="16.28515625" style="1281" customWidth="1"/>
    <col min="13061" max="13061" width="3.42578125" style="1281" customWidth="1"/>
    <col min="13062" max="13062" width="5.7109375" style="1281" customWidth="1"/>
    <col min="13063" max="13063" width="5.85546875" style="1281" customWidth="1"/>
    <col min="13064" max="13064" width="6.7109375" style="1281" customWidth="1"/>
    <col min="13065" max="13065" width="5.140625" style="1281" customWidth="1"/>
    <col min="13066" max="13066" width="2.28515625" style="1281" customWidth="1"/>
    <col min="13067" max="13067" width="6" style="1281" customWidth="1"/>
    <col min="13068" max="13068" width="5.42578125" style="1281" customWidth="1"/>
    <col min="13069" max="13069" width="5.7109375" style="1281" customWidth="1"/>
    <col min="13070" max="13313" width="11.42578125" style="1281"/>
    <col min="13314" max="13314" width="0" style="1281" hidden="1" customWidth="1"/>
    <col min="13315" max="13315" width="28.28515625" style="1281" customWidth="1"/>
    <col min="13316" max="13316" width="16.28515625" style="1281" customWidth="1"/>
    <col min="13317" max="13317" width="3.42578125" style="1281" customWidth="1"/>
    <col min="13318" max="13318" width="5.7109375" style="1281" customWidth="1"/>
    <col min="13319" max="13319" width="5.85546875" style="1281" customWidth="1"/>
    <col min="13320" max="13320" width="6.7109375" style="1281" customWidth="1"/>
    <col min="13321" max="13321" width="5.140625" style="1281" customWidth="1"/>
    <col min="13322" max="13322" width="2.28515625" style="1281" customWidth="1"/>
    <col min="13323" max="13323" width="6" style="1281" customWidth="1"/>
    <col min="13324" max="13324" width="5.42578125" style="1281" customWidth="1"/>
    <col min="13325" max="13325" width="5.7109375" style="1281" customWidth="1"/>
    <col min="13326" max="13569" width="11.42578125" style="1281"/>
    <col min="13570" max="13570" width="0" style="1281" hidden="1" customWidth="1"/>
    <col min="13571" max="13571" width="28.28515625" style="1281" customWidth="1"/>
    <col min="13572" max="13572" width="16.28515625" style="1281" customWidth="1"/>
    <col min="13573" max="13573" width="3.42578125" style="1281" customWidth="1"/>
    <col min="13574" max="13574" width="5.7109375" style="1281" customWidth="1"/>
    <col min="13575" max="13575" width="5.85546875" style="1281" customWidth="1"/>
    <col min="13576" max="13576" width="6.7109375" style="1281" customWidth="1"/>
    <col min="13577" max="13577" width="5.140625" style="1281" customWidth="1"/>
    <col min="13578" max="13578" width="2.28515625" style="1281" customWidth="1"/>
    <col min="13579" max="13579" width="6" style="1281" customWidth="1"/>
    <col min="13580" max="13580" width="5.42578125" style="1281" customWidth="1"/>
    <col min="13581" max="13581" width="5.7109375" style="1281" customWidth="1"/>
    <col min="13582" max="13825" width="11.42578125" style="1281"/>
    <col min="13826" max="13826" width="0" style="1281" hidden="1" customWidth="1"/>
    <col min="13827" max="13827" width="28.28515625" style="1281" customWidth="1"/>
    <col min="13828" max="13828" width="16.28515625" style="1281" customWidth="1"/>
    <col min="13829" max="13829" width="3.42578125" style="1281" customWidth="1"/>
    <col min="13830" max="13830" width="5.7109375" style="1281" customWidth="1"/>
    <col min="13831" max="13831" width="5.85546875" style="1281" customWidth="1"/>
    <col min="13832" max="13832" width="6.7109375" style="1281" customWidth="1"/>
    <col min="13833" max="13833" width="5.140625" style="1281" customWidth="1"/>
    <col min="13834" max="13834" width="2.28515625" style="1281" customWidth="1"/>
    <col min="13835" max="13835" width="6" style="1281" customWidth="1"/>
    <col min="13836" max="13836" width="5.42578125" style="1281" customWidth="1"/>
    <col min="13837" max="13837" width="5.7109375" style="1281" customWidth="1"/>
    <col min="13838" max="14081" width="11.42578125" style="1281"/>
    <col min="14082" max="14082" width="0" style="1281" hidden="1" customWidth="1"/>
    <col min="14083" max="14083" width="28.28515625" style="1281" customWidth="1"/>
    <col min="14084" max="14084" width="16.28515625" style="1281" customWidth="1"/>
    <col min="14085" max="14085" width="3.42578125" style="1281" customWidth="1"/>
    <col min="14086" max="14086" width="5.7109375" style="1281" customWidth="1"/>
    <col min="14087" max="14087" width="5.85546875" style="1281" customWidth="1"/>
    <col min="14088" max="14088" width="6.7109375" style="1281" customWidth="1"/>
    <col min="14089" max="14089" width="5.140625" style="1281" customWidth="1"/>
    <col min="14090" max="14090" width="2.28515625" style="1281" customWidth="1"/>
    <col min="14091" max="14091" width="6" style="1281" customWidth="1"/>
    <col min="14092" max="14092" width="5.42578125" style="1281" customWidth="1"/>
    <col min="14093" max="14093" width="5.7109375" style="1281" customWidth="1"/>
    <col min="14094" max="14337" width="11.42578125" style="1281"/>
    <col min="14338" max="14338" width="0" style="1281" hidden="1" customWidth="1"/>
    <col min="14339" max="14339" width="28.28515625" style="1281" customWidth="1"/>
    <col min="14340" max="14340" width="16.28515625" style="1281" customWidth="1"/>
    <col min="14341" max="14341" width="3.42578125" style="1281" customWidth="1"/>
    <col min="14342" max="14342" width="5.7109375" style="1281" customWidth="1"/>
    <col min="14343" max="14343" width="5.85546875" style="1281" customWidth="1"/>
    <col min="14344" max="14344" width="6.7109375" style="1281" customWidth="1"/>
    <col min="14345" max="14345" width="5.140625" style="1281" customWidth="1"/>
    <col min="14346" max="14346" width="2.28515625" style="1281" customWidth="1"/>
    <col min="14347" max="14347" width="6" style="1281" customWidth="1"/>
    <col min="14348" max="14348" width="5.42578125" style="1281" customWidth="1"/>
    <col min="14349" max="14349" width="5.7109375" style="1281" customWidth="1"/>
    <col min="14350" max="14593" width="11.42578125" style="1281"/>
    <col min="14594" max="14594" width="0" style="1281" hidden="1" customWidth="1"/>
    <col min="14595" max="14595" width="28.28515625" style="1281" customWidth="1"/>
    <col min="14596" max="14596" width="16.28515625" style="1281" customWidth="1"/>
    <col min="14597" max="14597" width="3.42578125" style="1281" customWidth="1"/>
    <col min="14598" max="14598" width="5.7109375" style="1281" customWidth="1"/>
    <col min="14599" max="14599" width="5.85546875" style="1281" customWidth="1"/>
    <col min="14600" max="14600" width="6.7109375" style="1281" customWidth="1"/>
    <col min="14601" max="14601" width="5.140625" style="1281" customWidth="1"/>
    <col min="14602" max="14602" width="2.28515625" style="1281" customWidth="1"/>
    <col min="14603" max="14603" width="6" style="1281" customWidth="1"/>
    <col min="14604" max="14604" width="5.42578125" style="1281" customWidth="1"/>
    <col min="14605" max="14605" width="5.7109375" style="1281" customWidth="1"/>
    <col min="14606" max="14849" width="11.42578125" style="1281"/>
    <col min="14850" max="14850" width="0" style="1281" hidden="1" customWidth="1"/>
    <col min="14851" max="14851" width="28.28515625" style="1281" customWidth="1"/>
    <col min="14852" max="14852" width="16.28515625" style="1281" customWidth="1"/>
    <col min="14853" max="14853" width="3.42578125" style="1281" customWidth="1"/>
    <col min="14854" max="14854" width="5.7109375" style="1281" customWidth="1"/>
    <col min="14855" max="14855" width="5.85546875" style="1281" customWidth="1"/>
    <col min="14856" max="14856" width="6.7109375" style="1281" customWidth="1"/>
    <col min="14857" max="14857" width="5.140625" style="1281" customWidth="1"/>
    <col min="14858" max="14858" width="2.28515625" style="1281" customWidth="1"/>
    <col min="14859" max="14859" width="6" style="1281" customWidth="1"/>
    <col min="14860" max="14860" width="5.42578125" style="1281" customWidth="1"/>
    <col min="14861" max="14861" width="5.7109375" style="1281" customWidth="1"/>
    <col min="14862" max="15105" width="11.42578125" style="1281"/>
    <col min="15106" max="15106" width="0" style="1281" hidden="1" customWidth="1"/>
    <col min="15107" max="15107" width="28.28515625" style="1281" customWidth="1"/>
    <col min="15108" max="15108" width="16.28515625" style="1281" customWidth="1"/>
    <col min="15109" max="15109" width="3.42578125" style="1281" customWidth="1"/>
    <col min="15110" max="15110" width="5.7109375" style="1281" customWidth="1"/>
    <col min="15111" max="15111" width="5.85546875" style="1281" customWidth="1"/>
    <col min="15112" max="15112" width="6.7109375" style="1281" customWidth="1"/>
    <col min="15113" max="15113" width="5.140625" style="1281" customWidth="1"/>
    <col min="15114" max="15114" width="2.28515625" style="1281" customWidth="1"/>
    <col min="15115" max="15115" width="6" style="1281" customWidth="1"/>
    <col min="15116" max="15116" width="5.42578125" style="1281" customWidth="1"/>
    <col min="15117" max="15117" width="5.7109375" style="1281" customWidth="1"/>
    <col min="15118" max="15361" width="11.42578125" style="1281"/>
    <col min="15362" max="15362" width="0" style="1281" hidden="1" customWidth="1"/>
    <col min="15363" max="15363" width="28.28515625" style="1281" customWidth="1"/>
    <col min="15364" max="15364" width="16.28515625" style="1281" customWidth="1"/>
    <col min="15365" max="15365" width="3.42578125" style="1281" customWidth="1"/>
    <col min="15366" max="15366" width="5.7109375" style="1281" customWidth="1"/>
    <col min="15367" max="15367" width="5.85546875" style="1281" customWidth="1"/>
    <col min="15368" max="15368" width="6.7109375" style="1281" customWidth="1"/>
    <col min="15369" max="15369" width="5.140625" style="1281" customWidth="1"/>
    <col min="15370" max="15370" width="2.28515625" style="1281" customWidth="1"/>
    <col min="15371" max="15371" width="6" style="1281" customWidth="1"/>
    <col min="15372" max="15372" width="5.42578125" style="1281" customWidth="1"/>
    <col min="15373" max="15373" width="5.7109375" style="1281" customWidth="1"/>
    <col min="15374" max="15617" width="11.42578125" style="1281"/>
    <col min="15618" max="15618" width="0" style="1281" hidden="1" customWidth="1"/>
    <col min="15619" max="15619" width="28.28515625" style="1281" customWidth="1"/>
    <col min="15620" max="15620" width="16.28515625" style="1281" customWidth="1"/>
    <col min="15621" max="15621" width="3.42578125" style="1281" customWidth="1"/>
    <col min="15622" max="15622" width="5.7109375" style="1281" customWidth="1"/>
    <col min="15623" max="15623" width="5.85546875" style="1281" customWidth="1"/>
    <col min="15624" max="15624" width="6.7109375" style="1281" customWidth="1"/>
    <col min="15625" max="15625" width="5.140625" style="1281" customWidth="1"/>
    <col min="15626" max="15626" width="2.28515625" style="1281" customWidth="1"/>
    <col min="15627" max="15627" width="6" style="1281" customWidth="1"/>
    <col min="15628" max="15628" width="5.42578125" style="1281" customWidth="1"/>
    <col min="15629" max="15629" width="5.7109375" style="1281" customWidth="1"/>
    <col min="15630" max="15873" width="11.42578125" style="1281"/>
    <col min="15874" max="15874" width="0" style="1281" hidden="1" customWidth="1"/>
    <col min="15875" max="15875" width="28.28515625" style="1281" customWidth="1"/>
    <col min="15876" max="15876" width="16.28515625" style="1281" customWidth="1"/>
    <col min="15877" max="15877" width="3.42578125" style="1281" customWidth="1"/>
    <col min="15878" max="15878" width="5.7109375" style="1281" customWidth="1"/>
    <col min="15879" max="15879" width="5.85546875" style="1281" customWidth="1"/>
    <col min="15880" max="15880" width="6.7109375" style="1281" customWidth="1"/>
    <col min="15881" max="15881" width="5.140625" style="1281" customWidth="1"/>
    <col min="15882" max="15882" width="2.28515625" style="1281" customWidth="1"/>
    <col min="15883" max="15883" width="6" style="1281" customWidth="1"/>
    <col min="15884" max="15884" width="5.42578125" style="1281" customWidth="1"/>
    <col min="15885" max="15885" width="5.7109375" style="1281" customWidth="1"/>
    <col min="15886" max="16129" width="11.42578125" style="1281"/>
    <col min="16130" max="16130" width="0" style="1281" hidden="1" customWidth="1"/>
    <col min="16131" max="16131" width="28.28515625" style="1281" customWidth="1"/>
    <col min="16132" max="16132" width="16.28515625" style="1281" customWidth="1"/>
    <col min="16133" max="16133" width="3.42578125" style="1281" customWidth="1"/>
    <col min="16134" max="16134" width="5.7109375" style="1281" customWidth="1"/>
    <col min="16135" max="16135" width="5.85546875" style="1281" customWidth="1"/>
    <col min="16136" max="16136" width="6.7109375" style="1281" customWidth="1"/>
    <col min="16137" max="16137" width="5.140625" style="1281" customWidth="1"/>
    <col min="16138" max="16138" width="2.28515625" style="1281" customWidth="1"/>
    <col min="16139" max="16139" width="6" style="1281" customWidth="1"/>
    <col min="16140" max="16140" width="5.42578125" style="1281" customWidth="1"/>
    <col min="16141" max="16141" width="5.7109375" style="1281" customWidth="1"/>
    <col min="16142"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2028</v>
      </c>
      <c r="C2" s="3629"/>
      <c r="D2" s="3629"/>
      <c r="E2" s="3629"/>
      <c r="F2" s="3629"/>
      <c r="G2" s="3629"/>
      <c r="H2" s="2844" t="s">
        <v>1444</v>
      </c>
      <c r="I2" s="2845">
        <f>X2</f>
        <v>10</v>
      </c>
      <c r="J2" s="2841"/>
      <c r="K2" s="2843" t="s">
        <v>2873</v>
      </c>
      <c r="L2" s="2842">
        <v>5</v>
      </c>
      <c r="M2" s="1675">
        <v>42.75</v>
      </c>
      <c r="N2" s="1675"/>
      <c r="P2" s="1520"/>
      <c r="Q2" s="3630" t="s">
        <v>2028</v>
      </c>
      <c r="R2" s="3631"/>
      <c r="S2" s="3631"/>
      <c r="T2" s="3631"/>
      <c r="U2" s="3631"/>
      <c r="V2" s="3632"/>
      <c r="W2" s="1521" t="s">
        <v>1444</v>
      </c>
      <c r="X2" s="1522">
        <v>10</v>
      </c>
      <c r="Y2" s="1523"/>
      <c r="Z2" s="1523"/>
      <c r="AA2" s="1524"/>
    </row>
    <row r="3" spans="1:27" ht="24.75" customHeight="1">
      <c r="A3" s="1533"/>
      <c r="B3" s="1526" t="s">
        <v>1391</v>
      </c>
      <c r="C3" s="1527"/>
      <c r="D3" s="1527"/>
      <c r="E3" s="1528"/>
      <c r="F3" s="1529" t="s">
        <v>1445</v>
      </c>
      <c r="G3" s="1530"/>
      <c r="H3" s="1531"/>
      <c r="I3" s="1531"/>
      <c r="J3" s="1530"/>
      <c r="K3" s="1530"/>
      <c r="L3" s="1532"/>
      <c r="M3" s="1675">
        <v>25.5</v>
      </c>
      <c r="N3" s="1675"/>
      <c r="P3" s="1533"/>
      <c r="Q3" s="1534" t="s">
        <v>1391</v>
      </c>
      <c r="R3" s="1527"/>
      <c r="S3" s="1527"/>
      <c r="T3" s="1528"/>
      <c r="U3" s="1535" t="s">
        <v>1445</v>
      </c>
      <c r="V3" s="1536"/>
      <c r="W3" s="1192"/>
      <c r="X3" s="1192"/>
      <c r="Y3" s="1536"/>
      <c r="Z3" s="1536"/>
      <c r="AA3" s="1537"/>
    </row>
    <row r="4" spans="1:27" ht="88.7" customHeight="1">
      <c r="A4" s="1539"/>
      <c r="B4" s="3633"/>
      <c r="C4" s="3633"/>
      <c r="D4" s="3633"/>
      <c r="E4" s="3634"/>
      <c r="F4" s="1539"/>
      <c r="G4" s="1540"/>
      <c r="H4" s="1540"/>
      <c r="I4" s="1540"/>
      <c r="J4" s="1531"/>
      <c r="K4" s="1531"/>
      <c r="L4" s="1532"/>
      <c r="M4" s="1675">
        <v>112.5</v>
      </c>
      <c r="N4" s="1675"/>
      <c r="P4" s="1520"/>
      <c r="Q4" s="3635"/>
      <c r="R4" s="3633"/>
      <c r="S4" s="3633"/>
      <c r="T4" s="3634"/>
      <c r="U4" s="1520"/>
      <c r="V4" s="1426"/>
      <c r="W4" s="1426"/>
      <c r="X4" s="1426"/>
      <c r="Y4" s="1192"/>
      <c r="Z4" s="1192"/>
      <c r="AA4" s="1537"/>
    </row>
    <row r="5" spans="1:27" ht="63.75" customHeight="1">
      <c r="A5" s="1667"/>
      <c r="B5" s="1676" t="s">
        <v>151</v>
      </c>
      <c r="C5" s="1677" t="s">
        <v>1446</v>
      </c>
      <c r="D5" s="1544"/>
      <c r="E5" s="1545" t="s">
        <v>1447</v>
      </c>
      <c r="F5" s="1546"/>
      <c r="G5" s="1546"/>
      <c r="H5" s="1546"/>
      <c r="I5" s="1547"/>
      <c r="J5" s="1543" t="s">
        <v>1448</v>
      </c>
      <c r="K5" s="1548"/>
      <c r="L5" s="1549"/>
      <c r="M5" s="1675">
        <v>63.75</v>
      </c>
      <c r="N5" s="1675"/>
      <c r="O5" s="1192"/>
      <c r="P5" s="1550"/>
      <c r="Q5" s="1551" t="s">
        <v>151</v>
      </c>
      <c r="R5" s="1552" t="s">
        <v>1446</v>
      </c>
      <c r="S5" s="1553"/>
      <c r="T5" s="1554" t="s">
        <v>1447</v>
      </c>
      <c r="U5" s="1555"/>
      <c r="V5" s="1555"/>
      <c r="W5" s="1555"/>
      <c r="X5" s="1556"/>
      <c r="Y5" s="1552" t="s">
        <v>1448</v>
      </c>
      <c r="Z5" s="1557"/>
      <c r="AA5" s="1558"/>
    </row>
    <row r="6" spans="1:27" ht="57.75" customHeight="1">
      <c r="A6" s="1614"/>
      <c r="B6" s="1679"/>
      <c r="C6" s="1560" t="str">
        <f t="shared" ref="C6:I21" si="0">R6</f>
        <v>NATURE</v>
      </c>
      <c r="D6" s="1561" t="str">
        <f t="shared" si="0"/>
        <v>unite</v>
      </c>
      <c r="E6" s="1561" t="str">
        <f t="shared" si="0"/>
        <v>bouchée de foie gras+ morilles</v>
      </c>
      <c r="F6" s="1561" t="str">
        <f t="shared" si="0"/>
        <v>gelée tiède pineau</v>
      </c>
      <c r="G6" s="1561" t="str">
        <f t="shared" si="0"/>
        <v>émulsion truffe</v>
      </c>
      <c r="H6" s="1561" t="str">
        <f t="shared" si="0"/>
        <v>croustillant de poireau</v>
      </c>
      <c r="I6" s="1562">
        <f t="shared" si="0"/>
        <v>0</v>
      </c>
      <c r="J6" s="1563" t="s">
        <v>110</v>
      </c>
      <c r="K6" s="1564" t="s">
        <v>117</v>
      </c>
      <c r="L6" s="1565" t="s">
        <v>118</v>
      </c>
      <c r="M6" s="1675">
        <v>57.75</v>
      </c>
      <c r="N6" s="1675"/>
      <c r="P6" s="1533"/>
      <c r="Q6" s="1566"/>
      <c r="R6" s="1567" t="s">
        <v>1449</v>
      </c>
      <c r="S6" s="1568" t="s">
        <v>1450</v>
      </c>
      <c r="T6" s="1569" t="s">
        <v>2029</v>
      </c>
      <c r="U6" s="1569" t="s">
        <v>2030</v>
      </c>
      <c r="V6" s="1569" t="s">
        <v>2031</v>
      </c>
      <c r="W6" s="1570" t="s">
        <v>2032</v>
      </c>
      <c r="X6" s="1571"/>
      <c r="Y6" s="1572" t="s">
        <v>110</v>
      </c>
      <c r="Z6" s="1572" t="s">
        <v>117</v>
      </c>
      <c r="AA6" s="1573" t="s">
        <v>118</v>
      </c>
    </row>
    <row r="7" spans="1:27" ht="25.5" customHeight="1">
      <c r="A7" s="1681"/>
      <c r="B7" s="1682"/>
      <c r="C7" s="1576" t="str">
        <f t="shared" si="0"/>
        <v>Viandes/Poissons</v>
      </c>
      <c r="D7" s="2855" t="str">
        <f t="shared" si="0"/>
        <v xml:space="preserve"> </v>
      </c>
      <c r="E7" s="2855">
        <f t="shared" ref="E7:I22" si="1">IF(ISTEXT(T7),T7,(T7/$I$2)*$L$2)</f>
        <v>0</v>
      </c>
      <c r="F7" s="2855">
        <f t="shared" si="1"/>
        <v>0</v>
      </c>
      <c r="G7" s="2855">
        <f t="shared" si="1"/>
        <v>0</v>
      </c>
      <c r="H7" s="2855">
        <f t="shared" si="1"/>
        <v>0</v>
      </c>
      <c r="I7" s="2867">
        <f t="shared" si="1"/>
        <v>0</v>
      </c>
      <c r="J7" s="1674"/>
      <c r="K7" s="1579"/>
      <c r="L7" s="1580"/>
      <c r="M7" s="1519">
        <v>25.5</v>
      </c>
      <c r="N7" s="1519"/>
      <c r="P7" s="1581"/>
      <c r="Q7" s="1582"/>
      <c r="R7" s="1583" t="s">
        <v>120</v>
      </c>
      <c r="S7" s="1584" t="s">
        <v>1456</v>
      </c>
      <c r="T7" s="1585"/>
      <c r="U7" s="1585"/>
      <c r="V7" s="1585"/>
      <c r="W7" s="1585"/>
      <c r="X7" s="1585"/>
      <c r="Y7" s="1585"/>
      <c r="Z7" s="1585"/>
      <c r="AA7" s="1586">
        <f t="shared" ref="AA7" si="2">IF(ISBLANK(Z7),0,Z7*Y7)</f>
        <v>0</v>
      </c>
    </row>
    <row r="8" spans="1:27" ht="25.5" customHeight="1">
      <c r="A8" s="1681"/>
      <c r="B8" s="1682"/>
      <c r="C8" s="2853" t="str">
        <f t="shared" si="0"/>
        <v>foie gras frais</v>
      </c>
      <c r="D8" s="2851" t="str">
        <f t="shared" si="0"/>
        <v>kg</v>
      </c>
      <c r="E8" s="2852">
        <f t="shared" si="1"/>
        <v>0.15</v>
      </c>
      <c r="F8" s="2852" t="str">
        <f t="shared" si="1"/>
        <v xml:space="preserve"> </v>
      </c>
      <c r="G8" s="2852">
        <f t="shared" si="1"/>
        <v>0</v>
      </c>
      <c r="H8" s="2852">
        <f t="shared" si="1"/>
        <v>0</v>
      </c>
      <c r="I8" s="2852">
        <f t="shared" si="1"/>
        <v>0</v>
      </c>
      <c r="J8" s="2857">
        <v>0.3</v>
      </c>
      <c r="K8" s="1590">
        <v>26.75</v>
      </c>
      <c r="L8" s="1591">
        <f>IF(ISBLANK(K8),"",K8*J8)</f>
        <v>8.0250000000000004</v>
      </c>
      <c r="M8" s="1519">
        <v>25.5</v>
      </c>
      <c r="N8" s="1519"/>
      <c r="P8" s="1581"/>
      <c r="Q8" s="1582"/>
      <c r="R8" s="1592" t="s">
        <v>2033</v>
      </c>
      <c r="S8" s="1550" t="s">
        <v>166</v>
      </c>
      <c r="T8" s="1592">
        <v>0.3</v>
      </c>
      <c r="U8" s="1592" t="s">
        <v>1456</v>
      </c>
      <c r="V8" s="1592"/>
      <c r="W8" s="1592"/>
      <c r="X8" s="1592"/>
      <c r="Y8" s="1592">
        <f>IF(SUM(T8:X8)=0,"",SUM(T8:X8))</f>
        <v>0.3</v>
      </c>
      <c r="Z8" s="1592">
        <v>26.75</v>
      </c>
      <c r="AA8" s="1593">
        <f>IF(ISBLANK(Z8),0,Z8*Y8)</f>
        <v>8.0250000000000004</v>
      </c>
    </row>
    <row r="9" spans="1:27" ht="25.5" customHeight="1">
      <c r="A9" s="1681"/>
      <c r="B9" s="1682"/>
      <c r="C9" s="2853" t="str">
        <f t="shared" si="0"/>
        <v xml:space="preserve"> </v>
      </c>
      <c r="D9" s="2851">
        <f t="shared" si="0"/>
        <v>0</v>
      </c>
      <c r="E9" s="2852">
        <f t="shared" si="1"/>
        <v>0</v>
      </c>
      <c r="F9" s="2852" t="str">
        <f t="shared" si="1"/>
        <v xml:space="preserve"> </v>
      </c>
      <c r="G9" s="2852">
        <f t="shared" si="1"/>
        <v>0</v>
      </c>
      <c r="H9" s="2852">
        <f t="shared" si="1"/>
        <v>0</v>
      </c>
      <c r="I9" s="2852">
        <f t="shared" si="1"/>
        <v>0</v>
      </c>
      <c r="J9" s="2857" t="str">
        <f t="shared" ref="J9:J47" si="3">IF(SUM(E9:I9)=0,"",SUM(E9:I9))</f>
        <v/>
      </c>
      <c r="K9" s="1590"/>
      <c r="L9" s="1591" t="str">
        <f>IF(ISBLANK(K9),"",K9*J9)</f>
        <v/>
      </c>
      <c r="M9" s="1519">
        <v>25.5</v>
      </c>
      <c r="N9" s="1519"/>
      <c r="P9" s="1581"/>
      <c r="Q9" s="1582"/>
      <c r="R9" s="1592" t="s">
        <v>1456</v>
      </c>
      <c r="S9" s="1550"/>
      <c r="T9" s="1592"/>
      <c r="U9" s="1592" t="s">
        <v>1456</v>
      </c>
      <c r="V9" s="1592"/>
      <c r="W9" s="1592"/>
      <c r="X9" s="1592"/>
      <c r="Y9" s="1592" t="str">
        <f t="shared" ref="Y9" si="4">IF(SUM(T9:X9)=0,"",SUM(T9:X9))</f>
        <v/>
      </c>
      <c r="Z9" s="1592"/>
      <c r="AA9" s="1593">
        <f t="shared" ref="AA9:AA46" si="5">IF(ISBLANK(Z9),0,Z9*Y9)</f>
        <v>0</v>
      </c>
    </row>
    <row r="10" spans="1:27" ht="25.5" customHeight="1">
      <c r="A10" s="1681"/>
      <c r="B10" s="1682"/>
      <c r="C10" s="2853" t="str">
        <f t="shared" si="0"/>
        <v xml:space="preserve"> </v>
      </c>
      <c r="D10" s="2851">
        <f t="shared" si="0"/>
        <v>0</v>
      </c>
      <c r="E10" s="2852">
        <f t="shared" si="1"/>
        <v>0</v>
      </c>
      <c r="F10" s="2852" t="str">
        <f t="shared" si="1"/>
        <v xml:space="preserve"> </v>
      </c>
      <c r="G10" s="2852">
        <f t="shared" si="1"/>
        <v>0</v>
      </c>
      <c r="H10" s="2852">
        <f t="shared" si="1"/>
        <v>0</v>
      </c>
      <c r="I10" s="2852">
        <f t="shared" si="1"/>
        <v>0</v>
      </c>
      <c r="J10" s="2857" t="str">
        <f>IF(SUM(E10:I10)=0,"",SUM(E10:I10))</f>
        <v/>
      </c>
      <c r="K10" s="1590"/>
      <c r="L10" s="1591" t="str">
        <f>IF(ISBLANK(K10),"",K10*J10)</f>
        <v/>
      </c>
      <c r="M10" s="1519">
        <v>25.5</v>
      </c>
      <c r="N10" s="1519"/>
      <c r="P10" s="1581"/>
      <c r="Q10" s="1582"/>
      <c r="R10" s="1592" t="s">
        <v>1456</v>
      </c>
      <c r="S10" s="1550"/>
      <c r="T10" s="1592"/>
      <c r="U10" s="1592" t="s">
        <v>1456</v>
      </c>
      <c r="V10" s="1592"/>
      <c r="W10" s="1592"/>
      <c r="X10" s="1592"/>
      <c r="Y10" s="1592" t="str">
        <f>IF(SUM(T10:X10)=0,"",SUM(T10:X10))</f>
        <v/>
      </c>
      <c r="Z10" s="1592"/>
      <c r="AA10" s="1593">
        <f t="shared" si="5"/>
        <v>0</v>
      </c>
    </row>
    <row r="11" spans="1:27" ht="25.5" customHeight="1">
      <c r="A11" s="1681"/>
      <c r="B11" s="1682"/>
      <c r="C11" s="2853" t="str">
        <f t="shared" si="0"/>
        <v xml:space="preserve"> </v>
      </c>
      <c r="D11" s="2851">
        <f t="shared" si="0"/>
        <v>0</v>
      </c>
      <c r="E11" s="2852">
        <f t="shared" si="1"/>
        <v>0</v>
      </c>
      <c r="F11" s="2852" t="str">
        <f t="shared" si="1"/>
        <v xml:space="preserve"> </v>
      </c>
      <c r="G11" s="2852">
        <f t="shared" si="1"/>
        <v>0</v>
      </c>
      <c r="H11" s="2852">
        <f t="shared" si="1"/>
        <v>0</v>
      </c>
      <c r="I11" s="2852">
        <f t="shared" si="1"/>
        <v>0</v>
      </c>
      <c r="J11" s="2857" t="str">
        <f t="shared" si="3"/>
        <v/>
      </c>
      <c r="K11" s="1590"/>
      <c r="L11" s="1591" t="str">
        <f>IF(ISBLANK(K11),"",K11*J11)</f>
        <v/>
      </c>
      <c r="M11" s="1519">
        <v>25.5</v>
      </c>
      <c r="N11" s="1519"/>
      <c r="P11" s="1581"/>
      <c r="Q11" s="1582"/>
      <c r="R11" s="1594" t="s">
        <v>1456</v>
      </c>
      <c r="S11" s="1550"/>
      <c r="T11" s="1592"/>
      <c r="U11" s="1592" t="s">
        <v>1456</v>
      </c>
      <c r="V11" s="1592"/>
      <c r="W11" s="1592"/>
      <c r="X11" s="1592"/>
      <c r="Y11" s="1592" t="str">
        <f t="shared" ref="Y11:Y24" si="6">IF(SUM(T11:X11)=0,"",SUM(T11:X11))</f>
        <v/>
      </c>
      <c r="Z11" s="1592"/>
      <c r="AA11" s="1593">
        <f t="shared" si="5"/>
        <v>0</v>
      </c>
    </row>
    <row r="12" spans="1:27" ht="25.5" customHeight="1">
      <c r="A12" s="1681"/>
      <c r="B12" s="1682"/>
      <c r="C12" s="1576" t="str">
        <f t="shared" si="0"/>
        <v>LEGUMERIE</v>
      </c>
      <c r="D12" s="2855" t="str">
        <f t="shared" si="0"/>
        <v xml:space="preserve"> </v>
      </c>
      <c r="E12" s="2855">
        <f t="shared" si="1"/>
        <v>0</v>
      </c>
      <c r="F12" s="2855" t="str">
        <f t="shared" si="1"/>
        <v xml:space="preserve"> </v>
      </c>
      <c r="G12" s="2855">
        <f t="shared" si="1"/>
        <v>0</v>
      </c>
      <c r="H12" s="2855">
        <f t="shared" si="1"/>
        <v>0</v>
      </c>
      <c r="I12" s="2867">
        <f t="shared" si="1"/>
        <v>0</v>
      </c>
      <c r="J12" s="1674" t="str">
        <f t="shared" si="3"/>
        <v/>
      </c>
      <c r="K12" s="1579"/>
      <c r="L12" s="1580" t="str">
        <f t="shared" ref="L12" si="7">IF(J12="","",(J12*K12))</f>
        <v/>
      </c>
      <c r="M12" s="1519">
        <v>25.5</v>
      </c>
      <c r="N12" s="1519"/>
      <c r="P12" s="1581"/>
      <c r="Q12" s="1582"/>
      <c r="R12" s="1598" t="s">
        <v>1460</v>
      </c>
      <c r="S12" s="1584" t="s">
        <v>1456</v>
      </c>
      <c r="T12" s="1599"/>
      <c r="U12" s="1599" t="s">
        <v>1456</v>
      </c>
      <c r="V12" s="1599"/>
      <c r="W12" s="1599"/>
      <c r="X12" s="1599"/>
      <c r="Y12" s="1599" t="str">
        <f t="shared" si="6"/>
        <v/>
      </c>
      <c r="Z12" s="1599"/>
      <c r="AA12" s="1600">
        <f t="shared" si="5"/>
        <v>0</v>
      </c>
    </row>
    <row r="13" spans="1:27" ht="25.5" customHeight="1">
      <c r="A13" s="1681"/>
      <c r="B13" s="1682"/>
      <c r="C13" s="2853" t="str">
        <f t="shared" si="0"/>
        <v>morilles surgelées</v>
      </c>
      <c r="D13" s="2851" t="str">
        <f t="shared" si="0"/>
        <v>kg</v>
      </c>
      <c r="E13" s="2852">
        <f t="shared" si="1"/>
        <v>0.15</v>
      </c>
      <c r="F13" s="2852">
        <f t="shared" si="1"/>
        <v>0</v>
      </c>
      <c r="G13" s="2852">
        <f t="shared" si="1"/>
        <v>0</v>
      </c>
      <c r="H13" s="2852">
        <f t="shared" si="1"/>
        <v>0</v>
      </c>
      <c r="I13" s="2852">
        <f t="shared" si="1"/>
        <v>0</v>
      </c>
      <c r="J13" s="2857">
        <f t="shared" si="3"/>
        <v>0.15</v>
      </c>
      <c r="K13" s="1590">
        <v>34.99</v>
      </c>
      <c r="L13" s="1591">
        <f t="shared" ref="L13:L24" si="8">IF(ISBLANK(K13),"",K13*J13)</f>
        <v>5.2484999999999999</v>
      </c>
      <c r="M13" s="1519">
        <v>25.5</v>
      </c>
      <c r="N13" s="1519"/>
      <c r="P13" s="1581"/>
      <c r="Q13" s="1582"/>
      <c r="R13" s="1592" t="s">
        <v>2034</v>
      </c>
      <c r="S13" s="1550" t="s">
        <v>166</v>
      </c>
      <c r="T13" s="1592">
        <v>0.3</v>
      </c>
      <c r="U13" s="1592"/>
      <c r="V13" s="1592"/>
      <c r="W13" s="1592"/>
      <c r="X13" s="1592"/>
      <c r="Y13" s="1592">
        <f t="shared" si="6"/>
        <v>0.3</v>
      </c>
      <c r="Z13" s="1592">
        <v>34.99</v>
      </c>
      <c r="AA13" s="1593">
        <f t="shared" si="5"/>
        <v>10.497</v>
      </c>
    </row>
    <row r="14" spans="1:27" ht="25.5" customHeight="1">
      <c r="A14" s="1681"/>
      <c r="B14" s="1687"/>
      <c r="C14" s="2853" t="str">
        <f t="shared" si="0"/>
        <v>poireau</v>
      </c>
      <c r="D14" s="2851" t="str">
        <f t="shared" si="0"/>
        <v>kg</v>
      </c>
      <c r="E14" s="2852">
        <f t="shared" si="1"/>
        <v>0.125</v>
      </c>
      <c r="F14" s="2852">
        <f t="shared" si="1"/>
        <v>0</v>
      </c>
      <c r="G14" s="2852">
        <f t="shared" si="1"/>
        <v>0</v>
      </c>
      <c r="H14" s="2852">
        <f t="shared" si="1"/>
        <v>0.03</v>
      </c>
      <c r="I14" s="2852">
        <f t="shared" si="1"/>
        <v>0</v>
      </c>
      <c r="J14" s="2857">
        <f t="shared" si="3"/>
        <v>0.155</v>
      </c>
      <c r="K14" s="1590">
        <v>1.95</v>
      </c>
      <c r="L14" s="1591">
        <f t="shared" si="8"/>
        <v>0.30225000000000002</v>
      </c>
      <c r="M14" s="1519">
        <v>25.5</v>
      </c>
      <c r="N14" s="1519"/>
      <c r="P14" s="1581"/>
      <c r="Q14" s="1602"/>
      <c r="R14" s="1603" t="s">
        <v>2001</v>
      </c>
      <c r="S14" s="1550" t="s">
        <v>166</v>
      </c>
      <c r="T14" s="1604">
        <v>0.25</v>
      </c>
      <c r="U14" s="1592"/>
      <c r="V14" s="1592"/>
      <c r="W14" s="1592">
        <v>0.06</v>
      </c>
      <c r="X14" s="1592"/>
      <c r="Y14" s="1592">
        <f t="shared" si="6"/>
        <v>0.31</v>
      </c>
      <c r="Z14" s="1592">
        <v>1.95</v>
      </c>
      <c r="AA14" s="1593">
        <f t="shared" si="5"/>
        <v>0.60450000000000004</v>
      </c>
    </row>
    <row r="15" spans="1:27" ht="25.5" customHeight="1">
      <c r="A15" s="1681"/>
      <c r="B15" s="1682"/>
      <c r="C15" s="2853">
        <f t="shared" si="0"/>
        <v>0</v>
      </c>
      <c r="D15" s="2851">
        <f t="shared" si="0"/>
        <v>0</v>
      </c>
      <c r="E15" s="2852">
        <f t="shared" si="1"/>
        <v>0</v>
      </c>
      <c r="F15" s="2852">
        <f t="shared" si="1"/>
        <v>0</v>
      </c>
      <c r="G15" s="2852" t="str">
        <f t="shared" si="1"/>
        <v xml:space="preserve"> </v>
      </c>
      <c r="H15" s="2852">
        <f t="shared" si="1"/>
        <v>0</v>
      </c>
      <c r="I15" s="2852">
        <f t="shared" si="1"/>
        <v>0</v>
      </c>
      <c r="J15" s="2857" t="str">
        <f t="shared" si="3"/>
        <v/>
      </c>
      <c r="K15" s="1590"/>
      <c r="L15" s="1591" t="str">
        <f t="shared" si="8"/>
        <v/>
      </c>
      <c r="M15" s="1519">
        <v>25.5</v>
      </c>
      <c r="N15" s="1519"/>
      <c r="P15" s="1581"/>
      <c r="Q15" s="1582"/>
      <c r="R15" s="1592"/>
      <c r="S15" s="1550"/>
      <c r="T15" s="1592"/>
      <c r="U15" s="1592"/>
      <c r="V15" s="1592" t="s">
        <v>1456</v>
      </c>
      <c r="W15" s="1592"/>
      <c r="X15" s="1592"/>
      <c r="Y15" s="1592" t="str">
        <f t="shared" si="6"/>
        <v/>
      </c>
      <c r="Z15" s="1592"/>
      <c r="AA15" s="1593">
        <f t="shared" si="5"/>
        <v>0</v>
      </c>
    </row>
    <row r="16" spans="1:27" ht="25.5" customHeight="1">
      <c r="A16" s="1681"/>
      <c r="B16" s="1682"/>
      <c r="C16" s="2853">
        <f t="shared" si="0"/>
        <v>0</v>
      </c>
      <c r="D16" s="2851">
        <f t="shared" si="0"/>
        <v>0</v>
      </c>
      <c r="E16" s="2852">
        <f t="shared" si="1"/>
        <v>0</v>
      </c>
      <c r="F16" s="2852">
        <f t="shared" si="1"/>
        <v>0</v>
      </c>
      <c r="G16" s="2852">
        <f t="shared" si="1"/>
        <v>0</v>
      </c>
      <c r="H16" s="2852">
        <f t="shared" si="1"/>
        <v>0</v>
      </c>
      <c r="I16" s="2852">
        <f t="shared" si="1"/>
        <v>0</v>
      </c>
      <c r="J16" s="2857" t="str">
        <f t="shared" si="3"/>
        <v/>
      </c>
      <c r="K16" s="1590"/>
      <c r="L16" s="1591" t="str">
        <f t="shared" si="8"/>
        <v/>
      </c>
      <c r="M16" s="1519">
        <v>25.5</v>
      </c>
      <c r="N16" s="1519"/>
      <c r="P16" s="1581"/>
      <c r="Q16" s="1582"/>
      <c r="R16" s="1592"/>
      <c r="S16" s="1550"/>
      <c r="T16" s="1592"/>
      <c r="U16" s="1592"/>
      <c r="V16" s="1592"/>
      <c r="W16" s="1592"/>
      <c r="X16" s="1592"/>
      <c r="Y16" s="1592" t="str">
        <f t="shared" si="6"/>
        <v/>
      </c>
      <c r="Z16" s="1592"/>
      <c r="AA16" s="1593">
        <f t="shared" si="5"/>
        <v>0</v>
      </c>
    </row>
    <row r="17" spans="1:27" ht="25.5" customHeight="1">
      <c r="A17" s="1681"/>
      <c r="B17" s="1682"/>
      <c r="C17" s="2853" t="str">
        <f t="shared" si="0"/>
        <v xml:space="preserve"> </v>
      </c>
      <c r="D17" s="2851">
        <f t="shared" si="0"/>
        <v>0</v>
      </c>
      <c r="E17" s="2852">
        <f t="shared" si="1"/>
        <v>0</v>
      </c>
      <c r="F17" s="2852">
        <f t="shared" si="1"/>
        <v>0</v>
      </c>
      <c r="G17" s="2852">
        <f t="shared" si="1"/>
        <v>0</v>
      </c>
      <c r="H17" s="2852">
        <f t="shared" si="1"/>
        <v>0</v>
      </c>
      <c r="I17" s="2852">
        <f t="shared" si="1"/>
        <v>0</v>
      </c>
      <c r="J17" s="2857" t="str">
        <f t="shared" si="3"/>
        <v/>
      </c>
      <c r="K17" s="1590"/>
      <c r="L17" s="1591" t="str">
        <f t="shared" si="8"/>
        <v/>
      </c>
      <c r="M17" s="1519">
        <v>25.5</v>
      </c>
      <c r="N17" s="1519"/>
      <c r="P17" s="1581"/>
      <c r="Q17" s="1582"/>
      <c r="R17" s="1592" t="s">
        <v>1456</v>
      </c>
      <c r="S17" s="1550"/>
      <c r="T17" s="1592"/>
      <c r="U17" s="1592"/>
      <c r="V17" s="1592"/>
      <c r="W17" s="1592"/>
      <c r="X17" s="1592"/>
      <c r="Y17" s="1592" t="str">
        <f t="shared" si="6"/>
        <v/>
      </c>
      <c r="Z17" s="1592"/>
      <c r="AA17" s="1593">
        <f t="shared" si="5"/>
        <v>0</v>
      </c>
    </row>
    <row r="18" spans="1:27" ht="25.5" customHeight="1">
      <c r="A18" s="1681"/>
      <c r="B18" s="1682"/>
      <c r="C18" s="2853" t="str">
        <f t="shared" si="0"/>
        <v xml:space="preserve"> </v>
      </c>
      <c r="D18" s="2851">
        <f t="shared" si="0"/>
        <v>0</v>
      </c>
      <c r="E18" s="2852" t="str">
        <f t="shared" si="1"/>
        <v xml:space="preserve"> </v>
      </c>
      <c r="F18" s="2852" t="str">
        <f t="shared" si="1"/>
        <v xml:space="preserve"> </v>
      </c>
      <c r="G18" s="2852" t="str">
        <f t="shared" si="1"/>
        <v xml:space="preserve"> </v>
      </c>
      <c r="H18" s="2852" t="str">
        <f t="shared" si="1"/>
        <v xml:space="preserve"> </v>
      </c>
      <c r="I18" s="2852">
        <f t="shared" si="1"/>
        <v>0</v>
      </c>
      <c r="J18" s="2857" t="str">
        <f t="shared" si="3"/>
        <v/>
      </c>
      <c r="K18" s="1590"/>
      <c r="L18" s="1591" t="str">
        <f t="shared" si="8"/>
        <v/>
      </c>
      <c r="M18" s="1519">
        <v>25.5</v>
      </c>
      <c r="N18" s="1519"/>
      <c r="P18" s="1581"/>
      <c r="Q18" s="1582"/>
      <c r="R18" s="1592" t="s">
        <v>1456</v>
      </c>
      <c r="S18" s="1550"/>
      <c r="T18" s="1592" t="s">
        <v>1456</v>
      </c>
      <c r="U18" s="1592" t="s">
        <v>1456</v>
      </c>
      <c r="V18" s="1592" t="s">
        <v>1456</v>
      </c>
      <c r="W18" s="1592" t="s">
        <v>1456</v>
      </c>
      <c r="X18" s="1592"/>
      <c r="Y18" s="1592" t="str">
        <f t="shared" si="6"/>
        <v/>
      </c>
      <c r="Z18" s="1592"/>
      <c r="AA18" s="1593">
        <f t="shared" si="5"/>
        <v>0</v>
      </c>
    </row>
    <row r="19" spans="1:27" ht="25.5" customHeight="1">
      <c r="A19" s="1681"/>
      <c r="B19" s="1682"/>
      <c r="C19" s="2853">
        <f t="shared" si="0"/>
        <v>0</v>
      </c>
      <c r="D19" s="2851">
        <f t="shared" si="0"/>
        <v>0</v>
      </c>
      <c r="E19" s="2852">
        <f t="shared" si="1"/>
        <v>0</v>
      </c>
      <c r="F19" s="2852">
        <f t="shared" si="1"/>
        <v>0</v>
      </c>
      <c r="G19" s="2852">
        <f t="shared" si="1"/>
        <v>0</v>
      </c>
      <c r="H19" s="2852">
        <f t="shared" si="1"/>
        <v>0</v>
      </c>
      <c r="I19" s="2852">
        <f t="shared" si="1"/>
        <v>0</v>
      </c>
      <c r="J19" s="2857" t="str">
        <f t="shared" si="3"/>
        <v/>
      </c>
      <c r="K19" s="1590"/>
      <c r="L19" s="1591" t="str">
        <f t="shared" si="8"/>
        <v/>
      </c>
      <c r="M19" s="1519">
        <v>25.5</v>
      </c>
      <c r="N19" s="1519"/>
      <c r="P19" s="1581"/>
      <c r="Q19" s="1582"/>
      <c r="R19" s="1592"/>
      <c r="S19" s="1550"/>
      <c r="T19" s="1592"/>
      <c r="U19" s="1592"/>
      <c r="V19" s="1592"/>
      <c r="W19" s="1592"/>
      <c r="X19" s="1592"/>
      <c r="Y19" s="1592" t="str">
        <f t="shared" si="6"/>
        <v/>
      </c>
      <c r="Z19" s="1592"/>
      <c r="AA19" s="1593">
        <f t="shared" si="5"/>
        <v>0</v>
      </c>
    </row>
    <row r="20" spans="1:27" ht="25.5" customHeight="1">
      <c r="A20" s="1681"/>
      <c r="B20" s="1682"/>
      <c r="C20" s="2853">
        <f t="shared" si="0"/>
        <v>0</v>
      </c>
      <c r="D20" s="2851">
        <f t="shared" si="0"/>
        <v>0</v>
      </c>
      <c r="E20" s="2852">
        <f t="shared" si="1"/>
        <v>0</v>
      </c>
      <c r="F20" s="2852">
        <f t="shared" si="1"/>
        <v>0</v>
      </c>
      <c r="G20" s="2852">
        <f t="shared" si="1"/>
        <v>0</v>
      </c>
      <c r="H20" s="2852">
        <f t="shared" si="1"/>
        <v>0</v>
      </c>
      <c r="I20" s="2852">
        <f t="shared" si="1"/>
        <v>0</v>
      </c>
      <c r="J20" s="2857" t="str">
        <f t="shared" si="3"/>
        <v/>
      </c>
      <c r="K20" s="1590"/>
      <c r="L20" s="1591" t="str">
        <f t="shared" si="8"/>
        <v/>
      </c>
      <c r="M20" s="1519">
        <v>25.5</v>
      </c>
      <c r="N20" s="1519"/>
      <c r="P20" s="1581"/>
      <c r="Q20" s="1582"/>
      <c r="R20" s="1592"/>
      <c r="S20" s="1550"/>
      <c r="T20" s="1592"/>
      <c r="U20" s="1592"/>
      <c r="V20" s="1592"/>
      <c r="W20" s="1592"/>
      <c r="X20" s="1592"/>
      <c r="Y20" s="1592" t="str">
        <f t="shared" si="6"/>
        <v/>
      </c>
      <c r="Z20" s="1592"/>
      <c r="AA20" s="1593">
        <f t="shared" si="5"/>
        <v>0</v>
      </c>
    </row>
    <row r="21" spans="1:27" ht="25.5" customHeight="1">
      <c r="A21" s="1681"/>
      <c r="B21" s="1682"/>
      <c r="C21" s="2853">
        <f t="shared" si="0"/>
        <v>0</v>
      </c>
      <c r="D21" s="2851">
        <f t="shared" si="0"/>
        <v>0</v>
      </c>
      <c r="E21" s="2852">
        <f t="shared" si="1"/>
        <v>0</v>
      </c>
      <c r="F21" s="2852">
        <f t="shared" si="1"/>
        <v>0</v>
      </c>
      <c r="G21" s="2852">
        <f t="shared" si="1"/>
        <v>0</v>
      </c>
      <c r="H21" s="2852">
        <f t="shared" si="1"/>
        <v>0</v>
      </c>
      <c r="I21" s="2852">
        <f t="shared" si="1"/>
        <v>0</v>
      </c>
      <c r="J21" s="2857" t="str">
        <f t="shared" si="3"/>
        <v/>
      </c>
      <c r="K21" s="1590"/>
      <c r="L21" s="1591" t="str">
        <f t="shared" si="8"/>
        <v/>
      </c>
      <c r="M21" s="1519">
        <v>25.5</v>
      </c>
      <c r="N21" s="1519"/>
      <c r="P21" s="1581"/>
      <c r="Q21" s="1582"/>
      <c r="R21" s="1592"/>
      <c r="S21" s="1550"/>
      <c r="T21" s="1592"/>
      <c r="U21" s="1592"/>
      <c r="V21" s="1592"/>
      <c r="W21" s="1592"/>
      <c r="X21" s="1592"/>
      <c r="Y21" s="1592" t="str">
        <f t="shared" si="6"/>
        <v/>
      </c>
      <c r="Z21" s="1592"/>
      <c r="AA21" s="1593">
        <f t="shared" si="5"/>
        <v>0</v>
      </c>
    </row>
    <row r="22" spans="1:27" ht="25.5" customHeight="1">
      <c r="A22" s="1681"/>
      <c r="B22" s="1682"/>
      <c r="C22" s="2853">
        <f t="shared" ref="C22:D41" si="9">R22</f>
        <v>0</v>
      </c>
      <c r="D22" s="2851">
        <f t="shared" si="9"/>
        <v>0</v>
      </c>
      <c r="E22" s="2852">
        <f t="shared" si="1"/>
        <v>0</v>
      </c>
      <c r="F22" s="2852">
        <f t="shared" si="1"/>
        <v>0</v>
      </c>
      <c r="G22" s="2852">
        <f t="shared" si="1"/>
        <v>0</v>
      </c>
      <c r="H22" s="2852">
        <f t="shared" si="1"/>
        <v>0</v>
      </c>
      <c r="I22" s="2852">
        <f t="shared" si="1"/>
        <v>0</v>
      </c>
      <c r="J22" s="2857" t="str">
        <f t="shared" si="3"/>
        <v/>
      </c>
      <c r="K22" s="1590"/>
      <c r="L22" s="1591" t="str">
        <f t="shared" si="8"/>
        <v/>
      </c>
      <c r="M22" s="1519">
        <v>25.5</v>
      </c>
      <c r="N22" s="1519"/>
      <c r="P22" s="1581"/>
      <c r="Q22" s="1582"/>
      <c r="R22" s="1592"/>
      <c r="S22" s="1550"/>
      <c r="T22" s="1592"/>
      <c r="U22" s="1592"/>
      <c r="V22" s="1592"/>
      <c r="W22" s="1592"/>
      <c r="X22" s="1592"/>
      <c r="Y22" s="1592" t="str">
        <f t="shared" si="6"/>
        <v/>
      </c>
      <c r="Z22" s="1592"/>
      <c r="AA22" s="1593">
        <f t="shared" si="5"/>
        <v>0</v>
      </c>
    </row>
    <row r="23" spans="1:27" ht="25.5" customHeight="1">
      <c r="A23" s="1681"/>
      <c r="B23" s="1682"/>
      <c r="C23" s="2853">
        <f t="shared" si="9"/>
        <v>0</v>
      </c>
      <c r="D23" s="2851">
        <f t="shared" si="9"/>
        <v>0</v>
      </c>
      <c r="E23" s="2852">
        <f t="shared" ref="E23:I42" si="10">IF(ISTEXT(T23),T23,(T23/$I$2)*$L$2)</f>
        <v>0</v>
      </c>
      <c r="F23" s="2852">
        <f t="shared" si="10"/>
        <v>0</v>
      </c>
      <c r="G23" s="2852">
        <f t="shared" si="10"/>
        <v>0</v>
      </c>
      <c r="H23" s="2852">
        <f t="shared" si="10"/>
        <v>0</v>
      </c>
      <c r="I23" s="2852">
        <f t="shared" si="10"/>
        <v>0</v>
      </c>
      <c r="J23" s="2857" t="str">
        <f t="shared" si="3"/>
        <v/>
      </c>
      <c r="K23" s="1590"/>
      <c r="L23" s="1591" t="str">
        <f t="shared" si="8"/>
        <v/>
      </c>
      <c r="M23" s="1519">
        <v>25.5</v>
      </c>
      <c r="N23" s="1519"/>
      <c r="P23" s="1581"/>
      <c r="Q23" s="1582"/>
      <c r="R23" s="1592"/>
      <c r="S23" s="1550"/>
      <c r="T23" s="1592"/>
      <c r="U23" s="1592"/>
      <c r="V23" s="1592"/>
      <c r="W23" s="1592"/>
      <c r="X23" s="1592"/>
      <c r="Y23" s="1592" t="str">
        <f t="shared" si="6"/>
        <v/>
      </c>
      <c r="Z23" s="1592"/>
      <c r="AA23" s="1593">
        <f t="shared" si="5"/>
        <v>0</v>
      </c>
    </row>
    <row r="24" spans="1:27" ht="25.5" customHeight="1">
      <c r="A24" s="1681"/>
      <c r="B24" s="1682"/>
      <c r="C24" s="2853">
        <f t="shared" si="9"/>
        <v>0</v>
      </c>
      <c r="D24" s="2851">
        <f t="shared" si="9"/>
        <v>0</v>
      </c>
      <c r="E24" s="2852">
        <f t="shared" si="10"/>
        <v>0</v>
      </c>
      <c r="F24" s="2852">
        <f t="shared" si="10"/>
        <v>0</v>
      </c>
      <c r="G24" s="2852">
        <f t="shared" si="10"/>
        <v>0</v>
      </c>
      <c r="H24" s="2852">
        <f t="shared" si="10"/>
        <v>0</v>
      </c>
      <c r="I24" s="2852">
        <f t="shared" si="10"/>
        <v>0</v>
      </c>
      <c r="J24" s="2857" t="str">
        <f t="shared" si="3"/>
        <v/>
      </c>
      <c r="K24" s="1590"/>
      <c r="L24" s="1591" t="str">
        <f t="shared" si="8"/>
        <v/>
      </c>
      <c r="M24" s="1519">
        <v>25.5</v>
      </c>
      <c r="N24" s="1519"/>
      <c r="P24" s="1581"/>
      <c r="Q24" s="1582"/>
      <c r="R24" s="1592"/>
      <c r="S24" s="1550"/>
      <c r="T24" s="1592"/>
      <c r="U24" s="1592"/>
      <c r="V24" s="1592"/>
      <c r="W24" s="1592"/>
      <c r="X24" s="1592"/>
      <c r="Y24" s="1592" t="str">
        <f t="shared" si="6"/>
        <v/>
      </c>
      <c r="Z24" s="1592"/>
      <c r="AA24" s="1593">
        <f t="shared" si="5"/>
        <v>0</v>
      </c>
    </row>
    <row r="25" spans="1:27" ht="25.5" customHeight="1">
      <c r="A25" s="1681"/>
      <c r="B25" s="1682"/>
      <c r="C25" s="1576" t="str">
        <f t="shared" si="9"/>
        <v>B.O.F</v>
      </c>
      <c r="D25" s="2855" t="str">
        <f t="shared" si="9"/>
        <v xml:space="preserve"> </v>
      </c>
      <c r="E25" s="2855">
        <f t="shared" si="10"/>
        <v>0</v>
      </c>
      <c r="F25" s="2855">
        <f t="shared" si="10"/>
        <v>0</v>
      </c>
      <c r="G25" s="2855">
        <f t="shared" si="10"/>
        <v>0</v>
      </c>
      <c r="H25" s="2855">
        <f t="shared" si="10"/>
        <v>0</v>
      </c>
      <c r="I25" s="2867">
        <f t="shared" si="10"/>
        <v>0</v>
      </c>
      <c r="J25" s="1674" t="s">
        <v>1456</v>
      </c>
      <c r="K25" s="1579"/>
      <c r="L25" s="1580" t="s">
        <v>1456</v>
      </c>
      <c r="M25" s="1519">
        <v>25.5</v>
      </c>
      <c r="N25" s="1519"/>
      <c r="P25" s="1581"/>
      <c r="Q25" s="1582"/>
      <c r="R25" s="1598" t="s">
        <v>1465</v>
      </c>
      <c r="S25" s="1584" t="s">
        <v>1456</v>
      </c>
      <c r="T25" s="1599"/>
      <c r="U25" s="1599"/>
      <c r="V25" s="1599"/>
      <c r="W25" s="1599"/>
      <c r="X25" s="1599"/>
      <c r="Y25" s="1599" t="s">
        <v>1456</v>
      </c>
      <c r="Z25" s="1599"/>
      <c r="AA25" s="1600">
        <f t="shared" si="5"/>
        <v>0</v>
      </c>
    </row>
    <row r="26" spans="1:27" ht="25.5" customHeight="1">
      <c r="A26" s="1681"/>
      <c r="B26" s="1682"/>
      <c r="C26" s="2853" t="str">
        <f t="shared" si="9"/>
        <v>beurre</v>
      </c>
      <c r="D26" s="2851" t="str">
        <f t="shared" si="9"/>
        <v>kg</v>
      </c>
      <c r="E26" s="2852">
        <f t="shared" si="10"/>
        <v>2.5000000000000001E-2</v>
      </c>
      <c r="F26" s="2852">
        <f t="shared" si="10"/>
        <v>0</v>
      </c>
      <c r="G26" s="2852">
        <f t="shared" si="10"/>
        <v>0</v>
      </c>
      <c r="H26" s="2852">
        <f t="shared" si="10"/>
        <v>0</v>
      </c>
      <c r="I26" s="2852">
        <f t="shared" si="10"/>
        <v>0</v>
      </c>
      <c r="J26" s="2857">
        <f t="shared" si="3"/>
        <v>2.5000000000000001E-2</v>
      </c>
      <c r="K26" s="1590">
        <v>3.2</v>
      </c>
      <c r="L26" s="1591">
        <f t="shared" ref="L26:L33" si="11">IF(ISBLANK(K26),"",K26*J26)</f>
        <v>8.0000000000000016E-2</v>
      </c>
      <c r="M26" s="1519">
        <v>25.5</v>
      </c>
      <c r="N26" s="1519"/>
      <c r="P26" s="1581"/>
      <c r="Q26" s="1582"/>
      <c r="R26" s="1592" t="s">
        <v>979</v>
      </c>
      <c r="S26" s="1550" t="s">
        <v>166</v>
      </c>
      <c r="T26" s="1592">
        <v>0.05</v>
      </c>
      <c r="U26" s="1592"/>
      <c r="V26" s="1592"/>
      <c r="W26" s="1592"/>
      <c r="X26" s="1592"/>
      <c r="Y26" s="1592">
        <f t="shared" ref="Y26:Y33" si="12">IF(SUM(T26:X26)=0,"",SUM(T26:X26))</f>
        <v>0.05</v>
      </c>
      <c r="Z26" s="1592">
        <v>3.2</v>
      </c>
      <c r="AA26" s="1593">
        <f t="shared" si="5"/>
        <v>0.16000000000000003</v>
      </c>
    </row>
    <row r="27" spans="1:27" ht="25.5" customHeight="1">
      <c r="A27" s="1681"/>
      <c r="B27" s="1682"/>
      <c r="C27" s="2853" t="str">
        <f t="shared" si="9"/>
        <v>lait</v>
      </c>
      <c r="D27" s="2851" t="str">
        <f t="shared" si="9"/>
        <v>L</v>
      </c>
      <c r="E27" s="2852">
        <f t="shared" si="10"/>
        <v>0</v>
      </c>
      <c r="F27" s="2852">
        <f t="shared" si="10"/>
        <v>0</v>
      </c>
      <c r="G27" s="2852">
        <f t="shared" si="10"/>
        <v>0.02</v>
      </c>
      <c r="H27" s="2852">
        <f t="shared" si="10"/>
        <v>0</v>
      </c>
      <c r="I27" s="2852">
        <f t="shared" si="10"/>
        <v>0</v>
      </c>
      <c r="J27" s="2857">
        <f t="shared" si="3"/>
        <v>0.02</v>
      </c>
      <c r="K27" s="1590">
        <v>0.65</v>
      </c>
      <c r="L27" s="1591">
        <f t="shared" si="11"/>
        <v>1.3000000000000001E-2</v>
      </c>
      <c r="M27" s="1519">
        <v>25.5</v>
      </c>
      <c r="N27" s="1519"/>
      <c r="P27" s="1581"/>
      <c r="Q27" s="1582"/>
      <c r="R27" s="1592" t="s">
        <v>2035</v>
      </c>
      <c r="S27" s="1550" t="s">
        <v>224</v>
      </c>
      <c r="T27" s="1592"/>
      <c r="U27" s="1592"/>
      <c r="V27" s="1592">
        <v>0.04</v>
      </c>
      <c r="W27" s="1592"/>
      <c r="X27" s="1592"/>
      <c r="Y27" s="1592">
        <f t="shared" si="12"/>
        <v>0.04</v>
      </c>
      <c r="Z27" s="1592">
        <v>0.65</v>
      </c>
      <c r="AA27" s="1593">
        <f t="shared" si="5"/>
        <v>2.6000000000000002E-2</v>
      </c>
    </row>
    <row r="28" spans="1:27" ht="25.5" customHeight="1">
      <c r="A28" s="1681"/>
      <c r="B28" s="1682"/>
      <c r="C28" s="2853" t="str">
        <f t="shared" si="9"/>
        <v>crème</v>
      </c>
      <c r="D28" s="2851" t="str">
        <f t="shared" si="9"/>
        <v>L</v>
      </c>
      <c r="E28" s="2852">
        <f t="shared" si="10"/>
        <v>0</v>
      </c>
      <c r="F28" s="2852">
        <f t="shared" si="10"/>
        <v>0</v>
      </c>
      <c r="G28" s="2852" t="str">
        <f t="shared" si="10"/>
        <v>0.020</v>
      </c>
      <c r="H28" s="2852">
        <f t="shared" si="10"/>
        <v>0</v>
      </c>
      <c r="I28" s="2852">
        <f t="shared" si="10"/>
        <v>0</v>
      </c>
      <c r="J28" s="2857" t="str">
        <f t="shared" si="3"/>
        <v/>
      </c>
      <c r="K28" s="1590"/>
      <c r="L28" s="1591" t="str">
        <f t="shared" si="11"/>
        <v/>
      </c>
      <c r="M28" s="1519">
        <v>25.5</v>
      </c>
      <c r="N28" s="1519"/>
      <c r="P28" s="1581"/>
      <c r="Q28" s="1582"/>
      <c r="R28" s="1592" t="s">
        <v>2036</v>
      </c>
      <c r="S28" s="1550" t="s">
        <v>224</v>
      </c>
      <c r="T28" s="1592"/>
      <c r="U28" s="1592"/>
      <c r="V28" s="1592" t="s">
        <v>2037</v>
      </c>
      <c r="W28" s="1592"/>
      <c r="X28" s="1592"/>
      <c r="Y28" s="1592" t="str">
        <f t="shared" si="12"/>
        <v/>
      </c>
      <c r="Z28" s="1592"/>
      <c r="AA28" s="1593">
        <f t="shared" si="5"/>
        <v>0</v>
      </c>
    </row>
    <row r="29" spans="1:27" ht="25.5" customHeight="1">
      <c r="A29" s="1681"/>
      <c r="B29" s="1682"/>
      <c r="C29" s="2853">
        <f t="shared" si="9"/>
        <v>0</v>
      </c>
      <c r="D29" s="2851">
        <f t="shared" si="9"/>
        <v>0</v>
      </c>
      <c r="E29" s="2852">
        <f t="shared" si="10"/>
        <v>0</v>
      </c>
      <c r="F29" s="2852">
        <f t="shared" si="10"/>
        <v>0</v>
      </c>
      <c r="G29" s="2852">
        <f t="shared" si="10"/>
        <v>0</v>
      </c>
      <c r="H29" s="2852">
        <f t="shared" si="10"/>
        <v>0</v>
      </c>
      <c r="I29" s="2852">
        <f t="shared" si="10"/>
        <v>0</v>
      </c>
      <c r="J29" s="2857" t="str">
        <f t="shared" si="3"/>
        <v/>
      </c>
      <c r="K29" s="1590"/>
      <c r="L29" s="1591" t="str">
        <f t="shared" si="11"/>
        <v/>
      </c>
      <c r="M29" s="1519">
        <v>25.5</v>
      </c>
      <c r="N29" s="1519"/>
      <c r="P29" s="1581"/>
      <c r="Q29" s="1582"/>
      <c r="R29" s="1592"/>
      <c r="S29" s="1550"/>
      <c r="T29" s="1592"/>
      <c r="U29" s="1592"/>
      <c r="V29" s="1592"/>
      <c r="W29" s="1592"/>
      <c r="X29" s="1592"/>
      <c r="Y29" s="1592" t="str">
        <f t="shared" si="12"/>
        <v/>
      </c>
      <c r="Z29" s="1592"/>
      <c r="AA29" s="1593">
        <f t="shared" si="5"/>
        <v>0</v>
      </c>
    </row>
    <row r="30" spans="1:27" ht="25.5" customHeight="1">
      <c r="A30" s="1681"/>
      <c r="B30" s="1682"/>
      <c r="C30" s="2853">
        <f t="shared" si="9"/>
        <v>0</v>
      </c>
      <c r="D30" s="2851">
        <f t="shared" si="9"/>
        <v>0</v>
      </c>
      <c r="E30" s="2852">
        <f t="shared" si="10"/>
        <v>0</v>
      </c>
      <c r="F30" s="2852">
        <f t="shared" si="10"/>
        <v>0</v>
      </c>
      <c r="G30" s="2852">
        <f t="shared" si="10"/>
        <v>0</v>
      </c>
      <c r="H30" s="2852">
        <f t="shared" si="10"/>
        <v>0</v>
      </c>
      <c r="I30" s="2852">
        <f t="shared" si="10"/>
        <v>0</v>
      </c>
      <c r="J30" s="2857" t="str">
        <f t="shared" si="3"/>
        <v/>
      </c>
      <c r="K30" s="1590"/>
      <c r="L30" s="1591" t="str">
        <f t="shared" si="11"/>
        <v/>
      </c>
      <c r="M30" s="1519">
        <v>25.5</v>
      </c>
      <c r="N30" s="1519"/>
      <c r="P30" s="1581"/>
      <c r="Q30" s="1582"/>
      <c r="R30" s="1592"/>
      <c r="S30" s="1550"/>
      <c r="T30" s="1592"/>
      <c r="U30" s="1592"/>
      <c r="V30" s="1592"/>
      <c r="W30" s="1592"/>
      <c r="X30" s="1592"/>
      <c r="Y30" s="1592" t="str">
        <f t="shared" si="12"/>
        <v/>
      </c>
      <c r="Z30" s="1592"/>
      <c r="AA30" s="1593">
        <f t="shared" si="5"/>
        <v>0</v>
      </c>
    </row>
    <row r="31" spans="1:27" ht="25.5" customHeight="1">
      <c r="A31" s="1681"/>
      <c r="B31" s="1682"/>
      <c r="C31" s="2853">
        <f t="shared" si="9"/>
        <v>0</v>
      </c>
      <c r="D31" s="2851">
        <f t="shared" si="9"/>
        <v>0</v>
      </c>
      <c r="E31" s="2852">
        <f t="shared" si="10"/>
        <v>0</v>
      </c>
      <c r="F31" s="2852">
        <f t="shared" si="10"/>
        <v>0</v>
      </c>
      <c r="G31" s="2852">
        <f t="shared" si="10"/>
        <v>0</v>
      </c>
      <c r="H31" s="2852">
        <f t="shared" si="10"/>
        <v>0</v>
      </c>
      <c r="I31" s="2852">
        <f t="shared" si="10"/>
        <v>0</v>
      </c>
      <c r="J31" s="2857" t="str">
        <f t="shared" si="3"/>
        <v/>
      </c>
      <c r="K31" s="1590"/>
      <c r="L31" s="1591" t="str">
        <f t="shared" si="11"/>
        <v/>
      </c>
      <c r="M31" s="1519">
        <v>25.5</v>
      </c>
      <c r="N31" s="1519"/>
      <c r="P31" s="1581"/>
      <c r="Q31" s="1582"/>
      <c r="R31" s="1592"/>
      <c r="S31" s="1550"/>
      <c r="T31" s="1592"/>
      <c r="U31" s="1592"/>
      <c r="V31" s="1592"/>
      <c r="W31" s="1592"/>
      <c r="X31" s="1592"/>
      <c r="Y31" s="1592" t="str">
        <f t="shared" si="12"/>
        <v/>
      </c>
      <c r="Z31" s="1592"/>
      <c r="AA31" s="1593">
        <f t="shared" si="5"/>
        <v>0</v>
      </c>
    </row>
    <row r="32" spans="1:27" ht="25.5" customHeight="1">
      <c r="A32" s="1681"/>
      <c r="B32" s="1682"/>
      <c r="C32" s="2853">
        <f t="shared" si="9"/>
        <v>0</v>
      </c>
      <c r="D32" s="2851">
        <f t="shared" si="9"/>
        <v>0</v>
      </c>
      <c r="E32" s="2852">
        <f t="shared" si="10"/>
        <v>0</v>
      </c>
      <c r="F32" s="2852">
        <f t="shared" si="10"/>
        <v>0</v>
      </c>
      <c r="G32" s="2852">
        <f t="shared" si="10"/>
        <v>0</v>
      </c>
      <c r="H32" s="2852">
        <f t="shared" si="10"/>
        <v>0</v>
      </c>
      <c r="I32" s="2852">
        <f t="shared" si="10"/>
        <v>0</v>
      </c>
      <c r="J32" s="2857" t="str">
        <f t="shared" si="3"/>
        <v/>
      </c>
      <c r="K32" s="1590"/>
      <c r="L32" s="1591" t="str">
        <f t="shared" si="11"/>
        <v/>
      </c>
      <c r="M32" s="1519">
        <v>25.5</v>
      </c>
      <c r="N32" s="1519"/>
      <c r="P32" s="1581"/>
      <c r="Q32" s="1582"/>
      <c r="R32" s="1592"/>
      <c r="S32" s="1550"/>
      <c r="T32" s="1592"/>
      <c r="U32" s="1592"/>
      <c r="V32" s="1592"/>
      <c r="W32" s="1592"/>
      <c r="X32" s="1592"/>
      <c r="Y32" s="1592" t="str">
        <f t="shared" si="12"/>
        <v/>
      </c>
      <c r="Z32" s="1592"/>
      <c r="AA32" s="1593">
        <f t="shared" si="5"/>
        <v>0</v>
      </c>
    </row>
    <row r="33" spans="1:27" ht="25.5" customHeight="1">
      <c r="A33" s="1681"/>
      <c r="B33" s="1682"/>
      <c r="C33" s="2853">
        <f t="shared" si="9"/>
        <v>0</v>
      </c>
      <c r="D33" s="2851">
        <f t="shared" si="9"/>
        <v>0</v>
      </c>
      <c r="E33" s="2852">
        <f t="shared" si="10"/>
        <v>0</v>
      </c>
      <c r="F33" s="2852">
        <f t="shared" si="10"/>
        <v>0</v>
      </c>
      <c r="G33" s="2852">
        <f t="shared" si="10"/>
        <v>0</v>
      </c>
      <c r="H33" s="2852">
        <f t="shared" si="10"/>
        <v>0</v>
      </c>
      <c r="I33" s="2852">
        <f t="shared" si="10"/>
        <v>0</v>
      </c>
      <c r="J33" s="2857" t="str">
        <f t="shared" si="3"/>
        <v/>
      </c>
      <c r="K33" s="1590"/>
      <c r="L33" s="1591" t="str">
        <f t="shared" si="11"/>
        <v/>
      </c>
      <c r="M33" s="1519">
        <v>25.5</v>
      </c>
      <c r="N33" s="1519"/>
      <c r="P33" s="1581"/>
      <c r="Q33" s="1582"/>
      <c r="R33" s="1592"/>
      <c r="S33" s="1550"/>
      <c r="T33" s="1592"/>
      <c r="U33" s="1592"/>
      <c r="V33" s="1592"/>
      <c r="W33" s="1592"/>
      <c r="X33" s="1592"/>
      <c r="Y33" s="1592" t="str">
        <f t="shared" si="12"/>
        <v/>
      </c>
      <c r="Z33" s="1592"/>
      <c r="AA33" s="1593">
        <f t="shared" si="5"/>
        <v>0</v>
      </c>
    </row>
    <row r="34" spans="1:27" ht="25.5" customHeight="1">
      <c r="A34" s="1681"/>
      <c r="B34" s="1682"/>
      <c r="C34" s="1576" t="str">
        <f t="shared" si="9"/>
        <v>ECONOMAT/CAVE</v>
      </c>
      <c r="D34" s="2855" t="str">
        <f t="shared" si="9"/>
        <v xml:space="preserve"> </v>
      </c>
      <c r="E34" s="2855">
        <f t="shared" si="10"/>
        <v>0</v>
      </c>
      <c r="F34" s="2855">
        <f t="shared" si="10"/>
        <v>0</v>
      </c>
      <c r="G34" s="2855">
        <f t="shared" si="10"/>
        <v>0</v>
      </c>
      <c r="H34" s="2855">
        <f t="shared" si="10"/>
        <v>0</v>
      </c>
      <c r="I34" s="2867">
        <f t="shared" si="10"/>
        <v>0</v>
      </c>
      <c r="J34" s="1674" t="s">
        <v>1456</v>
      </c>
      <c r="K34" s="1579"/>
      <c r="L34" s="1580" t="s">
        <v>1456</v>
      </c>
      <c r="M34" s="1519">
        <v>25.5</v>
      </c>
      <c r="N34" s="1519"/>
      <c r="P34" s="1581"/>
      <c r="Q34" s="1582"/>
      <c r="R34" s="1598" t="s">
        <v>1967</v>
      </c>
      <c r="S34" s="1584" t="s">
        <v>1456</v>
      </c>
      <c r="T34" s="1599"/>
      <c r="U34" s="1599"/>
      <c r="V34" s="1599"/>
      <c r="W34" s="1599"/>
      <c r="X34" s="1599"/>
      <c r="Y34" s="1599" t="s">
        <v>1456</v>
      </c>
      <c r="Z34" s="1599"/>
      <c r="AA34" s="1600">
        <f t="shared" si="5"/>
        <v>0</v>
      </c>
    </row>
    <row r="35" spans="1:27" ht="25.5" customHeight="1">
      <c r="A35" s="1681"/>
      <c r="B35" s="1682"/>
      <c r="C35" s="2853" t="str">
        <f t="shared" si="9"/>
        <v>gros sel</v>
      </c>
      <c r="D35" s="2851" t="str">
        <f t="shared" si="9"/>
        <v>kg</v>
      </c>
      <c r="E35" s="2852">
        <f t="shared" si="10"/>
        <v>7.4999999999999997E-3</v>
      </c>
      <c r="F35" s="2852">
        <f t="shared" si="10"/>
        <v>0</v>
      </c>
      <c r="G35" s="2852">
        <f t="shared" si="10"/>
        <v>0</v>
      </c>
      <c r="H35" s="2852">
        <f t="shared" si="10"/>
        <v>0</v>
      </c>
      <c r="I35" s="2852">
        <f t="shared" si="10"/>
        <v>0</v>
      </c>
      <c r="J35" s="2857">
        <f t="shared" si="3"/>
        <v>7.4999999999999997E-3</v>
      </c>
      <c r="K35" s="1590"/>
      <c r="L35" s="1591" t="str">
        <f t="shared" ref="L35:L46" si="13">IF(ISBLANK(K35),"",K35*J35)</f>
        <v/>
      </c>
      <c r="M35" s="1519">
        <v>25.5</v>
      </c>
      <c r="N35" s="1519"/>
      <c r="P35" s="1581"/>
      <c r="Q35" s="1582"/>
      <c r="R35" s="1592" t="s">
        <v>2038</v>
      </c>
      <c r="S35" s="1550" t="s">
        <v>166</v>
      </c>
      <c r="T35" s="1592">
        <v>1.4999999999999999E-2</v>
      </c>
      <c r="U35" s="1592"/>
      <c r="V35" s="1592"/>
      <c r="W35" s="1592"/>
      <c r="X35" s="1592"/>
      <c r="Y35" s="1592">
        <f t="shared" ref="Y35:Y39" si="14">IF(SUM(T35:X35)=0,"",SUM(T35:X35))</f>
        <v>1.4999999999999999E-2</v>
      </c>
      <c r="Z35" s="1592"/>
      <c r="AA35" s="1593">
        <f t="shared" si="5"/>
        <v>0</v>
      </c>
    </row>
    <row r="36" spans="1:27" ht="25.5" customHeight="1">
      <c r="A36" s="1681"/>
      <c r="B36" s="1682"/>
      <c r="C36" s="2853" t="str">
        <f t="shared" si="9"/>
        <v>pineau rouge</v>
      </c>
      <c r="D36" s="2851" t="str">
        <f t="shared" si="9"/>
        <v>L</v>
      </c>
      <c r="E36" s="2852">
        <f t="shared" si="10"/>
        <v>2.5000000000000001E-3</v>
      </c>
      <c r="F36" s="2852" t="str">
        <f t="shared" si="10"/>
        <v>0.200</v>
      </c>
      <c r="G36" s="2852">
        <f t="shared" si="10"/>
        <v>0</v>
      </c>
      <c r="H36" s="2852">
        <f t="shared" si="10"/>
        <v>0</v>
      </c>
      <c r="I36" s="2852">
        <f t="shared" si="10"/>
        <v>0</v>
      </c>
      <c r="J36" s="2857">
        <f t="shared" si="3"/>
        <v>2.5000000000000001E-3</v>
      </c>
      <c r="K36" s="1590">
        <v>6.32</v>
      </c>
      <c r="L36" s="1591">
        <f t="shared" si="13"/>
        <v>1.5800000000000002E-2</v>
      </c>
      <c r="M36" s="1519">
        <v>25.5</v>
      </c>
      <c r="N36" s="1519"/>
      <c r="P36" s="1581"/>
      <c r="Q36" s="1582"/>
      <c r="R36" s="1592" t="s">
        <v>2837</v>
      </c>
      <c r="S36" s="1550" t="s">
        <v>224</v>
      </c>
      <c r="T36" s="1592">
        <v>5.0000000000000001E-3</v>
      </c>
      <c r="U36" s="1592" t="s">
        <v>2039</v>
      </c>
      <c r="V36" s="1592"/>
      <c r="W36" s="1592"/>
      <c r="X36" s="1592"/>
      <c r="Y36" s="1592">
        <f t="shared" si="14"/>
        <v>5.0000000000000001E-3</v>
      </c>
      <c r="Z36" s="1592">
        <v>6.32</v>
      </c>
      <c r="AA36" s="1593">
        <f t="shared" si="5"/>
        <v>3.1600000000000003E-2</v>
      </c>
    </row>
    <row r="37" spans="1:27" ht="25.5" customHeight="1">
      <c r="A37" s="1681"/>
      <c r="B37" s="1682"/>
      <c r="C37" s="2853" t="str">
        <f t="shared" si="9"/>
        <v>fonds blanc de vola</v>
      </c>
      <c r="D37" s="2851" t="str">
        <f t="shared" si="9"/>
        <v>L</v>
      </c>
      <c r="E37" s="2852">
        <f t="shared" si="10"/>
        <v>0.05</v>
      </c>
      <c r="F37" s="2852">
        <f t="shared" si="10"/>
        <v>0</v>
      </c>
      <c r="G37" s="2852" t="str">
        <f t="shared" si="10"/>
        <v>0.300</v>
      </c>
      <c r="H37" s="2852">
        <f t="shared" si="10"/>
        <v>0</v>
      </c>
      <c r="I37" s="2852">
        <f t="shared" si="10"/>
        <v>0</v>
      </c>
      <c r="J37" s="2857">
        <f t="shared" si="3"/>
        <v>0.05</v>
      </c>
      <c r="K37" s="1590"/>
      <c r="L37" s="1591" t="str">
        <f t="shared" si="13"/>
        <v/>
      </c>
      <c r="M37" s="1519">
        <v>25.5</v>
      </c>
      <c r="N37" s="1519"/>
      <c r="P37" s="1581"/>
      <c r="Q37" s="1582"/>
      <c r="R37" s="1592" t="s">
        <v>2040</v>
      </c>
      <c r="S37" s="1550" t="s">
        <v>224</v>
      </c>
      <c r="T37" s="1592">
        <v>0.1</v>
      </c>
      <c r="U37" s="1592"/>
      <c r="V37" s="1592" t="s">
        <v>2041</v>
      </c>
      <c r="W37" s="1592"/>
      <c r="X37" s="1592"/>
      <c r="Y37" s="1592">
        <f t="shared" si="14"/>
        <v>0.1</v>
      </c>
      <c r="Z37" s="1592"/>
      <c r="AA37" s="1593">
        <f t="shared" si="5"/>
        <v>0</v>
      </c>
    </row>
    <row r="38" spans="1:27" ht="25.5" customHeight="1">
      <c r="A38" s="1681"/>
      <c r="B38" s="1682"/>
      <c r="C38" s="2853" t="str">
        <f t="shared" si="9"/>
        <v>agar-agar</v>
      </c>
      <c r="D38" s="2851" t="str">
        <f t="shared" si="9"/>
        <v>kg</v>
      </c>
      <c r="E38" s="2852">
        <f t="shared" si="10"/>
        <v>0</v>
      </c>
      <c r="F38" s="2852" t="str">
        <f t="shared" si="10"/>
        <v>0.004</v>
      </c>
      <c r="G38" s="2852">
        <f t="shared" si="10"/>
        <v>0</v>
      </c>
      <c r="H38" s="2852">
        <f t="shared" si="10"/>
        <v>0</v>
      </c>
      <c r="I38" s="2852">
        <f t="shared" si="10"/>
        <v>0</v>
      </c>
      <c r="J38" s="2857" t="str">
        <f t="shared" si="3"/>
        <v/>
      </c>
      <c r="K38" s="1590"/>
      <c r="L38" s="1591" t="str">
        <f t="shared" si="13"/>
        <v/>
      </c>
      <c r="M38" s="1519">
        <v>25.5</v>
      </c>
      <c r="N38" s="1519"/>
      <c r="P38" s="1581"/>
      <c r="Q38" s="1582"/>
      <c r="R38" s="1592" t="s">
        <v>2042</v>
      </c>
      <c r="S38" s="1550" t="s">
        <v>166</v>
      </c>
      <c r="T38" s="1592"/>
      <c r="U38" s="1592" t="s">
        <v>2043</v>
      </c>
      <c r="V38" s="1592"/>
      <c r="W38" s="1592"/>
      <c r="X38" s="1592"/>
      <c r="Y38" s="1592" t="str">
        <f t="shared" si="14"/>
        <v/>
      </c>
      <c r="Z38" s="1592"/>
      <c r="AA38" s="1593">
        <f t="shared" si="5"/>
        <v>0</v>
      </c>
    </row>
    <row r="39" spans="1:27" ht="25.5" customHeight="1">
      <c r="A39" s="1681"/>
      <c r="B39" s="1682"/>
      <c r="C39" s="2853" t="str">
        <f t="shared" si="9"/>
        <v>lécithe</v>
      </c>
      <c r="D39" s="2851" t="str">
        <f t="shared" si="9"/>
        <v>pm</v>
      </c>
      <c r="E39" s="2852">
        <f t="shared" si="10"/>
        <v>0</v>
      </c>
      <c r="F39" s="2852">
        <f t="shared" si="10"/>
        <v>0</v>
      </c>
      <c r="G39" s="2852" t="str">
        <f t="shared" si="10"/>
        <v>pm</v>
      </c>
      <c r="H39" s="2852">
        <f t="shared" si="10"/>
        <v>0</v>
      </c>
      <c r="I39" s="2852">
        <f t="shared" si="10"/>
        <v>0</v>
      </c>
      <c r="J39" s="2857" t="str">
        <f t="shared" si="3"/>
        <v/>
      </c>
      <c r="K39" s="1590"/>
      <c r="L39" s="1591" t="str">
        <f t="shared" si="13"/>
        <v/>
      </c>
      <c r="M39" s="1519">
        <v>25.5</v>
      </c>
      <c r="N39" s="1519"/>
      <c r="P39" s="1581"/>
      <c r="Q39" s="1582"/>
      <c r="R39" s="1592" t="s">
        <v>2044</v>
      </c>
      <c r="S39" s="1550" t="s">
        <v>214</v>
      </c>
      <c r="T39" s="1592"/>
      <c r="U39" s="1592"/>
      <c r="V39" s="1592" t="s">
        <v>214</v>
      </c>
      <c r="W39" s="1592"/>
      <c r="X39" s="1592"/>
      <c r="Y39" s="1592" t="str">
        <f t="shared" si="14"/>
        <v/>
      </c>
      <c r="Z39" s="1592"/>
      <c r="AA39" s="1593">
        <f t="shared" si="5"/>
        <v>0</v>
      </c>
    </row>
    <row r="40" spans="1:27" ht="25.5" customHeight="1">
      <c r="A40" s="1681"/>
      <c r="B40" s="1682"/>
      <c r="C40" s="2853" t="str">
        <f t="shared" si="9"/>
        <v>arôme truffe</v>
      </c>
      <c r="D40" s="2851" t="str">
        <f t="shared" si="9"/>
        <v>L</v>
      </c>
      <c r="E40" s="2852">
        <f t="shared" si="10"/>
        <v>0</v>
      </c>
      <c r="F40" s="2852">
        <f t="shared" si="10"/>
        <v>0</v>
      </c>
      <c r="G40" s="2852">
        <f t="shared" si="10"/>
        <v>1.5E-3</v>
      </c>
      <c r="H40" s="2852">
        <f t="shared" si="10"/>
        <v>0</v>
      </c>
      <c r="I40" s="2852">
        <f t="shared" si="10"/>
        <v>0</v>
      </c>
      <c r="J40" s="2857">
        <v>1E-3</v>
      </c>
      <c r="K40" s="1697">
        <v>1600</v>
      </c>
      <c r="L40" s="1591">
        <f t="shared" si="13"/>
        <v>1.6</v>
      </c>
      <c r="M40" s="1519">
        <v>25.5</v>
      </c>
      <c r="N40" s="1519"/>
      <c r="P40" s="1581"/>
      <c r="Q40" s="1582"/>
      <c r="R40" s="1592" t="s">
        <v>2045</v>
      </c>
      <c r="S40" s="1550" t="s">
        <v>224</v>
      </c>
      <c r="T40" s="1592"/>
      <c r="U40" s="1592"/>
      <c r="V40" s="1592">
        <v>3.0000000000000001E-3</v>
      </c>
      <c r="W40" s="1592"/>
      <c r="X40" s="1592"/>
      <c r="Y40" s="1592">
        <v>1E-3</v>
      </c>
      <c r="Z40" s="1592">
        <v>1600</v>
      </c>
      <c r="AA40" s="1593">
        <f t="shared" si="5"/>
        <v>1.6</v>
      </c>
    </row>
    <row r="41" spans="1:27" ht="25.5" customHeight="1">
      <c r="A41" s="1681"/>
      <c r="B41" s="1682"/>
      <c r="C41" s="2853" t="str">
        <f t="shared" si="9"/>
        <v>sucre</v>
      </c>
      <c r="D41" s="2851" t="str">
        <f t="shared" si="9"/>
        <v>kg</v>
      </c>
      <c r="E41" s="2852">
        <f t="shared" si="10"/>
        <v>0</v>
      </c>
      <c r="F41" s="2852">
        <f t="shared" si="10"/>
        <v>0</v>
      </c>
      <c r="G41" s="2852">
        <f t="shared" si="10"/>
        <v>0</v>
      </c>
      <c r="H41" s="2852">
        <f t="shared" si="10"/>
        <v>0.1</v>
      </c>
      <c r="I41" s="2852">
        <f t="shared" si="10"/>
        <v>0</v>
      </c>
      <c r="J41" s="2857">
        <f t="shared" si="3"/>
        <v>0.1</v>
      </c>
      <c r="K41" s="1590">
        <v>1.02</v>
      </c>
      <c r="L41" s="1591">
        <f t="shared" si="13"/>
        <v>0.10200000000000001</v>
      </c>
      <c r="M41" s="1519">
        <v>25.5</v>
      </c>
      <c r="N41" s="1519"/>
      <c r="P41" s="1581"/>
      <c r="Q41" s="1582"/>
      <c r="R41" s="1592" t="s">
        <v>216</v>
      </c>
      <c r="S41" s="1550" t="s">
        <v>166</v>
      </c>
      <c r="T41" s="1592"/>
      <c r="U41" s="1592"/>
      <c r="V41" s="1592"/>
      <c r="W41" s="1592">
        <v>0.2</v>
      </c>
      <c r="X41" s="1592"/>
      <c r="Y41" s="1592">
        <f t="shared" ref="Y41:Y47" si="15">IF(SUM(T41:X41)=0,"",SUM(T41:X41))</f>
        <v>0.2</v>
      </c>
      <c r="Z41" s="1592">
        <v>1.02</v>
      </c>
      <c r="AA41" s="1593">
        <f t="shared" si="5"/>
        <v>0.20400000000000001</v>
      </c>
    </row>
    <row r="42" spans="1:27" ht="25.5" customHeight="1">
      <c r="A42" s="1681"/>
      <c r="B42" s="1682"/>
      <c r="C42" s="2853" t="str">
        <f t="shared" ref="C42:D46" si="16">R42</f>
        <v>eau</v>
      </c>
      <c r="D42" s="2851" t="str">
        <f t="shared" si="16"/>
        <v>L</v>
      </c>
      <c r="E42" s="2852">
        <f t="shared" si="10"/>
        <v>0</v>
      </c>
      <c r="F42" s="2852">
        <f t="shared" si="10"/>
        <v>0</v>
      </c>
      <c r="G42" s="2852">
        <f t="shared" si="10"/>
        <v>0</v>
      </c>
      <c r="H42" s="2852">
        <f t="shared" si="10"/>
        <v>0.2</v>
      </c>
      <c r="I42" s="2852">
        <f t="shared" si="10"/>
        <v>0</v>
      </c>
      <c r="J42" s="2857">
        <f t="shared" si="3"/>
        <v>0.2</v>
      </c>
      <c r="K42" s="1590"/>
      <c r="L42" s="1591" t="str">
        <f t="shared" si="13"/>
        <v/>
      </c>
      <c r="M42" s="1519">
        <v>25.5</v>
      </c>
      <c r="N42" s="1519"/>
      <c r="P42" s="1581"/>
      <c r="Q42" s="1582"/>
      <c r="R42" s="1592" t="s">
        <v>981</v>
      </c>
      <c r="S42" s="1550" t="s">
        <v>224</v>
      </c>
      <c r="T42" s="1592"/>
      <c r="U42" s="1592"/>
      <c r="V42" s="1592"/>
      <c r="W42" s="1592">
        <v>0.4</v>
      </c>
      <c r="X42" s="1592"/>
      <c r="Y42" s="1592">
        <f t="shared" si="15"/>
        <v>0.4</v>
      </c>
      <c r="Z42" s="1592"/>
      <c r="AA42" s="1593">
        <f t="shared" si="5"/>
        <v>0</v>
      </c>
    </row>
    <row r="43" spans="1:27" ht="25.5" customHeight="1">
      <c r="A43" s="1681"/>
      <c r="B43" s="1682"/>
      <c r="C43" s="2853">
        <f t="shared" si="16"/>
        <v>0</v>
      </c>
      <c r="D43" s="2851">
        <f t="shared" si="16"/>
        <v>0</v>
      </c>
      <c r="E43" s="2852">
        <f t="shared" ref="E43:I46" si="17">IF(ISTEXT(T43),T43,(T43/$I$2)*$L$2)</f>
        <v>0</v>
      </c>
      <c r="F43" s="2852">
        <f t="shared" si="17"/>
        <v>0</v>
      </c>
      <c r="G43" s="2852">
        <f t="shared" si="17"/>
        <v>0</v>
      </c>
      <c r="H43" s="2852">
        <f t="shared" si="17"/>
        <v>0</v>
      </c>
      <c r="I43" s="2852">
        <f t="shared" si="17"/>
        <v>0</v>
      </c>
      <c r="J43" s="2857" t="str">
        <f t="shared" si="3"/>
        <v/>
      </c>
      <c r="K43" s="1590"/>
      <c r="L43" s="1591" t="str">
        <f t="shared" si="13"/>
        <v/>
      </c>
      <c r="M43" s="1519">
        <v>25.5</v>
      </c>
      <c r="N43" s="1519"/>
      <c r="P43" s="1581"/>
      <c r="Q43" s="1582"/>
      <c r="R43" s="1592"/>
      <c r="S43" s="1550"/>
      <c r="T43" s="1592"/>
      <c r="U43" s="1592"/>
      <c r="V43" s="1592"/>
      <c r="W43" s="1592"/>
      <c r="X43" s="1592"/>
      <c r="Y43" s="1592" t="str">
        <f t="shared" si="15"/>
        <v/>
      </c>
      <c r="Z43" s="1592"/>
      <c r="AA43" s="1593">
        <f t="shared" si="5"/>
        <v>0</v>
      </c>
    </row>
    <row r="44" spans="1:27" ht="25.5" customHeight="1">
      <c r="A44" s="1681"/>
      <c r="B44" s="1682"/>
      <c r="C44" s="2853">
        <f t="shared" si="16"/>
        <v>0</v>
      </c>
      <c r="D44" s="2851">
        <f t="shared" si="16"/>
        <v>0</v>
      </c>
      <c r="E44" s="2852">
        <f t="shared" si="17"/>
        <v>0</v>
      </c>
      <c r="F44" s="2852">
        <f t="shared" si="17"/>
        <v>0</v>
      </c>
      <c r="G44" s="2852">
        <f t="shared" si="17"/>
        <v>0</v>
      </c>
      <c r="H44" s="2852">
        <f t="shared" si="17"/>
        <v>0</v>
      </c>
      <c r="I44" s="2852">
        <f t="shared" si="17"/>
        <v>0</v>
      </c>
      <c r="J44" s="2857" t="str">
        <f t="shared" si="3"/>
        <v/>
      </c>
      <c r="K44" s="1590"/>
      <c r="L44" s="1591" t="str">
        <f t="shared" si="13"/>
        <v/>
      </c>
      <c r="M44" s="1519">
        <v>25.5</v>
      </c>
      <c r="N44" s="1519"/>
      <c r="P44" s="1581"/>
      <c r="Q44" s="1582"/>
      <c r="R44" s="1592"/>
      <c r="S44" s="1550"/>
      <c r="T44" s="1592"/>
      <c r="U44" s="1592"/>
      <c r="V44" s="1592"/>
      <c r="W44" s="1592"/>
      <c r="X44" s="1592"/>
      <c r="Y44" s="1592" t="str">
        <f t="shared" si="15"/>
        <v/>
      </c>
      <c r="Z44" s="1592"/>
      <c r="AA44" s="1593">
        <f t="shared" si="5"/>
        <v>0</v>
      </c>
    </row>
    <row r="45" spans="1:27" ht="25.5" customHeight="1">
      <c r="A45" s="1681"/>
      <c r="B45" s="1682"/>
      <c r="C45" s="2853">
        <f t="shared" si="16"/>
        <v>0</v>
      </c>
      <c r="D45" s="2851">
        <f t="shared" si="16"/>
        <v>0</v>
      </c>
      <c r="E45" s="2852">
        <f t="shared" si="17"/>
        <v>0</v>
      </c>
      <c r="F45" s="2852">
        <f t="shared" si="17"/>
        <v>0</v>
      </c>
      <c r="G45" s="2852">
        <f t="shared" si="17"/>
        <v>0</v>
      </c>
      <c r="H45" s="2852">
        <f t="shared" si="17"/>
        <v>0</v>
      </c>
      <c r="I45" s="2852">
        <f t="shared" si="17"/>
        <v>0</v>
      </c>
      <c r="J45" s="2857" t="str">
        <f t="shared" si="3"/>
        <v/>
      </c>
      <c r="K45" s="1590"/>
      <c r="L45" s="1591" t="str">
        <f t="shared" si="13"/>
        <v/>
      </c>
      <c r="M45" s="1519">
        <v>25.5</v>
      </c>
      <c r="N45" s="1519"/>
      <c r="P45" s="1581"/>
      <c r="Q45" s="1582"/>
      <c r="R45" s="1592"/>
      <c r="S45" s="1550"/>
      <c r="T45" s="1592"/>
      <c r="U45" s="1592"/>
      <c r="V45" s="1592"/>
      <c r="W45" s="1592"/>
      <c r="X45" s="1592"/>
      <c r="Y45" s="1592" t="str">
        <f t="shared" si="15"/>
        <v/>
      </c>
      <c r="Z45" s="1592"/>
      <c r="AA45" s="1593">
        <f t="shared" si="5"/>
        <v>0</v>
      </c>
    </row>
    <row r="46" spans="1:27" ht="25.5" customHeight="1">
      <c r="A46" s="1689"/>
      <c r="B46" s="1682"/>
      <c r="C46" s="2853">
        <f t="shared" si="16"/>
        <v>0</v>
      </c>
      <c r="D46" s="2851">
        <f t="shared" si="16"/>
        <v>0</v>
      </c>
      <c r="E46" s="2852">
        <f t="shared" si="17"/>
        <v>0</v>
      </c>
      <c r="F46" s="2852">
        <f t="shared" si="17"/>
        <v>0</v>
      </c>
      <c r="G46" s="2852">
        <f t="shared" si="17"/>
        <v>0</v>
      </c>
      <c r="H46" s="2852">
        <f t="shared" si="17"/>
        <v>0</v>
      </c>
      <c r="I46" s="2852">
        <f t="shared" si="17"/>
        <v>0</v>
      </c>
      <c r="J46" s="2857" t="str">
        <f t="shared" si="3"/>
        <v/>
      </c>
      <c r="K46" s="1590"/>
      <c r="L46" s="1591" t="str">
        <f t="shared" si="13"/>
        <v/>
      </c>
      <c r="M46" s="1519">
        <v>25.5</v>
      </c>
      <c r="N46" s="1519"/>
      <c r="P46" s="1520"/>
      <c r="Q46" s="1582"/>
      <c r="R46" s="1592"/>
      <c r="S46" s="1550"/>
      <c r="T46" s="1610"/>
      <c r="U46" s="1610"/>
      <c r="V46" s="1610"/>
      <c r="W46" s="1610"/>
      <c r="X46" s="1610"/>
      <c r="Y46" s="1610" t="str">
        <f t="shared" si="15"/>
        <v/>
      </c>
      <c r="Z46" s="1592"/>
      <c r="AA46" s="1611">
        <f t="shared" si="5"/>
        <v>0</v>
      </c>
    </row>
    <row r="47" spans="1:27" ht="25.5" customHeight="1">
      <c r="A47" s="1614"/>
      <c r="B47" s="1690" t="s">
        <v>1480</v>
      </c>
      <c r="C47" s="1615"/>
      <c r="D47" s="1615"/>
      <c r="E47" s="1615"/>
      <c r="F47" s="1615"/>
      <c r="G47" s="1614"/>
      <c r="H47" s="1615"/>
      <c r="I47" s="1615"/>
      <c r="J47" s="1615" t="str">
        <f t="shared" si="3"/>
        <v/>
      </c>
      <c r="K47" s="1615" t="s">
        <v>2411</v>
      </c>
      <c r="L47" s="1616" t="str">
        <f>IF(J47="","",(J47*K47))</f>
        <v/>
      </c>
      <c r="M47" s="1519">
        <v>25.5</v>
      </c>
      <c r="N47" s="1519"/>
      <c r="P47" s="1533"/>
      <c r="Q47" s="1617" t="s">
        <v>1480</v>
      </c>
      <c r="R47" s="1536"/>
      <c r="S47" s="1536"/>
      <c r="T47" s="1192"/>
      <c r="U47" s="1192"/>
      <c r="V47" s="1533"/>
      <c r="W47" s="1536"/>
      <c r="X47" s="1536"/>
      <c r="Y47" s="1536" t="str">
        <f t="shared" si="15"/>
        <v/>
      </c>
      <c r="Z47" s="1536" t="s">
        <v>2411</v>
      </c>
      <c r="AA47" s="1616" t="str">
        <f>IF(Y47="","",(Y47*Z47))</f>
        <v/>
      </c>
    </row>
    <row r="48" spans="1:27" ht="25.5" customHeight="1">
      <c r="A48" s="1681"/>
      <c r="B48" s="1618" t="s">
        <v>2046</v>
      </c>
      <c r="C48" s="1619"/>
      <c r="D48" s="1618"/>
      <c r="E48" s="1619"/>
      <c r="F48" s="1619"/>
      <c r="G48" s="3522" t="s">
        <v>2288</v>
      </c>
      <c r="H48" s="3523"/>
      <c r="I48" s="1620">
        <f>L2</f>
        <v>5</v>
      </c>
      <c r="J48" s="1621"/>
      <c r="K48" s="1621"/>
      <c r="L48" s="1622">
        <f>SUM(L8:L46)</f>
        <v>15.386550000000002</v>
      </c>
      <c r="M48" s="1519">
        <v>25.5</v>
      </c>
      <c r="N48" s="1519"/>
      <c r="P48" s="1581"/>
      <c r="Q48" s="1352" t="s">
        <v>2046</v>
      </c>
      <c r="R48" s="1623"/>
      <c r="S48" s="1192"/>
      <c r="T48" s="1623"/>
      <c r="U48" s="1623"/>
      <c r="V48" s="1624" t="s">
        <v>1482</v>
      </c>
      <c r="W48" s="1625"/>
      <c r="X48" s="1625"/>
      <c r="Y48" s="1625"/>
      <c r="Z48" s="1625"/>
      <c r="AA48" s="1626">
        <f>SUM(AA8:AA47)</f>
        <v>21.148100000000003</v>
      </c>
    </row>
    <row r="49" spans="1:27" ht="25.5" customHeight="1">
      <c r="A49" s="1681"/>
      <c r="B49" s="1618" t="s">
        <v>2047</v>
      </c>
      <c r="C49" s="1618"/>
      <c r="D49" s="1618"/>
      <c r="E49" s="1618"/>
      <c r="F49" s="1618"/>
      <c r="G49" s="3548" t="s">
        <v>1483</v>
      </c>
      <c r="H49" s="3549"/>
      <c r="I49" s="3549"/>
      <c r="J49" s="3549"/>
      <c r="K49" s="1627">
        <v>0.02</v>
      </c>
      <c r="L49" s="1622">
        <f>L48*K49</f>
        <v>0.30773100000000003</v>
      </c>
      <c r="M49" s="1519">
        <v>25.5</v>
      </c>
      <c r="N49" s="1519"/>
      <c r="P49" s="1581"/>
      <c r="Q49" s="1352" t="s">
        <v>2047</v>
      </c>
      <c r="R49" s="1192"/>
      <c r="S49" s="1192"/>
      <c r="T49" s="1192"/>
      <c r="U49" s="1192"/>
      <c r="V49" s="1628" t="s">
        <v>1483</v>
      </c>
      <c r="W49" s="1192"/>
      <c r="X49" s="1192"/>
      <c r="Y49" s="1192"/>
      <c r="Z49" s="1192"/>
      <c r="AA49" s="1537"/>
    </row>
    <row r="50" spans="1:27" ht="33.75" customHeight="1" thickBot="1">
      <c r="A50" s="1689"/>
      <c r="B50" s="1694" t="s">
        <v>2048</v>
      </c>
      <c r="C50" s="1694"/>
      <c r="D50" s="1694"/>
      <c r="E50" s="1694"/>
      <c r="F50" s="1694"/>
      <c r="G50" s="3614" t="s">
        <v>2289</v>
      </c>
      <c r="H50" s="3615"/>
      <c r="I50" s="3615"/>
      <c r="J50" s="3615"/>
      <c r="K50" s="1630"/>
      <c r="L50" s="1631">
        <f>(L48+L49)/I48</f>
        <v>3.1388562000000002</v>
      </c>
      <c r="M50" s="1519">
        <v>25.5</v>
      </c>
      <c r="N50" s="1519"/>
      <c r="P50" s="1520"/>
      <c r="Q50" s="1632" t="s">
        <v>2048</v>
      </c>
      <c r="R50" s="1633"/>
      <c r="S50" s="1633"/>
      <c r="T50" s="1633"/>
      <c r="U50" s="1633"/>
      <c r="V50" s="1634" t="s">
        <v>1484</v>
      </c>
      <c r="W50" s="1633"/>
      <c r="X50" s="1633"/>
      <c r="Y50" s="1633"/>
      <c r="Z50" s="1635"/>
      <c r="AA50" s="1636">
        <f>AA48/X2</f>
        <v>2.1148100000000003</v>
      </c>
    </row>
    <row r="51" spans="1:27">
      <c r="M51" s="1519"/>
      <c r="N51" s="1519"/>
    </row>
    <row r="52" spans="1:27">
      <c r="M52" s="1519"/>
      <c r="N52" s="1519"/>
    </row>
    <row r="53" spans="1:27">
      <c r="M53" s="1519"/>
      <c r="N53" s="1519"/>
    </row>
    <row r="54" spans="1:27">
      <c r="M54" s="1519"/>
      <c r="N54" s="1519"/>
    </row>
    <row r="55" spans="1:27">
      <c r="M55" s="1519"/>
      <c r="N55" s="1519"/>
    </row>
    <row r="56" spans="1:27">
      <c r="M56" s="1519"/>
      <c r="N56" s="1519"/>
    </row>
    <row r="57" spans="1:27">
      <c r="M57" s="1519"/>
      <c r="N57" s="1519"/>
    </row>
    <row r="58" spans="1:27">
      <c r="M58" s="1519"/>
      <c r="N58" s="1519"/>
    </row>
    <row r="59" spans="1:27">
      <c r="M59" s="1519"/>
      <c r="N59" s="1519"/>
    </row>
    <row r="60" spans="1:27">
      <c r="M60" s="1519"/>
      <c r="N60" s="1519"/>
    </row>
    <row r="61" spans="1:27">
      <c r="M61" s="1519"/>
      <c r="N61" s="1519"/>
    </row>
    <row r="62" spans="1:27">
      <c r="M62" s="1519"/>
      <c r="N62" s="1519"/>
    </row>
    <row r="63" spans="1:27">
      <c r="M63" s="1519"/>
      <c r="N63" s="1519"/>
    </row>
    <row r="64" spans="1:27">
      <c r="M64" s="1519"/>
      <c r="N64" s="1519"/>
    </row>
    <row r="65" spans="13:14">
      <c r="M65" s="1519"/>
      <c r="N65" s="1519"/>
    </row>
    <row r="66" spans="13:14">
      <c r="M66" s="1519"/>
      <c r="N66" s="1519"/>
    </row>
    <row r="67" spans="13:14">
      <c r="M67" s="1519"/>
      <c r="N67" s="1519"/>
    </row>
    <row r="68" spans="13:14">
      <c r="M68" s="1519"/>
      <c r="N68" s="1519"/>
    </row>
    <row r="69" spans="13:14">
      <c r="M69" s="1519"/>
      <c r="N69" s="1519"/>
    </row>
    <row r="70" spans="13:14">
      <c r="M70" s="1519"/>
      <c r="N70" s="1519"/>
    </row>
    <row r="71" spans="13:14">
      <c r="M71" s="1519"/>
      <c r="N71" s="1519"/>
    </row>
    <row r="72" spans="13:14">
      <c r="M72" s="1519"/>
      <c r="N72" s="1519"/>
    </row>
    <row r="73" spans="13:14">
      <c r="M73" s="1519"/>
      <c r="N73" s="1519"/>
    </row>
    <row r="74" spans="13:14">
      <c r="M74" s="1519"/>
      <c r="N74" s="1519"/>
    </row>
    <row r="75" spans="13:14">
      <c r="M75" s="1519"/>
      <c r="N75" s="1519"/>
    </row>
    <row r="76" spans="13:14">
      <c r="M76" s="1519"/>
      <c r="N76" s="1519"/>
    </row>
    <row r="77" spans="13:14">
      <c r="M77" s="1519"/>
      <c r="N77" s="1519"/>
    </row>
    <row r="78" spans="13:14">
      <c r="M78" s="1519"/>
      <c r="N78" s="1519"/>
    </row>
    <row r="79" spans="13:14">
      <c r="M79" s="1519"/>
      <c r="N79" s="1519"/>
    </row>
    <row r="80" spans="13:14">
      <c r="M80" s="1519"/>
      <c r="N80" s="1519"/>
    </row>
    <row r="81" spans="13:14">
      <c r="M81" s="1519"/>
      <c r="N81" s="1519"/>
    </row>
    <row r="82" spans="13:14">
      <c r="M82" s="1519"/>
      <c r="N82" s="1519"/>
    </row>
    <row r="83" spans="13:14">
      <c r="M83" s="1519"/>
      <c r="N83" s="1519"/>
    </row>
    <row r="84" spans="13:14">
      <c r="M84" s="1519"/>
      <c r="N84" s="1519"/>
    </row>
    <row r="85" spans="13:14">
      <c r="M85" s="1519"/>
      <c r="N85" s="1519"/>
    </row>
    <row r="86" spans="13:14">
      <c r="M86" s="1519"/>
      <c r="N86" s="1519"/>
    </row>
    <row r="87" spans="13:14">
      <c r="M87" s="1519"/>
      <c r="N87" s="1519"/>
    </row>
    <row r="88" spans="13:14">
      <c r="M88" s="1519"/>
      <c r="N88" s="1519"/>
    </row>
    <row r="89" spans="13:14">
      <c r="M89" s="1519"/>
      <c r="N89" s="1519"/>
    </row>
    <row r="90" spans="13:14">
      <c r="M90" s="1519"/>
      <c r="N90" s="1519"/>
    </row>
    <row r="91" spans="13:14">
      <c r="M91" s="1519"/>
      <c r="N91" s="1519"/>
    </row>
    <row r="92" spans="13:14">
      <c r="M92" s="1519"/>
      <c r="N92" s="1519"/>
    </row>
    <row r="93" spans="13:14">
      <c r="M93" s="1519"/>
      <c r="N93" s="1519"/>
    </row>
    <row r="94" spans="13:14">
      <c r="M94" s="1519"/>
      <c r="N94" s="1519"/>
    </row>
    <row r="95" spans="13:14">
      <c r="M95" s="1519"/>
      <c r="N95" s="1519"/>
    </row>
    <row r="96" spans="13:14">
      <c r="M96" s="1519"/>
      <c r="N96" s="1519"/>
    </row>
    <row r="97" spans="13:14">
      <c r="M97" s="1519"/>
      <c r="N97" s="1519"/>
    </row>
    <row r="98" spans="13:14">
      <c r="M98" s="1519"/>
      <c r="N98" s="1519"/>
    </row>
  </sheetData>
  <mergeCells count="8">
    <mergeCell ref="G49:J49"/>
    <mergeCell ref="G50:J50"/>
    <mergeCell ref="P1:AA1"/>
    <mergeCell ref="B2:G2"/>
    <mergeCell ref="Q2:V2"/>
    <mergeCell ref="B4:E4"/>
    <mergeCell ref="Q4:T4"/>
    <mergeCell ref="G48:H48"/>
  </mergeCells>
  <printOptions horizontalCentered="1" verticalCentered="1"/>
  <pageMargins left="0" right="0" top="0.15748031496062992" bottom="0" header="0" footer="0"/>
  <pageSetup paperSize="9" orientation="portrait" horizontalDpi="300" verticalDpi="300" r:id="rId1"/>
  <headerFooter alignWithMargins="0">
    <oddHeader>&amp;L&amp;"Copperplate Gothic Light,Normal"&amp;8fiche technique &amp;R2TSB</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C2CD-069D-432C-B9B7-C90DDBC87CE4}">
  <dimension ref="A1:AA98"/>
  <sheetViews>
    <sheetView showZeros="0" zoomScaleNormal="100" workbookViewId="0">
      <selection activeCell="N12" sqref="N12"/>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5.140625" style="1281" customWidth="1"/>
    <col min="24" max="24" width="3.28515625" style="1281" customWidth="1"/>
    <col min="25" max="25" width="6" style="1281" customWidth="1"/>
    <col min="26" max="26" width="5.42578125" style="1281" customWidth="1"/>
    <col min="27" max="27" width="5.7109375" style="1281" customWidth="1"/>
    <col min="28" max="256" width="11.42578125" style="1281"/>
    <col min="257" max="257" width="0" style="1281" hidden="1" customWidth="1"/>
    <col min="258" max="258" width="28.28515625" style="1281" customWidth="1"/>
    <col min="259" max="259" width="16.28515625" style="1281" customWidth="1"/>
    <col min="260" max="260" width="3.42578125" style="1281" customWidth="1"/>
    <col min="261" max="261" width="5.7109375" style="1281" customWidth="1"/>
    <col min="262" max="262" width="5.85546875" style="1281" customWidth="1"/>
    <col min="263" max="263" width="6.7109375" style="1281" customWidth="1"/>
    <col min="264" max="264" width="5.140625" style="1281" customWidth="1"/>
    <col min="265" max="265" width="3.28515625" style="1281" customWidth="1"/>
    <col min="266" max="266" width="6" style="1281" customWidth="1"/>
    <col min="267" max="267" width="5.42578125" style="1281" customWidth="1"/>
    <col min="268" max="268" width="5.7109375" style="1281" customWidth="1"/>
    <col min="269" max="512" width="11.42578125" style="1281"/>
    <col min="513" max="513" width="0" style="1281" hidden="1" customWidth="1"/>
    <col min="514" max="514" width="28.28515625" style="1281" customWidth="1"/>
    <col min="515" max="515" width="16.28515625" style="1281" customWidth="1"/>
    <col min="516" max="516" width="3.42578125" style="1281" customWidth="1"/>
    <col min="517" max="517" width="5.7109375" style="1281" customWidth="1"/>
    <col min="518" max="518" width="5.85546875" style="1281" customWidth="1"/>
    <col min="519" max="519" width="6.7109375" style="1281" customWidth="1"/>
    <col min="520" max="520" width="5.140625" style="1281" customWidth="1"/>
    <col min="521" max="521" width="3.28515625" style="1281" customWidth="1"/>
    <col min="522" max="522" width="6" style="1281" customWidth="1"/>
    <col min="523" max="523" width="5.42578125" style="1281" customWidth="1"/>
    <col min="524" max="524" width="5.7109375" style="1281" customWidth="1"/>
    <col min="525" max="768" width="11.42578125" style="1281"/>
    <col min="769" max="769" width="0" style="1281" hidden="1" customWidth="1"/>
    <col min="770" max="770" width="28.28515625" style="1281" customWidth="1"/>
    <col min="771" max="771" width="16.28515625" style="1281" customWidth="1"/>
    <col min="772" max="772" width="3.42578125" style="1281" customWidth="1"/>
    <col min="773" max="773" width="5.7109375" style="1281" customWidth="1"/>
    <col min="774" max="774" width="5.85546875" style="1281" customWidth="1"/>
    <col min="775" max="775" width="6.7109375" style="1281" customWidth="1"/>
    <col min="776" max="776" width="5.140625" style="1281" customWidth="1"/>
    <col min="777" max="777" width="3.28515625" style="1281" customWidth="1"/>
    <col min="778" max="778" width="6" style="1281" customWidth="1"/>
    <col min="779" max="779" width="5.42578125" style="1281" customWidth="1"/>
    <col min="780" max="780" width="5.7109375" style="1281" customWidth="1"/>
    <col min="781" max="1024" width="11.42578125" style="1281"/>
    <col min="1025" max="1025" width="0" style="1281" hidden="1" customWidth="1"/>
    <col min="1026" max="1026" width="28.28515625" style="1281" customWidth="1"/>
    <col min="1027" max="1027" width="16.28515625" style="1281" customWidth="1"/>
    <col min="1028" max="1028" width="3.42578125" style="1281" customWidth="1"/>
    <col min="1029" max="1029" width="5.7109375" style="1281" customWidth="1"/>
    <col min="1030" max="1030" width="5.85546875" style="1281" customWidth="1"/>
    <col min="1031" max="1031" width="6.7109375" style="1281" customWidth="1"/>
    <col min="1032" max="1032" width="5.140625" style="1281" customWidth="1"/>
    <col min="1033" max="1033" width="3.28515625" style="1281" customWidth="1"/>
    <col min="1034" max="1034" width="6" style="1281" customWidth="1"/>
    <col min="1035" max="1035" width="5.42578125" style="1281" customWidth="1"/>
    <col min="1036" max="1036" width="5.7109375" style="1281" customWidth="1"/>
    <col min="1037" max="1280" width="11.42578125" style="1281"/>
    <col min="1281" max="1281" width="0" style="1281" hidden="1" customWidth="1"/>
    <col min="1282" max="1282" width="28.28515625" style="1281" customWidth="1"/>
    <col min="1283" max="1283" width="16.28515625" style="1281" customWidth="1"/>
    <col min="1284" max="1284" width="3.42578125" style="1281" customWidth="1"/>
    <col min="1285" max="1285" width="5.7109375" style="1281" customWidth="1"/>
    <col min="1286" max="1286" width="5.85546875" style="1281" customWidth="1"/>
    <col min="1287" max="1287" width="6.7109375" style="1281" customWidth="1"/>
    <col min="1288" max="1288" width="5.140625" style="1281" customWidth="1"/>
    <col min="1289" max="1289" width="3.28515625" style="1281" customWidth="1"/>
    <col min="1290" max="1290" width="6" style="1281" customWidth="1"/>
    <col min="1291" max="1291" width="5.42578125" style="1281" customWidth="1"/>
    <col min="1292" max="1292" width="5.7109375" style="1281" customWidth="1"/>
    <col min="1293" max="1536" width="11.42578125" style="1281"/>
    <col min="1537" max="1537" width="0" style="1281" hidden="1" customWidth="1"/>
    <col min="1538" max="1538" width="28.28515625" style="1281" customWidth="1"/>
    <col min="1539" max="1539" width="16.28515625" style="1281" customWidth="1"/>
    <col min="1540" max="1540" width="3.42578125" style="1281" customWidth="1"/>
    <col min="1541" max="1541" width="5.7109375" style="1281" customWidth="1"/>
    <col min="1542" max="1542" width="5.85546875" style="1281" customWidth="1"/>
    <col min="1543" max="1543" width="6.7109375" style="1281" customWidth="1"/>
    <col min="1544" max="1544" width="5.140625" style="1281" customWidth="1"/>
    <col min="1545" max="1545" width="3.28515625" style="1281" customWidth="1"/>
    <col min="1546" max="1546" width="6" style="1281" customWidth="1"/>
    <col min="1547" max="1547" width="5.42578125" style="1281" customWidth="1"/>
    <col min="1548" max="1548" width="5.7109375" style="1281" customWidth="1"/>
    <col min="1549" max="1792" width="11.42578125" style="1281"/>
    <col min="1793" max="1793" width="0" style="1281" hidden="1" customWidth="1"/>
    <col min="1794" max="1794" width="28.28515625" style="1281" customWidth="1"/>
    <col min="1795" max="1795" width="16.28515625" style="1281" customWidth="1"/>
    <col min="1796" max="1796" width="3.42578125" style="1281" customWidth="1"/>
    <col min="1797" max="1797" width="5.7109375" style="1281" customWidth="1"/>
    <col min="1798" max="1798" width="5.85546875" style="1281" customWidth="1"/>
    <col min="1799" max="1799" width="6.7109375" style="1281" customWidth="1"/>
    <col min="1800" max="1800" width="5.140625" style="1281" customWidth="1"/>
    <col min="1801" max="1801" width="3.28515625" style="1281" customWidth="1"/>
    <col min="1802" max="1802" width="6" style="1281" customWidth="1"/>
    <col min="1803" max="1803" width="5.42578125" style="1281" customWidth="1"/>
    <col min="1804" max="1804" width="5.7109375" style="1281" customWidth="1"/>
    <col min="1805" max="2048" width="11.42578125" style="1281"/>
    <col min="2049" max="2049" width="0" style="1281" hidden="1" customWidth="1"/>
    <col min="2050" max="2050" width="28.28515625" style="1281" customWidth="1"/>
    <col min="2051" max="2051" width="16.28515625" style="1281" customWidth="1"/>
    <col min="2052" max="2052" width="3.42578125" style="1281" customWidth="1"/>
    <col min="2053" max="2053" width="5.7109375" style="1281" customWidth="1"/>
    <col min="2054" max="2054" width="5.85546875" style="1281" customWidth="1"/>
    <col min="2055" max="2055" width="6.7109375" style="1281" customWidth="1"/>
    <col min="2056" max="2056" width="5.140625" style="1281" customWidth="1"/>
    <col min="2057" max="2057" width="3.28515625" style="1281" customWidth="1"/>
    <col min="2058" max="2058" width="6" style="1281" customWidth="1"/>
    <col min="2059" max="2059" width="5.42578125" style="1281" customWidth="1"/>
    <col min="2060" max="2060" width="5.7109375" style="1281" customWidth="1"/>
    <col min="2061" max="2304" width="11.42578125" style="1281"/>
    <col min="2305" max="2305" width="0" style="1281" hidden="1" customWidth="1"/>
    <col min="2306" max="2306" width="28.28515625" style="1281" customWidth="1"/>
    <col min="2307" max="2307" width="16.28515625" style="1281" customWidth="1"/>
    <col min="2308" max="2308" width="3.42578125" style="1281" customWidth="1"/>
    <col min="2309" max="2309" width="5.7109375" style="1281" customWidth="1"/>
    <col min="2310" max="2310" width="5.85546875" style="1281" customWidth="1"/>
    <col min="2311" max="2311" width="6.7109375" style="1281" customWidth="1"/>
    <col min="2312" max="2312" width="5.140625" style="1281" customWidth="1"/>
    <col min="2313" max="2313" width="3.28515625" style="1281" customWidth="1"/>
    <col min="2314" max="2314" width="6" style="1281" customWidth="1"/>
    <col min="2315" max="2315" width="5.42578125" style="1281" customWidth="1"/>
    <col min="2316" max="2316" width="5.7109375" style="1281" customWidth="1"/>
    <col min="2317" max="2560" width="11.42578125" style="1281"/>
    <col min="2561" max="2561" width="0" style="1281" hidden="1" customWidth="1"/>
    <col min="2562" max="2562" width="28.28515625" style="1281" customWidth="1"/>
    <col min="2563" max="2563" width="16.28515625" style="1281" customWidth="1"/>
    <col min="2564" max="2564" width="3.42578125" style="1281" customWidth="1"/>
    <col min="2565" max="2565" width="5.7109375" style="1281" customWidth="1"/>
    <col min="2566" max="2566" width="5.85546875" style="1281" customWidth="1"/>
    <col min="2567" max="2567" width="6.7109375" style="1281" customWidth="1"/>
    <col min="2568" max="2568" width="5.140625" style="1281" customWidth="1"/>
    <col min="2569" max="2569" width="3.28515625" style="1281" customWidth="1"/>
    <col min="2570" max="2570" width="6" style="1281" customWidth="1"/>
    <col min="2571" max="2571" width="5.42578125" style="1281" customWidth="1"/>
    <col min="2572" max="2572" width="5.7109375" style="1281" customWidth="1"/>
    <col min="2573" max="2816" width="11.42578125" style="1281"/>
    <col min="2817" max="2817" width="0" style="1281" hidden="1" customWidth="1"/>
    <col min="2818" max="2818" width="28.28515625" style="1281" customWidth="1"/>
    <col min="2819" max="2819" width="16.28515625" style="1281" customWidth="1"/>
    <col min="2820" max="2820" width="3.42578125" style="1281" customWidth="1"/>
    <col min="2821" max="2821" width="5.7109375" style="1281" customWidth="1"/>
    <col min="2822" max="2822" width="5.85546875" style="1281" customWidth="1"/>
    <col min="2823" max="2823" width="6.7109375" style="1281" customWidth="1"/>
    <col min="2824" max="2824" width="5.140625" style="1281" customWidth="1"/>
    <col min="2825" max="2825" width="3.28515625" style="1281" customWidth="1"/>
    <col min="2826" max="2826" width="6" style="1281" customWidth="1"/>
    <col min="2827" max="2827" width="5.42578125" style="1281" customWidth="1"/>
    <col min="2828" max="2828" width="5.7109375" style="1281" customWidth="1"/>
    <col min="2829" max="3072" width="11.42578125" style="1281"/>
    <col min="3073" max="3073" width="0" style="1281" hidden="1" customWidth="1"/>
    <col min="3074" max="3074" width="28.28515625" style="1281" customWidth="1"/>
    <col min="3075" max="3075" width="16.28515625" style="1281" customWidth="1"/>
    <col min="3076" max="3076" width="3.42578125" style="1281" customWidth="1"/>
    <col min="3077" max="3077" width="5.7109375" style="1281" customWidth="1"/>
    <col min="3078" max="3078" width="5.85546875" style="1281" customWidth="1"/>
    <col min="3079" max="3079" width="6.7109375" style="1281" customWidth="1"/>
    <col min="3080" max="3080" width="5.140625" style="1281" customWidth="1"/>
    <col min="3081" max="3081" width="3.28515625" style="1281" customWidth="1"/>
    <col min="3082" max="3082" width="6" style="1281" customWidth="1"/>
    <col min="3083" max="3083" width="5.42578125" style="1281" customWidth="1"/>
    <col min="3084" max="3084" width="5.7109375" style="1281" customWidth="1"/>
    <col min="3085" max="3328" width="11.42578125" style="1281"/>
    <col min="3329" max="3329" width="0" style="1281" hidden="1" customWidth="1"/>
    <col min="3330" max="3330" width="28.28515625" style="1281" customWidth="1"/>
    <col min="3331" max="3331" width="16.28515625" style="1281" customWidth="1"/>
    <col min="3332" max="3332" width="3.42578125" style="1281" customWidth="1"/>
    <col min="3333" max="3333" width="5.7109375" style="1281" customWidth="1"/>
    <col min="3334" max="3334" width="5.85546875" style="1281" customWidth="1"/>
    <col min="3335" max="3335" width="6.7109375" style="1281" customWidth="1"/>
    <col min="3336" max="3336" width="5.140625" style="1281" customWidth="1"/>
    <col min="3337" max="3337" width="3.28515625" style="1281" customWidth="1"/>
    <col min="3338" max="3338" width="6" style="1281" customWidth="1"/>
    <col min="3339" max="3339" width="5.42578125" style="1281" customWidth="1"/>
    <col min="3340" max="3340" width="5.7109375" style="1281" customWidth="1"/>
    <col min="3341" max="3584" width="11.42578125" style="1281"/>
    <col min="3585" max="3585" width="0" style="1281" hidden="1" customWidth="1"/>
    <col min="3586" max="3586" width="28.28515625" style="1281" customWidth="1"/>
    <col min="3587" max="3587" width="16.28515625" style="1281" customWidth="1"/>
    <col min="3588" max="3588" width="3.42578125" style="1281" customWidth="1"/>
    <col min="3589" max="3589" width="5.7109375" style="1281" customWidth="1"/>
    <col min="3590" max="3590" width="5.85546875" style="1281" customWidth="1"/>
    <col min="3591" max="3591" width="6.7109375" style="1281" customWidth="1"/>
    <col min="3592" max="3592" width="5.140625" style="1281" customWidth="1"/>
    <col min="3593" max="3593" width="3.28515625" style="1281" customWidth="1"/>
    <col min="3594" max="3594" width="6" style="1281" customWidth="1"/>
    <col min="3595" max="3595" width="5.42578125" style="1281" customWidth="1"/>
    <col min="3596" max="3596" width="5.7109375" style="1281" customWidth="1"/>
    <col min="3597" max="3840" width="11.42578125" style="1281"/>
    <col min="3841" max="3841" width="0" style="1281" hidden="1" customWidth="1"/>
    <col min="3842" max="3842" width="28.28515625" style="1281" customWidth="1"/>
    <col min="3843" max="3843" width="16.28515625" style="1281" customWidth="1"/>
    <col min="3844" max="3844" width="3.42578125" style="1281" customWidth="1"/>
    <col min="3845" max="3845" width="5.7109375" style="1281" customWidth="1"/>
    <col min="3846" max="3846" width="5.85546875" style="1281" customWidth="1"/>
    <col min="3847" max="3847" width="6.7109375" style="1281" customWidth="1"/>
    <col min="3848" max="3848" width="5.140625" style="1281" customWidth="1"/>
    <col min="3849" max="3849" width="3.28515625" style="1281" customWidth="1"/>
    <col min="3850" max="3850" width="6" style="1281" customWidth="1"/>
    <col min="3851" max="3851" width="5.42578125" style="1281" customWidth="1"/>
    <col min="3852" max="3852" width="5.7109375" style="1281" customWidth="1"/>
    <col min="3853" max="4096" width="11.42578125" style="1281"/>
    <col min="4097" max="4097" width="0" style="1281" hidden="1" customWidth="1"/>
    <col min="4098" max="4098" width="28.28515625" style="1281" customWidth="1"/>
    <col min="4099" max="4099" width="16.28515625" style="1281" customWidth="1"/>
    <col min="4100" max="4100" width="3.42578125" style="1281" customWidth="1"/>
    <col min="4101" max="4101" width="5.7109375" style="1281" customWidth="1"/>
    <col min="4102" max="4102" width="5.85546875" style="1281" customWidth="1"/>
    <col min="4103" max="4103" width="6.7109375" style="1281" customWidth="1"/>
    <col min="4104" max="4104" width="5.140625" style="1281" customWidth="1"/>
    <col min="4105" max="4105" width="3.28515625" style="1281" customWidth="1"/>
    <col min="4106" max="4106" width="6" style="1281" customWidth="1"/>
    <col min="4107" max="4107" width="5.42578125" style="1281" customWidth="1"/>
    <col min="4108" max="4108" width="5.7109375" style="1281" customWidth="1"/>
    <col min="4109" max="4352" width="11.42578125" style="1281"/>
    <col min="4353" max="4353" width="0" style="1281" hidden="1" customWidth="1"/>
    <col min="4354" max="4354" width="28.28515625" style="1281" customWidth="1"/>
    <col min="4355" max="4355" width="16.28515625" style="1281" customWidth="1"/>
    <col min="4356" max="4356" width="3.42578125" style="1281" customWidth="1"/>
    <col min="4357" max="4357" width="5.7109375" style="1281" customWidth="1"/>
    <col min="4358" max="4358" width="5.85546875" style="1281" customWidth="1"/>
    <col min="4359" max="4359" width="6.7109375" style="1281" customWidth="1"/>
    <col min="4360" max="4360" width="5.140625" style="1281" customWidth="1"/>
    <col min="4361" max="4361" width="3.28515625" style="1281" customWidth="1"/>
    <col min="4362" max="4362" width="6" style="1281" customWidth="1"/>
    <col min="4363" max="4363" width="5.42578125" style="1281" customWidth="1"/>
    <col min="4364" max="4364" width="5.7109375" style="1281" customWidth="1"/>
    <col min="4365" max="4608" width="11.42578125" style="1281"/>
    <col min="4609" max="4609" width="0" style="1281" hidden="1" customWidth="1"/>
    <col min="4610" max="4610" width="28.28515625" style="1281" customWidth="1"/>
    <col min="4611" max="4611" width="16.28515625" style="1281" customWidth="1"/>
    <col min="4612" max="4612" width="3.42578125" style="1281" customWidth="1"/>
    <col min="4613" max="4613" width="5.7109375" style="1281" customWidth="1"/>
    <col min="4614" max="4614" width="5.85546875" style="1281" customWidth="1"/>
    <col min="4615" max="4615" width="6.7109375" style="1281" customWidth="1"/>
    <col min="4616" max="4616" width="5.140625" style="1281" customWidth="1"/>
    <col min="4617" max="4617" width="3.28515625" style="1281" customWidth="1"/>
    <col min="4618" max="4618" width="6" style="1281" customWidth="1"/>
    <col min="4619" max="4619" width="5.42578125" style="1281" customWidth="1"/>
    <col min="4620" max="4620" width="5.7109375" style="1281" customWidth="1"/>
    <col min="4621" max="4864" width="11.42578125" style="1281"/>
    <col min="4865" max="4865" width="0" style="1281" hidden="1" customWidth="1"/>
    <col min="4866" max="4866" width="28.28515625" style="1281" customWidth="1"/>
    <col min="4867" max="4867" width="16.28515625" style="1281" customWidth="1"/>
    <col min="4868" max="4868" width="3.42578125" style="1281" customWidth="1"/>
    <col min="4869" max="4869" width="5.7109375" style="1281" customWidth="1"/>
    <col min="4870" max="4870" width="5.85546875" style="1281" customWidth="1"/>
    <col min="4871" max="4871" width="6.7109375" style="1281" customWidth="1"/>
    <col min="4872" max="4872" width="5.140625" style="1281" customWidth="1"/>
    <col min="4873" max="4873" width="3.28515625" style="1281" customWidth="1"/>
    <col min="4874" max="4874" width="6" style="1281" customWidth="1"/>
    <col min="4875" max="4875" width="5.42578125" style="1281" customWidth="1"/>
    <col min="4876" max="4876" width="5.7109375" style="1281" customWidth="1"/>
    <col min="4877" max="5120" width="11.42578125" style="1281"/>
    <col min="5121" max="5121" width="0" style="1281" hidden="1" customWidth="1"/>
    <col min="5122" max="5122" width="28.28515625" style="1281" customWidth="1"/>
    <col min="5123" max="5123" width="16.28515625" style="1281" customWidth="1"/>
    <col min="5124" max="5124" width="3.42578125" style="1281" customWidth="1"/>
    <col min="5125" max="5125" width="5.7109375" style="1281" customWidth="1"/>
    <col min="5126" max="5126" width="5.85546875" style="1281" customWidth="1"/>
    <col min="5127" max="5127" width="6.7109375" style="1281" customWidth="1"/>
    <col min="5128" max="5128" width="5.140625" style="1281" customWidth="1"/>
    <col min="5129" max="5129" width="3.28515625" style="1281" customWidth="1"/>
    <col min="5130" max="5130" width="6" style="1281" customWidth="1"/>
    <col min="5131" max="5131" width="5.42578125" style="1281" customWidth="1"/>
    <col min="5132" max="5132" width="5.7109375" style="1281" customWidth="1"/>
    <col min="5133" max="5376" width="11.42578125" style="1281"/>
    <col min="5377" max="5377" width="0" style="1281" hidden="1" customWidth="1"/>
    <col min="5378" max="5378" width="28.28515625" style="1281" customWidth="1"/>
    <col min="5379" max="5379" width="16.28515625" style="1281" customWidth="1"/>
    <col min="5380" max="5380" width="3.42578125" style="1281" customWidth="1"/>
    <col min="5381" max="5381" width="5.7109375" style="1281" customWidth="1"/>
    <col min="5382" max="5382" width="5.85546875" style="1281" customWidth="1"/>
    <col min="5383" max="5383" width="6.7109375" style="1281" customWidth="1"/>
    <col min="5384" max="5384" width="5.140625" style="1281" customWidth="1"/>
    <col min="5385" max="5385" width="3.28515625" style="1281" customWidth="1"/>
    <col min="5386" max="5386" width="6" style="1281" customWidth="1"/>
    <col min="5387" max="5387" width="5.42578125" style="1281" customWidth="1"/>
    <col min="5388" max="5388" width="5.7109375" style="1281" customWidth="1"/>
    <col min="5389" max="5632" width="11.42578125" style="1281"/>
    <col min="5633" max="5633" width="0" style="1281" hidden="1" customWidth="1"/>
    <col min="5634" max="5634" width="28.28515625" style="1281" customWidth="1"/>
    <col min="5635" max="5635" width="16.28515625" style="1281" customWidth="1"/>
    <col min="5636" max="5636" width="3.42578125" style="1281" customWidth="1"/>
    <col min="5637" max="5637" width="5.7109375" style="1281" customWidth="1"/>
    <col min="5638" max="5638" width="5.85546875" style="1281" customWidth="1"/>
    <col min="5639" max="5639" width="6.7109375" style="1281" customWidth="1"/>
    <col min="5640" max="5640" width="5.140625" style="1281" customWidth="1"/>
    <col min="5641" max="5641" width="3.28515625" style="1281" customWidth="1"/>
    <col min="5642" max="5642" width="6" style="1281" customWidth="1"/>
    <col min="5643" max="5643" width="5.42578125" style="1281" customWidth="1"/>
    <col min="5644" max="5644" width="5.7109375" style="1281" customWidth="1"/>
    <col min="5645" max="5888" width="11.42578125" style="1281"/>
    <col min="5889" max="5889" width="0" style="1281" hidden="1" customWidth="1"/>
    <col min="5890" max="5890" width="28.28515625" style="1281" customWidth="1"/>
    <col min="5891" max="5891" width="16.28515625" style="1281" customWidth="1"/>
    <col min="5892" max="5892" width="3.42578125" style="1281" customWidth="1"/>
    <col min="5893" max="5893" width="5.7109375" style="1281" customWidth="1"/>
    <col min="5894" max="5894" width="5.85546875" style="1281" customWidth="1"/>
    <col min="5895" max="5895" width="6.7109375" style="1281" customWidth="1"/>
    <col min="5896" max="5896" width="5.140625" style="1281" customWidth="1"/>
    <col min="5897" max="5897" width="3.28515625" style="1281" customWidth="1"/>
    <col min="5898" max="5898" width="6" style="1281" customWidth="1"/>
    <col min="5899" max="5899" width="5.42578125" style="1281" customWidth="1"/>
    <col min="5900" max="5900" width="5.7109375" style="1281" customWidth="1"/>
    <col min="5901" max="6144" width="11.42578125" style="1281"/>
    <col min="6145" max="6145" width="0" style="1281" hidden="1" customWidth="1"/>
    <col min="6146" max="6146" width="28.28515625" style="1281" customWidth="1"/>
    <col min="6147" max="6147" width="16.28515625" style="1281" customWidth="1"/>
    <col min="6148" max="6148" width="3.42578125" style="1281" customWidth="1"/>
    <col min="6149" max="6149" width="5.7109375" style="1281" customWidth="1"/>
    <col min="6150" max="6150" width="5.85546875" style="1281" customWidth="1"/>
    <col min="6151" max="6151" width="6.7109375" style="1281" customWidth="1"/>
    <col min="6152" max="6152" width="5.140625" style="1281" customWidth="1"/>
    <col min="6153" max="6153" width="3.28515625" style="1281" customWidth="1"/>
    <col min="6154" max="6154" width="6" style="1281" customWidth="1"/>
    <col min="6155" max="6155" width="5.42578125" style="1281" customWidth="1"/>
    <col min="6156" max="6156" width="5.7109375" style="1281" customWidth="1"/>
    <col min="6157" max="6400" width="11.42578125" style="1281"/>
    <col min="6401" max="6401" width="0" style="1281" hidden="1" customWidth="1"/>
    <col min="6402" max="6402" width="28.28515625" style="1281" customWidth="1"/>
    <col min="6403" max="6403" width="16.28515625" style="1281" customWidth="1"/>
    <col min="6404" max="6404" width="3.42578125" style="1281" customWidth="1"/>
    <col min="6405" max="6405" width="5.7109375" style="1281" customWidth="1"/>
    <col min="6406" max="6406" width="5.85546875" style="1281" customWidth="1"/>
    <col min="6407" max="6407" width="6.7109375" style="1281" customWidth="1"/>
    <col min="6408" max="6408" width="5.140625" style="1281" customWidth="1"/>
    <col min="6409" max="6409" width="3.28515625" style="1281" customWidth="1"/>
    <col min="6410" max="6410" width="6" style="1281" customWidth="1"/>
    <col min="6411" max="6411" width="5.42578125" style="1281" customWidth="1"/>
    <col min="6412" max="6412" width="5.7109375" style="1281" customWidth="1"/>
    <col min="6413" max="6656" width="11.42578125" style="1281"/>
    <col min="6657" max="6657" width="0" style="1281" hidden="1" customWidth="1"/>
    <col min="6658" max="6658" width="28.28515625" style="1281" customWidth="1"/>
    <col min="6659" max="6659" width="16.28515625" style="1281" customWidth="1"/>
    <col min="6660" max="6660" width="3.42578125" style="1281" customWidth="1"/>
    <col min="6661" max="6661" width="5.7109375" style="1281" customWidth="1"/>
    <col min="6662" max="6662" width="5.85546875" style="1281" customWidth="1"/>
    <col min="6663" max="6663" width="6.7109375" style="1281" customWidth="1"/>
    <col min="6664" max="6664" width="5.140625" style="1281" customWidth="1"/>
    <col min="6665" max="6665" width="3.28515625" style="1281" customWidth="1"/>
    <col min="6666" max="6666" width="6" style="1281" customWidth="1"/>
    <col min="6667" max="6667" width="5.42578125" style="1281" customWidth="1"/>
    <col min="6668" max="6668" width="5.7109375" style="1281" customWidth="1"/>
    <col min="6669" max="6912" width="11.42578125" style="1281"/>
    <col min="6913" max="6913" width="0" style="1281" hidden="1" customWidth="1"/>
    <col min="6914" max="6914" width="28.28515625" style="1281" customWidth="1"/>
    <col min="6915" max="6915" width="16.28515625" style="1281" customWidth="1"/>
    <col min="6916" max="6916" width="3.42578125" style="1281" customWidth="1"/>
    <col min="6917" max="6917" width="5.7109375" style="1281" customWidth="1"/>
    <col min="6918" max="6918" width="5.85546875" style="1281" customWidth="1"/>
    <col min="6919" max="6919" width="6.7109375" style="1281" customWidth="1"/>
    <col min="6920" max="6920" width="5.140625" style="1281" customWidth="1"/>
    <col min="6921" max="6921" width="3.28515625" style="1281" customWidth="1"/>
    <col min="6922" max="6922" width="6" style="1281" customWidth="1"/>
    <col min="6923" max="6923" width="5.42578125" style="1281" customWidth="1"/>
    <col min="6924" max="6924" width="5.7109375" style="1281" customWidth="1"/>
    <col min="6925" max="7168" width="11.42578125" style="1281"/>
    <col min="7169" max="7169" width="0" style="1281" hidden="1" customWidth="1"/>
    <col min="7170" max="7170" width="28.28515625" style="1281" customWidth="1"/>
    <col min="7171" max="7171" width="16.28515625" style="1281" customWidth="1"/>
    <col min="7172" max="7172" width="3.42578125" style="1281" customWidth="1"/>
    <col min="7173" max="7173" width="5.7109375" style="1281" customWidth="1"/>
    <col min="7174" max="7174" width="5.85546875" style="1281" customWidth="1"/>
    <col min="7175" max="7175" width="6.7109375" style="1281" customWidth="1"/>
    <col min="7176" max="7176" width="5.140625" style="1281" customWidth="1"/>
    <col min="7177" max="7177" width="3.28515625" style="1281" customWidth="1"/>
    <col min="7178" max="7178" width="6" style="1281" customWidth="1"/>
    <col min="7179" max="7179" width="5.42578125" style="1281" customWidth="1"/>
    <col min="7180" max="7180" width="5.7109375" style="1281" customWidth="1"/>
    <col min="7181" max="7424" width="11.42578125" style="1281"/>
    <col min="7425" max="7425" width="0" style="1281" hidden="1" customWidth="1"/>
    <col min="7426" max="7426" width="28.28515625" style="1281" customWidth="1"/>
    <col min="7427" max="7427" width="16.28515625" style="1281" customWidth="1"/>
    <col min="7428" max="7428" width="3.42578125" style="1281" customWidth="1"/>
    <col min="7429" max="7429" width="5.7109375" style="1281" customWidth="1"/>
    <col min="7430" max="7430" width="5.85546875" style="1281" customWidth="1"/>
    <col min="7431" max="7431" width="6.7109375" style="1281" customWidth="1"/>
    <col min="7432" max="7432" width="5.140625" style="1281" customWidth="1"/>
    <col min="7433" max="7433" width="3.28515625" style="1281" customWidth="1"/>
    <col min="7434" max="7434" width="6" style="1281" customWidth="1"/>
    <col min="7435" max="7435" width="5.42578125" style="1281" customWidth="1"/>
    <col min="7436" max="7436" width="5.7109375" style="1281" customWidth="1"/>
    <col min="7437" max="7680" width="11.42578125" style="1281"/>
    <col min="7681" max="7681" width="0" style="1281" hidden="1" customWidth="1"/>
    <col min="7682" max="7682" width="28.28515625" style="1281" customWidth="1"/>
    <col min="7683" max="7683" width="16.28515625" style="1281" customWidth="1"/>
    <col min="7684" max="7684" width="3.42578125" style="1281" customWidth="1"/>
    <col min="7685" max="7685" width="5.7109375" style="1281" customWidth="1"/>
    <col min="7686" max="7686" width="5.85546875" style="1281" customWidth="1"/>
    <col min="7687" max="7687" width="6.7109375" style="1281" customWidth="1"/>
    <col min="7688" max="7688" width="5.140625" style="1281" customWidth="1"/>
    <col min="7689" max="7689" width="3.28515625" style="1281" customWidth="1"/>
    <col min="7690" max="7690" width="6" style="1281" customWidth="1"/>
    <col min="7691" max="7691" width="5.42578125" style="1281" customWidth="1"/>
    <col min="7692" max="7692" width="5.7109375" style="1281" customWidth="1"/>
    <col min="7693" max="7936" width="11.42578125" style="1281"/>
    <col min="7937" max="7937" width="0" style="1281" hidden="1" customWidth="1"/>
    <col min="7938" max="7938" width="28.28515625" style="1281" customWidth="1"/>
    <col min="7939" max="7939" width="16.28515625" style="1281" customWidth="1"/>
    <col min="7940" max="7940" width="3.42578125" style="1281" customWidth="1"/>
    <col min="7941" max="7941" width="5.7109375" style="1281" customWidth="1"/>
    <col min="7942" max="7942" width="5.85546875" style="1281" customWidth="1"/>
    <col min="7943" max="7943" width="6.7109375" style="1281" customWidth="1"/>
    <col min="7944" max="7944" width="5.140625" style="1281" customWidth="1"/>
    <col min="7945" max="7945" width="3.28515625" style="1281" customWidth="1"/>
    <col min="7946" max="7946" width="6" style="1281" customWidth="1"/>
    <col min="7947" max="7947" width="5.42578125" style="1281" customWidth="1"/>
    <col min="7948" max="7948" width="5.7109375" style="1281" customWidth="1"/>
    <col min="7949" max="8192" width="11.42578125" style="1281"/>
    <col min="8193" max="8193" width="0" style="1281" hidden="1" customWidth="1"/>
    <col min="8194" max="8194" width="28.28515625" style="1281" customWidth="1"/>
    <col min="8195" max="8195" width="16.28515625" style="1281" customWidth="1"/>
    <col min="8196" max="8196" width="3.42578125" style="1281" customWidth="1"/>
    <col min="8197" max="8197" width="5.7109375" style="1281" customWidth="1"/>
    <col min="8198" max="8198" width="5.85546875" style="1281" customWidth="1"/>
    <col min="8199" max="8199" width="6.7109375" style="1281" customWidth="1"/>
    <col min="8200" max="8200" width="5.140625" style="1281" customWidth="1"/>
    <col min="8201" max="8201" width="3.28515625" style="1281" customWidth="1"/>
    <col min="8202" max="8202" width="6" style="1281" customWidth="1"/>
    <col min="8203" max="8203" width="5.42578125" style="1281" customWidth="1"/>
    <col min="8204" max="8204" width="5.7109375" style="1281" customWidth="1"/>
    <col min="8205" max="8448" width="11.42578125" style="1281"/>
    <col min="8449" max="8449" width="0" style="1281" hidden="1" customWidth="1"/>
    <col min="8450" max="8450" width="28.28515625" style="1281" customWidth="1"/>
    <col min="8451" max="8451" width="16.28515625" style="1281" customWidth="1"/>
    <col min="8452" max="8452" width="3.42578125" style="1281" customWidth="1"/>
    <col min="8453" max="8453" width="5.7109375" style="1281" customWidth="1"/>
    <col min="8454" max="8454" width="5.85546875" style="1281" customWidth="1"/>
    <col min="8455" max="8455" width="6.7109375" style="1281" customWidth="1"/>
    <col min="8456" max="8456" width="5.140625" style="1281" customWidth="1"/>
    <col min="8457" max="8457" width="3.28515625" style="1281" customWidth="1"/>
    <col min="8458" max="8458" width="6" style="1281" customWidth="1"/>
    <col min="8459" max="8459" width="5.42578125" style="1281" customWidth="1"/>
    <col min="8460" max="8460" width="5.7109375" style="1281" customWidth="1"/>
    <col min="8461" max="8704" width="11.42578125" style="1281"/>
    <col min="8705" max="8705" width="0" style="1281" hidden="1" customWidth="1"/>
    <col min="8706" max="8706" width="28.28515625" style="1281" customWidth="1"/>
    <col min="8707" max="8707" width="16.28515625" style="1281" customWidth="1"/>
    <col min="8708" max="8708" width="3.42578125" style="1281" customWidth="1"/>
    <col min="8709" max="8709" width="5.7109375" style="1281" customWidth="1"/>
    <col min="8710" max="8710" width="5.85546875" style="1281" customWidth="1"/>
    <col min="8711" max="8711" width="6.7109375" style="1281" customWidth="1"/>
    <col min="8712" max="8712" width="5.140625" style="1281" customWidth="1"/>
    <col min="8713" max="8713" width="3.28515625" style="1281" customWidth="1"/>
    <col min="8714" max="8714" width="6" style="1281" customWidth="1"/>
    <col min="8715" max="8715" width="5.42578125" style="1281" customWidth="1"/>
    <col min="8716" max="8716" width="5.7109375" style="1281" customWidth="1"/>
    <col min="8717" max="8960" width="11.42578125" style="1281"/>
    <col min="8961" max="8961" width="0" style="1281" hidden="1" customWidth="1"/>
    <col min="8962" max="8962" width="28.28515625" style="1281" customWidth="1"/>
    <col min="8963" max="8963" width="16.28515625" style="1281" customWidth="1"/>
    <col min="8964" max="8964" width="3.42578125" style="1281" customWidth="1"/>
    <col min="8965" max="8965" width="5.7109375" style="1281" customWidth="1"/>
    <col min="8966" max="8966" width="5.85546875" style="1281" customWidth="1"/>
    <col min="8967" max="8967" width="6.7109375" style="1281" customWidth="1"/>
    <col min="8968" max="8968" width="5.140625" style="1281" customWidth="1"/>
    <col min="8969" max="8969" width="3.28515625" style="1281" customWidth="1"/>
    <col min="8970" max="8970" width="6" style="1281" customWidth="1"/>
    <col min="8971" max="8971" width="5.42578125" style="1281" customWidth="1"/>
    <col min="8972" max="8972" width="5.7109375" style="1281" customWidth="1"/>
    <col min="8973" max="9216" width="11.42578125" style="1281"/>
    <col min="9217" max="9217" width="0" style="1281" hidden="1" customWidth="1"/>
    <col min="9218" max="9218" width="28.28515625" style="1281" customWidth="1"/>
    <col min="9219" max="9219" width="16.28515625" style="1281" customWidth="1"/>
    <col min="9220" max="9220" width="3.42578125" style="1281" customWidth="1"/>
    <col min="9221" max="9221" width="5.7109375" style="1281" customWidth="1"/>
    <col min="9222" max="9222" width="5.85546875" style="1281" customWidth="1"/>
    <col min="9223" max="9223" width="6.7109375" style="1281" customWidth="1"/>
    <col min="9224" max="9224" width="5.140625" style="1281" customWidth="1"/>
    <col min="9225" max="9225" width="3.28515625" style="1281" customWidth="1"/>
    <col min="9226" max="9226" width="6" style="1281" customWidth="1"/>
    <col min="9227" max="9227" width="5.42578125" style="1281" customWidth="1"/>
    <col min="9228" max="9228" width="5.7109375" style="1281" customWidth="1"/>
    <col min="9229" max="9472" width="11.42578125" style="1281"/>
    <col min="9473" max="9473" width="0" style="1281" hidden="1" customWidth="1"/>
    <col min="9474" max="9474" width="28.28515625" style="1281" customWidth="1"/>
    <col min="9475" max="9475" width="16.28515625" style="1281" customWidth="1"/>
    <col min="9476" max="9476" width="3.42578125" style="1281" customWidth="1"/>
    <col min="9477" max="9477" width="5.7109375" style="1281" customWidth="1"/>
    <col min="9478" max="9478" width="5.85546875" style="1281" customWidth="1"/>
    <col min="9479" max="9479" width="6.7109375" style="1281" customWidth="1"/>
    <col min="9480" max="9480" width="5.140625" style="1281" customWidth="1"/>
    <col min="9481" max="9481" width="3.28515625" style="1281" customWidth="1"/>
    <col min="9482" max="9482" width="6" style="1281" customWidth="1"/>
    <col min="9483" max="9483" width="5.42578125" style="1281" customWidth="1"/>
    <col min="9484" max="9484" width="5.7109375" style="1281" customWidth="1"/>
    <col min="9485" max="9728" width="11.42578125" style="1281"/>
    <col min="9729" max="9729" width="0" style="1281" hidden="1" customWidth="1"/>
    <col min="9730" max="9730" width="28.28515625" style="1281" customWidth="1"/>
    <col min="9731" max="9731" width="16.28515625" style="1281" customWidth="1"/>
    <col min="9732" max="9732" width="3.42578125" style="1281" customWidth="1"/>
    <col min="9733" max="9733" width="5.7109375" style="1281" customWidth="1"/>
    <col min="9734" max="9734" width="5.85546875" style="1281" customWidth="1"/>
    <col min="9735" max="9735" width="6.7109375" style="1281" customWidth="1"/>
    <col min="9736" max="9736" width="5.140625" style="1281" customWidth="1"/>
    <col min="9737" max="9737" width="3.28515625" style="1281" customWidth="1"/>
    <col min="9738" max="9738" width="6" style="1281" customWidth="1"/>
    <col min="9739" max="9739" width="5.42578125" style="1281" customWidth="1"/>
    <col min="9740" max="9740" width="5.7109375" style="1281" customWidth="1"/>
    <col min="9741" max="9984" width="11.42578125" style="1281"/>
    <col min="9985" max="9985" width="0" style="1281" hidden="1" customWidth="1"/>
    <col min="9986" max="9986" width="28.28515625" style="1281" customWidth="1"/>
    <col min="9987" max="9987" width="16.28515625" style="1281" customWidth="1"/>
    <col min="9988" max="9988" width="3.42578125" style="1281" customWidth="1"/>
    <col min="9989" max="9989" width="5.7109375" style="1281" customWidth="1"/>
    <col min="9990" max="9990" width="5.85546875" style="1281" customWidth="1"/>
    <col min="9991" max="9991" width="6.7109375" style="1281" customWidth="1"/>
    <col min="9992" max="9992" width="5.140625" style="1281" customWidth="1"/>
    <col min="9993" max="9993" width="3.28515625" style="1281" customWidth="1"/>
    <col min="9994" max="9994" width="6" style="1281" customWidth="1"/>
    <col min="9995" max="9995" width="5.42578125" style="1281" customWidth="1"/>
    <col min="9996" max="9996" width="5.7109375" style="1281" customWidth="1"/>
    <col min="9997" max="10240" width="11.42578125" style="1281"/>
    <col min="10241" max="10241" width="0" style="1281" hidden="1" customWidth="1"/>
    <col min="10242" max="10242" width="28.28515625" style="1281" customWidth="1"/>
    <col min="10243" max="10243" width="16.28515625" style="1281" customWidth="1"/>
    <col min="10244" max="10244" width="3.42578125" style="1281" customWidth="1"/>
    <col min="10245" max="10245" width="5.7109375" style="1281" customWidth="1"/>
    <col min="10246" max="10246" width="5.85546875" style="1281" customWidth="1"/>
    <col min="10247" max="10247" width="6.7109375" style="1281" customWidth="1"/>
    <col min="10248" max="10248" width="5.140625" style="1281" customWidth="1"/>
    <col min="10249" max="10249" width="3.28515625" style="1281" customWidth="1"/>
    <col min="10250" max="10250" width="6" style="1281" customWidth="1"/>
    <col min="10251" max="10251" width="5.42578125" style="1281" customWidth="1"/>
    <col min="10252" max="10252" width="5.7109375" style="1281" customWidth="1"/>
    <col min="10253" max="10496" width="11.42578125" style="1281"/>
    <col min="10497" max="10497" width="0" style="1281" hidden="1" customWidth="1"/>
    <col min="10498" max="10498" width="28.28515625" style="1281" customWidth="1"/>
    <col min="10499" max="10499" width="16.28515625" style="1281" customWidth="1"/>
    <col min="10500" max="10500" width="3.42578125" style="1281" customWidth="1"/>
    <col min="10501" max="10501" width="5.7109375" style="1281" customWidth="1"/>
    <col min="10502" max="10502" width="5.85546875" style="1281" customWidth="1"/>
    <col min="10503" max="10503" width="6.7109375" style="1281" customWidth="1"/>
    <col min="10504" max="10504" width="5.140625" style="1281" customWidth="1"/>
    <col min="10505" max="10505" width="3.28515625" style="1281" customWidth="1"/>
    <col min="10506" max="10506" width="6" style="1281" customWidth="1"/>
    <col min="10507" max="10507" width="5.42578125" style="1281" customWidth="1"/>
    <col min="10508" max="10508" width="5.7109375" style="1281" customWidth="1"/>
    <col min="10509" max="10752" width="11.42578125" style="1281"/>
    <col min="10753" max="10753" width="0" style="1281" hidden="1" customWidth="1"/>
    <col min="10754" max="10754" width="28.28515625" style="1281" customWidth="1"/>
    <col min="10755" max="10755" width="16.28515625" style="1281" customWidth="1"/>
    <col min="10756" max="10756" width="3.42578125" style="1281" customWidth="1"/>
    <col min="10757" max="10757" width="5.7109375" style="1281" customWidth="1"/>
    <col min="10758" max="10758" width="5.85546875" style="1281" customWidth="1"/>
    <col min="10759" max="10759" width="6.7109375" style="1281" customWidth="1"/>
    <col min="10760" max="10760" width="5.140625" style="1281" customWidth="1"/>
    <col min="10761" max="10761" width="3.28515625" style="1281" customWidth="1"/>
    <col min="10762" max="10762" width="6" style="1281" customWidth="1"/>
    <col min="10763" max="10763" width="5.42578125" style="1281" customWidth="1"/>
    <col min="10764" max="10764" width="5.7109375" style="1281" customWidth="1"/>
    <col min="10765" max="11008" width="11.42578125" style="1281"/>
    <col min="11009" max="11009" width="0" style="1281" hidden="1" customWidth="1"/>
    <col min="11010" max="11010" width="28.28515625" style="1281" customWidth="1"/>
    <col min="11011" max="11011" width="16.28515625" style="1281" customWidth="1"/>
    <col min="11012" max="11012" width="3.42578125" style="1281" customWidth="1"/>
    <col min="11013" max="11013" width="5.7109375" style="1281" customWidth="1"/>
    <col min="11014" max="11014" width="5.85546875" style="1281" customWidth="1"/>
    <col min="11015" max="11015" width="6.7109375" style="1281" customWidth="1"/>
    <col min="11016" max="11016" width="5.140625" style="1281" customWidth="1"/>
    <col min="11017" max="11017" width="3.28515625" style="1281" customWidth="1"/>
    <col min="11018" max="11018" width="6" style="1281" customWidth="1"/>
    <col min="11019" max="11019" width="5.42578125" style="1281" customWidth="1"/>
    <col min="11020" max="11020" width="5.7109375" style="1281" customWidth="1"/>
    <col min="11021" max="11264" width="11.42578125" style="1281"/>
    <col min="11265" max="11265" width="0" style="1281" hidden="1" customWidth="1"/>
    <col min="11266" max="11266" width="28.28515625" style="1281" customWidth="1"/>
    <col min="11267" max="11267" width="16.28515625" style="1281" customWidth="1"/>
    <col min="11268" max="11268" width="3.42578125" style="1281" customWidth="1"/>
    <col min="11269" max="11269" width="5.7109375" style="1281" customWidth="1"/>
    <col min="11270" max="11270" width="5.85546875" style="1281" customWidth="1"/>
    <col min="11271" max="11271" width="6.7109375" style="1281" customWidth="1"/>
    <col min="11272" max="11272" width="5.140625" style="1281" customWidth="1"/>
    <col min="11273" max="11273" width="3.28515625" style="1281" customWidth="1"/>
    <col min="11274" max="11274" width="6" style="1281" customWidth="1"/>
    <col min="11275" max="11275" width="5.42578125" style="1281" customWidth="1"/>
    <col min="11276" max="11276" width="5.7109375" style="1281" customWidth="1"/>
    <col min="11277" max="11520" width="11.42578125" style="1281"/>
    <col min="11521" max="11521" width="0" style="1281" hidden="1" customWidth="1"/>
    <col min="11522" max="11522" width="28.28515625" style="1281" customWidth="1"/>
    <col min="11523" max="11523" width="16.28515625" style="1281" customWidth="1"/>
    <col min="11524" max="11524" width="3.42578125" style="1281" customWidth="1"/>
    <col min="11525" max="11525" width="5.7109375" style="1281" customWidth="1"/>
    <col min="11526" max="11526" width="5.85546875" style="1281" customWidth="1"/>
    <col min="11527" max="11527" width="6.7109375" style="1281" customWidth="1"/>
    <col min="11528" max="11528" width="5.140625" style="1281" customWidth="1"/>
    <col min="11529" max="11529" width="3.28515625" style="1281" customWidth="1"/>
    <col min="11530" max="11530" width="6" style="1281" customWidth="1"/>
    <col min="11531" max="11531" width="5.42578125" style="1281" customWidth="1"/>
    <col min="11532" max="11532" width="5.7109375" style="1281" customWidth="1"/>
    <col min="11533" max="11776" width="11.42578125" style="1281"/>
    <col min="11777" max="11777" width="0" style="1281" hidden="1" customWidth="1"/>
    <col min="11778" max="11778" width="28.28515625" style="1281" customWidth="1"/>
    <col min="11779" max="11779" width="16.28515625" style="1281" customWidth="1"/>
    <col min="11780" max="11780" width="3.42578125" style="1281" customWidth="1"/>
    <col min="11781" max="11781" width="5.7109375" style="1281" customWidth="1"/>
    <col min="11782" max="11782" width="5.85546875" style="1281" customWidth="1"/>
    <col min="11783" max="11783" width="6.7109375" style="1281" customWidth="1"/>
    <col min="11784" max="11784" width="5.140625" style="1281" customWidth="1"/>
    <col min="11785" max="11785" width="3.28515625" style="1281" customWidth="1"/>
    <col min="11786" max="11786" width="6" style="1281" customWidth="1"/>
    <col min="11787" max="11787" width="5.42578125" style="1281" customWidth="1"/>
    <col min="11788" max="11788" width="5.7109375" style="1281" customWidth="1"/>
    <col min="11789" max="12032" width="11.42578125" style="1281"/>
    <col min="12033" max="12033" width="0" style="1281" hidden="1" customWidth="1"/>
    <col min="12034" max="12034" width="28.28515625" style="1281" customWidth="1"/>
    <col min="12035" max="12035" width="16.28515625" style="1281" customWidth="1"/>
    <col min="12036" max="12036" width="3.42578125" style="1281" customWidth="1"/>
    <col min="12037" max="12037" width="5.7109375" style="1281" customWidth="1"/>
    <col min="12038" max="12038" width="5.85546875" style="1281" customWidth="1"/>
    <col min="12039" max="12039" width="6.7109375" style="1281" customWidth="1"/>
    <col min="12040" max="12040" width="5.140625" style="1281" customWidth="1"/>
    <col min="12041" max="12041" width="3.28515625" style="1281" customWidth="1"/>
    <col min="12042" max="12042" width="6" style="1281" customWidth="1"/>
    <col min="12043" max="12043" width="5.42578125" style="1281" customWidth="1"/>
    <col min="12044" max="12044" width="5.7109375" style="1281" customWidth="1"/>
    <col min="12045" max="12288" width="11.42578125" style="1281"/>
    <col min="12289" max="12289" width="0" style="1281" hidden="1" customWidth="1"/>
    <col min="12290" max="12290" width="28.28515625" style="1281" customWidth="1"/>
    <col min="12291" max="12291" width="16.28515625" style="1281" customWidth="1"/>
    <col min="12292" max="12292" width="3.42578125" style="1281" customWidth="1"/>
    <col min="12293" max="12293" width="5.7109375" style="1281" customWidth="1"/>
    <col min="12294" max="12294" width="5.85546875" style="1281" customWidth="1"/>
    <col min="12295" max="12295" width="6.7109375" style="1281" customWidth="1"/>
    <col min="12296" max="12296" width="5.140625" style="1281" customWidth="1"/>
    <col min="12297" max="12297" width="3.28515625" style="1281" customWidth="1"/>
    <col min="12298" max="12298" width="6" style="1281" customWidth="1"/>
    <col min="12299" max="12299" width="5.42578125" style="1281" customWidth="1"/>
    <col min="12300" max="12300" width="5.7109375" style="1281" customWidth="1"/>
    <col min="12301" max="12544" width="11.42578125" style="1281"/>
    <col min="12545" max="12545" width="0" style="1281" hidden="1" customWidth="1"/>
    <col min="12546" max="12546" width="28.28515625" style="1281" customWidth="1"/>
    <col min="12547" max="12547" width="16.28515625" style="1281" customWidth="1"/>
    <col min="12548" max="12548" width="3.42578125" style="1281" customWidth="1"/>
    <col min="12549" max="12549" width="5.7109375" style="1281" customWidth="1"/>
    <col min="12550" max="12550" width="5.85546875" style="1281" customWidth="1"/>
    <col min="12551" max="12551" width="6.7109375" style="1281" customWidth="1"/>
    <col min="12552" max="12552" width="5.140625" style="1281" customWidth="1"/>
    <col min="12553" max="12553" width="3.28515625" style="1281" customWidth="1"/>
    <col min="12554" max="12554" width="6" style="1281" customWidth="1"/>
    <col min="12555" max="12555" width="5.42578125" style="1281" customWidth="1"/>
    <col min="12556" max="12556" width="5.7109375" style="1281" customWidth="1"/>
    <col min="12557" max="12800" width="11.42578125" style="1281"/>
    <col min="12801" max="12801" width="0" style="1281" hidden="1" customWidth="1"/>
    <col min="12802" max="12802" width="28.28515625" style="1281" customWidth="1"/>
    <col min="12803" max="12803" width="16.28515625" style="1281" customWidth="1"/>
    <col min="12804" max="12804" width="3.42578125" style="1281" customWidth="1"/>
    <col min="12805" max="12805" width="5.7109375" style="1281" customWidth="1"/>
    <col min="12806" max="12806" width="5.85546875" style="1281" customWidth="1"/>
    <col min="12807" max="12807" width="6.7109375" style="1281" customWidth="1"/>
    <col min="12808" max="12808" width="5.140625" style="1281" customWidth="1"/>
    <col min="12809" max="12809" width="3.28515625" style="1281" customWidth="1"/>
    <col min="12810" max="12810" width="6" style="1281" customWidth="1"/>
    <col min="12811" max="12811" width="5.42578125" style="1281" customWidth="1"/>
    <col min="12812" max="12812" width="5.7109375" style="1281" customWidth="1"/>
    <col min="12813" max="13056" width="11.42578125" style="1281"/>
    <col min="13057" max="13057" width="0" style="1281" hidden="1" customWidth="1"/>
    <col min="13058" max="13058" width="28.28515625" style="1281" customWidth="1"/>
    <col min="13059" max="13059" width="16.28515625" style="1281" customWidth="1"/>
    <col min="13060" max="13060" width="3.42578125" style="1281" customWidth="1"/>
    <col min="13061" max="13061" width="5.7109375" style="1281" customWidth="1"/>
    <col min="13062" max="13062" width="5.85546875" style="1281" customWidth="1"/>
    <col min="13063" max="13063" width="6.7109375" style="1281" customWidth="1"/>
    <col min="13064" max="13064" width="5.140625" style="1281" customWidth="1"/>
    <col min="13065" max="13065" width="3.28515625" style="1281" customWidth="1"/>
    <col min="13066" max="13066" width="6" style="1281" customWidth="1"/>
    <col min="13067" max="13067" width="5.42578125" style="1281" customWidth="1"/>
    <col min="13068" max="13068" width="5.7109375" style="1281" customWidth="1"/>
    <col min="13069" max="13312" width="11.42578125" style="1281"/>
    <col min="13313" max="13313" width="0" style="1281" hidden="1" customWidth="1"/>
    <col min="13314" max="13314" width="28.28515625" style="1281" customWidth="1"/>
    <col min="13315" max="13315" width="16.28515625" style="1281" customWidth="1"/>
    <col min="13316" max="13316" width="3.42578125" style="1281" customWidth="1"/>
    <col min="13317" max="13317" width="5.7109375" style="1281" customWidth="1"/>
    <col min="13318" max="13318" width="5.85546875" style="1281" customWidth="1"/>
    <col min="13319" max="13319" width="6.7109375" style="1281" customWidth="1"/>
    <col min="13320" max="13320" width="5.140625" style="1281" customWidth="1"/>
    <col min="13321" max="13321" width="3.28515625" style="1281" customWidth="1"/>
    <col min="13322" max="13322" width="6" style="1281" customWidth="1"/>
    <col min="13323" max="13323" width="5.42578125" style="1281" customWidth="1"/>
    <col min="13324" max="13324" width="5.7109375" style="1281" customWidth="1"/>
    <col min="13325" max="13568" width="11.42578125" style="1281"/>
    <col min="13569" max="13569" width="0" style="1281" hidden="1" customWidth="1"/>
    <col min="13570" max="13570" width="28.28515625" style="1281" customWidth="1"/>
    <col min="13571" max="13571" width="16.28515625" style="1281" customWidth="1"/>
    <col min="13572" max="13572" width="3.42578125" style="1281" customWidth="1"/>
    <col min="13573" max="13573" width="5.7109375" style="1281" customWidth="1"/>
    <col min="13574" max="13574" width="5.85546875" style="1281" customWidth="1"/>
    <col min="13575" max="13575" width="6.7109375" style="1281" customWidth="1"/>
    <col min="13576" max="13576" width="5.140625" style="1281" customWidth="1"/>
    <col min="13577" max="13577" width="3.28515625" style="1281" customWidth="1"/>
    <col min="13578" max="13578" width="6" style="1281" customWidth="1"/>
    <col min="13579" max="13579" width="5.42578125" style="1281" customWidth="1"/>
    <col min="13580" max="13580" width="5.7109375" style="1281" customWidth="1"/>
    <col min="13581" max="13824" width="11.42578125" style="1281"/>
    <col min="13825" max="13825" width="0" style="1281" hidden="1" customWidth="1"/>
    <col min="13826" max="13826" width="28.28515625" style="1281" customWidth="1"/>
    <col min="13827" max="13827" width="16.28515625" style="1281" customWidth="1"/>
    <col min="13828" max="13828" width="3.42578125" style="1281" customWidth="1"/>
    <col min="13829" max="13829" width="5.7109375" style="1281" customWidth="1"/>
    <col min="13830" max="13830" width="5.85546875" style="1281" customWidth="1"/>
    <col min="13831" max="13831" width="6.7109375" style="1281" customWidth="1"/>
    <col min="13832" max="13832" width="5.140625" style="1281" customWidth="1"/>
    <col min="13833" max="13833" width="3.28515625" style="1281" customWidth="1"/>
    <col min="13834" max="13834" width="6" style="1281" customWidth="1"/>
    <col min="13835" max="13835" width="5.42578125" style="1281" customWidth="1"/>
    <col min="13836" max="13836" width="5.7109375" style="1281" customWidth="1"/>
    <col min="13837" max="14080" width="11.42578125" style="1281"/>
    <col min="14081" max="14081" width="0" style="1281" hidden="1" customWidth="1"/>
    <col min="14082" max="14082" width="28.28515625" style="1281" customWidth="1"/>
    <col min="14083" max="14083" width="16.28515625" style="1281" customWidth="1"/>
    <col min="14084" max="14084" width="3.42578125" style="1281" customWidth="1"/>
    <col min="14085" max="14085" width="5.7109375" style="1281" customWidth="1"/>
    <col min="14086" max="14086" width="5.85546875" style="1281" customWidth="1"/>
    <col min="14087" max="14087" width="6.7109375" style="1281" customWidth="1"/>
    <col min="14088" max="14088" width="5.140625" style="1281" customWidth="1"/>
    <col min="14089" max="14089" width="3.28515625" style="1281" customWidth="1"/>
    <col min="14090" max="14090" width="6" style="1281" customWidth="1"/>
    <col min="14091" max="14091" width="5.42578125" style="1281" customWidth="1"/>
    <col min="14092" max="14092" width="5.7109375" style="1281" customWidth="1"/>
    <col min="14093" max="14336" width="11.42578125" style="1281"/>
    <col min="14337" max="14337" width="0" style="1281" hidden="1" customWidth="1"/>
    <col min="14338" max="14338" width="28.28515625" style="1281" customWidth="1"/>
    <col min="14339" max="14339" width="16.28515625" style="1281" customWidth="1"/>
    <col min="14340" max="14340" width="3.42578125" style="1281" customWidth="1"/>
    <col min="14341" max="14341" width="5.7109375" style="1281" customWidth="1"/>
    <col min="14342" max="14342" width="5.85546875" style="1281" customWidth="1"/>
    <col min="14343" max="14343" width="6.7109375" style="1281" customWidth="1"/>
    <col min="14344" max="14344" width="5.140625" style="1281" customWidth="1"/>
    <col min="14345" max="14345" width="3.28515625" style="1281" customWidth="1"/>
    <col min="14346" max="14346" width="6" style="1281" customWidth="1"/>
    <col min="14347" max="14347" width="5.42578125" style="1281" customWidth="1"/>
    <col min="14348" max="14348" width="5.7109375" style="1281" customWidth="1"/>
    <col min="14349" max="14592" width="11.42578125" style="1281"/>
    <col min="14593" max="14593" width="0" style="1281" hidden="1" customWidth="1"/>
    <col min="14594" max="14594" width="28.28515625" style="1281" customWidth="1"/>
    <col min="14595" max="14595" width="16.28515625" style="1281" customWidth="1"/>
    <col min="14596" max="14596" width="3.42578125" style="1281" customWidth="1"/>
    <col min="14597" max="14597" width="5.7109375" style="1281" customWidth="1"/>
    <col min="14598" max="14598" width="5.85546875" style="1281" customWidth="1"/>
    <col min="14599" max="14599" width="6.7109375" style="1281" customWidth="1"/>
    <col min="14600" max="14600" width="5.140625" style="1281" customWidth="1"/>
    <col min="14601" max="14601" width="3.28515625" style="1281" customWidth="1"/>
    <col min="14602" max="14602" width="6" style="1281" customWidth="1"/>
    <col min="14603" max="14603" width="5.42578125" style="1281" customWidth="1"/>
    <col min="14604" max="14604" width="5.7109375" style="1281" customWidth="1"/>
    <col min="14605" max="14848" width="11.42578125" style="1281"/>
    <col min="14849" max="14849" width="0" style="1281" hidden="1" customWidth="1"/>
    <col min="14850" max="14850" width="28.28515625" style="1281" customWidth="1"/>
    <col min="14851" max="14851" width="16.28515625" style="1281" customWidth="1"/>
    <col min="14852" max="14852" width="3.42578125" style="1281" customWidth="1"/>
    <col min="14853" max="14853" width="5.7109375" style="1281" customWidth="1"/>
    <col min="14854" max="14854" width="5.85546875" style="1281" customWidth="1"/>
    <col min="14855" max="14855" width="6.7109375" style="1281" customWidth="1"/>
    <col min="14856" max="14856" width="5.140625" style="1281" customWidth="1"/>
    <col min="14857" max="14857" width="3.28515625" style="1281" customWidth="1"/>
    <col min="14858" max="14858" width="6" style="1281" customWidth="1"/>
    <col min="14859" max="14859" width="5.42578125" style="1281" customWidth="1"/>
    <col min="14860" max="14860" width="5.7109375" style="1281" customWidth="1"/>
    <col min="14861" max="15104" width="11.42578125" style="1281"/>
    <col min="15105" max="15105" width="0" style="1281" hidden="1" customWidth="1"/>
    <col min="15106" max="15106" width="28.28515625" style="1281" customWidth="1"/>
    <col min="15107" max="15107" width="16.28515625" style="1281" customWidth="1"/>
    <col min="15108" max="15108" width="3.42578125" style="1281" customWidth="1"/>
    <col min="15109" max="15109" width="5.7109375" style="1281" customWidth="1"/>
    <col min="15110" max="15110" width="5.85546875" style="1281" customWidth="1"/>
    <col min="15111" max="15111" width="6.7109375" style="1281" customWidth="1"/>
    <col min="15112" max="15112" width="5.140625" style="1281" customWidth="1"/>
    <col min="15113" max="15113" width="3.28515625" style="1281" customWidth="1"/>
    <col min="15114" max="15114" width="6" style="1281" customWidth="1"/>
    <col min="15115" max="15115" width="5.42578125" style="1281" customWidth="1"/>
    <col min="15116" max="15116" width="5.7109375" style="1281" customWidth="1"/>
    <col min="15117" max="15360" width="11.42578125" style="1281"/>
    <col min="15361" max="15361" width="0" style="1281" hidden="1" customWidth="1"/>
    <col min="15362" max="15362" width="28.28515625" style="1281" customWidth="1"/>
    <col min="15363" max="15363" width="16.28515625" style="1281" customWidth="1"/>
    <col min="15364" max="15364" width="3.42578125" style="1281" customWidth="1"/>
    <col min="15365" max="15365" width="5.7109375" style="1281" customWidth="1"/>
    <col min="15366" max="15366" width="5.85546875" style="1281" customWidth="1"/>
    <col min="15367" max="15367" width="6.7109375" style="1281" customWidth="1"/>
    <col min="15368" max="15368" width="5.140625" style="1281" customWidth="1"/>
    <col min="15369" max="15369" width="3.28515625" style="1281" customWidth="1"/>
    <col min="15370" max="15370" width="6" style="1281" customWidth="1"/>
    <col min="15371" max="15371" width="5.42578125" style="1281" customWidth="1"/>
    <col min="15372" max="15372" width="5.7109375" style="1281" customWidth="1"/>
    <col min="15373" max="15616" width="11.42578125" style="1281"/>
    <col min="15617" max="15617" width="0" style="1281" hidden="1" customWidth="1"/>
    <col min="15618" max="15618" width="28.28515625" style="1281" customWidth="1"/>
    <col min="15619" max="15619" width="16.28515625" style="1281" customWidth="1"/>
    <col min="15620" max="15620" width="3.42578125" style="1281" customWidth="1"/>
    <col min="15621" max="15621" width="5.7109375" style="1281" customWidth="1"/>
    <col min="15622" max="15622" width="5.85546875" style="1281" customWidth="1"/>
    <col min="15623" max="15623" width="6.7109375" style="1281" customWidth="1"/>
    <col min="15624" max="15624" width="5.140625" style="1281" customWidth="1"/>
    <col min="15625" max="15625" width="3.28515625" style="1281" customWidth="1"/>
    <col min="15626" max="15626" width="6" style="1281" customWidth="1"/>
    <col min="15627" max="15627" width="5.42578125" style="1281" customWidth="1"/>
    <col min="15628" max="15628" width="5.7109375" style="1281" customWidth="1"/>
    <col min="15629" max="15872" width="11.42578125" style="1281"/>
    <col min="15873" max="15873" width="0" style="1281" hidden="1" customWidth="1"/>
    <col min="15874" max="15874" width="28.28515625" style="1281" customWidth="1"/>
    <col min="15875" max="15875" width="16.28515625" style="1281" customWidth="1"/>
    <col min="15876" max="15876" width="3.42578125" style="1281" customWidth="1"/>
    <col min="15877" max="15877" width="5.7109375" style="1281" customWidth="1"/>
    <col min="15878" max="15878" width="5.85546875" style="1281" customWidth="1"/>
    <col min="15879" max="15879" width="6.7109375" style="1281" customWidth="1"/>
    <col min="15880" max="15880" width="5.140625" style="1281" customWidth="1"/>
    <col min="15881" max="15881" width="3.28515625" style="1281" customWidth="1"/>
    <col min="15882" max="15882" width="6" style="1281" customWidth="1"/>
    <col min="15883" max="15883" width="5.42578125" style="1281" customWidth="1"/>
    <col min="15884" max="15884" width="5.7109375" style="1281" customWidth="1"/>
    <col min="15885" max="16128" width="11.42578125" style="1281"/>
    <col min="16129" max="16129" width="0" style="1281" hidden="1" customWidth="1"/>
    <col min="16130" max="16130" width="28.28515625" style="1281" customWidth="1"/>
    <col min="16131" max="16131" width="16.28515625" style="1281" customWidth="1"/>
    <col min="16132" max="16132" width="3.42578125" style="1281" customWidth="1"/>
    <col min="16133" max="16133" width="5.7109375" style="1281" customWidth="1"/>
    <col min="16134" max="16134" width="5.85546875" style="1281" customWidth="1"/>
    <col min="16135" max="16135" width="6.7109375" style="1281" customWidth="1"/>
    <col min="16136" max="16136" width="5.140625" style="1281" customWidth="1"/>
    <col min="16137" max="16137" width="3.28515625" style="1281" customWidth="1"/>
    <col min="16138" max="16138" width="6" style="1281" customWidth="1"/>
    <col min="16139" max="16139" width="5.42578125" style="1281" customWidth="1"/>
    <col min="16140" max="16140" width="5.7109375" style="1281" customWidth="1"/>
    <col min="16141"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2088</v>
      </c>
      <c r="C2" s="3629"/>
      <c r="D2" s="3629"/>
      <c r="E2" s="3629"/>
      <c r="F2" s="3629"/>
      <c r="G2" s="3629"/>
      <c r="H2" s="2844" t="s">
        <v>1444</v>
      </c>
      <c r="I2" s="2845">
        <f>X2</f>
        <v>10</v>
      </c>
      <c r="J2" s="2841"/>
      <c r="K2" s="2843" t="s">
        <v>2873</v>
      </c>
      <c r="L2" s="2842">
        <v>10</v>
      </c>
      <c r="M2" s="1675">
        <v>42.75</v>
      </c>
      <c r="P2" s="1520"/>
      <c r="Q2" s="3630" t="s">
        <v>2088</v>
      </c>
      <c r="R2" s="3631"/>
      <c r="S2" s="3631"/>
      <c r="T2" s="3631"/>
      <c r="U2" s="3631"/>
      <c r="V2" s="3632"/>
      <c r="W2" s="1521" t="s">
        <v>1444</v>
      </c>
      <c r="X2" s="1522">
        <v>10</v>
      </c>
      <c r="Y2" s="1523"/>
      <c r="Z2" s="1523"/>
      <c r="AA2" s="1524"/>
    </row>
    <row r="3" spans="1:27" ht="25.5" customHeight="1">
      <c r="A3" s="1533"/>
      <c r="B3" s="1526" t="s">
        <v>1391</v>
      </c>
      <c r="C3" s="1527"/>
      <c r="D3" s="1527"/>
      <c r="E3" s="1528"/>
      <c r="F3" s="1529" t="s">
        <v>1445</v>
      </c>
      <c r="G3" s="1530"/>
      <c r="H3" s="1531"/>
      <c r="I3" s="1531"/>
      <c r="J3" s="1530"/>
      <c r="K3" s="1530"/>
      <c r="L3" s="1532"/>
      <c r="M3" s="1675">
        <v>25.5</v>
      </c>
      <c r="P3" s="1533"/>
      <c r="Q3" s="1534" t="s">
        <v>1391</v>
      </c>
      <c r="R3" s="1527"/>
      <c r="S3" s="1527"/>
      <c r="T3" s="1528"/>
      <c r="U3" s="1535" t="s">
        <v>1445</v>
      </c>
      <c r="V3" s="1536"/>
      <c r="W3" s="1192"/>
      <c r="X3" s="1192"/>
      <c r="Y3" s="1536"/>
      <c r="Z3" s="1536"/>
      <c r="AA3" s="1537"/>
    </row>
    <row r="4" spans="1:27" ht="112.5" customHeight="1">
      <c r="A4" s="1539"/>
      <c r="B4" s="3633"/>
      <c r="C4" s="3633"/>
      <c r="D4" s="3633"/>
      <c r="E4" s="3634"/>
      <c r="F4" s="1539"/>
      <c r="G4" s="1540"/>
      <c r="H4" s="1540"/>
      <c r="I4" s="1540"/>
      <c r="J4" s="1531"/>
      <c r="K4" s="1531"/>
      <c r="L4" s="1532"/>
      <c r="M4" s="1675">
        <v>112.5</v>
      </c>
      <c r="P4" s="1520"/>
      <c r="Q4" s="3635"/>
      <c r="R4" s="3633"/>
      <c r="S4" s="3633"/>
      <c r="T4" s="3634"/>
      <c r="U4" s="1520"/>
      <c r="V4" s="1426"/>
      <c r="W4" s="1426"/>
      <c r="X4" s="1426"/>
      <c r="Y4" s="1192"/>
      <c r="Z4" s="1192"/>
      <c r="AA4" s="1537"/>
    </row>
    <row r="5" spans="1:27" ht="63.75" customHeight="1">
      <c r="A5" s="1667"/>
      <c r="B5" s="1676" t="s">
        <v>151</v>
      </c>
      <c r="C5" s="1677" t="s">
        <v>1446</v>
      </c>
      <c r="D5" s="1544"/>
      <c r="E5" s="1545" t="s">
        <v>1447</v>
      </c>
      <c r="F5" s="1546"/>
      <c r="G5" s="1546"/>
      <c r="H5" s="1546"/>
      <c r="I5" s="1547"/>
      <c r="J5" s="1543" t="s">
        <v>1448</v>
      </c>
      <c r="K5" s="1548"/>
      <c r="L5" s="1549"/>
      <c r="M5" s="1675">
        <v>63.75</v>
      </c>
      <c r="N5" s="1192"/>
      <c r="P5" s="1550"/>
      <c r="Q5" s="1551" t="s">
        <v>151</v>
      </c>
      <c r="R5" s="1552" t="s">
        <v>1446</v>
      </c>
      <c r="S5" s="1553"/>
      <c r="T5" s="1554" t="s">
        <v>1447</v>
      </c>
      <c r="U5" s="1555"/>
      <c r="V5" s="1555"/>
      <c r="W5" s="1555"/>
      <c r="X5" s="1556"/>
      <c r="Y5" s="1552" t="s">
        <v>1448</v>
      </c>
      <c r="Z5" s="1557"/>
      <c r="AA5" s="1558"/>
    </row>
    <row r="6" spans="1:27" ht="57.75" customHeight="1">
      <c r="A6" s="1614"/>
      <c r="B6" s="1679"/>
      <c r="C6" s="1560" t="s">
        <v>1449</v>
      </c>
      <c r="D6" s="1561" t="s">
        <v>1450</v>
      </c>
      <c r="E6" s="1561" t="s">
        <v>2089</v>
      </c>
      <c r="F6" s="1561" t="s">
        <v>2090</v>
      </c>
      <c r="G6" s="1561" t="s">
        <v>2091</v>
      </c>
      <c r="H6" s="1561" t="s">
        <v>48</v>
      </c>
      <c r="I6" s="1562"/>
      <c r="J6" s="1563" t="s">
        <v>110</v>
      </c>
      <c r="K6" s="1564" t="s">
        <v>117</v>
      </c>
      <c r="L6" s="1565" t="s">
        <v>118</v>
      </c>
      <c r="M6" s="1675">
        <v>57.75</v>
      </c>
      <c r="P6" s="1533"/>
      <c r="Q6" s="1566"/>
      <c r="R6" s="1567" t="s">
        <v>1449</v>
      </c>
      <c r="S6" s="1568" t="s">
        <v>1450</v>
      </c>
      <c r="T6" s="1569" t="s">
        <v>2089</v>
      </c>
      <c r="U6" s="1569" t="s">
        <v>2090</v>
      </c>
      <c r="V6" s="1569" t="s">
        <v>2091</v>
      </c>
      <c r="W6" s="1570" t="s">
        <v>48</v>
      </c>
      <c r="X6" s="1571"/>
      <c r="Y6" s="1572" t="s">
        <v>110</v>
      </c>
      <c r="Z6" s="1572" t="s">
        <v>117</v>
      </c>
      <c r="AA6" s="1573" t="s">
        <v>118</v>
      </c>
    </row>
    <row r="7" spans="1:27" ht="25.5" customHeight="1">
      <c r="A7" s="1681"/>
      <c r="B7" s="1682"/>
      <c r="C7" s="1576" t="str">
        <f t="shared" ref="C7:D46" si="0">R7</f>
        <v>Viandes/Poissons</v>
      </c>
      <c r="D7" s="2850" t="str">
        <f t="shared" si="0"/>
        <v xml:space="preserve"> </v>
      </c>
      <c r="E7" s="2850">
        <f t="shared" ref="E7:I46" si="1">IF(ISTEXT(T7),T7,(T7/$I$2)*$L$2)</f>
        <v>0</v>
      </c>
      <c r="F7" s="2850">
        <f t="shared" si="1"/>
        <v>0</v>
      </c>
      <c r="G7" s="2850">
        <f t="shared" si="1"/>
        <v>0</v>
      </c>
      <c r="H7" s="2850">
        <f t="shared" si="1"/>
        <v>0</v>
      </c>
      <c r="I7" s="2850">
        <f t="shared" si="1"/>
        <v>0</v>
      </c>
      <c r="J7" s="1674" t="str">
        <f t="shared" ref="J7:J46" si="2">IF(SUM(E7:I7)=0,"",SUM(E7:I7))</f>
        <v/>
      </c>
      <c r="K7" s="1579"/>
      <c r="L7" s="1580" t="str">
        <f t="shared" ref="L7:L46" si="3">IF(ISBLANK(K7),"",K7*J7)</f>
        <v/>
      </c>
      <c r="M7" s="1519">
        <v>25.5</v>
      </c>
      <c r="P7" s="1581"/>
      <c r="Q7" s="1582"/>
      <c r="R7" s="1583" t="s">
        <v>120</v>
      </c>
      <c r="S7" s="1584" t="s">
        <v>1456</v>
      </c>
      <c r="T7" s="1585"/>
      <c r="U7" s="1585"/>
      <c r="V7" s="1585"/>
      <c r="W7" s="1585"/>
      <c r="X7" s="1585"/>
      <c r="Y7" s="1585"/>
      <c r="Z7" s="1585"/>
      <c r="AA7" s="1586">
        <f t="shared" ref="AA7" si="4">IF(ISBLANK(Z7),0,Z7*Y7)</f>
        <v>0</v>
      </c>
    </row>
    <row r="8" spans="1:27" ht="25.5" customHeight="1">
      <c r="A8" s="1681"/>
      <c r="B8" s="1682"/>
      <c r="C8" s="2853" t="str">
        <f t="shared" si="0"/>
        <v xml:space="preserve"> </v>
      </c>
      <c r="D8" s="2851">
        <f t="shared" si="0"/>
        <v>0</v>
      </c>
      <c r="E8" s="2852">
        <f t="shared" si="1"/>
        <v>0</v>
      </c>
      <c r="F8" s="2852">
        <f t="shared" si="1"/>
        <v>0</v>
      </c>
      <c r="G8" s="2852">
        <f t="shared" si="1"/>
        <v>0</v>
      </c>
      <c r="H8" s="2852">
        <f t="shared" si="1"/>
        <v>0</v>
      </c>
      <c r="I8" s="2852">
        <f t="shared" si="1"/>
        <v>0</v>
      </c>
      <c r="J8" s="2857" t="str">
        <f t="shared" si="2"/>
        <v/>
      </c>
      <c r="K8" s="1590"/>
      <c r="L8" s="1591" t="str">
        <f t="shared" si="3"/>
        <v/>
      </c>
      <c r="M8" s="1519">
        <v>25.5</v>
      </c>
      <c r="P8" s="1581"/>
      <c r="Q8" s="1582"/>
      <c r="R8" s="1592" t="s">
        <v>1456</v>
      </c>
      <c r="S8" s="1550"/>
      <c r="T8" s="1592"/>
      <c r="U8" s="1592"/>
      <c r="V8" s="1592"/>
      <c r="W8" s="1592"/>
      <c r="X8" s="1592"/>
      <c r="Y8" s="1592" t="str">
        <f>IF(SUM(T8:X8)=0,"",SUM(T8:X8))</f>
        <v/>
      </c>
      <c r="Z8" s="1592"/>
      <c r="AA8" s="1593">
        <f>IF(ISBLANK(Z8),0,Z8*Y8)</f>
        <v>0</v>
      </c>
    </row>
    <row r="9" spans="1:27" ht="25.5" customHeight="1">
      <c r="A9" s="1681"/>
      <c r="B9" s="1682"/>
      <c r="C9" s="2853" t="str">
        <f t="shared" si="0"/>
        <v xml:space="preserve"> </v>
      </c>
      <c r="D9" s="2851">
        <f t="shared" si="0"/>
        <v>0</v>
      </c>
      <c r="E9" s="2852">
        <f t="shared" si="1"/>
        <v>0</v>
      </c>
      <c r="F9" s="2852">
        <f t="shared" si="1"/>
        <v>0</v>
      </c>
      <c r="G9" s="2852">
        <f t="shared" si="1"/>
        <v>0</v>
      </c>
      <c r="H9" s="2852">
        <f t="shared" si="1"/>
        <v>0</v>
      </c>
      <c r="I9" s="2852">
        <f t="shared" si="1"/>
        <v>0</v>
      </c>
      <c r="J9" s="2857" t="str">
        <f t="shared" si="2"/>
        <v/>
      </c>
      <c r="K9" s="1590"/>
      <c r="L9" s="1591" t="str">
        <f t="shared" si="3"/>
        <v/>
      </c>
      <c r="M9" s="1519">
        <v>25.5</v>
      </c>
      <c r="P9" s="1581"/>
      <c r="Q9" s="1582"/>
      <c r="R9" s="1592" t="s">
        <v>1456</v>
      </c>
      <c r="S9" s="1550"/>
      <c r="T9" s="1592"/>
      <c r="U9" s="1592"/>
      <c r="V9" s="1592"/>
      <c r="W9" s="1592"/>
      <c r="X9" s="1592"/>
      <c r="Y9" s="1592" t="str">
        <f t="shared" ref="Y9" si="5">IF(SUM(T9:X9)=0,"",SUM(T9:X9))</f>
        <v/>
      </c>
      <c r="Z9" s="1592"/>
      <c r="AA9" s="1593">
        <f t="shared" ref="AA9:AA46" si="6">IF(ISBLANK(Z9),0,Z9*Y9)</f>
        <v>0</v>
      </c>
    </row>
    <row r="10" spans="1:27" ht="25.5" customHeight="1">
      <c r="A10" s="1681"/>
      <c r="B10" s="1682"/>
      <c r="C10" s="2853" t="str">
        <f t="shared" si="0"/>
        <v xml:space="preserve"> </v>
      </c>
      <c r="D10" s="2851">
        <f t="shared" si="0"/>
        <v>0</v>
      </c>
      <c r="E10" s="2852">
        <f t="shared" si="1"/>
        <v>0</v>
      </c>
      <c r="F10" s="2852">
        <f t="shared" si="1"/>
        <v>0</v>
      </c>
      <c r="G10" s="2852">
        <f t="shared" si="1"/>
        <v>0</v>
      </c>
      <c r="H10" s="2852">
        <f t="shared" si="1"/>
        <v>0</v>
      </c>
      <c r="I10" s="2852">
        <f t="shared" si="1"/>
        <v>0</v>
      </c>
      <c r="J10" s="2857" t="str">
        <f t="shared" si="2"/>
        <v/>
      </c>
      <c r="K10" s="1590"/>
      <c r="L10" s="1591" t="str">
        <f t="shared" si="3"/>
        <v/>
      </c>
      <c r="M10" s="1519">
        <v>25.5</v>
      </c>
      <c r="P10" s="1581"/>
      <c r="Q10" s="1582"/>
      <c r="R10" s="1592" t="s">
        <v>1456</v>
      </c>
      <c r="S10" s="1550"/>
      <c r="T10" s="1592"/>
      <c r="U10" s="1592"/>
      <c r="V10" s="1592"/>
      <c r="W10" s="1592"/>
      <c r="X10" s="1592"/>
      <c r="Y10" s="1592" t="str">
        <f>IF(SUM(T10:X10)=0,"",SUM(T10:X10))</f>
        <v/>
      </c>
      <c r="Z10" s="1592"/>
      <c r="AA10" s="1593">
        <f t="shared" si="6"/>
        <v>0</v>
      </c>
    </row>
    <row r="11" spans="1:27" ht="25.5" customHeight="1">
      <c r="A11" s="1681"/>
      <c r="B11" s="1682"/>
      <c r="C11" s="2853" t="str">
        <f t="shared" si="0"/>
        <v xml:space="preserve"> </v>
      </c>
      <c r="D11" s="2851">
        <f t="shared" si="0"/>
        <v>0</v>
      </c>
      <c r="E11" s="2852">
        <f t="shared" si="1"/>
        <v>0</v>
      </c>
      <c r="F11" s="2852">
        <f t="shared" si="1"/>
        <v>0</v>
      </c>
      <c r="G11" s="2852">
        <f t="shared" si="1"/>
        <v>0</v>
      </c>
      <c r="H11" s="2852">
        <f t="shared" si="1"/>
        <v>0</v>
      </c>
      <c r="I11" s="2852">
        <f t="shared" si="1"/>
        <v>0</v>
      </c>
      <c r="J11" s="2857" t="str">
        <f t="shared" si="2"/>
        <v/>
      </c>
      <c r="K11" s="1590"/>
      <c r="L11" s="1591" t="str">
        <f t="shared" si="3"/>
        <v/>
      </c>
      <c r="M11" s="1519">
        <v>25.5</v>
      </c>
      <c r="P11" s="1581"/>
      <c r="Q11" s="1582"/>
      <c r="R11" s="1594" t="s">
        <v>1456</v>
      </c>
      <c r="S11" s="1550"/>
      <c r="T11" s="1592"/>
      <c r="U11" s="1592"/>
      <c r="V11" s="1592"/>
      <c r="W11" s="1592"/>
      <c r="X11" s="1592"/>
      <c r="Y11" s="1592" t="str">
        <f t="shared" ref="Y11:Y24" si="7">IF(SUM(T11:X11)=0,"",SUM(T11:X11))</f>
        <v/>
      </c>
      <c r="Z11" s="1592"/>
      <c r="AA11" s="1593">
        <f t="shared" si="6"/>
        <v>0</v>
      </c>
    </row>
    <row r="12" spans="1:27" ht="25.5" customHeight="1">
      <c r="A12" s="1681"/>
      <c r="B12" s="1682"/>
      <c r="C12" s="2854" t="str">
        <f t="shared" si="0"/>
        <v>LEGUMERIE</v>
      </c>
      <c r="D12" s="2855" t="str">
        <f t="shared" si="0"/>
        <v xml:space="preserve"> </v>
      </c>
      <c r="E12" s="2855">
        <f t="shared" si="1"/>
        <v>0</v>
      </c>
      <c r="F12" s="2855">
        <f t="shared" si="1"/>
        <v>0</v>
      </c>
      <c r="G12" s="2855">
        <f t="shared" si="1"/>
        <v>0</v>
      </c>
      <c r="H12" s="2855">
        <f t="shared" si="1"/>
        <v>0</v>
      </c>
      <c r="I12" s="2855">
        <f t="shared" si="1"/>
        <v>0</v>
      </c>
      <c r="J12" s="2856" t="str">
        <f t="shared" si="2"/>
        <v/>
      </c>
      <c r="K12" s="1579"/>
      <c r="L12" s="1580" t="str">
        <f t="shared" si="3"/>
        <v/>
      </c>
      <c r="M12" s="1519">
        <v>25.5</v>
      </c>
      <c r="P12" s="1581"/>
      <c r="Q12" s="1582"/>
      <c r="R12" s="1598" t="s">
        <v>1460</v>
      </c>
      <c r="S12" s="1584" t="s">
        <v>1456</v>
      </c>
      <c r="T12" s="1599"/>
      <c r="U12" s="1599"/>
      <c r="V12" s="1599"/>
      <c r="W12" s="1599"/>
      <c r="X12" s="1599"/>
      <c r="Y12" s="1599" t="str">
        <f t="shared" si="7"/>
        <v/>
      </c>
      <c r="Z12" s="1599"/>
      <c r="AA12" s="1600">
        <f t="shared" si="6"/>
        <v>0</v>
      </c>
    </row>
    <row r="13" spans="1:27" ht="25.5" customHeight="1">
      <c r="A13" s="1681"/>
      <c r="B13" s="1682"/>
      <c r="C13" s="2853" t="str">
        <f t="shared" si="0"/>
        <v>truffes mélanosporum</v>
      </c>
      <c r="D13" s="2851" t="str">
        <f t="shared" si="0"/>
        <v>kg</v>
      </c>
      <c r="E13" s="2852">
        <f t="shared" si="1"/>
        <v>0.03</v>
      </c>
      <c r="F13" s="2852">
        <f t="shared" si="1"/>
        <v>0</v>
      </c>
      <c r="G13" s="2852">
        <f t="shared" si="1"/>
        <v>0</v>
      </c>
      <c r="H13" s="2852">
        <f t="shared" si="1"/>
        <v>0.02</v>
      </c>
      <c r="I13" s="2852">
        <f t="shared" si="1"/>
        <v>0</v>
      </c>
      <c r="J13" s="2857">
        <f t="shared" si="2"/>
        <v>0.05</v>
      </c>
      <c r="K13" s="1590">
        <v>1</v>
      </c>
      <c r="L13" s="1591">
        <f t="shared" si="3"/>
        <v>0.05</v>
      </c>
      <c r="M13" s="1519">
        <v>25.5</v>
      </c>
      <c r="P13" s="1581"/>
      <c r="Q13" s="1582"/>
      <c r="R13" s="1592" t="s">
        <v>2082</v>
      </c>
      <c r="S13" s="1550" t="s">
        <v>166</v>
      </c>
      <c r="T13" s="1592">
        <v>0.03</v>
      </c>
      <c r="U13" s="1592"/>
      <c r="V13" s="1592"/>
      <c r="W13" s="1592">
        <v>0.02</v>
      </c>
      <c r="X13" s="1592"/>
      <c r="Y13" s="1592">
        <f t="shared" si="7"/>
        <v>0.05</v>
      </c>
      <c r="Z13" s="1592"/>
      <c r="AA13" s="1593">
        <f t="shared" si="6"/>
        <v>0</v>
      </c>
    </row>
    <row r="14" spans="1:27" ht="25.5" customHeight="1">
      <c r="A14" s="1681"/>
      <c r="B14" s="1687"/>
      <c r="C14" s="2853" t="str">
        <f t="shared" si="0"/>
        <v>courgettes</v>
      </c>
      <c r="D14" s="2851" t="str">
        <f t="shared" si="0"/>
        <v>Kg</v>
      </c>
      <c r="E14" s="2852">
        <f t="shared" si="1"/>
        <v>0</v>
      </c>
      <c r="F14" s="2852">
        <f t="shared" si="1"/>
        <v>0.12</v>
      </c>
      <c r="G14" s="2852">
        <f t="shared" si="1"/>
        <v>0</v>
      </c>
      <c r="H14" s="2852">
        <f t="shared" si="1"/>
        <v>0</v>
      </c>
      <c r="I14" s="2852">
        <f t="shared" si="1"/>
        <v>0</v>
      </c>
      <c r="J14" s="2857">
        <f t="shared" si="2"/>
        <v>0.12</v>
      </c>
      <c r="K14" s="1590"/>
      <c r="L14" s="1591" t="str">
        <f t="shared" si="3"/>
        <v/>
      </c>
      <c r="M14" s="1519">
        <v>25.5</v>
      </c>
      <c r="P14" s="1581"/>
      <c r="Q14" s="1602"/>
      <c r="R14" s="1603" t="s">
        <v>209</v>
      </c>
      <c r="S14" s="1550" t="s">
        <v>122</v>
      </c>
      <c r="T14" s="1604"/>
      <c r="U14" s="1592">
        <v>0.12</v>
      </c>
      <c r="V14" s="1592"/>
      <c r="W14" s="1592"/>
      <c r="X14" s="1592"/>
      <c r="Y14" s="1592">
        <f t="shared" si="7"/>
        <v>0.12</v>
      </c>
      <c r="Z14" s="1592"/>
      <c r="AA14" s="1593">
        <f t="shared" si="6"/>
        <v>0</v>
      </c>
    </row>
    <row r="15" spans="1:27" ht="25.5" customHeight="1">
      <c r="A15" s="1681"/>
      <c r="B15" s="1682"/>
      <c r="C15" s="2853" t="str">
        <f t="shared" si="0"/>
        <v>carottes jaunes</v>
      </c>
      <c r="D15" s="2851" t="str">
        <f t="shared" si="0"/>
        <v>Kg</v>
      </c>
      <c r="E15" s="2852">
        <f t="shared" si="1"/>
        <v>0</v>
      </c>
      <c r="F15" s="2852">
        <f t="shared" si="1"/>
        <v>0.3</v>
      </c>
      <c r="G15" s="2852">
        <f t="shared" si="1"/>
        <v>0</v>
      </c>
      <c r="H15" s="2852">
        <f t="shared" si="1"/>
        <v>0</v>
      </c>
      <c r="I15" s="2852">
        <f t="shared" si="1"/>
        <v>0</v>
      </c>
      <c r="J15" s="2857">
        <f t="shared" si="2"/>
        <v>0.3</v>
      </c>
      <c r="K15" s="1590"/>
      <c r="L15" s="1591" t="str">
        <f t="shared" si="3"/>
        <v/>
      </c>
      <c r="M15" s="1519">
        <v>25.5</v>
      </c>
      <c r="P15" s="1581"/>
      <c r="Q15" s="1582"/>
      <c r="R15" s="1592" t="s">
        <v>2092</v>
      </c>
      <c r="S15" s="1550" t="s">
        <v>122</v>
      </c>
      <c r="T15" s="1592"/>
      <c r="U15" s="1592">
        <v>0.3</v>
      </c>
      <c r="V15" s="1592"/>
      <c r="W15" s="1592"/>
      <c r="X15" s="1592"/>
      <c r="Y15" s="1592">
        <f t="shared" si="7"/>
        <v>0.3</v>
      </c>
      <c r="Z15" s="1592"/>
      <c r="AA15" s="1593">
        <f t="shared" si="6"/>
        <v>0</v>
      </c>
    </row>
    <row r="16" spans="1:27" ht="25.5" customHeight="1">
      <c r="A16" s="1681"/>
      <c r="B16" s="1682"/>
      <c r="C16" s="2853" t="str">
        <f t="shared" si="0"/>
        <v>betterave shioga</v>
      </c>
      <c r="D16" s="2851" t="str">
        <f t="shared" si="0"/>
        <v>Kg</v>
      </c>
      <c r="E16" s="2852">
        <f t="shared" si="1"/>
        <v>0</v>
      </c>
      <c r="F16" s="2852">
        <f t="shared" si="1"/>
        <v>0.05</v>
      </c>
      <c r="G16" s="2852">
        <f t="shared" si="1"/>
        <v>0</v>
      </c>
      <c r="H16" s="2852">
        <f t="shared" si="1"/>
        <v>0</v>
      </c>
      <c r="I16" s="2852">
        <f t="shared" si="1"/>
        <v>0</v>
      </c>
      <c r="J16" s="2857">
        <f t="shared" si="2"/>
        <v>0.05</v>
      </c>
      <c r="K16" s="1590"/>
      <c r="L16" s="1591" t="str">
        <f t="shared" si="3"/>
        <v/>
      </c>
      <c r="M16" s="1519">
        <v>25.5</v>
      </c>
      <c r="P16" s="1581"/>
      <c r="Q16" s="1582"/>
      <c r="R16" s="1592" t="s">
        <v>2093</v>
      </c>
      <c r="S16" s="1550" t="s">
        <v>122</v>
      </c>
      <c r="T16" s="1592"/>
      <c r="U16" s="1592">
        <v>0.05</v>
      </c>
      <c r="V16" s="1592"/>
      <c r="W16" s="1592"/>
      <c r="X16" s="1592"/>
      <c r="Y16" s="1592">
        <f t="shared" si="7"/>
        <v>0.05</v>
      </c>
      <c r="Z16" s="1592"/>
      <c r="AA16" s="1593">
        <f t="shared" si="6"/>
        <v>0</v>
      </c>
    </row>
    <row r="17" spans="1:27" ht="25.5" customHeight="1">
      <c r="A17" s="1681"/>
      <c r="B17" s="1682"/>
      <c r="C17" s="2853" t="str">
        <f t="shared" si="0"/>
        <v>betterave cuite au four</v>
      </c>
      <c r="D17" s="2851" t="str">
        <f t="shared" si="0"/>
        <v>Kg</v>
      </c>
      <c r="E17" s="2852">
        <f t="shared" si="1"/>
        <v>0</v>
      </c>
      <c r="F17" s="2852">
        <f t="shared" si="1"/>
        <v>0.1</v>
      </c>
      <c r="G17" s="2852">
        <f t="shared" si="1"/>
        <v>0</v>
      </c>
      <c r="H17" s="2852">
        <f t="shared" si="1"/>
        <v>0</v>
      </c>
      <c r="I17" s="2852">
        <f t="shared" si="1"/>
        <v>0</v>
      </c>
      <c r="J17" s="2857">
        <f t="shared" si="2"/>
        <v>0.1</v>
      </c>
      <c r="K17" s="1590"/>
      <c r="L17" s="1591" t="str">
        <f t="shared" si="3"/>
        <v/>
      </c>
      <c r="M17" s="1519">
        <v>25.5</v>
      </c>
      <c r="P17" s="1581"/>
      <c r="Q17" s="1582"/>
      <c r="R17" s="1592" t="s">
        <v>2094</v>
      </c>
      <c r="S17" s="1550" t="s">
        <v>122</v>
      </c>
      <c r="T17" s="1592"/>
      <c r="U17" s="1592">
        <v>0.1</v>
      </c>
      <c r="V17" s="1592"/>
      <c r="W17" s="1592"/>
      <c r="X17" s="1592"/>
      <c r="Y17" s="1592">
        <f t="shared" si="7"/>
        <v>0.1</v>
      </c>
      <c r="Z17" s="1592"/>
      <c r="AA17" s="1593">
        <f t="shared" si="6"/>
        <v>0</v>
      </c>
    </row>
    <row r="18" spans="1:27" ht="25.5" customHeight="1">
      <c r="A18" s="1681"/>
      <c r="B18" s="1682"/>
      <c r="C18" s="2853" t="str">
        <f t="shared" si="0"/>
        <v>feuilles de poirée</v>
      </c>
      <c r="D18" s="2851" t="str">
        <f t="shared" si="0"/>
        <v>Kg</v>
      </c>
      <c r="E18" s="2852">
        <f t="shared" si="1"/>
        <v>0</v>
      </c>
      <c r="F18" s="2852">
        <f t="shared" si="1"/>
        <v>0</v>
      </c>
      <c r="G18" s="2852">
        <f t="shared" si="1"/>
        <v>0</v>
      </c>
      <c r="H18" s="2852">
        <f t="shared" si="1"/>
        <v>0.02</v>
      </c>
      <c r="I18" s="2852">
        <f t="shared" si="1"/>
        <v>0</v>
      </c>
      <c r="J18" s="2857">
        <f t="shared" si="2"/>
        <v>0.02</v>
      </c>
      <c r="K18" s="1590"/>
      <c r="L18" s="1591" t="str">
        <f t="shared" si="3"/>
        <v/>
      </c>
      <c r="M18" s="1519">
        <v>25.5</v>
      </c>
      <c r="P18" s="1581"/>
      <c r="Q18" s="1582"/>
      <c r="R18" s="1592" t="s">
        <v>2095</v>
      </c>
      <c r="S18" s="1550" t="s">
        <v>122</v>
      </c>
      <c r="T18" s="1592"/>
      <c r="U18" s="1592"/>
      <c r="V18" s="1592"/>
      <c r="W18" s="1592">
        <v>0.02</v>
      </c>
      <c r="X18" s="1592"/>
      <c r="Y18" s="1592">
        <f t="shared" si="7"/>
        <v>0.02</v>
      </c>
      <c r="Z18" s="1592"/>
      <c r="AA18" s="1593">
        <f t="shared" si="6"/>
        <v>0</v>
      </c>
    </row>
    <row r="19" spans="1:27" ht="25.5" customHeight="1">
      <c r="A19" s="1681"/>
      <c r="B19" s="1682"/>
      <c r="C19" s="2853">
        <f t="shared" si="0"/>
        <v>0</v>
      </c>
      <c r="D19" s="2851">
        <f t="shared" si="0"/>
        <v>0</v>
      </c>
      <c r="E19" s="2852">
        <f t="shared" si="1"/>
        <v>0</v>
      </c>
      <c r="F19" s="2852">
        <f t="shared" si="1"/>
        <v>0</v>
      </c>
      <c r="G19" s="2852">
        <f t="shared" si="1"/>
        <v>0</v>
      </c>
      <c r="H19" s="2852">
        <f t="shared" si="1"/>
        <v>0</v>
      </c>
      <c r="I19" s="2852">
        <f t="shared" si="1"/>
        <v>0</v>
      </c>
      <c r="J19" s="2857" t="str">
        <f t="shared" si="2"/>
        <v/>
      </c>
      <c r="K19" s="1702"/>
      <c r="L19" s="1591" t="str">
        <f t="shared" si="3"/>
        <v/>
      </c>
      <c r="M19" s="1519">
        <v>25.5</v>
      </c>
      <c r="P19" s="1581"/>
      <c r="Q19" s="1582"/>
      <c r="R19" s="1592"/>
      <c r="S19" s="1550"/>
      <c r="T19" s="1592"/>
      <c r="U19" s="1592"/>
      <c r="V19" s="1592"/>
      <c r="W19" s="1592"/>
      <c r="X19" s="1592"/>
      <c r="Y19" s="1592" t="str">
        <f t="shared" si="7"/>
        <v/>
      </c>
      <c r="Z19" s="1592"/>
      <c r="AA19" s="1593">
        <f t="shared" si="6"/>
        <v>0</v>
      </c>
    </row>
    <row r="20" spans="1:27" ht="25.5" customHeight="1">
      <c r="A20" s="1681"/>
      <c r="B20" s="1682"/>
      <c r="C20" s="2853">
        <f t="shared" si="0"/>
        <v>0</v>
      </c>
      <c r="D20" s="2851">
        <f t="shared" si="0"/>
        <v>0</v>
      </c>
      <c r="E20" s="2852">
        <f t="shared" si="1"/>
        <v>0</v>
      </c>
      <c r="F20" s="2852">
        <f t="shared" si="1"/>
        <v>0</v>
      </c>
      <c r="G20" s="2852">
        <f t="shared" si="1"/>
        <v>0</v>
      </c>
      <c r="H20" s="2852">
        <f t="shared" si="1"/>
        <v>0</v>
      </c>
      <c r="I20" s="2852">
        <f t="shared" si="1"/>
        <v>0</v>
      </c>
      <c r="J20" s="2857" t="str">
        <f t="shared" si="2"/>
        <v/>
      </c>
      <c r="K20" s="1590"/>
      <c r="L20" s="1591" t="str">
        <f t="shared" si="3"/>
        <v/>
      </c>
      <c r="M20" s="1519">
        <v>25.5</v>
      </c>
      <c r="P20" s="1581"/>
      <c r="Q20" s="1582"/>
      <c r="R20" s="1592"/>
      <c r="S20" s="1550"/>
      <c r="T20" s="1592"/>
      <c r="U20" s="1592"/>
      <c r="V20" s="1592"/>
      <c r="W20" s="1592"/>
      <c r="X20" s="1592"/>
      <c r="Y20" s="1592" t="str">
        <f t="shared" si="7"/>
        <v/>
      </c>
      <c r="Z20" s="1592"/>
      <c r="AA20" s="1593">
        <f t="shared" si="6"/>
        <v>0</v>
      </c>
    </row>
    <row r="21" spans="1:27" ht="25.5" customHeight="1">
      <c r="A21" s="1681"/>
      <c r="B21" s="1682"/>
      <c r="C21" s="2853">
        <f t="shared" si="0"/>
        <v>0</v>
      </c>
      <c r="D21" s="2851">
        <f t="shared" si="0"/>
        <v>0</v>
      </c>
      <c r="E21" s="2852">
        <f t="shared" si="1"/>
        <v>0</v>
      </c>
      <c r="F21" s="2852">
        <f t="shared" si="1"/>
        <v>0</v>
      </c>
      <c r="G21" s="2852">
        <f t="shared" si="1"/>
        <v>0</v>
      </c>
      <c r="H21" s="2852">
        <f t="shared" si="1"/>
        <v>0</v>
      </c>
      <c r="I21" s="2852">
        <f t="shared" si="1"/>
        <v>0</v>
      </c>
      <c r="J21" s="2857" t="str">
        <f t="shared" si="2"/>
        <v/>
      </c>
      <c r="K21" s="1590"/>
      <c r="L21" s="1591" t="str">
        <f t="shared" si="3"/>
        <v/>
      </c>
      <c r="M21" s="1519">
        <v>25.5</v>
      </c>
      <c r="P21" s="1581"/>
      <c r="Q21" s="1582"/>
      <c r="R21" s="1592"/>
      <c r="S21" s="1550"/>
      <c r="T21" s="1592"/>
      <c r="U21" s="1592"/>
      <c r="V21" s="1592"/>
      <c r="W21" s="1592"/>
      <c r="X21" s="1592"/>
      <c r="Y21" s="1592" t="str">
        <f t="shared" si="7"/>
        <v/>
      </c>
      <c r="Z21" s="1592"/>
      <c r="AA21" s="1593">
        <f t="shared" si="6"/>
        <v>0</v>
      </c>
    </row>
    <row r="22" spans="1:27" ht="25.5" customHeight="1">
      <c r="A22" s="1681"/>
      <c r="B22" s="1682"/>
      <c r="C22" s="2853">
        <f t="shared" si="0"/>
        <v>0</v>
      </c>
      <c r="D22" s="2851">
        <f t="shared" si="0"/>
        <v>0</v>
      </c>
      <c r="E22" s="2852">
        <f t="shared" si="1"/>
        <v>0</v>
      </c>
      <c r="F22" s="2852">
        <f t="shared" si="1"/>
        <v>0</v>
      </c>
      <c r="G22" s="2852">
        <f t="shared" si="1"/>
        <v>0</v>
      </c>
      <c r="H22" s="2852">
        <f t="shared" si="1"/>
        <v>0</v>
      </c>
      <c r="I22" s="2852">
        <f t="shared" si="1"/>
        <v>0</v>
      </c>
      <c r="J22" s="2857" t="str">
        <f t="shared" si="2"/>
        <v/>
      </c>
      <c r="K22" s="1590"/>
      <c r="L22" s="1591" t="str">
        <f t="shared" si="3"/>
        <v/>
      </c>
      <c r="M22" s="1519">
        <v>25.5</v>
      </c>
      <c r="P22" s="1581"/>
      <c r="Q22" s="1582"/>
      <c r="R22" s="1592"/>
      <c r="S22" s="1550"/>
      <c r="T22" s="1592"/>
      <c r="U22" s="1592"/>
      <c r="V22" s="1592"/>
      <c r="W22" s="1592"/>
      <c r="X22" s="1592"/>
      <c r="Y22" s="1592" t="str">
        <f t="shared" si="7"/>
        <v/>
      </c>
      <c r="Z22" s="1592"/>
      <c r="AA22" s="1593">
        <f t="shared" si="6"/>
        <v>0</v>
      </c>
    </row>
    <row r="23" spans="1:27" ht="25.5" customHeight="1">
      <c r="A23" s="1681"/>
      <c r="B23" s="1682"/>
      <c r="C23" s="2853">
        <f t="shared" si="0"/>
        <v>0</v>
      </c>
      <c r="D23" s="2851">
        <f t="shared" si="0"/>
        <v>0</v>
      </c>
      <c r="E23" s="2852">
        <f t="shared" si="1"/>
        <v>0</v>
      </c>
      <c r="F23" s="2852">
        <f t="shared" si="1"/>
        <v>0</v>
      </c>
      <c r="G23" s="2852">
        <f t="shared" si="1"/>
        <v>0</v>
      </c>
      <c r="H23" s="2852">
        <f t="shared" si="1"/>
        <v>0</v>
      </c>
      <c r="I23" s="2852">
        <f t="shared" si="1"/>
        <v>0</v>
      </c>
      <c r="J23" s="2857" t="str">
        <f t="shared" si="2"/>
        <v/>
      </c>
      <c r="K23" s="1590"/>
      <c r="L23" s="1591" t="str">
        <f t="shared" si="3"/>
        <v/>
      </c>
      <c r="M23" s="1519">
        <v>25.5</v>
      </c>
      <c r="P23" s="1581"/>
      <c r="Q23" s="1582"/>
      <c r="R23" s="1592"/>
      <c r="S23" s="1550"/>
      <c r="T23" s="1592"/>
      <c r="U23" s="1592"/>
      <c r="V23" s="1592"/>
      <c r="W23" s="1592"/>
      <c r="X23" s="1592"/>
      <c r="Y23" s="1592" t="str">
        <f t="shared" si="7"/>
        <v/>
      </c>
      <c r="Z23" s="1592"/>
      <c r="AA23" s="1593">
        <f t="shared" si="6"/>
        <v>0</v>
      </c>
    </row>
    <row r="24" spans="1:27" ht="25.5" customHeight="1">
      <c r="A24" s="1681"/>
      <c r="B24" s="1682"/>
      <c r="C24" s="2853">
        <f t="shared" si="0"/>
        <v>0</v>
      </c>
      <c r="D24" s="2851">
        <f t="shared" si="0"/>
        <v>0</v>
      </c>
      <c r="E24" s="2852">
        <f t="shared" si="1"/>
        <v>0</v>
      </c>
      <c r="F24" s="2852">
        <f t="shared" si="1"/>
        <v>0</v>
      </c>
      <c r="G24" s="2852">
        <f t="shared" si="1"/>
        <v>0</v>
      </c>
      <c r="H24" s="2852">
        <f t="shared" si="1"/>
        <v>0</v>
      </c>
      <c r="I24" s="2852">
        <f t="shared" si="1"/>
        <v>0</v>
      </c>
      <c r="J24" s="2857" t="str">
        <f t="shared" si="2"/>
        <v/>
      </c>
      <c r="K24" s="1590"/>
      <c r="L24" s="1591" t="str">
        <f t="shared" si="3"/>
        <v/>
      </c>
      <c r="M24" s="1519">
        <v>25.5</v>
      </c>
      <c r="P24" s="1581"/>
      <c r="Q24" s="1582"/>
      <c r="R24" s="1592"/>
      <c r="S24" s="1550"/>
      <c r="T24" s="1592"/>
      <c r="U24" s="1592"/>
      <c r="V24" s="1592"/>
      <c r="W24" s="1592"/>
      <c r="X24" s="1592"/>
      <c r="Y24" s="1592" t="str">
        <f t="shared" si="7"/>
        <v/>
      </c>
      <c r="Z24" s="1592"/>
      <c r="AA24" s="1593">
        <f t="shared" si="6"/>
        <v>0</v>
      </c>
    </row>
    <row r="25" spans="1:27" ht="25.5" customHeight="1">
      <c r="A25" s="1681"/>
      <c r="B25" s="1682"/>
      <c r="C25" s="2854" t="str">
        <f t="shared" si="0"/>
        <v>B.O.F</v>
      </c>
      <c r="D25" s="2855" t="str">
        <f t="shared" si="0"/>
        <v xml:space="preserve"> </v>
      </c>
      <c r="E25" s="2855">
        <f t="shared" si="1"/>
        <v>0</v>
      </c>
      <c r="F25" s="2855">
        <f t="shared" si="1"/>
        <v>0</v>
      </c>
      <c r="G25" s="2855">
        <f t="shared" si="1"/>
        <v>0</v>
      </c>
      <c r="H25" s="2855">
        <f t="shared" si="1"/>
        <v>0</v>
      </c>
      <c r="I25" s="2855">
        <f t="shared" si="1"/>
        <v>0</v>
      </c>
      <c r="J25" s="1674" t="str">
        <f t="shared" si="2"/>
        <v/>
      </c>
      <c r="K25" s="1579"/>
      <c r="L25" s="1580" t="str">
        <f t="shared" si="3"/>
        <v/>
      </c>
      <c r="M25" s="1519">
        <v>25.5</v>
      </c>
      <c r="P25" s="1581"/>
      <c r="Q25" s="1582"/>
      <c r="R25" s="1598" t="s">
        <v>1465</v>
      </c>
      <c r="S25" s="1584" t="s">
        <v>1456</v>
      </c>
      <c r="T25" s="1599"/>
      <c r="U25" s="1599"/>
      <c r="V25" s="1599"/>
      <c r="W25" s="1599"/>
      <c r="X25" s="1599"/>
      <c r="Y25" s="1599" t="s">
        <v>1456</v>
      </c>
      <c r="Z25" s="1599"/>
      <c r="AA25" s="1600">
        <f t="shared" si="6"/>
        <v>0</v>
      </c>
    </row>
    <row r="26" spans="1:27" ht="25.5" customHeight="1">
      <c r="A26" s="1681"/>
      <c r="B26" s="1682"/>
      <c r="C26" s="2853" t="str">
        <f t="shared" si="0"/>
        <v xml:space="preserve">Brie de meaux </v>
      </c>
      <c r="D26" s="2851" t="str">
        <f t="shared" si="0"/>
        <v>Kg</v>
      </c>
      <c r="E26" s="2852">
        <f t="shared" si="1"/>
        <v>0.4</v>
      </c>
      <c r="F26" s="2852">
        <f t="shared" si="1"/>
        <v>0</v>
      </c>
      <c r="G26" s="2852">
        <f t="shared" si="1"/>
        <v>0</v>
      </c>
      <c r="H26" s="2852">
        <f t="shared" si="1"/>
        <v>0</v>
      </c>
      <c r="I26" s="2852">
        <f t="shared" si="1"/>
        <v>0</v>
      </c>
      <c r="J26" s="2857">
        <f t="shared" si="2"/>
        <v>0.4</v>
      </c>
      <c r="K26" s="1590"/>
      <c r="L26" s="1591" t="str">
        <f t="shared" si="3"/>
        <v/>
      </c>
      <c r="M26" s="1519">
        <v>25.5</v>
      </c>
      <c r="P26" s="1581"/>
      <c r="Q26" s="1582"/>
      <c r="R26" s="1592" t="s">
        <v>2096</v>
      </c>
      <c r="S26" s="1550" t="s">
        <v>122</v>
      </c>
      <c r="T26" s="1592">
        <v>0.4</v>
      </c>
      <c r="U26" s="1592"/>
      <c r="V26" s="1592"/>
      <c r="W26" s="1592"/>
      <c r="X26" s="1592"/>
      <c r="Y26" s="1592">
        <f t="shared" ref="Y26:Y33" si="8">IF(SUM(T26:X26)=0,"",SUM(T26:X26))</f>
        <v>0.4</v>
      </c>
      <c r="Z26" s="1592"/>
      <c r="AA26" s="1593">
        <f t="shared" si="6"/>
        <v>0</v>
      </c>
    </row>
    <row r="27" spans="1:27" ht="25.5" customHeight="1">
      <c r="A27" s="1681"/>
      <c r="B27" s="1682"/>
      <c r="C27" s="2853" t="str">
        <f t="shared" si="0"/>
        <v>œufs</v>
      </c>
      <c r="D27" s="2851" t="str">
        <f t="shared" si="0"/>
        <v>P</v>
      </c>
      <c r="E27" s="2852">
        <f t="shared" si="1"/>
        <v>2</v>
      </c>
      <c r="F27" s="2852">
        <f t="shared" si="1"/>
        <v>0</v>
      </c>
      <c r="G27" s="2852">
        <f t="shared" si="1"/>
        <v>0</v>
      </c>
      <c r="H27" s="2852">
        <f t="shared" si="1"/>
        <v>0</v>
      </c>
      <c r="I27" s="2852">
        <f t="shared" si="1"/>
        <v>0</v>
      </c>
      <c r="J27" s="2857">
        <f t="shared" si="2"/>
        <v>2</v>
      </c>
      <c r="K27" s="1590"/>
      <c r="L27" s="1591" t="str">
        <f t="shared" si="3"/>
        <v/>
      </c>
      <c r="M27" s="1519">
        <v>25.5</v>
      </c>
      <c r="P27" s="1581"/>
      <c r="Q27" s="1582"/>
      <c r="R27" s="1592" t="s">
        <v>1723</v>
      </c>
      <c r="S27" s="1550" t="s">
        <v>318</v>
      </c>
      <c r="T27" s="1592">
        <v>2</v>
      </c>
      <c r="U27" s="1592"/>
      <c r="V27" s="1592"/>
      <c r="W27" s="1592"/>
      <c r="X27" s="1592"/>
      <c r="Y27" s="1592">
        <f t="shared" si="8"/>
        <v>2</v>
      </c>
      <c r="Z27" s="1592"/>
      <c r="AA27" s="1593">
        <f t="shared" si="6"/>
        <v>0</v>
      </c>
    </row>
    <row r="28" spans="1:27" ht="25.5" customHeight="1">
      <c r="A28" s="1681"/>
      <c r="B28" s="1682"/>
      <c r="C28" s="2853">
        <f t="shared" si="0"/>
        <v>0</v>
      </c>
      <c r="D28" s="2851">
        <f t="shared" si="0"/>
        <v>0</v>
      </c>
      <c r="E28" s="2852">
        <f t="shared" si="1"/>
        <v>0</v>
      </c>
      <c r="F28" s="2852">
        <f t="shared" si="1"/>
        <v>0</v>
      </c>
      <c r="G28" s="2852">
        <f t="shared" si="1"/>
        <v>0</v>
      </c>
      <c r="H28" s="2852">
        <f t="shared" si="1"/>
        <v>0</v>
      </c>
      <c r="I28" s="2852">
        <f t="shared" si="1"/>
        <v>0</v>
      </c>
      <c r="J28" s="2857" t="str">
        <f t="shared" si="2"/>
        <v/>
      </c>
      <c r="K28" s="1590"/>
      <c r="L28" s="1591" t="str">
        <f t="shared" si="3"/>
        <v/>
      </c>
      <c r="M28" s="1519">
        <v>25.5</v>
      </c>
      <c r="P28" s="1581"/>
      <c r="Q28" s="1582"/>
      <c r="R28" s="1592"/>
      <c r="S28" s="1550"/>
      <c r="T28" s="1592"/>
      <c r="U28" s="1592"/>
      <c r="V28" s="1592"/>
      <c r="W28" s="1592"/>
      <c r="X28" s="1592"/>
      <c r="Y28" s="1592" t="str">
        <f t="shared" si="8"/>
        <v/>
      </c>
      <c r="Z28" s="1592"/>
      <c r="AA28" s="1593">
        <f t="shared" si="6"/>
        <v>0</v>
      </c>
    </row>
    <row r="29" spans="1:27" ht="25.5" customHeight="1">
      <c r="A29" s="1681"/>
      <c r="B29" s="1682"/>
      <c r="C29" s="2853">
        <f t="shared" si="0"/>
        <v>0</v>
      </c>
      <c r="D29" s="2851">
        <f t="shared" si="0"/>
        <v>0</v>
      </c>
      <c r="E29" s="2852">
        <f t="shared" si="1"/>
        <v>0</v>
      </c>
      <c r="F29" s="2852">
        <f t="shared" si="1"/>
        <v>0</v>
      </c>
      <c r="G29" s="2852">
        <f t="shared" si="1"/>
        <v>0</v>
      </c>
      <c r="H29" s="2852">
        <f t="shared" si="1"/>
        <v>0</v>
      </c>
      <c r="I29" s="2852">
        <f t="shared" si="1"/>
        <v>0</v>
      </c>
      <c r="J29" s="2857" t="str">
        <f t="shared" si="2"/>
        <v/>
      </c>
      <c r="K29" s="1590"/>
      <c r="L29" s="1591" t="str">
        <f t="shared" si="3"/>
        <v/>
      </c>
      <c r="M29" s="1519">
        <v>25.5</v>
      </c>
      <c r="P29" s="1581"/>
      <c r="Q29" s="1582"/>
      <c r="R29" s="1592"/>
      <c r="S29" s="1550"/>
      <c r="T29" s="1592"/>
      <c r="U29" s="1592"/>
      <c r="V29" s="1592"/>
      <c r="W29" s="1592"/>
      <c r="X29" s="1592"/>
      <c r="Y29" s="1592" t="str">
        <f t="shared" si="8"/>
        <v/>
      </c>
      <c r="Z29" s="1592"/>
      <c r="AA29" s="1593">
        <f t="shared" si="6"/>
        <v>0</v>
      </c>
    </row>
    <row r="30" spans="1:27" ht="25.5" customHeight="1">
      <c r="A30" s="1681"/>
      <c r="B30" s="1682"/>
      <c r="C30" s="2853">
        <f t="shared" si="0"/>
        <v>0</v>
      </c>
      <c r="D30" s="2851">
        <f t="shared" si="0"/>
        <v>0</v>
      </c>
      <c r="E30" s="2852">
        <f t="shared" si="1"/>
        <v>0</v>
      </c>
      <c r="F30" s="2852">
        <f t="shared" si="1"/>
        <v>0</v>
      </c>
      <c r="G30" s="2852">
        <f t="shared" si="1"/>
        <v>0</v>
      </c>
      <c r="H30" s="2852">
        <f t="shared" si="1"/>
        <v>0</v>
      </c>
      <c r="I30" s="2852">
        <f t="shared" si="1"/>
        <v>0</v>
      </c>
      <c r="J30" s="2857" t="str">
        <f t="shared" si="2"/>
        <v/>
      </c>
      <c r="K30" s="1590"/>
      <c r="L30" s="1591" t="str">
        <f t="shared" si="3"/>
        <v/>
      </c>
      <c r="M30" s="1519">
        <v>25.5</v>
      </c>
      <c r="P30" s="1581"/>
      <c r="Q30" s="1582"/>
      <c r="R30" s="1592"/>
      <c r="S30" s="1550"/>
      <c r="T30" s="1592"/>
      <c r="U30" s="1592"/>
      <c r="V30" s="1592"/>
      <c r="W30" s="1592"/>
      <c r="X30" s="1592"/>
      <c r="Y30" s="1592" t="str">
        <f t="shared" si="8"/>
        <v/>
      </c>
      <c r="Z30" s="1592"/>
      <c r="AA30" s="1593">
        <f t="shared" si="6"/>
        <v>0</v>
      </c>
    </row>
    <row r="31" spans="1:27" ht="25.5" customHeight="1">
      <c r="A31" s="1681"/>
      <c r="B31" s="1682"/>
      <c r="C31" s="2853">
        <f t="shared" si="0"/>
        <v>0</v>
      </c>
      <c r="D31" s="2851">
        <f t="shared" si="0"/>
        <v>0</v>
      </c>
      <c r="E31" s="2852">
        <f t="shared" si="1"/>
        <v>0</v>
      </c>
      <c r="F31" s="2852">
        <f t="shared" si="1"/>
        <v>0</v>
      </c>
      <c r="G31" s="2852">
        <f t="shared" si="1"/>
        <v>0</v>
      </c>
      <c r="H31" s="2852">
        <f t="shared" si="1"/>
        <v>0</v>
      </c>
      <c r="I31" s="2852">
        <f t="shared" si="1"/>
        <v>0</v>
      </c>
      <c r="J31" s="2857" t="str">
        <f t="shared" si="2"/>
        <v/>
      </c>
      <c r="K31" s="1590"/>
      <c r="L31" s="1591" t="str">
        <f t="shared" si="3"/>
        <v/>
      </c>
      <c r="M31" s="1519">
        <v>25.5</v>
      </c>
      <c r="P31" s="1581"/>
      <c r="Q31" s="1582"/>
      <c r="R31" s="1592"/>
      <c r="S31" s="1550"/>
      <c r="T31" s="1592"/>
      <c r="U31" s="1592"/>
      <c r="V31" s="1592"/>
      <c r="W31" s="1592"/>
      <c r="X31" s="1592"/>
      <c r="Y31" s="1592" t="str">
        <f t="shared" si="8"/>
        <v/>
      </c>
      <c r="Z31" s="1592"/>
      <c r="AA31" s="1593">
        <f t="shared" si="6"/>
        <v>0</v>
      </c>
    </row>
    <row r="32" spans="1:27" ht="25.5" customHeight="1">
      <c r="A32" s="1681"/>
      <c r="B32" s="1682"/>
      <c r="C32" s="2853">
        <f t="shared" si="0"/>
        <v>0</v>
      </c>
      <c r="D32" s="2851">
        <f t="shared" si="0"/>
        <v>0</v>
      </c>
      <c r="E32" s="2852">
        <f t="shared" si="1"/>
        <v>0</v>
      </c>
      <c r="F32" s="2852">
        <f t="shared" si="1"/>
        <v>0</v>
      </c>
      <c r="G32" s="2852">
        <f t="shared" si="1"/>
        <v>0</v>
      </c>
      <c r="H32" s="2852">
        <f t="shared" si="1"/>
        <v>0</v>
      </c>
      <c r="I32" s="2852">
        <f t="shared" si="1"/>
        <v>0</v>
      </c>
      <c r="J32" s="2857" t="str">
        <f t="shared" si="2"/>
        <v/>
      </c>
      <c r="K32" s="1590"/>
      <c r="L32" s="1591" t="str">
        <f t="shared" si="3"/>
        <v/>
      </c>
      <c r="M32" s="1519">
        <v>25.5</v>
      </c>
      <c r="P32" s="1581"/>
      <c r="Q32" s="1582"/>
      <c r="R32" s="1592"/>
      <c r="S32" s="1550"/>
      <c r="T32" s="1592"/>
      <c r="U32" s="1592"/>
      <c r="V32" s="1592"/>
      <c r="W32" s="1592"/>
      <c r="X32" s="1592"/>
      <c r="Y32" s="1592" t="str">
        <f t="shared" si="8"/>
        <v/>
      </c>
      <c r="Z32" s="1592"/>
      <c r="AA32" s="1593">
        <f t="shared" si="6"/>
        <v>0</v>
      </c>
    </row>
    <row r="33" spans="1:27" ht="25.5" customHeight="1">
      <c r="A33" s="1681"/>
      <c r="B33" s="1682"/>
      <c r="C33" s="2853">
        <f t="shared" si="0"/>
        <v>0</v>
      </c>
      <c r="D33" s="2851">
        <f t="shared" si="0"/>
        <v>0</v>
      </c>
      <c r="E33" s="2852">
        <f t="shared" si="1"/>
        <v>0</v>
      </c>
      <c r="F33" s="2852">
        <f t="shared" si="1"/>
        <v>0</v>
      </c>
      <c r="G33" s="2852">
        <f t="shared" si="1"/>
        <v>0</v>
      </c>
      <c r="H33" s="2852">
        <f t="shared" si="1"/>
        <v>0</v>
      </c>
      <c r="I33" s="2852">
        <f t="shared" si="1"/>
        <v>0</v>
      </c>
      <c r="J33" s="2857" t="str">
        <f t="shared" si="2"/>
        <v/>
      </c>
      <c r="K33" s="1590"/>
      <c r="L33" s="1591" t="str">
        <f t="shared" si="3"/>
        <v/>
      </c>
      <c r="M33" s="1519">
        <v>25.5</v>
      </c>
      <c r="P33" s="1581"/>
      <c r="Q33" s="1582"/>
      <c r="R33" s="1592"/>
      <c r="S33" s="1550"/>
      <c r="T33" s="1592"/>
      <c r="U33" s="1592"/>
      <c r="V33" s="1592"/>
      <c r="W33" s="1592"/>
      <c r="X33" s="1592"/>
      <c r="Y33" s="1592" t="str">
        <f t="shared" si="8"/>
        <v/>
      </c>
      <c r="Z33" s="1592"/>
      <c r="AA33" s="1593">
        <f t="shared" si="6"/>
        <v>0</v>
      </c>
    </row>
    <row r="34" spans="1:27" ht="25.5" customHeight="1">
      <c r="A34" s="1681"/>
      <c r="B34" s="1682"/>
      <c r="C34" s="2854" t="str">
        <f t="shared" si="0"/>
        <v>ECONOMAT/CAVE</v>
      </c>
      <c r="D34" s="2855" t="str">
        <f t="shared" si="0"/>
        <v xml:space="preserve"> </v>
      </c>
      <c r="E34" s="2855">
        <f t="shared" si="1"/>
        <v>0</v>
      </c>
      <c r="F34" s="2855">
        <f t="shared" si="1"/>
        <v>0</v>
      </c>
      <c r="G34" s="2855">
        <f t="shared" si="1"/>
        <v>0</v>
      </c>
      <c r="H34" s="2855">
        <f t="shared" si="1"/>
        <v>0</v>
      </c>
      <c r="I34" s="2855">
        <f t="shared" si="1"/>
        <v>0</v>
      </c>
      <c r="J34" s="1674" t="str">
        <f t="shared" si="2"/>
        <v/>
      </c>
      <c r="K34" s="1579"/>
      <c r="L34" s="1580" t="str">
        <f t="shared" si="3"/>
        <v/>
      </c>
      <c r="M34" s="1519">
        <v>25.5</v>
      </c>
      <c r="P34" s="1581"/>
      <c r="Q34" s="1582"/>
      <c r="R34" s="1598" t="s">
        <v>1967</v>
      </c>
      <c r="S34" s="1584" t="s">
        <v>1456</v>
      </c>
      <c r="T34" s="1599"/>
      <c r="U34" s="1599"/>
      <c r="V34" s="1599"/>
      <c r="W34" s="1599"/>
      <c r="X34" s="1599"/>
      <c r="Y34" s="1599" t="s">
        <v>1456</v>
      </c>
      <c r="Z34" s="1599"/>
      <c r="AA34" s="1600">
        <f t="shared" si="6"/>
        <v>0</v>
      </c>
    </row>
    <row r="35" spans="1:27" ht="25.5" customHeight="1">
      <c r="A35" s="1681"/>
      <c r="B35" s="1682"/>
      <c r="C35" s="2853" t="str">
        <f t="shared" si="0"/>
        <v>farine</v>
      </c>
      <c r="D35" s="2851" t="str">
        <f t="shared" si="0"/>
        <v>Kg</v>
      </c>
      <c r="E35" s="2852">
        <f t="shared" si="1"/>
        <v>4.4999999999999998E-2</v>
      </c>
      <c r="F35" s="2852">
        <f t="shared" si="1"/>
        <v>0</v>
      </c>
      <c r="G35" s="2852">
        <f t="shared" si="1"/>
        <v>0</v>
      </c>
      <c r="H35" s="2852">
        <f t="shared" si="1"/>
        <v>0</v>
      </c>
      <c r="I35" s="2852">
        <f t="shared" si="1"/>
        <v>0</v>
      </c>
      <c r="J35" s="2857">
        <f t="shared" si="2"/>
        <v>4.4999999999999998E-2</v>
      </c>
      <c r="K35" s="1590"/>
      <c r="L35" s="1591" t="str">
        <f t="shared" si="3"/>
        <v/>
      </c>
      <c r="M35" s="1519">
        <v>25.5</v>
      </c>
      <c r="P35" s="1581"/>
      <c r="Q35" s="1582"/>
      <c r="R35" s="1592" t="s">
        <v>976</v>
      </c>
      <c r="S35" s="1550" t="s">
        <v>122</v>
      </c>
      <c r="T35" s="1592">
        <v>4.4999999999999998E-2</v>
      </c>
      <c r="U35" s="1592"/>
      <c r="V35" s="1592"/>
      <c r="W35" s="1592"/>
      <c r="X35" s="1592"/>
      <c r="Y35" s="1592">
        <f t="shared" ref="Y35:Y39" si="9">IF(SUM(T35:X35)=0,"",SUM(T35:X35))</f>
        <v>4.4999999999999998E-2</v>
      </c>
      <c r="Z35" s="1592"/>
      <c r="AA35" s="1593">
        <f t="shared" si="6"/>
        <v>0</v>
      </c>
    </row>
    <row r="36" spans="1:27" ht="25.5" customHeight="1">
      <c r="A36" s="1681"/>
      <c r="B36" s="1682"/>
      <c r="C36" s="2853" t="str">
        <f t="shared" si="0"/>
        <v>huile</v>
      </c>
      <c r="D36" s="2851" t="str">
        <f t="shared" si="0"/>
        <v xml:space="preserve">L </v>
      </c>
      <c r="E36" s="2852">
        <f t="shared" si="1"/>
        <v>0.2</v>
      </c>
      <c r="F36" s="2852">
        <f t="shared" si="1"/>
        <v>0</v>
      </c>
      <c r="G36" s="2852">
        <f t="shared" si="1"/>
        <v>0</v>
      </c>
      <c r="H36" s="2852">
        <f t="shared" si="1"/>
        <v>0</v>
      </c>
      <c r="I36" s="2852">
        <f t="shared" si="1"/>
        <v>0</v>
      </c>
      <c r="J36" s="2857">
        <f t="shared" si="2"/>
        <v>0.2</v>
      </c>
      <c r="K36" s="1590"/>
      <c r="L36" s="1591" t="str">
        <f t="shared" si="3"/>
        <v/>
      </c>
      <c r="M36" s="1519">
        <v>25.5</v>
      </c>
      <c r="P36" s="1581"/>
      <c r="Q36" s="1582"/>
      <c r="R36" s="1592" t="s">
        <v>1056</v>
      </c>
      <c r="S36" s="1550" t="s">
        <v>2097</v>
      </c>
      <c r="T36" s="1592">
        <v>0.2</v>
      </c>
      <c r="U36" s="1592"/>
      <c r="V36" s="1592"/>
      <c r="W36" s="1592"/>
      <c r="X36" s="1592"/>
      <c r="Y36" s="1592">
        <f t="shared" si="9"/>
        <v>0.2</v>
      </c>
      <c r="Z36" s="1592"/>
      <c r="AA36" s="1593">
        <f t="shared" si="6"/>
        <v>0</v>
      </c>
    </row>
    <row r="37" spans="1:27" ht="25.5" customHeight="1">
      <c r="A37" s="1681"/>
      <c r="B37" s="1682"/>
      <c r="C37" s="2853" t="str">
        <f t="shared" si="0"/>
        <v>Chapelure blanche</v>
      </c>
      <c r="D37" s="2851" t="str">
        <f t="shared" si="0"/>
        <v>Kg</v>
      </c>
      <c r="E37" s="2852">
        <f t="shared" si="1"/>
        <v>0.2</v>
      </c>
      <c r="F37" s="2852">
        <f t="shared" si="1"/>
        <v>0</v>
      </c>
      <c r="G37" s="2852">
        <f t="shared" si="1"/>
        <v>0</v>
      </c>
      <c r="H37" s="2852">
        <f t="shared" si="1"/>
        <v>0</v>
      </c>
      <c r="I37" s="2852">
        <f t="shared" si="1"/>
        <v>0</v>
      </c>
      <c r="J37" s="2857">
        <f t="shared" si="2"/>
        <v>0.2</v>
      </c>
      <c r="K37" s="1590"/>
      <c r="L37" s="1591" t="str">
        <f t="shared" si="3"/>
        <v/>
      </c>
      <c r="M37" s="1519">
        <v>25.5</v>
      </c>
      <c r="P37" s="1581"/>
      <c r="Q37" s="1582"/>
      <c r="R37" s="1592" t="s">
        <v>2098</v>
      </c>
      <c r="S37" s="1550" t="s">
        <v>122</v>
      </c>
      <c r="T37" s="1592">
        <v>0.2</v>
      </c>
      <c r="U37" s="1592"/>
      <c r="V37" s="1592"/>
      <c r="W37" s="1592"/>
      <c r="X37" s="1592"/>
      <c r="Y37" s="1592">
        <f t="shared" si="9"/>
        <v>0.2</v>
      </c>
      <c r="Z37" s="1592"/>
      <c r="AA37" s="1593">
        <f t="shared" si="6"/>
        <v>0</v>
      </c>
    </row>
    <row r="38" spans="1:27" ht="25.5" customHeight="1">
      <c r="A38" s="1681"/>
      <c r="B38" s="1682"/>
      <c r="C38" s="2853" t="str">
        <f t="shared" si="0"/>
        <v>noisettes torréfiées</v>
      </c>
      <c r="D38" s="2851" t="str">
        <f t="shared" si="0"/>
        <v>Kg</v>
      </c>
      <c r="E38" s="2852">
        <f t="shared" si="1"/>
        <v>0.05</v>
      </c>
      <c r="F38" s="2852">
        <f t="shared" si="1"/>
        <v>0</v>
      </c>
      <c r="G38" s="2852">
        <f t="shared" si="1"/>
        <v>0</v>
      </c>
      <c r="H38" s="2852">
        <f t="shared" si="1"/>
        <v>0</v>
      </c>
      <c r="I38" s="2852">
        <f t="shared" si="1"/>
        <v>0</v>
      </c>
      <c r="J38" s="2857">
        <f t="shared" si="2"/>
        <v>0.05</v>
      </c>
      <c r="K38" s="1590"/>
      <c r="L38" s="1591" t="str">
        <f t="shared" si="3"/>
        <v/>
      </c>
      <c r="M38" s="1519">
        <v>25.5</v>
      </c>
      <c r="P38" s="1581"/>
      <c r="Q38" s="1582"/>
      <c r="R38" s="1592" t="s">
        <v>2099</v>
      </c>
      <c r="S38" s="1550" t="s">
        <v>122</v>
      </c>
      <c r="T38" s="1592">
        <v>0.05</v>
      </c>
      <c r="U38" s="1592"/>
      <c r="V38" s="1592"/>
      <c r="W38" s="1592"/>
      <c r="X38" s="1592"/>
      <c r="Y38" s="1592">
        <f t="shared" si="9"/>
        <v>0.05</v>
      </c>
      <c r="Z38" s="1592"/>
      <c r="AA38" s="1593">
        <f t="shared" si="6"/>
        <v>0</v>
      </c>
    </row>
    <row r="39" spans="1:27" ht="25.5" customHeight="1">
      <c r="A39" s="1681"/>
      <c r="B39" s="1682"/>
      <c r="C39" s="2853" t="str">
        <f t="shared" si="0"/>
        <v>Sel fin</v>
      </c>
      <c r="D39" s="2851" t="str">
        <f t="shared" si="0"/>
        <v>Pm</v>
      </c>
      <c r="E39" s="2852">
        <f t="shared" si="1"/>
        <v>0</v>
      </c>
      <c r="F39" s="2852" t="str">
        <f t="shared" si="1"/>
        <v>Pm</v>
      </c>
      <c r="G39" s="2852">
        <f t="shared" si="1"/>
        <v>0</v>
      </c>
      <c r="H39" s="2852">
        <f t="shared" si="1"/>
        <v>0</v>
      </c>
      <c r="I39" s="2852">
        <f t="shared" si="1"/>
        <v>0</v>
      </c>
      <c r="J39" s="2857" t="str">
        <f t="shared" si="2"/>
        <v/>
      </c>
      <c r="K39" s="1590"/>
      <c r="L39" s="1591" t="str">
        <f t="shared" si="3"/>
        <v/>
      </c>
      <c r="M39" s="1519">
        <v>25.5</v>
      </c>
      <c r="P39" s="1581"/>
      <c r="Q39" s="1582"/>
      <c r="R39" s="1592" t="s">
        <v>2100</v>
      </c>
      <c r="S39" s="1550" t="s">
        <v>1472</v>
      </c>
      <c r="T39" s="1592"/>
      <c r="U39" s="1592" t="s">
        <v>1472</v>
      </c>
      <c r="V39" s="1592"/>
      <c r="W39" s="1592"/>
      <c r="X39" s="1592"/>
      <c r="Y39" s="1592" t="str">
        <f t="shared" si="9"/>
        <v/>
      </c>
      <c r="Z39" s="1592"/>
      <c r="AA39" s="1593">
        <f t="shared" si="6"/>
        <v>0</v>
      </c>
    </row>
    <row r="40" spans="1:27" ht="25.5" customHeight="1">
      <c r="A40" s="1681"/>
      <c r="B40" s="1682"/>
      <c r="C40" s="2853" t="str">
        <f t="shared" si="0"/>
        <v>huile de pépins de ra</v>
      </c>
      <c r="D40" s="2851" t="str">
        <f t="shared" si="0"/>
        <v>L</v>
      </c>
      <c r="E40" s="2852">
        <f t="shared" si="1"/>
        <v>0</v>
      </c>
      <c r="F40" s="2852">
        <f t="shared" si="1"/>
        <v>0</v>
      </c>
      <c r="G40" s="2852">
        <f t="shared" si="1"/>
        <v>0.25</v>
      </c>
      <c r="H40" s="2852">
        <f t="shared" si="1"/>
        <v>0</v>
      </c>
      <c r="I40" s="2852">
        <f t="shared" si="1"/>
        <v>0</v>
      </c>
      <c r="J40" s="2857">
        <f t="shared" si="2"/>
        <v>0.25</v>
      </c>
      <c r="K40" s="1697"/>
      <c r="L40" s="1591" t="str">
        <f t="shared" si="3"/>
        <v/>
      </c>
      <c r="M40" s="1519">
        <v>25.5</v>
      </c>
      <c r="P40" s="1581"/>
      <c r="Q40" s="1582"/>
      <c r="R40" s="1592" t="s">
        <v>2101</v>
      </c>
      <c r="S40" s="1550" t="s">
        <v>224</v>
      </c>
      <c r="T40" s="1592"/>
      <c r="U40" s="1592"/>
      <c r="V40" s="1592">
        <v>0.25</v>
      </c>
      <c r="W40" s="1592"/>
      <c r="X40" s="1592"/>
      <c r="Y40" s="1592"/>
      <c r="Z40" s="1592"/>
      <c r="AA40" s="1593">
        <f t="shared" si="6"/>
        <v>0</v>
      </c>
    </row>
    <row r="41" spans="1:27" ht="25.5" customHeight="1">
      <c r="A41" s="1681"/>
      <c r="B41" s="1682"/>
      <c r="C41" s="2853" t="str">
        <f t="shared" si="0"/>
        <v>petits pois surgelés</v>
      </c>
      <c r="D41" s="2851" t="str">
        <f t="shared" si="0"/>
        <v>Kg</v>
      </c>
      <c r="E41" s="2852">
        <f t="shared" si="1"/>
        <v>0</v>
      </c>
      <c r="F41" s="2852">
        <f t="shared" si="1"/>
        <v>0.12</v>
      </c>
      <c r="G41" s="2852">
        <f t="shared" si="1"/>
        <v>0</v>
      </c>
      <c r="H41" s="2852">
        <f t="shared" si="1"/>
        <v>0</v>
      </c>
      <c r="I41" s="2852">
        <f t="shared" si="1"/>
        <v>0</v>
      </c>
      <c r="J41" s="2857">
        <f t="shared" si="2"/>
        <v>0.12</v>
      </c>
      <c r="K41" s="1590"/>
      <c r="L41" s="1591" t="str">
        <f t="shared" si="3"/>
        <v/>
      </c>
      <c r="M41" s="1519">
        <v>25.5</v>
      </c>
      <c r="P41" s="1581"/>
      <c r="Q41" s="1582"/>
      <c r="R41" s="1592" t="s">
        <v>1876</v>
      </c>
      <c r="S41" s="1550" t="s">
        <v>122</v>
      </c>
      <c r="T41" s="1592"/>
      <c r="U41" s="1592">
        <v>0.12</v>
      </c>
      <c r="V41" s="1592"/>
      <c r="W41" s="1592"/>
      <c r="X41" s="1592"/>
      <c r="Y41" s="1592"/>
      <c r="Z41" s="1592"/>
      <c r="AA41" s="1593">
        <f t="shared" si="6"/>
        <v>0</v>
      </c>
    </row>
    <row r="42" spans="1:27" ht="25.5" customHeight="1">
      <c r="A42" s="1681"/>
      <c r="B42" s="1682"/>
      <c r="C42" s="2853" t="str">
        <f t="shared" si="0"/>
        <v>baume de bouteville</v>
      </c>
      <c r="D42" s="2851" t="str">
        <f t="shared" si="0"/>
        <v>L</v>
      </c>
      <c r="E42" s="2852">
        <f t="shared" si="1"/>
        <v>0</v>
      </c>
      <c r="F42" s="2852">
        <f t="shared" si="1"/>
        <v>0</v>
      </c>
      <c r="G42" s="2852">
        <f t="shared" si="1"/>
        <v>0.05</v>
      </c>
      <c r="H42" s="2852">
        <f t="shared" si="1"/>
        <v>0</v>
      </c>
      <c r="I42" s="2852">
        <f t="shared" si="1"/>
        <v>0</v>
      </c>
      <c r="J42" s="2857">
        <f t="shared" si="2"/>
        <v>0.05</v>
      </c>
      <c r="K42" s="1590"/>
      <c r="L42" s="1591" t="str">
        <f t="shared" si="3"/>
        <v/>
      </c>
      <c r="M42" s="1519">
        <v>25.5</v>
      </c>
      <c r="P42" s="1581"/>
      <c r="Q42" s="1582"/>
      <c r="R42" s="1592" t="s">
        <v>2102</v>
      </c>
      <c r="S42" s="1550" t="s">
        <v>224</v>
      </c>
      <c r="T42" s="1592"/>
      <c r="U42" s="1592"/>
      <c r="V42" s="1592">
        <v>0.05</v>
      </c>
      <c r="W42" s="1592"/>
      <c r="X42" s="1592"/>
      <c r="Y42" s="1592">
        <f t="shared" ref="Y42:Y47" si="10">IF(SUM(T42:X42)=0,"",SUM(T42:X42))</f>
        <v>0.05</v>
      </c>
      <c r="Z42" s="1592"/>
      <c r="AA42" s="1593">
        <f t="shared" si="6"/>
        <v>0</v>
      </c>
    </row>
    <row r="43" spans="1:27" ht="25.5" customHeight="1">
      <c r="A43" s="1681"/>
      <c r="B43" s="1682"/>
      <c r="C43" s="2853">
        <f t="shared" si="0"/>
        <v>0</v>
      </c>
      <c r="D43" s="2851">
        <f t="shared" si="0"/>
        <v>0</v>
      </c>
      <c r="E43" s="2852">
        <f t="shared" si="1"/>
        <v>0</v>
      </c>
      <c r="F43" s="2852">
        <f t="shared" si="1"/>
        <v>0</v>
      </c>
      <c r="G43" s="2852">
        <f t="shared" si="1"/>
        <v>0</v>
      </c>
      <c r="H43" s="2852">
        <f t="shared" si="1"/>
        <v>0</v>
      </c>
      <c r="I43" s="2852">
        <f t="shared" si="1"/>
        <v>0</v>
      </c>
      <c r="J43" s="2857" t="str">
        <f t="shared" si="2"/>
        <v/>
      </c>
      <c r="K43" s="1590"/>
      <c r="L43" s="1591" t="str">
        <f t="shared" si="3"/>
        <v/>
      </c>
      <c r="M43" s="1519">
        <v>25.5</v>
      </c>
      <c r="P43" s="1581"/>
      <c r="Q43" s="1582"/>
      <c r="R43" s="1592"/>
      <c r="S43" s="1550"/>
      <c r="T43" s="1592"/>
      <c r="U43" s="1592"/>
      <c r="V43" s="1592"/>
      <c r="W43" s="1592"/>
      <c r="X43" s="1592"/>
      <c r="Y43" s="1592" t="str">
        <f t="shared" si="10"/>
        <v/>
      </c>
      <c r="Z43" s="1592"/>
      <c r="AA43" s="1593">
        <f t="shared" si="6"/>
        <v>0</v>
      </c>
    </row>
    <row r="44" spans="1:27" ht="25.5" customHeight="1">
      <c r="A44" s="1681"/>
      <c r="B44" s="1682"/>
      <c r="C44" s="2853">
        <f t="shared" si="0"/>
        <v>0</v>
      </c>
      <c r="D44" s="2851">
        <f t="shared" si="0"/>
        <v>0</v>
      </c>
      <c r="E44" s="2852">
        <f t="shared" si="1"/>
        <v>0</v>
      </c>
      <c r="F44" s="2852">
        <f t="shared" si="1"/>
        <v>0</v>
      </c>
      <c r="G44" s="2852">
        <f t="shared" si="1"/>
        <v>0</v>
      </c>
      <c r="H44" s="2852">
        <f t="shared" si="1"/>
        <v>0</v>
      </c>
      <c r="I44" s="2852">
        <f t="shared" si="1"/>
        <v>0</v>
      </c>
      <c r="J44" s="2857" t="str">
        <f t="shared" si="2"/>
        <v/>
      </c>
      <c r="K44" s="1590"/>
      <c r="L44" s="1591" t="str">
        <f t="shared" si="3"/>
        <v/>
      </c>
      <c r="M44" s="1519">
        <v>25.5</v>
      </c>
      <c r="P44" s="1581"/>
      <c r="Q44" s="1582"/>
      <c r="R44" s="1592"/>
      <c r="S44" s="1550"/>
      <c r="T44" s="1592"/>
      <c r="U44" s="1592"/>
      <c r="V44" s="1592"/>
      <c r="W44" s="1592"/>
      <c r="X44" s="1592"/>
      <c r="Y44" s="1592" t="str">
        <f t="shared" si="10"/>
        <v/>
      </c>
      <c r="Z44" s="1592"/>
      <c r="AA44" s="1593">
        <f t="shared" si="6"/>
        <v>0</v>
      </c>
    </row>
    <row r="45" spans="1:27" ht="25.5" customHeight="1">
      <c r="A45" s="1681"/>
      <c r="B45" s="1682"/>
      <c r="C45" s="2853">
        <f t="shared" si="0"/>
        <v>0</v>
      </c>
      <c r="D45" s="2851">
        <f t="shared" si="0"/>
        <v>0</v>
      </c>
      <c r="E45" s="2852">
        <f t="shared" si="1"/>
        <v>0</v>
      </c>
      <c r="F45" s="2852">
        <f t="shared" si="1"/>
        <v>0</v>
      </c>
      <c r="G45" s="2852">
        <f t="shared" si="1"/>
        <v>0</v>
      </c>
      <c r="H45" s="2852">
        <f t="shared" si="1"/>
        <v>0</v>
      </c>
      <c r="I45" s="2852">
        <f t="shared" si="1"/>
        <v>0</v>
      </c>
      <c r="J45" s="2857" t="str">
        <f t="shared" si="2"/>
        <v/>
      </c>
      <c r="K45" s="1590"/>
      <c r="L45" s="1591" t="str">
        <f t="shared" si="3"/>
        <v/>
      </c>
      <c r="M45" s="1519">
        <v>25.5</v>
      </c>
      <c r="P45" s="1581"/>
      <c r="Q45" s="1582"/>
      <c r="R45" s="1592"/>
      <c r="S45" s="1550"/>
      <c r="T45" s="1592"/>
      <c r="U45" s="1592"/>
      <c r="V45" s="1592"/>
      <c r="W45" s="1592"/>
      <c r="X45" s="1592"/>
      <c r="Y45" s="1592" t="str">
        <f t="shared" si="10"/>
        <v/>
      </c>
      <c r="Z45" s="1592"/>
      <c r="AA45" s="1593">
        <f t="shared" si="6"/>
        <v>0</v>
      </c>
    </row>
    <row r="46" spans="1:27" ht="25.5" customHeight="1">
      <c r="A46" s="1689"/>
      <c r="B46" s="1682"/>
      <c r="C46" s="2853">
        <f t="shared" si="0"/>
        <v>0</v>
      </c>
      <c r="D46" s="2851">
        <f t="shared" si="0"/>
        <v>0</v>
      </c>
      <c r="E46" s="2852">
        <f t="shared" si="1"/>
        <v>0</v>
      </c>
      <c r="F46" s="2852">
        <f t="shared" si="1"/>
        <v>0</v>
      </c>
      <c r="G46" s="2852">
        <f t="shared" si="1"/>
        <v>0</v>
      </c>
      <c r="H46" s="2852">
        <f t="shared" si="1"/>
        <v>0</v>
      </c>
      <c r="I46" s="2852">
        <f t="shared" si="1"/>
        <v>0</v>
      </c>
      <c r="J46" s="2857" t="str">
        <f t="shared" si="2"/>
        <v/>
      </c>
      <c r="K46" s="1590"/>
      <c r="L46" s="1591" t="str">
        <f t="shared" si="3"/>
        <v/>
      </c>
      <c r="M46" s="1519">
        <v>25.5</v>
      </c>
      <c r="P46" s="1520"/>
      <c r="Q46" s="1582"/>
      <c r="R46" s="1592"/>
      <c r="S46" s="1550"/>
      <c r="T46" s="1610"/>
      <c r="U46" s="1610"/>
      <c r="V46" s="1610"/>
      <c r="W46" s="1610"/>
      <c r="X46" s="1610"/>
      <c r="Y46" s="1610" t="str">
        <f t="shared" si="10"/>
        <v/>
      </c>
      <c r="Z46" s="1592"/>
      <c r="AA46" s="1611">
        <f t="shared" si="6"/>
        <v>0</v>
      </c>
    </row>
    <row r="47" spans="1:27" ht="25.5" customHeight="1">
      <c r="A47" s="1614"/>
      <c r="B47" s="1690" t="s">
        <v>1480</v>
      </c>
      <c r="C47" s="1615"/>
      <c r="D47" s="1615"/>
      <c r="E47" s="1615"/>
      <c r="F47" s="1615"/>
      <c r="G47" s="1614"/>
      <c r="H47" s="1615"/>
      <c r="I47" s="1615"/>
      <c r="J47" s="1615" t="str">
        <f t="shared" ref="J47" si="11">IF(SUM(E47:I47)=0,"",SUM(E47:I47))</f>
        <v/>
      </c>
      <c r="K47" s="1615" t="s">
        <v>2411</v>
      </c>
      <c r="L47" s="1616" t="str">
        <f>IF(J47="","",(J47*K47))</f>
        <v/>
      </c>
      <c r="M47" s="1519">
        <v>25.5</v>
      </c>
      <c r="P47" s="1533"/>
      <c r="Q47" s="1617" t="s">
        <v>1480</v>
      </c>
      <c r="R47" s="1536"/>
      <c r="S47" s="1536"/>
      <c r="T47" s="1192"/>
      <c r="U47" s="1192"/>
      <c r="V47" s="1533"/>
      <c r="W47" s="1536"/>
      <c r="X47" s="1536"/>
      <c r="Y47" s="1536" t="str">
        <f t="shared" si="10"/>
        <v/>
      </c>
      <c r="Z47" s="1536" t="s">
        <v>2411</v>
      </c>
      <c r="AA47" s="1616" t="str">
        <f>IF(Y47="","",(Y47*Z47))</f>
        <v/>
      </c>
    </row>
    <row r="48" spans="1:27" ht="25.5" customHeight="1">
      <c r="A48" s="1681"/>
      <c r="B48" s="1618" t="s">
        <v>2103</v>
      </c>
      <c r="C48" s="1619"/>
      <c r="D48" s="1618"/>
      <c r="E48" s="1619"/>
      <c r="F48" s="1619"/>
      <c r="G48" s="3522" t="s">
        <v>2288</v>
      </c>
      <c r="H48" s="3523"/>
      <c r="I48" s="1620">
        <f>L2</f>
        <v>10</v>
      </c>
      <c r="J48" s="1621"/>
      <c r="K48" s="1621"/>
      <c r="L48" s="1622">
        <f>SUM(L8:L46)</f>
        <v>0.05</v>
      </c>
      <c r="M48" s="1519">
        <v>25.5</v>
      </c>
      <c r="P48" s="1581"/>
      <c r="Q48" s="1352" t="s">
        <v>2103</v>
      </c>
      <c r="R48" s="1623"/>
      <c r="S48" s="1192"/>
      <c r="T48" s="1623"/>
      <c r="U48" s="1623"/>
      <c r="V48" s="1624" t="s">
        <v>1482</v>
      </c>
      <c r="W48" s="1625"/>
      <c r="X48" s="1625"/>
      <c r="Y48" s="1625"/>
      <c r="Z48" s="1625"/>
      <c r="AA48" s="1626">
        <f>SUM(AA8:AA47)</f>
        <v>0</v>
      </c>
    </row>
    <row r="49" spans="1:27" ht="25.5" customHeight="1">
      <c r="A49" s="1681"/>
      <c r="B49" s="1618" t="s">
        <v>2104</v>
      </c>
      <c r="C49" s="1618"/>
      <c r="D49" s="1618"/>
      <c r="E49" s="1618"/>
      <c r="F49" s="1618"/>
      <c r="G49" s="3548" t="s">
        <v>1483</v>
      </c>
      <c r="H49" s="3549"/>
      <c r="I49" s="3549"/>
      <c r="J49" s="3549"/>
      <c r="K49" s="1627">
        <v>0.02</v>
      </c>
      <c r="L49" s="1622">
        <f>L48*K49</f>
        <v>1E-3</v>
      </c>
      <c r="M49" s="1519">
        <v>25.5</v>
      </c>
      <c r="P49" s="1581"/>
      <c r="Q49" s="1352" t="s">
        <v>2104</v>
      </c>
      <c r="R49" s="1192"/>
      <c r="S49" s="1192"/>
      <c r="T49" s="1192"/>
      <c r="U49" s="1192"/>
      <c r="V49" s="1628" t="s">
        <v>1483</v>
      </c>
      <c r="W49" s="1192"/>
      <c r="X49" s="1192"/>
      <c r="Y49" s="1192"/>
      <c r="Z49" s="1192"/>
      <c r="AA49" s="1537"/>
    </row>
    <row r="50" spans="1:27" ht="25.5" customHeight="1" thickBot="1">
      <c r="A50" s="1689"/>
      <c r="B50" s="1694" t="s">
        <v>2105</v>
      </c>
      <c r="C50" s="1694"/>
      <c r="D50" s="1694"/>
      <c r="E50" s="1694"/>
      <c r="F50" s="1694"/>
      <c r="G50" s="3614" t="s">
        <v>2289</v>
      </c>
      <c r="H50" s="3615"/>
      <c r="I50" s="3615"/>
      <c r="J50" s="3615"/>
      <c r="K50" s="1630"/>
      <c r="L50" s="1631">
        <f>(L48+L49)/I48</f>
        <v>5.1000000000000004E-3</v>
      </c>
      <c r="M50" s="1519">
        <v>25.5</v>
      </c>
      <c r="P50" s="1520"/>
      <c r="Q50" s="1632" t="s">
        <v>2105</v>
      </c>
      <c r="R50" s="1633"/>
      <c r="S50" s="1633"/>
      <c r="T50" s="1633"/>
      <c r="U50" s="1633"/>
      <c r="V50" s="1634" t="s">
        <v>1484</v>
      </c>
      <c r="W50" s="1633"/>
      <c r="X50" s="1633"/>
      <c r="Y50" s="1633"/>
      <c r="Z50" s="1635"/>
      <c r="AA50" s="1636">
        <f>AA48/X2</f>
        <v>0</v>
      </c>
    </row>
    <row r="51" spans="1:27">
      <c r="M51" s="1519"/>
    </row>
    <row r="52" spans="1:27">
      <c r="M52" s="1519"/>
    </row>
    <row r="53" spans="1:27">
      <c r="M53" s="1519"/>
    </row>
    <row r="54" spans="1:27">
      <c r="M54" s="1519"/>
    </row>
    <row r="55" spans="1:27">
      <c r="M55" s="1519"/>
    </row>
    <row r="56" spans="1:27">
      <c r="M56" s="1519"/>
    </row>
    <row r="57" spans="1:27">
      <c r="M57" s="1519"/>
    </row>
    <row r="58" spans="1:27">
      <c r="M58" s="1519"/>
    </row>
    <row r="59" spans="1:27">
      <c r="M59" s="1519"/>
    </row>
    <row r="60" spans="1:27">
      <c r="M60" s="1519"/>
    </row>
    <row r="61" spans="1:27">
      <c r="M61" s="1519"/>
    </row>
    <row r="62" spans="1:27">
      <c r="M62" s="1519"/>
    </row>
    <row r="63" spans="1:27">
      <c r="M63" s="1519"/>
    </row>
    <row r="64" spans="1:27">
      <c r="M64" s="1519"/>
    </row>
    <row r="65" spans="13:13">
      <c r="M65" s="1519"/>
    </row>
    <row r="66" spans="13:13">
      <c r="M66" s="1519"/>
    </row>
    <row r="67" spans="13:13">
      <c r="M67" s="1519"/>
    </row>
    <row r="68" spans="13:13">
      <c r="M68" s="1519"/>
    </row>
    <row r="69" spans="13:13">
      <c r="M69" s="1519"/>
    </row>
    <row r="70" spans="13:13">
      <c r="M70" s="1519"/>
    </row>
    <row r="71" spans="13:13">
      <c r="M71" s="1519"/>
    </row>
    <row r="72" spans="13:13">
      <c r="M72" s="1519"/>
    </row>
    <row r="73" spans="13:13">
      <c r="M73" s="1519"/>
    </row>
    <row r="74" spans="13:13">
      <c r="M74" s="1519"/>
    </row>
    <row r="75" spans="13:13">
      <c r="M75" s="1519"/>
    </row>
    <row r="76" spans="13:13">
      <c r="M76" s="1519"/>
    </row>
    <row r="77" spans="13:13">
      <c r="M77" s="1519"/>
    </row>
    <row r="78" spans="13:13">
      <c r="M78" s="1519"/>
    </row>
    <row r="79" spans="13:13">
      <c r="M79" s="1519"/>
    </row>
    <row r="80" spans="1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8">
    <mergeCell ref="P1:AA1"/>
    <mergeCell ref="G49:J49"/>
    <mergeCell ref="G50:J50"/>
    <mergeCell ref="B2:G2"/>
    <mergeCell ref="Q2:V2"/>
    <mergeCell ref="B4:E4"/>
    <mergeCell ref="Q4:T4"/>
    <mergeCell ref="G48:H48"/>
  </mergeCell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&amp;R2TSB</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94FA-22E5-4398-9CF3-FB6E79990777}">
  <dimension ref="A1:AA98"/>
  <sheetViews>
    <sheetView showZeros="0" zoomScaleNormal="100" workbookViewId="0">
      <selection activeCell="E1" sqref="E1"/>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5.140625" style="1281" customWidth="1"/>
    <col min="24" max="24" width="3.28515625" style="1281" customWidth="1"/>
    <col min="25" max="25" width="6" style="1281" customWidth="1"/>
    <col min="26" max="26" width="5.42578125" style="1281" customWidth="1"/>
    <col min="27" max="27" width="5.7109375" style="1281" customWidth="1"/>
    <col min="28" max="256" width="11.42578125" style="1281"/>
    <col min="257" max="257" width="0" style="1281" hidden="1" customWidth="1"/>
    <col min="258" max="258" width="28.28515625" style="1281" customWidth="1"/>
    <col min="259" max="259" width="16.28515625" style="1281" customWidth="1"/>
    <col min="260" max="260" width="3.42578125" style="1281" customWidth="1"/>
    <col min="261" max="261" width="5.7109375" style="1281" customWidth="1"/>
    <col min="262" max="262" width="5.85546875" style="1281" customWidth="1"/>
    <col min="263" max="263" width="6.7109375" style="1281" customWidth="1"/>
    <col min="264" max="264" width="5.140625" style="1281" customWidth="1"/>
    <col min="265" max="265" width="3.28515625" style="1281" customWidth="1"/>
    <col min="266" max="266" width="6" style="1281" customWidth="1"/>
    <col min="267" max="267" width="5.42578125" style="1281" customWidth="1"/>
    <col min="268" max="268" width="5.7109375" style="1281" customWidth="1"/>
    <col min="269" max="512" width="11.42578125" style="1281"/>
    <col min="513" max="513" width="0" style="1281" hidden="1" customWidth="1"/>
    <col min="514" max="514" width="28.28515625" style="1281" customWidth="1"/>
    <col min="515" max="515" width="16.28515625" style="1281" customWidth="1"/>
    <col min="516" max="516" width="3.42578125" style="1281" customWidth="1"/>
    <col min="517" max="517" width="5.7109375" style="1281" customWidth="1"/>
    <col min="518" max="518" width="5.85546875" style="1281" customWidth="1"/>
    <col min="519" max="519" width="6.7109375" style="1281" customWidth="1"/>
    <col min="520" max="520" width="5.140625" style="1281" customWidth="1"/>
    <col min="521" max="521" width="3.28515625" style="1281" customWidth="1"/>
    <col min="522" max="522" width="6" style="1281" customWidth="1"/>
    <col min="523" max="523" width="5.42578125" style="1281" customWidth="1"/>
    <col min="524" max="524" width="5.7109375" style="1281" customWidth="1"/>
    <col min="525" max="768" width="11.42578125" style="1281"/>
    <col min="769" max="769" width="0" style="1281" hidden="1" customWidth="1"/>
    <col min="770" max="770" width="28.28515625" style="1281" customWidth="1"/>
    <col min="771" max="771" width="16.28515625" style="1281" customWidth="1"/>
    <col min="772" max="772" width="3.42578125" style="1281" customWidth="1"/>
    <col min="773" max="773" width="5.7109375" style="1281" customWidth="1"/>
    <col min="774" max="774" width="5.85546875" style="1281" customWidth="1"/>
    <col min="775" max="775" width="6.7109375" style="1281" customWidth="1"/>
    <col min="776" max="776" width="5.140625" style="1281" customWidth="1"/>
    <col min="777" max="777" width="3.28515625" style="1281" customWidth="1"/>
    <col min="778" max="778" width="6" style="1281" customWidth="1"/>
    <col min="779" max="779" width="5.42578125" style="1281" customWidth="1"/>
    <col min="780" max="780" width="5.7109375" style="1281" customWidth="1"/>
    <col min="781" max="1024" width="11.42578125" style="1281"/>
    <col min="1025" max="1025" width="0" style="1281" hidden="1" customWidth="1"/>
    <col min="1026" max="1026" width="28.28515625" style="1281" customWidth="1"/>
    <col min="1027" max="1027" width="16.28515625" style="1281" customWidth="1"/>
    <col min="1028" max="1028" width="3.42578125" style="1281" customWidth="1"/>
    <col min="1029" max="1029" width="5.7109375" style="1281" customWidth="1"/>
    <col min="1030" max="1030" width="5.85546875" style="1281" customWidth="1"/>
    <col min="1031" max="1031" width="6.7109375" style="1281" customWidth="1"/>
    <col min="1032" max="1032" width="5.140625" style="1281" customWidth="1"/>
    <col min="1033" max="1033" width="3.28515625" style="1281" customWidth="1"/>
    <col min="1034" max="1034" width="6" style="1281" customWidth="1"/>
    <col min="1035" max="1035" width="5.42578125" style="1281" customWidth="1"/>
    <col min="1036" max="1036" width="5.7109375" style="1281" customWidth="1"/>
    <col min="1037" max="1280" width="11.42578125" style="1281"/>
    <col min="1281" max="1281" width="0" style="1281" hidden="1" customWidth="1"/>
    <col min="1282" max="1282" width="28.28515625" style="1281" customWidth="1"/>
    <col min="1283" max="1283" width="16.28515625" style="1281" customWidth="1"/>
    <col min="1284" max="1284" width="3.42578125" style="1281" customWidth="1"/>
    <col min="1285" max="1285" width="5.7109375" style="1281" customWidth="1"/>
    <col min="1286" max="1286" width="5.85546875" style="1281" customWidth="1"/>
    <col min="1287" max="1287" width="6.7109375" style="1281" customWidth="1"/>
    <col min="1288" max="1288" width="5.140625" style="1281" customWidth="1"/>
    <col min="1289" max="1289" width="3.28515625" style="1281" customWidth="1"/>
    <col min="1290" max="1290" width="6" style="1281" customWidth="1"/>
    <col min="1291" max="1291" width="5.42578125" style="1281" customWidth="1"/>
    <col min="1292" max="1292" width="5.7109375" style="1281" customWidth="1"/>
    <col min="1293" max="1536" width="11.42578125" style="1281"/>
    <col min="1537" max="1537" width="0" style="1281" hidden="1" customWidth="1"/>
    <col min="1538" max="1538" width="28.28515625" style="1281" customWidth="1"/>
    <col min="1539" max="1539" width="16.28515625" style="1281" customWidth="1"/>
    <col min="1540" max="1540" width="3.42578125" style="1281" customWidth="1"/>
    <col min="1541" max="1541" width="5.7109375" style="1281" customWidth="1"/>
    <col min="1542" max="1542" width="5.85546875" style="1281" customWidth="1"/>
    <col min="1543" max="1543" width="6.7109375" style="1281" customWidth="1"/>
    <col min="1544" max="1544" width="5.140625" style="1281" customWidth="1"/>
    <col min="1545" max="1545" width="3.28515625" style="1281" customWidth="1"/>
    <col min="1546" max="1546" width="6" style="1281" customWidth="1"/>
    <col min="1547" max="1547" width="5.42578125" style="1281" customWidth="1"/>
    <col min="1548" max="1548" width="5.7109375" style="1281" customWidth="1"/>
    <col min="1549" max="1792" width="11.42578125" style="1281"/>
    <col min="1793" max="1793" width="0" style="1281" hidden="1" customWidth="1"/>
    <col min="1794" max="1794" width="28.28515625" style="1281" customWidth="1"/>
    <col min="1795" max="1795" width="16.28515625" style="1281" customWidth="1"/>
    <col min="1796" max="1796" width="3.42578125" style="1281" customWidth="1"/>
    <col min="1797" max="1797" width="5.7109375" style="1281" customWidth="1"/>
    <col min="1798" max="1798" width="5.85546875" style="1281" customWidth="1"/>
    <col min="1799" max="1799" width="6.7109375" style="1281" customWidth="1"/>
    <col min="1800" max="1800" width="5.140625" style="1281" customWidth="1"/>
    <col min="1801" max="1801" width="3.28515625" style="1281" customWidth="1"/>
    <col min="1802" max="1802" width="6" style="1281" customWidth="1"/>
    <col min="1803" max="1803" width="5.42578125" style="1281" customWidth="1"/>
    <col min="1804" max="1804" width="5.7109375" style="1281" customWidth="1"/>
    <col min="1805" max="2048" width="11.42578125" style="1281"/>
    <col min="2049" max="2049" width="0" style="1281" hidden="1" customWidth="1"/>
    <col min="2050" max="2050" width="28.28515625" style="1281" customWidth="1"/>
    <col min="2051" max="2051" width="16.28515625" style="1281" customWidth="1"/>
    <col min="2052" max="2052" width="3.42578125" style="1281" customWidth="1"/>
    <col min="2053" max="2053" width="5.7109375" style="1281" customWidth="1"/>
    <col min="2054" max="2054" width="5.85546875" style="1281" customWidth="1"/>
    <col min="2055" max="2055" width="6.7109375" style="1281" customWidth="1"/>
    <col min="2056" max="2056" width="5.140625" style="1281" customWidth="1"/>
    <col min="2057" max="2057" width="3.28515625" style="1281" customWidth="1"/>
    <col min="2058" max="2058" width="6" style="1281" customWidth="1"/>
    <col min="2059" max="2059" width="5.42578125" style="1281" customWidth="1"/>
    <col min="2060" max="2060" width="5.7109375" style="1281" customWidth="1"/>
    <col min="2061" max="2304" width="11.42578125" style="1281"/>
    <col min="2305" max="2305" width="0" style="1281" hidden="1" customWidth="1"/>
    <col min="2306" max="2306" width="28.28515625" style="1281" customWidth="1"/>
    <col min="2307" max="2307" width="16.28515625" style="1281" customWidth="1"/>
    <col min="2308" max="2308" width="3.42578125" style="1281" customWidth="1"/>
    <col min="2309" max="2309" width="5.7109375" style="1281" customWidth="1"/>
    <col min="2310" max="2310" width="5.85546875" style="1281" customWidth="1"/>
    <col min="2311" max="2311" width="6.7109375" style="1281" customWidth="1"/>
    <col min="2312" max="2312" width="5.140625" style="1281" customWidth="1"/>
    <col min="2313" max="2313" width="3.28515625" style="1281" customWidth="1"/>
    <col min="2314" max="2314" width="6" style="1281" customWidth="1"/>
    <col min="2315" max="2315" width="5.42578125" style="1281" customWidth="1"/>
    <col min="2316" max="2316" width="5.7109375" style="1281" customWidth="1"/>
    <col min="2317" max="2560" width="11.42578125" style="1281"/>
    <col min="2561" max="2561" width="0" style="1281" hidden="1" customWidth="1"/>
    <col min="2562" max="2562" width="28.28515625" style="1281" customWidth="1"/>
    <col min="2563" max="2563" width="16.28515625" style="1281" customWidth="1"/>
    <col min="2564" max="2564" width="3.42578125" style="1281" customWidth="1"/>
    <col min="2565" max="2565" width="5.7109375" style="1281" customWidth="1"/>
    <col min="2566" max="2566" width="5.85546875" style="1281" customWidth="1"/>
    <col min="2567" max="2567" width="6.7109375" style="1281" customWidth="1"/>
    <col min="2568" max="2568" width="5.140625" style="1281" customWidth="1"/>
    <col min="2569" max="2569" width="3.28515625" style="1281" customWidth="1"/>
    <col min="2570" max="2570" width="6" style="1281" customWidth="1"/>
    <col min="2571" max="2571" width="5.42578125" style="1281" customWidth="1"/>
    <col min="2572" max="2572" width="5.7109375" style="1281" customWidth="1"/>
    <col min="2573" max="2816" width="11.42578125" style="1281"/>
    <col min="2817" max="2817" width="0" style="1281" hidden="1" customWidth="1"/>
    <col min="2818" max="2818" width="28.28515625" style="1281" customWidth="1"/>
    <col min="2819" max="2819" width="16.28515625" style="1281" customWidth="1"/>
    <col min="2820" max="2820" width="3.42578125" style="1281" customWidth="1"/>
    <col min="2821" max="2821" width="5.7109375" style="1281" customWidth="1"/>
    <col min="2822" max="2822" width="5.85546875" style="1281" customWidth="1"/>
    <col min="2823" max="2823" width="6.7109375" style="1281" customWidth="1"/>
    <col min="2824" max="2824" width="5.140625" style="1281" customWidth="1"/>
    <col min="2825" max="2825" width="3.28515625" style="1281" customWidth="1"/>
    <col min="2826" max="2826" width="6" style="1281" customWidth="1"/>
    <col min="2827" max="2827" width="5.42578125" style="1281" customWidth="1"/>
    <col min="2828" max="2828" width="5.7109375" style="1281" customWidth="1"/>
    <col min="2829" max="3072" width="11.42578125" style="1281"/>
    <col min="3073" max="3073" width="0" style="1281" hidden="1" customWidth="1"/>
    <col min="3074" max="3074" width="28.28515625" style="1281" customWidth="1"/>
    <col min="3075" max="3075" width="16.28515625" style="1281" customWidth="1"/>
    <col min="3076" max="3076" width="3.42578125" style="1281" customWidth="1"/>
    <col min="3077" max="3077" width="5.7109375" style="1281" customWidth="1"/>
    <col min="3078" max="3078" width="5.85546875" style="1281" customWidth="1"/>
    <col min="3079" max="3079" width="6.7109375" style="1281" customWidth="1"/>
    <col min="3080" max="3080" width="5.140625" style="1281" customWidth="1"/>
    <col min="3081" max="3081" width="3.28515625" style="1281" customWidth="1"/>
    <col min="3082" max="3082" width="6" style="1281" customWidth="1"/>
    <col min="3083" max="3083" width="5.42578125" style="1281" customWidth="1"/>
    <col min="3084" max="3084" width="5.7109375" style="1281" customWidth="1"/>
    <col min="3085" max="3328" width="11.42578125" style="1281"/>
    <col min="3329" max="3329" width="0" style="1281" hidden="1" customWidth="1"/>
    <col min="3330" max="3330" width="28.28515625" style="1281" customWidth="1"/>
    <col min="3331" max="3331" width="16.28515625" style="1281" customWidth="1"/>
    <col min="3332" max="3332" width="3.42578125" style="1281" customWidth="1"/>
    <col min="3333" max="3333" width="5.7109375" style="1281" customWidth="1"/>
    <col min="3334" max="3334" width="5.85546875" style="1281" customWidth="1"/>
    <col min="3335" max="3335" width="6.7109375" style="1281" customWidth="1"/>
    <col min="3336" max="3336" width="5.140625" style="1281" customWidth="1"/>
    <col min="3337" max="3337" width="3.28515625" style="1281" customWidth="1"/>
    <col min="3338" max="3338" width="6" style="1281" customWidth="1"/>
    <col min="3339" max="3339" width="5.42578125" style="1281" customWidth="1"/>
    <col min="3340" max="3340" width="5.7109375" style="1281" customWidth="1"/>
    <col min="3341" max="3584" width="11.42578125" style="1281"/>
    <col min="3585" max="3585" width="0" style="1281" hidden="1" customWidth="1"/>
    <col min="3586" max="3586" width="28.28515625" style="1281" customWidth="1"/>
    <col min="3587" max="3587" width="16.28515625" style="1281" customWidth="1"/>
    <col min="3588" max="3588" width="3.42578125" style="1281" customWidth="1"/>
    <col min="3589" max="3589" width="5.7109375" style="1281" customWidth="1"/>
    <col min="3590" max="3590" width="5.85546875" style="1281" customWidth="1"/>
    <col min="3591" max="3591" width="6.7109375" style="1281" customWidth="1"/>
    <col min="3592" max="3592" width="5.140625" style="1281" customWidth="1"/>
    <col min="3593" max="3593" width="3.28515625" style="1281" customWidth="1"/>
    <col min="3594" max="3594" width="6" style="1281" customWidth="1"/>
    <col min="3595" max="3595" width="5.42578125" style="1281" customWidth="1"/>
    <col min="3596" max="3596" width="5.7109375" style="1281" customWidth="1"/>
    <col min="3597" max="3840" width="11.42578125" style="1281"/>
    <col min="3841" max="3841" width="0" style="1281" hidden="1" customWidth="1"/>
    <col min="3842" max="3842" width="28.28515625" style="1281" customWidth="1"/>
    <col min="3843" max="3843" width="16.28515625" style="1281" customWidth="1"/>
    <col min="3844" max="3844" width="3.42578125" style="1281" customWidth="1"/>
    <col min="3845" max="3845" width="5.7109375" style="1281" customWidth="1"/>
    <col min="3846" max="3846" width="5.85546875" style="1281" customWidth="1"/>
    <col min="3847" max="3847" width="6.7109375" style="1281" customWidth="1"/>
    <col min="3848" max="3848" width="5.140625" style="1281" customWidth="1"/>
    <col min="3849" max="3849" width="3.28515625" style="1281" customWidth="1"/>
    <col min="3850" max="3850" width="6" style="1281" customWidth="1"/>
    <col min="3851" max="3851" width="5.42578125" style="1281" customWidth="1"/>
    <col min="3852" max="3852" width="5.7109375" style="1281" customWidth="1"/>
    <col min="3853" max="4096" width="11.42578125" style="1281"/>
    <col min="4097" max="4097" width="0" style="1281" hidden="1" customWidth="1"/>
    <col min="4098" max="4098" width="28.28515625" style="1281" customWidth="1"/>
    <col min="4099" max="4099" width="16.28515625" style="1281" customWidth="1"/>
    <col min="4100" max="4100" width="3.42578125" style="1281" customWidth="1"/>
    <col min="4101" max="4101" width="5.7109375" style="1281" customWidth="1"/>
    <col min="4102" max="4102" width="5.85546875" style="1281" customWidth="1"/>
    <col min="4103" max="4103" width="6.7109375" style="1281" customWidth="1"/>
    <col min="4104" max="4104" width="5.140625" style="1281" customWidth="1"/>
    <col min="4105" max="4105" width="3.28515625" style="1281" customWidth="1"/>
    <col min="4106" max="4106" width="6" style="1281" customWidth="1"/>
    <col min="4107" max="4107" width="5.42578125" style="1281" customWidth="1"/>
    <col min="4108" max="4108" width="5.7109375" style="1281" customWidth="1"/>
    <col min="4109" max="4352" width="11.42578125" style="1281"/>
    <col min="4353" max="4353" width="0" style="1281" hidden="1" customWidth="1"/>
    <col min="4354" max="4354" width="28.28515625" style="1281" customWidth="1"/>
    <col min="4355" max="4355" width="16.28515625" style="1281" customWidth="1"/>
    <col min="4356" max="4356" width="3.42578125" style="1281" customWidth="1"/>
    <col min="4357" max="4357" width="5.7109375" style="1281" customWidth="1"/>
    <col min="4358" max="4358" width="5.85546875" style="1281" customWidth="1"/>
    <col min="4359" max="4359" width="6.7109375" style="1281" customWidth="1"/>
    <col min="4360" max="4360" width="5.140625" style="1281" customWidth="1"/>
    <col min="4361" max="4361" width="3.28515625" style="1281" customWidth="1"/>
    <col min="4362" max="4362" width="6" style="1281" customWidth="1"/>
    <col min="4363" max="4363" width="5.42578125" style="1281" customWidth="1"/>
    <col min="4364" max="4364" width="5.7109375" style="1281" customWidth="1"/>
    <col min="4365" max="4608" width="11.42578125" style="1281"/>
    <col min="4609" max="4609" width="0" style="1281" hidden="1" customWidth="1"/>
    <col min="4610" max="4610" width="28.28515625" style="1281" customWidth="1"/>
    <col min="4611" max="4611" width="16.28515625" style="1281" customWidth="1"/>
    <col min="4612" max="4612" width="3.42578125" style="1281" customWidth="1"/>
    <col min="4613" max="4613" width="5.7109375" style="1281" customWidth="1"/>
    <col min="4614" max="4614" width="5.85546875" style="1281" customWidth="1"/>
    <col min="4615" max="4615" width="6.7109375" style="1281" customWidth="1"/>
    <col min="4616" max="4616" width="5.140625" style="1281" customWidth="1"/>
    <col min="4617" max="4617" width="3.28515625" style="1281" customWidth="1"/>
    <col min="4618" max="4618" width="6" style="1281" customWidth="1"/>
    <col min="4619" max="4619" width="5.42578125" style="1281" customWidth="1"/>
    <col min="4620" max="4620" width="5.7109375" style="1281" customWidth="1"/>
    <col min="4621" max="4864" width="11.42578125" style="1281"/>
    <col min="4865" max="4865" width="0" style="1281" hidden="1" customWidth="1"/>
    <col min="4866" max="4866" width="28.28515625" style="1281" customWidth="1"/>
    <col min="4867" max="4867" width="16.28515625" style="1281" customWidth="1"/>
    <col min="4868" max="4868" width="3.42578125" style="1281" customWidth="1"/>
    <col min="4869" max="4869" width="5.7109375" style="1281" customWidth="1"/>
    <col min="4870" max="4870" width="5.85546875" style="1281" customWidth="1"/>
    <col min="4871" max="4871" width="6.7109375" style="1281" customWidth="1"/>
    <col min="4872" max="4872" width="5.140625" style="1281" customWidth="1"/>
    <col min="4873" max="4873" width="3.28515625" style="1281" customWidth="1"/>
    <col min="4874" max="4874" width="6" style="1281" customWidth="1"/>
    <col min="4875" max="4875" width="5.42578125" style="1281" customWidth="1"/>
    <col min="4876" max="4876" width="5.7109375" style="1281" customWidth="1"/>
    <col min="4877" max="5120" width="11.42578125" style="1281"/>
    <col min="5121" max="5121" width="0" style="1281" hidden="1" customWidth="1"/>
    <col min="5122" max="5122" width="28.28515625" style="1281" customWidth="1"/>
    <col min="5123" max="5123" width="16.28515625" style="1281" customWidth="1"/>
    <col min="5124" max="5124" width="3.42578125" style="1281" customWidth="1"/>
    <col min="5125" max="5125" width="5.7109375" style="1281" customWidth="1"/>
    <col min="5126" max="5126" width="5.85546875" style="1281" customWidth="1"/>
    <col min="5127" max="5127" width="6.7109375" style="1281" customWidth="1"/>
    <col min="5128" max="5128" width="5.140625" style="1281" customWidth="1"/>
    <col min="5129" max="5129" width="3.28515625" style="1281" customWidth="1"/>
    <col min="5130" max="5130" width="6" style="1281" customWidth="1"/>
    <col min="5131" max="5131" width="5.42578125" style="1281" customWidth="1"/>
    <col min="5132" max="5132" width="5.7109375" style="1281" customWidth="1"/>
    <col min="5133" max="5376" width="11.42578125" style="1281"/>
    <col min="5377" max="5377" width="0" style="1281" hidden="1" customWidth="1"/>
    <col min="5378" max="5378" width="28.28515625" style="1281" customWidth="1"/>
    <col min="5379" max="5379" width="16.28515625" style="1281" customWidth="1"/>
    <col min="5380" max="5380" width="3.42578125" style="1281" customWidth="1"/>
    <col min="5381" max="5381" width="5.7109375" style="1281" customWidth="1"/>
    <col min="5382" max="5382" width="5.85546875" style="1281" customWidth="1"/>
    <col min="5383" max="5383" width="6.7109375" style="1281" customWidth="1"/>
    <col min="5384" max="5384" width="5.140625" style="1281" customWidth="1"/>
    <col min="5385" max="5385" width="3.28515625" style="1281" customWidth="1"/>
    <col min="5386" max="5386" width="6" style="1281" customWidth="1"/>
    <col min="5387" max="5387" width="5.42578125" style="1281" customWidth="1"/>
    <col min="5388" max="5388" width="5.7109375" style="1281" customWidth="1"/>
    <col min="5389" max="5632" width="11.42578125" style="1281"/>
    <col min="5633" max="5633" width="0" style="1281" hidden="1" customWidth="1"/>
    <col min="5634" max="5634" width="28.28515625" style="1281" customWidth="1"/>
    <col min="5635" max="5635" width="16.28515625" style="1281" customWidth="1"/>
    <col min="5636" max="5636" width="3.42578125" style="1281" customWidth="1"/>
    <col min="5637" max="5637" width="5.7109375" style="1281" customWidth="1"/>
    <col min="5638" max="5638" width="5.85546875" style="1281" customWidth="1"/>
    <col min="5639" max="5639" width="6.7109375" style="1281" customWidth="1"/>
    <col min="5640" max="5640" width="5.140625" style="1281" customWidth="1"/>
    <col min="5641" max="5641" width="3.28515625" style="1281" customWidth="1"/>
    <col min="5642" max="5642" width="6" style="1281" customWidth="1"/>
    <col min="5643" max="5643" width="5.42578125" style="1281" customWidth="1"/>
    <col min="5644" max="5644" width="5.7109375" style="1281" customWidth="1"/>
    <col min="5645" max="5888" width="11.42578125" style="1281"/>
    <col min="5889" max="5889" width="0" style="1281" hidden="1" customWidth="1"/>
    <col min="5890" max="5890" width="28.28515625" style="1281" customWidth="1"/>
    <col min="5891" max="5891" width="16.28515625" style="1281" customWidth="1"/>
    <col min="5892" max="5892" width="3.42578125" style="1281" customWidth="1"/>
    <col min="5893" max="5893" width="5.7109375" style="1281" customWidth="1"/>
    <col min="5894" max="5894" width="5.85546875" style="1281" customWidth="1"/>
    <col min="5895" max="5895" width="6.7109375" style="1281" customWidth="1"/>
    <col min="5896" max="5896" width="5.140625" style="1281" customWidth="1"/>
    <col min="5897" max="5897" width="3.28515625" style="1281" customWidth="1"/>
    <col min="5898" max="5898" width="6" style="1281" customWidth="1"/>
    <col min="5899" max="5899" width="5.42578125" style="1281" customWidth="1"/>
    <col min="5900" max="5900" width="5.7109375" style="1281" customWidth="1"/>
    <col min="5901" max="6144" width="11.42578125" style="1281"/>
    <col min="6145" max="6145" width="0" style="1281" hidden="1" customWidth="1"/>
    <col min="6146" max="6146" width="28.28515625" style="1281" customWidth="1"/>
    <col min="6147" max="6147" width="16.28515625" style="1281" customWidth="1"/>
    <col min="6148" max="6148" width="3.42578125" style="1281" customWidth="1"/>
    <col min="6149" max="6149" width="5.7109375" style="1281" customWidth="1"/>
    <col min="6150" max="6150" width="5.85546875" style="1281" customWidth="1"/>
    <col min="6151" max="6151" width="6.7109375" style="1281" customWidth="1"/>
    <col min="6152" max="6152" width="5.140625" style="1281" customWidth="1"/>
    <col min="6153" max="6153" width="3.28515625" style="1281" customWidth="1"/>
    <col min="6154" max="6154" width="6" style="1281" customWidth="1"/>
    <col min="6155" max="6155" width="5.42578125" style="1281" customWidth="1"/>
    <col min="6156" max="6156" width="5.7109375" style="1281" customWidth="1"/>
    <col min="6157" max="6400" width="11.42578125" style="1281"/>
    <col min="6401" max="6401" width="0" style="1281" hidden="1" customWidth="1"/>
    <col min="6402" max="6402" width="28.28515625" style="1281" customWidth="1"/>
    <col min="6403" max="6403" width="16.28515625" style="1281" customWidth="1"/>
    <col min="6404" max="6404" width="3.42578125" style="1281" customWidth="1"/>
    <col min="6405" max="6405" width="5.7109375" style="1281" customWidth="1"/>
    <col min="6406" max="6406" width="5.85546875" style="1281" customWidth="1"/>
    <col min="6407" max="6407" width="6.7109375" style="1281" customWidth="1"/>
    <col min="6408" max="6408" width="5.140625" style="1281" customWidth="1"/>
    <col min="6409" max="6409" width="3.28515625" style="1281" customWidth="1"/>
    <col min="6410" max="6410" width="6" style="1281" customWidth="1"/>
    <col min="6411" max="6411" width="5.42578125" style="1281" customWidth="1"/>
    <col min="6412" max="6412" width="5.7109375" style="1281" customWidth="1"/>
    <col min="6413" max="6656" width="11.42578125" style="1281"/>
    <col min="6657" max="6657" width="0" style="1281" hidden="1" customWidth="1"/>
    <col min="6658" max="6658" width="28.28515625" style="1281" customWidth="1"/>
    <col min="6659" max="6659" width="16.28515625" style="1281" customWidth="1"/>
    <col min="6660" max="6660" width="3.42578125" style="1281" customWidth="1"/>
    <col min="6661" max="6661" width="5.7109375" style="1281" customWidth="1"/>
    <col min="6662" max="6662" width="5.85546875" style="1281" customWidth="1"/>
    <col min="6663" max="6663" width="6.7109375" style="1281" customWidth="1"/>
    <col min="6664" max="6664" width="5.140625" style="1281" customWidth="1"/>
    <col min="6665" max="6665" width="3.28515625" style="1281" customWidth="1"/>
    <col min="6666" max="6666" width="6" style="1281" customWidth="1"/>
    <col min="6667" max="6667" width="5.42578125" style="1281" customWidth="1"/>
    <col min="6668" max="6668" width="5.7109375" style="1281" customWidth="1"/>
    <col min="6669" max="6912" width="11.42578125" style="1281"/>
    <col min="6913" max="6913" width="0" style="1281" hidden="1" customWidth="1"/>
    <col min="6914" max="6914" width="28.28515625" style="1281" customWidth="1"/>
    <col min="6915" max="6915" width="16.28515625" style="1281" customWidth="1"/>
    <col min="6916" max="6916" width="3.42578125" style="1281" customWidth="1"/>
    <col min="6917" max="6917" width="5.7109375" style="1281" customWidth="1"/>
    <col min="6918" max="6918" width="5.85546875" style="1281" customWidth="1"/>
    <col min="6919" max="6919" width="6.7109375" style="1281" customWidth="1"/>
    <col min="6920" max="6920" width="5.140625" style="1281" customWidth="1"/>
    <col min="6921" max="6921" width="3.28515625" style="1281" customWidth="1"/>
    <col min="6922" max="6922" width="6" style="1281" customWidth="1"/>
    <col min="6923" max="6923" width="5.42578125" style="1281" customWidth="1"/>
    <col min="6924" max="6924" width="5.7109375" style="1281" customWidth="1"/>
    <col min="6925" max="7168" width="11.42578125" style="1281"/>
    <col min="7169" max="7169" width="0" style="1281" hidden="1" customWidth="1"/>
    <col min="7170" max="7170" width="28.28515625" style="1281" customWidth="1"/>
    <col min="7171" max="7171" width="16.28515625" style="1281" customWidth="1"/>
    <col min="7172" max="7172" width="3.42578125" style="1281" customWidth="1"/>
    <col min="7173" max="7173" width="5.7109375" style="1281" customWidth="1"/>
    <col min="7174" max="7174" width="5.85546875" style="1281" customWidth="1"/>
    <col min="7175" max="7175" width="6.7109375" style="1281" customWidth="1"/>
    <col min="7176" max="7176" width="5.140625" style="1281" customWidth="1"/>
    <col min="7177" max="7177" width="3.28515625" style="1281" customWidth="1"/>
    <col min="7178" max="7178" width="6" style="1281" customWidth="1"/>
    <col min="7179" max="7179" width="5.42578125" style="1281" customWidth="1"/>
    <col min="7180" max="7180" width="5.7109375" style="1281" customWidth="1"/>
    <col min="7181" max="7424" width="11.42578125" style="1281"/>
    <col min="7425" max="7425" width="0" style="1281" hidden="1" customWidth="1"/>
    <col min="7426" max="7426" width="28.28515625" style="1281" customWidth="1"/>
    <col min="7427" max="7427" width="16.28515625" style="1281" customWidth="1"/>
    <col min="7428" max="7428" width="3.42578125" style="1281" customWidth="1"/>
    <col min="7429" max="7429" width="5.7109375" style="1281" customWidth="1"/>
    <col min="7430" max="7430" width="5.85546875" style="1281" customWidth="1"/>
    <col min="7431" max="7431" width="6.7109375" style="1281" customWidth="1"/>
    <col min="7432" max="7432" width="5.140625" style="1281" customWidth="1"/>
    <col min="7433" max="7433" width="3.28515625" style="1281" customWidth="1"/>
    <col min="7434" max="7434" width="6" style="1281" customWidth="1"/>
    <col min="7435" max="7435" width="5.42578125" style="1281" customWidth="1"/>
    <col min="7436" max="7436" width="5.7109375" style="1281" customWidth="1"/>
    <col min="7437" max="7680" width="11.42578125" style="1281"/>
    <col min="7681" max="7681" width="0" style="1281" hidden="1" customWidth="1"/>
    <col min="7682" max="7682" width="28.28515625" style="1281" customWidth="1"/>
    <col min="7683" max="7683" width="16.28515625" style="1281" customWidth="1"/>
    <col min="7684" max="7684" width="3.42578125" style="1281" customWidth="1"/>
    <col min="7685" max="7685" width="5.7109375" style="1281" customWidth="1"/>
    <col min="7686" max="7686" width="5.85546875" style="1281" customWidth="1"/>
    <col min="7687" max="7687" width="6.7109375" style="1281" customWidth="1"/>
    <col min="7688" max="7688" width="5.140625" style="1281" customWidth="1"/>
    <col min="7689" max="7689" width="3.28515625" style="1281" customWidth="1"/>
    <col min="7690" max="7690" width="6" style="1281" customWidth="1"/>
    <col min="7691" max="7691" width="5.42578125" style="1281" customWidth="1"/>
    <col min="7692" max="7692" width="5.7109375" style="1281" customWidth="1"/>
    <col min="7693" max="7936" width="11.42578125" style="1281"/>
    <col min="7937" max="7937" width="0" style="1281" hidden="1" customWidth="1"/>
    <col min="7938" max="7938" width="28.28515625" style="1281" customWidth="1"/>
    <col min="7939" max="7939" width="16.28515625" style="1281" customWidth="1"/>
    <col min="7940" max="7940" width="3.42578125" style="1281" customWidth="1"/>
    <col min="7941" max="7941" width="5.7109375" style="1281" customWidth="1"/>
    <col min="7942" max="7942" width="5.85546875" style="1281" customWidth="1"/>
    <col min="7943" max="7943" width="6.7109375" style="1281" customWidth="1"/>
    <col min="7944" max="7944" width="5.140625" style="1281" customWidth="1"/>
    <col min="7945" max="7945" width="3.28515625" style="1281" customWidth="1"/>
    <col min="7946" max="7946" width="6" style="1281" customWidth="1"/>
    <col min="7947" max="7947" width="5.42578125" style="1281" customWidth="1"/>
    <col min="7948" max="7948" width="5.7109375" style="1281" customWidth="1"/>
    <col min="7949" max="8192" width="11.42578125" style="1281"/>
    <col min="8193" max="8193" width="0" style="1281" hidden="1" customWidth="1"/>
    <col min="8194" max="8194" width="28.28515625" style="1281" customWidth="1"/>
    <col min="8195" max="8195" width="16.28515625" style="1281" customWidth="1"/>
    <col min="8196" max="8196" width="3.42578125" style="1281" customWidth="1"/>
    <col min="8197" max="8197" width="5.7109375" style="1281" customWidth="1"/>
    <col min="8198" max="8198" width="5.85546875" style="1281" customWidth="1"/>
    <col min="8199" max="8199" width="6.7109375" style="1281" customWidth="1"/>
    <col min="8200" max="8200" width="5.140625" style="1281" customWidth="1"/>
    <col min="8201" max="8201" width="3.28515625" style="1281" customWidth="1"/>
    <col min="8202" max="8202" width="6" style="1281" customWidth="1"/>
    <col min="8203" max="8203" width="5.42578125" style="1281" customWidth="1"/>
    <col min="8204" max="8204" width="5.7109375" style="1281" customWidth="1"/>
    <col min="8205" max="8448" width="11.42578125" style="1281"/>
    <col min="8449" max="8449" width="0" style="1281" hidden="1" customWidth="1"/>
    <col min="8450" max="8450" width="28.28515625" style="1281" customWidth="1"/>
    <col min="8451" max="8451" width="16.28515625" style="1281" customWidth="1"/>
    <col min="8452" max="8452" width="3.42578125" style="1281" customWidth="1"/>
    <col min="8453" max="8453" width="5.7109375" style="1281" customWidth="1"/>
    <col min="8454" max="8454" width="5.85546875" style="1281" customWidth="1"/>
    <col min="8455" max="8455" width="6.7109375" style="1281" customWidth="1"/>
    <col min="8456" max="8456" width="5.140625" style="1281" customWidth="1"/>
    <col min="8457" max="8457" width="3.28515625" style="1281" customWidth="1"/>
    <col min="8458" max="8458" width="6" style="1281" customWidth="1"/>
    <col min="8459" max="8459" width="5.42578125" style="1281" customWidth="1"/>
    <col min="8460" max="8460" width="5.7109375" style="1281" customWidth="1"/>
    <col min="8461" max="8704" width="11.42578125" style="1281"/>
    <col min="8705" max="8705" width="0" style="1281" hidden="1" customWidth="1"/>
    <col min="8706" max="8706" width="28.28515625" style="1281" customWidth="1"/>
    <col min="8707" max="8707" width="16.28515625" style="1281" customWidth="1"/>
    <col min="8708" max="8708" width="3.42578125" style="1281" customWidth="1"/>
    <col min="8709" max="8709" width="5.7109375" style="1281" customWidth="1"/>
    <col min="8710" max="8710" width="5.85546875" style="1281" customWidth="1"/>
    <col min="8711" max="8711" width="6.7109375" style="1281" customWidth="1"/>
    <col min="8712" max="8712" width="5.140625" style="1281" customWidth="1"/>
    <col min="8713" max="8713" width="3.28515625" style="1281" customWidth="1"/>
    <col min="8714" max="8714" width="6" style="1281" customWidth="1"/>
    <col min="8715" max="8715" width="5.42578125" style="1281" customWidth="1"/>
    <col min="8716" max="8716" width="5.7109375" style="1281" customWidth="1"/>
    <col min="8717" max="8960" width="11.42578125" style="1281"/>
    <col min="8961" max="8961" width="0" style="1281" hidden="1" customWidth="1"/>
    <col min="8962" max="8962" width="28.28515625" style="1281" customWidth="1"/>
    <col min="8963" max="8963" width="16.28515625" style="1281" customWidth="1"/>
    <col min="8964" max="8964" width="3.42578125" style="1281" customWidth="1"/>
    <col min="8965" max="8965" width="5.7109375" style="1281" customWidth="1"/>
    <col min="8966" max="8966" width="5.85546875" style="1281" customWidth="1"/>
    <col min="8967" max="8967" width="6.7109375" style="1281" customWidth="1"/>
    <col min="8968" max="8968" width="5.140625" style="1281" customWidth="1"/>
    <col min="8969" max="8969" width="3.28515625" style="1281" customWidth="1"/>
    <col min="8970" max="8970" width="6" style="1281" customWidth="1"/>
    <col min="8971" max="8971" width="5.42578125" style="1281" customWidth="1"/>
    <col min="8972" max="8972" width="5.7109375" style="1281" customWidth="1"/>
    <col min="8973" max="9216" width="11.42578125" style="1281"/>
    <col min="9217" max="9217" width="0" style="1281" hidden="1" customWidth="1"/>
    <col min="9218" max="9218" width="28.28515625" style="1281" customWidth="1"/>
    <col min="9219" max="9219" width="16.28515625" style="1281" customWidth="1"/>
    <col min="9220" max="9220" width="3.42578125" style="1281" customWidth="1"/>
    <col min="9221" max="9221" width="5.7109375" style="1281" customWidth="1"/>
    <col min="9222" max="9222" width="5.85546875" style="1281" customWidth="1"/>
    <col min="9223" max="9223" width="6.7109375" style="1281" customWidth="1"/>
    <col min="9224" max="9224" width="5.140625" style="1281" customWidth="1"/>
    <col min="9225" max="9225" width="3.28515625" style="1281" customWidth="1"/>
    <col min="9226" max="9226" width="6" style="1281" customWidth="1"/>
    <col min="9227" max="9227" width="5.42578125" style="1281" customWidth="1"/>
    <col min="9228" max="9228" width="5.7109375" style="1281" customWidth="1"/>
    <col min="9229" max="9472" width="11.42578125" style="1281"/>
    <col min="9473" max="9473" width="0" style="1281" hidden="1" customWidth="1"/>
    <col min="9474" max="9474" width="28.28515625" style="1281" customWidth="1"/>
    <col min="9475" max="9475" width="16.28515625" style="1281" customWidth="1"/>
    <col min="9476" max="9476" width="3.42578125" style="1281" customWidth="1"/>
    <col min="9477" max="9477" width="5.7109375" style="1281" customWidth="1"/>
    <col min="9478" max="9478" width="5.85546875" style="1281" customWidth="1"/>
    <col min="9479" max="9479" width="6.7109375" style="1281" customWidth="1"/>
    <col min="9480" max="9480" width="5.140625" style="1281" customWidth="1"/>
    <col min="9481" max="9481" width="3.28515625" style="1281" customWidth="1"/>
    <col min="9482" max="9482" width="6" style="1281" customWidth="1"/>
    <col min="9483" max="9483" width="5.42578125" style="1281" customWidth="1"/>
    <col min="9484" max="9484" width="5.7109375" style="1281" customWidth="1"/>
    <col min="9485" max="9728" width="11.42578125" style="1281"/>
    <col min="9729" max="9729" width="0" style="1281" hidden="1" customWidth="1"/>
    <col min="9730" max="9730" width="28.28515625" style="1281" customWidth="1"/>
    <col min="9731" max="9731" width="16.28515625" style="1281" customWidth="1"/>
    <col min="9732" max="9732" width="3.42578125" style="1281" customWidth="1"/>
    <col min="9733" max="9733" width="5.7109375" style="1281" customWidth="1"/>
    <col min="9734" max="9734" width="5.85546875" style="1281" customWidth="1"/>
    <col min="9735" max="9735" width="6.7109375" style="1281" customWidth="1"/>
    <col min="9736" max="9736" width="5.140625" style="1281" customWidth="1"/>
    <col min="9737" max="9737" width="3.28515625" style="1281" customWidth="1"/>
    <col min="9738" max="9738" width="6" style="1281" customWidth="1"/>
    <col min="9739" max="9739" width="5.42578125" style="1281" customWidth="1"/>
    <col min="9740" max="9740" width="5.7109375" style="1281" customWidth="1"/>
    <col min="9741" max="9984" width="11.42578125" style="1281"/>
    <col min="9985" max="9985" width="0" style="1281" hidden="1" customWidth="1"/>
    <col min="9986" max="9986" width="28.28515625" style="1281" customWidth="1"/>
    <col min="9987" max="9987" width="16.28515625" style="1281" customWidth="1"/>
    <col min="9988" max="9988" width="3.42578125" style="1281" customWidth="1"/>
    <col min="9989" max="9989" width="5.7109375" style="1281" customWidth="1"/>
    <col min="9990" max="9990" width="5.85546875" style="1281" customWidth="1"/>
    <col min="9991" max="9991" width="6.7109375" style="1281" customWidth="1"/>
    <col min="9992" max="9992" width="5.140625" style="1281" customWidth="1"/>
    <col min="9993" max="9993" width="3.28515625" style="1281" customWidth="1"/>
    <col min="9994" max="9994" width="6" style="1281" customWidth="1"/>
    <col min="9995" max="9995" width="5.42578125" style="1281" customWidth="1"/>
    <col min="9996" max="9996" width="5.7109375" style="1281" customWidth="1"/>
    <col min="9997" max="10240" width="11.42578125" style="1281"/>
    <col min="10241" max="10241" width="0" style="1281" hidden="1" customWidth="1"/>
    <col min="10242" max="10242" width="28.28515625" style="1281" customWidth="1"/>
    <col min="10243" max="10243" width="16.28515625" style="1281" customWidth="1"/>
    <col min="10244" max="10244" width="3.42578125" style="1281" customWidth="1"/>
    <col min="10245" max="10245" width="5.7109375" style="1281" customWidth="1"/>
    <col min="10246" max="10246" width="5.85546875" style="1281" customWidth="1"/>
    <col min="10247" max="10247" width="6.7109375" style="1281" customWidth="1"/>
    <col min="10248" max="10248" width="5.140625" style="1281" customWidth="1"/>
    <col min="10249" max="10249" width="3.28515625" style="1281" customWidth="1"/>
    <col min="10250" max="10250" width="6" style="1281" customWidth="1"/>
    <col min="10251" max="10251" width="5.42578125" style="1281" customWidth="1"/>
    <col min="10252" max="10252" width="5.7109375" style="1281" customWidth="1"/>
    <col min="10253" max="10496" width="11.42578125" style="1281"/>
    <col min="10497" max="10497" width="0" style="1281" hidden="1" customWidth="1"/>
    <col min="10498" max="10498" width="28.28515625" style="1281" customWidth="1"/>
    <col min="10499" max="10499" width="16.28515625" style="1281" customWidth="1"/>
    <col min="10500" max="10500" width="3.42578125" style="1281" customWidth="1"/>
    <col min="10501" max="10501" width="5.7109375" style="1281" customWidth="1"/>
    <col min="10502" max="10502" width="5.85546875" style="1281" customWidth="1"/>
    <col min="10503" max="10503" width="6.7109375" style="1281" customWidth="1"/>
    <col min="10504" max="10504" width="5.140625" style="1281" customWidth="1"/>
    <col min="10505" max="10505" width="3.28515625" style="1281" customWidth="1"/>
    <col min="10506" max="10506" width="6" style="1281" customWidth="1"/>
    <col min="10507" max="10507" width="5.42578125" style="1281" customWidth="1"/>
    <col min="10508" max="10508" width="5.7109375" style="1281" customWidth="1"/>
    <col min="10509" max="10752" width="11.42578125" style="1281"/>
    <col min="10753" max="10753" width="0" style="1281" hidden="1" customWidth="1"/>
    <col min="10754" max="10754" width="28.28515625" style="1281" customWidth="1"/>
    <col min="10755" max="10755" width="16.28515625" style="1281" customWidth="1"/>
    <col min="10756" max="10756" width="3.42578125" style="1281" customWidth="1"/>
    <col min="10757" max="10757" width="5.7109375" style="1281" customWidth="1"/>
    <col min="10758" max="10758" width="5.85546875" style="1281" customWidth="1"/>
    <col min="10759" max="10759" width="6.7109375" style="1281" customWidth="1"/>
    <col min="10760" max="10760" width="5.140625" style="1281" customWidth="1"/>
    <col min="10761" max="10761" width="3.28515625" style="1281" customWidth="1"/>
    <col min="10762" max="10762" width="6" style="1281" customWidth="1"/>
    <col min="10763" max="10763" width="5.42578125" style="1281" customWidth="1"/>
    <col min="10764" max="10764" width="5.7109375" style="1281" customWidth="1"/>
    <col min="10765" max="11008" width="11.42578125" style="1281"/>
    <col min="11009" max="11009" width="0" style="1281" hidden="1" customWidth="1"/>
    <col min="11010" max="11010" width="28.28515625" style="1281" customWidth="1"/>
    <col min="11011" max="11011" width="16.28515625" style="1281" customWidth="1"/>
    <col min="11012" max="11012" width="3.42578125" style="1281" customWidth="1"/>
    <col min="11013" max="11013" width="5.7109375" style="1281" customWidth="1"/>
    <col min="11014" max="11014" width="5.85546875" style="1281" customWidth="1"/>
    <col min="11015" max="11015" width="6.7109375" style="1281" customWidth="1"/>
    <col min="11016" max="11016" width="5.140625" style="1281" customWidth="1"/>
    <col min="11017" max="11017" width="3.28515625" style="1281" customWidth="1"/>
    <col min="11018" max="11018" width="6" style="1281" customWidth="1"/>
    <col min="11019" max="11019" width="5.42578125" style="1281" customWidth="1"/>
    <col min="11020" max="11020" width="5.7109375" style="1281" customWidth="1"/>
    <col min="11021" max="11264" width="11.42578125" style="1281"/>
    <col min="11265" max="11265" width="0" style="1281" hidden="1" customWidth="1"/>
    <col min="11266" max="11266" width="28.28515625" style="1281" customWidth="1"/>
    <col min="11267" max="11267" width="16.28515625" style="1281" customWidth="1"/>
    <col min="11268" max="11268" width="3.42578125" style="1281" customWidth="1"/>
    <col min="11269" max="11269" width="5.7109375" style="1281" customWidth="1"/>
    <col min="11270" max="11270" width="5.85546875" style="1281" customWidth="1"/>
    <col min="11271" max="11271" width="6.7109375" style="1281" customWidth="1"/>
    <col min="11272" max="11272" width="5.140625" style="1281" customWidth="1"/>
    <col min="11273" max="11273" width="3.28515625" style="1281" customWidth="1"/>
    <col min="11274" max="11274" width="6" style="1281" customWidth="1"/>
    <col min="11275" max="11275" width="5.42578125" style="1281" customWidth="1"/>
    <col min="11276" max="11276" width="5.7109375" style="1281" customWidth="1"/>
    <col min="11277" max="11520" width="11.42578125" style="1281"/>
    <col min="11521" max="11521" width="0" style="1281" hidden="1" customWidth="1"/>
    <col min="11522" max="11522" width="28.28515625" style="1281" customWidth="1"/>
    <col min="11523" max="11523" width="16.28515625" style="1281" customWidth="1"/>
    <col min="11524" max="11524" width="3.42578125" style="1281" customWidth="1"/>
    <col min="11525" max="11525" width="5.7109375" style="1281" customWidth="1"/>
    <col min="11526" max="11526" width="5.85546875" style="1281" customWidth="1"/>
    <col min="11527" max="11527" width="6.7109375" style="1281" customWidth="1"/>
    <col min="11528" max="11528" width="5.140625" style="1281" customWidth="1"/>
    <col min="11529" max="11529" width="3.28515625" style="1281" customWidth="1"/>
    <col min="11530" max="11530" width="6" style="1281" customWidth="1"/>
    <col min="11531" max="11531" width="5.42578125" style="1281" customWidth="1"/>
    <col min="11532" max="11532" width="5.7109375" style="1281" customWidth="1"/>
    <col min="11533" max="11776" width="11.42578125" style="1281"/>
    <col min="11777" max="11777" width="0" style="1281" hidden="1" customWidth="1"/>
    <col min="11778" max="11778" width="28.28515625" style="1281" customWidth="1"/>
    <col min="11779" max="11779" width="16.28515625" style="1281" customWidth="1"/>
    <col min="11780" max="11780" width="3.42578125" style="1281" customWidth="1"/>
    <col min="11781" max="11781" width="5.7109375" style="1281" customWidth="1"/>
    <col min="11782" max="11782" width="5.85546875" style="1281" customWidth="1"/>
    <col min="11783" max="11783" width="6.7109375" style="1281" customWidth="1"/>
    <col min="11784" max="11784" width="5.140625" style="1281" customWidth="1"/>
    <col min="11785" max="11785" width="3.28515625" style="1281" customWidth="1"/>
    <col min="11786" max="11786" width="6" style="1281" customWidth="1"/>
    <col min="11787" max="11787" width="5.42578125" style="1281" customWidth="1"/>
    <col min="11788" max="11788" width="5.7109375" style="1281" customWidth="1"/>
    <col min="11789" max="12032" width="11.42578125" style="1281"/>
    <col min="12033" max="12033" width="0" style="1281" hidden="1" customWidth="1"/>
    <col min="12034" max="12034" width="28.28515625" style="1281" customWidth="1"/>
    <col min="12035" max="12035" width="16.28515625" style="1281" customWidth="1"/>
    <col min="12036" max="12036" width="3.42578125" style="1281" customWidth="1"/>
    <col min="12037" max="12037" width="5.7109375" style="1281" customWidth="1"/>
    <col min="12038" max="12038" width="5.85546875" style="1281" customWidth="1"/>
    <col min="12039" max="12039" width="6.7109375" style="1281" customWidth="1"/>
    <col min="12040" max="12040" width="5.140625" style="1281" customWidth="1"/>
    <col min="12041" max="12041" width="3.28515625" style="1281" customWidth="1"/>
    <col min="12042" max="12042" width="6" style="1281" customWidth="1"/>
    <col min="12043" max="12043" width="5.42578125" style="1281" customWidth="1"/>
    <col min="12044" max="12044" width="5.7109375" style="1281" customWidth="1"/>
    <col min="12045" max="12288" width="11.42578125" style="1281"/>
    <col min="12289" max="12289" width="0" style="1281" hidden="1" customWidth="1"/>
    <col min="12290" max="12290" width="28.28515625" style="1281" customWidth="1"/>
    <col min="12291" max="12291" width="16.28515625" style="1281" customWidth="1"/>
    <col min="12292" max="12292" width="3.42578125" style="1281" customWidth="1"/>
    <col min="12293" max="12293" width="5.7109375" style="1281" customWidth="1"/>
    <col min="12294" max="12294" width="5.85546875" style="1281" customWidth="1"/>
    <col min="12295" max="12295" width="6.7109375" style="1281" customWidth="1"/>
    <col min="12296" max="12296" width="5.140625" style="1281" customWidth="1"/>
    <col min="12297" max="12297" width="3.28515625" style="1281" customWidth="1"/>
    <col min="12298" max="12298" width="6" style="1281" customWidth="1"/>
    <col min="12299" max="12299" width="5.42578125" style="1281" customWidth="1"/>
    <col min="12300" max="12300" width="5.7109375" style="1281" customWidth="1"/>
    <col min="12301" max="12544" width="11.42578125" style="1281"/>
    <col min="12545" max="12545" width="0" style="1281" hidden="1" customWidth="1"/>
    <col min="12546" max="12546" width="28.28515625" style="1281" customWidth="1"/>
    <col min="12547" max="12547" width="16.28515625" style="1281" customWidth="1"/>
    <col min="12548" max="12548" width="3.42578125" style="1281" customWidth="1"/>
    <col min="12549" max="12549" width="5.7109375" style="1281" customWidth="1"/>
    <col min="12550" max="12550" width="5.85546875" style="1281" customWidth="1"/>
    <col min="12551" max="12551" width="6.7109375" style="1281" customWidth="1"/>
    <col min="12552" max="12552" width="5.140625" style="1281" customWidth="1"/>
    <col min="12553" max="12553" width="3.28515625" style="1281" customWidth="1"/>
    <col min="12554" max="12554" width="6" style="1281" customWidth="1"/>
    <col min="12555" max="12555" width="5.42578125" style="1281" customWidth="1"/>
    <col min="12556" max="12556" width="5.7109375" style="1281" customWidth="1"/>
    <col min="12557" max="12800" width="11.42578125" style="1281"/>
    <col min="12801" max="12801" width="0" style="1281" hidden="1" customWidth="1"/>
    <col min="12802" max="12802" width="28.28515625" style="1281" customWidth="1"/>
    <col min="12803" max="12803" width="16.28515625" style="1281" customWidth="1"/>
    <col min="12804" max="12804" width="3.42578125" style="1281" customWidth="1"/>
    <col min="12805" max="12805" width="5.7109375" style="1281" customWidth="1"/>
    <col min="12806" max="12806" width="5.85546875" style="1281" customWidth="1"/>
    <col min="12807" max="12807" width="6.7109375" style="1281" customWidth="1"/>
    <col min="12808" max="12808" width="5.140625" style="1281" customWidth="1"/>
    <col min="12809" max="12809" width="3.28515625" style="1281" customWidth="1"/>
    <col min="12810" max="12810" width="6" style="1281" customWidth="1"/>
    <col min="12811" max="12811" width="5.42578125" style="1281" customWidth="1"/>
    <col min="12812" max="12812" width="5.7109375" style="1281" customWidth="1"/>
    <col min="12813" max="13056" width="11.42578125" style="1281"/>
    <col min="13057" max="13057" width="0" style="1281" hidden="1" customWidth="1"/>
    <col min="13058" max="13058" width="28.28515625" style="1281" customWidth="1"/>
    <col min="13059" max="13059" width="16.28515625" style="1281" customWidth="1"/>
    <col min="13060" max="13060" width="3.42578125" style="1281" customWidth="1"/>
    <col min="13061" max="13061" width="5.7109375" style="1281" customWidth="1"/>
    <col min="13062" max="13062" width="5.85546875" style="1281" customWidth="1"/>
    <col min="13063" max="13063" width="6.7109375" style="1281" customWidth="1"/>
    <col min="13064" max="13064" width="5.140625" style="1281" customWidth="1"/>
    <col min="13065" max="13065" width="3.28515625" style="1281" customWidth="1"/>
    <col min="13066" max="13066" width="6" style="1281" customWidth="1"/>
    <col min="13067" max="13067" width="5.42578125" style="1281" customWidth="1"/>
    <col min="13068" max="13068" width="5.7109375" style="1281" customWidth="1"/>
    <col min="13069" max="13312" width="11.42578125" style="1281"/>
    <col min="13313" max="13313" width="0" style="1281" hidden="1" customWidth="1"/>
    <col min="13314" max="13314" width="28.28515625" style="1281" customWidth="1"/>
    <col min="13315" max="13315" width="16.28515625" style="1281" customWidth="1"/>
    <col min="13316" max="13316" width="3.42578125" style="1281" customWidth="1"/>
    <col min="13317" max="13317" width="5.7109375" style="1281" customWidth="1"/>
    <col min="13318" max="13318" width="5.85546875" style="1281" customWidth="1"/>
    <col min="13319" max="13319" width="6.7109375" style="1281" customWidth="1"/>
    <col min="13320" max="13320" width="5.140625" style="1281" customWidth="1"/>
    <col min="13321" max="13321" width="3.28515625" style="1281" customWidth="1"/>
    <col min="13322" max="13322" width="6" style="1281" customWidth="1"/>
    <col min="13323" max="13323" width="5.42578125" style="1281" customWidth="1"/>
    <col min="13324" max="13324" width="5.7109375" style="1281" customWidth="1"/>
    <col min="13325" max="13568" width="11.42578125" style="1281"/>
    <col min="13569" max="13569" width="0" style="1281" hidden="1" customWidth="1"/>
    <col min="13570" max="13570" width="28.28515625" style="1281" customWidth="1"/>
    <col min="13571" max="13571" width="16.28515625" style="1281" customWidth="1"/>
    <col min="13572" max="13572" width="3.42578125" style="1281" customWidth="1"/>
    <col min="13573" max="13573" width="5.7109375" style="1281" customWidth="1"/>
    <col min="13574" max="13574" width="5.85546875" style="1281" customWidth="1"/>
    <col min="13575" max="13575" width="6.7109375" style="1281" customWidth="1"/>
    <col min="13576" max="13576" width="5.140625" style="1281" customWidth="1"/>
    <col min="13577" max="13577" width="3.28515625" style="1281" customWidth="1"/>
    <col min="13578" max="13578" width="6" style="1281" customWidth="1"/>
    <col min="13579" max="13579" width="5.42578125" style="1281" customWidth="1"/>
    <col min="13580" max="13580" width="5.7109375" style="1281" customWidth="1"/>
    <col min="13581" max="13824" width="11.42578125" style="1281"/>
    <col min="13825" max="13825" width="0" style="1281" hidden="1" customWidth="1"/>
    <col min="13826" max="13826" width="28.28515625" style="1281" customWidth="1"/>
    <col min="13827" max="13827" width="16.28515625" style="1281" customWidth="1"/>
    <col min="13828" max="13828" width="3.42578125" style="1281" customWidth="1"/>
    <col min="13829" max="13829" width="5.7109375" style="1281" customWidth="1"/>
    <col min="13830" max="13830" width="5.85546875" style="1281" customWidth="1"/>
    <col min="13831" max="13831" width="6.7109375" style="1281" customWidth="1"/>
    <col min="13832" max="13832" width="5.140625" style="1281" customWidth="1"/>
    <col min="13833" max="13833" width="3.28515625" style="1281" customWidth="1"/>
    <col min="13834" max="13834" width="6" style="1281" customWidth="1"/>
    <col min="13835" max="13835" width="5.42578125" style="1281" customWidth="1"/>
    <col min="13836" max="13836" width="5.7109375" style="1281" customWidth="1"/>
    <col min="13837" max="14080" width="11.42578125" style="1281"/>
    <col min="14081" max="14081" width="0" style="1281" hidden="1" customWidth="1"/>
    <col min="14082" max="14082" width="28.28515625" style="1281" customWidth="1"/>
    <col min="14083" max="14083" width="16.28515625" style="1281" customWidth="1"/>
    <col min="14084" max="14084" width="3.42578125" style="1281" customWidth="1"/>
    <col min="14085" max="14085" width="5.7109375" style="1281" customWidth="1"/>
    <col min="14086" max="14086" width="5.85546875" style="1281" customWidth="1"/>
    <col min="14087" max="14087" width="6.7109375" style="1281" customWidth="1"/>
    <col min="14088" max="14088" width="5.140625" style="1281" customWidth="1"/>
    <col min="14089" max="14089" width="3.28515625" style="1281" customWidth="1"/>
    <col min="14090" max="14090" width="6" style="1281" customWidth="1"/>
    <col min="14091" max="14091" width="5.42578125" style="1281" customWidth="1"/>
    <col min="14092" max="14092" width="5.7109375" style="1281" customWidth="1"/>
    <col min="14093" max="14336" width="11.42578125" style="1281"/>
    <col min="14337" max="14337" width="0" style="1281" hidden="1" customWidth="1"/>
    <col min="14338" max="14338" width="28.28515625" style="1281" customWidth="1"/>
    <col min="14339" max="14339" width="16.28515625" style="1281" customWidth="1"/>
    <col min="14340" max="14340" width="3.42578125" style="1281" customWidth="1"/>
    <col min="14341" max="14341" width="5.7109375" style="1281" customWidth="1"/>
    <col min="14342" max="14342" width="5.85546875" style="1281" customWidth="1"/>
    <col min="14343" max="14343" width="6.7109375" style="1281" customWidth="1"/>
    <col min="14344" max="14344" width="5.140625" style="1281" customWidth="1"/>
    <col min="14345" max="14345" width="3.28515625" style="1281" customWidth="1"/>
    <col min="14346" max="14346" width="6" style="1281" customWidth="1"/>
    <col min="14347" max="14347" width="5.42578125" style="1281" customWidth="1"/>
    <col min="14348" max="14348" width="5.7109375" style="1281" customWidth="1"/>
    <col min="14349" max="14592" width="11.42578125" style="1281"/>
    <col min="14593" max="14593" width="0" style="1281" hidden="1" customWidth="1"/>
    <col min="14594" max="14594" width="28.28515625" style="1281" customWidth="1"/>
    <col min="14595" max="14595" width="16.28515625" style="1281" customWidth="1"/>
    <col min="14596" max="14596" width="3.42578125" style="1281" customWidth="1"/>
    <col min="14597" max="14597" width="5.7109375" style="1281" customWidth="1"/>
    <col min="14598" max="14598" width="5.85546875" style="1281" customWidth="1"/>
    <col min="14599" max="14599" width="6.7109375" style="1281" customWidth="1"/>
    <col min="14600" max="14600" width="5.140625" style="1281" customWidth="1"/>
    <col min="14601" max="14601" width="3.28515625" style="1281" customWidth="1"/>
    <col min="14602" max="14602" width="6" style="1281" customWidth="1"/>
    <col min="14603" max="14603" width="5.42578125" style="1281" customWidth="1"/>
    <col min="14604" max="14604" width="5.7109375" style="1281" customWidth="1"/>
    <col min="14605" max="14848" width="11.42578125" style="1281"/>
    <col min="14849" max="14849" width="0" style="1281" hidden="1" customWidth="1"/>
    <col min="14850" max="14850" width="28.28515625" style="1281" customWidth="1"/>
    <col min="14851" max="14851" width="16.28515625" style="1281" customWidth="1"/>
    <col min="14852" max="14852" width="3.42578125" style="1281" customWidth="1"/>
    <col min="14853" max="14853" width="5.7109375" style="1281" customWidth="1"/>
    <col min="14854" max="14854" width="5.85546875" style="1281" customWidth="1"/>
    <col min="14855" max="14855" width="6.7109375" style="1281" customWidth="1"/>
    <col min="14856" max="14856" width="5.140625" style="1281" customWidth="1"/>
    <col min="14857" max="14857" width="3.28515625" style="1281" customWidth="1"/>
    <col min="14858" max="14858" width="6" style="1281" customWidth="1"/>
    <col min="14859" max="14859" width="5.42578125" style="1281" customWidth="1"/>
    <col min="14860" max="14860" width="5.7109375" style="1281" customWidth="1"/>
    <col min="14861" max="15104" width="11.42578125" style="1281"/>
    <col min="15105" max="15105" width="0" style="1281" hidden="1" customWidth="1"/>
    <col min="15106" max="15106" width="28.28515625" style="1281" customWidth="1"/>
    <col min="15107" max="15107" width="16.28515625" style="1281" customWidth="1"/>
    <col min="15108" max="15108" width="3.42578125" style="1281" customWidth="1"/>
    <col min="15109" max="15109" width="5.7109375" style="1281" customWidth="1"/>
    <col min="15110" max="15110" width="5.85546875" style="1281" customWidth="1"/>
    <col min="15111" max="15111" width="6.7109375" style="1281" customWidth="1"/>
    <col min="15112" max="15112" width="5.140625" style="1281" customWidth="1"/>
    <col min="15113" max="15113" width="3.28515625" style="1281" customWidth="1"/>
    <col min="15114" max="15114" width="6" style="1281" customWidth="1"/>
    <col min="15115" max="15115" width="5.42578125" style="1281" customWidth="1"/>
    <col min="15116" max="15116" width="5.7109375" style="1281" customWidth="1"/>
    <col min="15117" max="15360" width="11.42578125" style="1281"/>
    <col min="15361" max="15361" width="0" style="1281" hidden="1" customWidth="1"/>
    <col min="15362" max="15362" width="28.28515625" style="1281" customWidth="1"/>
    <col min="15363" max="15363" width="16.28515625" style="1281" customWidth="1"/>
    <col min="15364" max="15364" width="3.42578125" style="1281" customWidth="1"/>
    <col min="15365" max="15365" width="5.7109375" style="1281" customWidth="1"/>
    <col min="15366" max="15366" width="5.85546875" style="1281" customWidth="1"/>
    <col min="15367" max="15367" width="6.7109375" style="1281" customWidth="1"/>
    <col min="15368" max="15368" width="5.140625" style="1281" customWidth="1"/>
    <col min="15369" max="15369" width="3.28515625" style="1281" customWidth="1"/>
    <col min="15370" max="15370" width="6" style="1281" customWidth="1"/>
    <col min="15371" max="15371" width="5.42578125" style="1281" customWidth="1"/>
    <col min="15372" max="15372" width="5.7109375" style="1281" customWidth="1"/>
    <col min="15373" max="15616" width="11.42578125" style="1281"/>
    <col min="15617" max="15617" width="0" style="1281" hidden="1" customWidth="1"/>
    <col min="15618" max="15618" width="28.28515625" style="1281" customWidth="1"/>
    <col min="15619" max="15619" width="16.28515625" style="1281" customWidth="1"/>
    <col min="15620" max="15620" width="3.42578125" style="1281" customWidth="1"/>
    <col min="15621" max="15621" width="5.7109375" style="1281" customWidth="1"/>
    <col min="15622" max="15622" width="5.85546875" style="1281" customWidth="1"/>
    <col min="15623" max="15623" width="6.7109375" style="1281" customWidth="1"/>
    <col min="15624" max="15624" width="5.140625" style="1281" customWidth="1"/>
    <col min="15625" max="15625" width="3.28515625" style="1281" customWidth="1"/>
    <col min="15626" max="15626" width="6" style="1281" customWidth="1"/>
    <col min="15627" max="15627" width="5.42578125" style="1281" customWidth="1"/>
    <col min="15628" max="15628" width="5.7109375" style="1281" customWidth="1"/>
    <col min="15629" max="15872" width="11.42578125" style="1281"/>
    <col min="15873" max="15873" width="0" style="1281" hidden="1" customWidth="1"/>
    <col min="15874" max="15874" width="28.28515625" style="1281" customWidth="1"/>
    <col min="15875" max="15875" width="16.28515625" style="1281" customWidth="1"/>
    <col min="15876" max="15876" width="3.42578125" style="1281" customWidth="1"/>
    <col min="15877" max="15877" width="5.7109375" style="1281" customWidth="1"/>
    <col min="15878" max="15878" width="5.85546875" style="1281" customWidth="1"/>
    <col min="15879" max="15879" width="6.7109375" style="1281" customWidth="1"/>
    <col min="15880" max="15880" width="5.140625" style="1281" customWidth="1"/>
    <col min="15881" max="15881" width="3.28515625" style="1281" customWidth="1"/>
    <col min="15882" max="15882" width="6" style="1281" customWidth="1"/>
    <col min="15883" max="15883" width="5.42578125" style="1281" customWidth="1"/>
    <col min="15884" max="15884" width="5.7109375" style="1281" customWidth="1"/>
    <col min="15885" max="16128" width="11.42578125" style="1281"/>
    <col min="16129" max="16129" width="0" style="1281" hidden="1" customWidth="1"/>
    <col min="16130" max="16130" width="28.28515625" style="1281" customWidth="1"/>
    <col min="16131" max="16131" width="16.28515625" style="1281" customWidth="1"/>
    <col min="16132" max="16132" width="3.42578125" style="1281" customWidth="1"/>
    <col min="16133" max="16133" width="5.7109375" style="1281" customWidth="1"/>
    <col min="16134" max="16134" width="5.85546875" style="1281" customWidth="1"/>
    <col min="16135" max="16135" width="6.7109375" style="1281" customWidth="1"/>
    <col min="16136" max="16136" width="5.140625" style="1281" customWidth="1"/>
    <col min="16137" max="16137" width="3.28515625" style="1281" customWidth="1"/>
    <col min="16138" max="16138" width="6" style="1281" customWidth="1"/>
    <col min="16139" max="16139" width="5.42578125" style="1281" customWidth="1"/>
    <col min="16140" max="16140" width="5.7109375" style="1281" customWidth="1"/>
    <col min="16141"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2080</v>
      </c>
      <c r="C2" s="3629"/>
      <c r="D2" s="3629"/>
      <c r="E2" s="3629"/>
      <c r="F2" s="3629"/>
      <c r="G2" s="3629"/>
      <c r="H2" s="2844" t="s">
        <v>1444</v>
      </c>
      <c r="I2" s="2845">
        <f>X2</f>
        <v>10</v>
      </c>
      <c r="J2" s="2841"/>
      <c r="K2" s="2843" t="s">
        <v>2873</v>
      </c>
      <c r="L2" s="2842">
        <v>10</v>
      </c>
      <c r="M2" s="1675">
        <v>42.75</v>
      </c>
      <c r="P2" s="1520"/>
      <c r="Q2" s="3630" t="s">
        <v>2080</v>
      </c>
      <c r="R2" s="3631"/>
      <c r="S2" s="3631"/>
      <c r="T2" s="3631"/>
      <c r="U2" s="3631"/>
      <c r="V2" s="3632"/>
      <c r="W2" s="1521" t="s">
        <v>1444</v>
      </c>
      <c r="X2" s="1522">
        <v>10</v>
      </c>
      <c r="Y2" s="1523"/>
      <c r="Z2" s="1523"/>
      <c r="AA2" s="1524"/>
    </row>
    <row r="3" spans="1:27" ht="25.5" customHeight="1">
      <c r="A3" s="1533"/>
      <c r="B3" s="1526" t="s">
        <v>1391</v>
      </c>
      <c r="C3" s="1527"/>
      <c r="D3" s="1527"/>
      <c r="E3" s="1528"/>
      <c r="F3" s="1529" t="s">
        <v>1445</v>
      </c>
      <c r="G3" s="1530"/>
      <c r="H3" s="1531"/>
      <c r="I3" s="1531"/>
      <c r="J3" s="1530"/>
      <c r="K3" s="1530"/>
      <c r="L3" s="1532"/>
      <c r="M3" s="1675">
        <v>25.5</v>
      </c>
      <c r="P3" s="1533"/>
      <c r="Q3" s="1534" t="s">
        <v>1391</v>
      </c>
      <c r="R3" s="1527"/>
      <c r="S3" s="1527"/>
      <c r="T3" s="1528"/>
      <c r="U3" s="1535" t="s">
        <v>1445</v>
      </c>
      <c r="V3" s="1536"/>
      <c r="W3" s="1192"/>
      <c r="X3" s="1192"/>
      <c r="Y3" s="1536"/>
      <c r="Z3" s="1536"/>
      <c r="AA3" s="1537"/>
    </row>
    <row r="4" spans="1:27" ht="112.5" customHeight="1">
      <c r="A4" s="1539"/>
      <c r="B4" s="3633"/>
      <c r="C4" s="3633"/>
      <c r="D4" s="3633"/>
      <c r="E4" s="3634"/>
      <c r="F4" s="1539"/>
      <c r="G4" s="1540"/>
      <c r="H4" s="1540"/>
      <c r="I4" s="1540"/>
      <c r="J4" s="1531"/>
      <c r="K4" s="1531"/>
      <c r="L4" s="1532"/>
      <c r="M4" s="1675">
        <v>112.5</v>
      </c>
      <c r="P4" s="1520"/>
      <c r="Q4" s="3635"/>
      <c r="R4" s="3633"/>
      <c r="S4" s="3633"/>
      <c r="T4" s="3634"/>
      <c r="U4" s="1520"/>
      <c r="V4" s="1426"/>
      <c r="W4" s="1426"/>
      <c r="X4" s="1426"/>
      <c r="Y4" s="1192"/>
      <c r="Z4" s="1192"/>
      <c r="AA4" s="1537"/>
    </row>
    <row r="5" spans="1:27" ht="63.75" customHeight="1">
      <c r="A5" s="1667"/>
      <c r="B5" s="1676" t="s">
        <v>151</v>
      </c>
      <c r="C5" s="1677" t="s">
        <v>1446</v>
      </c>
      <c r="D5" s="1544"/>
      <c r="E5" s="1545" t="s">
        <v>1447</v>
      </c>
      <c r="F5" s="1546"/>
      <c r="G5" s="1546"/>
      <c r="H5" s="1546"/>
      <c r="I5" s="1547"/>
      <c r="J5" s="1543" t="s">
        <v>1448</v>
      </c>
      <c r="K5" s="1548"/>
      <c r="L5" s="1549"/>
      <c r="M5" s="1675">
        <v>63.75</v>
      </c>
      <c r="N5" s="1192"/>
      <c r="P5" s="1550"/>
      <c r="Q5" s="1551" t="s">
        <v>151</v>
      </c>
      <c r="R5" s="1552" t="s">
        <v>1446</v>
      </c>
      <c r="S5" s="1553"/>
      <c r="T5" s="1554" t="s">
        <v>1447</v>
      </c>
      <c r="U5" s="1555"/>
      <c r="V5" s="1555"/>
      <c r="W5" s="1555"/>
      <c r="X5" s="1556"/>
      <c r="Y5" s="1552" t="s">
        <v>1448</v>
      </c>
      <c r="Z5" s="1557"/>
      <c r="AA5" s="1558"/>
    </row>
    <row r="6" spans="1:27" ht="57.75" customHeight="1">
      <c r="A6" s="1614"/>
      <c r="B6" s="1679"/>
      <c r="C6" s="1560" t="s">
        <v>1449</v>
      </c>
      <c r="D6" s="1561" t="str">
        <f t="shared" ref="D6:I6" si="0">S6</f>
        <v>unite</v>
      </c>
      <c r="E6" s="1561" t="str">
        <f t="shared" si="0"/>
        <v>glace</v>
      </c>
      <c r="F6" s="1561" t="str">
        <f t="shared" si="0"/>
        <v xml:space="preserve"> </v>
      </c>
      <c r="G6" s="1561" t="str">
        <f t="shared" si="0"/>
        <v xml:space="preserve"> </v>
      </c>
      <c r="H6" s="1561" t="str">
        <f t="shared" si="0"/>
        <v>finition</v>
      </c>
      <c r="I6" s="1562">
        <f t="shared" si="0"/>
        <v>0</v>
      </c>
      <c r="J6" s="1563" t="s">
        <v>110</v>
      </c>
      <c r="K6" s="1564" t="s">
        <v>117</v>
      </c>
      <c r="L6" s="1565" t="s">
        <v>118</v>
      </c>
      <c r="M6" s="1675">
        <v>57.75</v>
      </c>
      <c r="P6" s="1533"/>
      <c r="Q6" s="1566"/>
      <c r="R6" s="1567" t="s">
        <v>1449</v>
      </c>
      <c r="S6" s="1568" t="s">
        <v>1450</v>
      </c>
      <c r="T6" s="1569" t="s">
        <v>2081</v>
      </c>
      <c r="U6" s="1569" t="s">
        <v>1456</v>
      </c>
      <c r="V6" s="1569" t="s">
        <v>1456</v>
      </c>
      <c r="W6" s="1570" t="s">
        <v>48</v>
      </c>
      <c r="X6" s="1571"/>
      <c r="Y6" s="1572" t="s">
        <v>110</v>
      </c>
      <c r="Z6" s="1572" t="s">
        <v>117</v>
      </c>
      <c r="AA6" s="1573" t="s">
        <v>118</v>
      </c>
    </row>
    <row r="7" spans="1:27" ht="25.5" customHeight="1">
      <c r="A7" s="1681"/>
      <c r="B7" s="1682"/>
      <c r="C7" s="1576" t="str">
        <f t="shared" ref="C7:C46" si="1">R7</f>
        <v>Viandes/Poissons</v>
      </c>
      <c r="D7" s="2850">
        <f t="shared" ref="D7:D11" si="2">S7</f>
        <v>0</v>
      </c>
      <c r="E7" s="2850">
        <f t="shared" ref="E7:I46" si="3">IF(ISTEXT(T7),T7,(T7/$I$2)*$L$2)</f>
        <v>0</v>
      </c>
      <c r="F7" s="2850">
        <f t="shared" si="3"/>
        <v>0</v>
      </c>
      <c r="G7" s="2850">
        <f t="shared" si="3"/>
        <v>0</v>
      </c>
      <c r="H7" s="2850">
        <f t="shared" si="3"/>
        <v>0</v>
      </c>
      <c r="I7" s="2850">
        <f t="shared" si="3"/>
        <v>0</v>
      </c>
      <c r="J7" s="1674" t="str">
        <f t="shared" ref="J7:J47" si="4">IF(SUM(E7:I7)=0,"",SUM(E7:I7))</f>
        <v/>
      </c>
      <c r="K7" s="1579"/>
      <c r="L7" s="1580" t="str">
        <f t="shared" ref="L7:L46" si="5">IF(ISBLANK(K7),"",K7*J7)</f>
        <v/>
      </c>
      <c r="M7" s="1519">
        <v>25.5</v>
      </c>
      <c r="P7" s="1581"/>
      <c r="Q7" s="1582"/>
      <c r="R7" s="1583" t="s">
        <v>120</v>
      </c>
      <c r="S7" s="1584"/>
      <c r="T7" s="2846"/>
      <c r="U7" s="2846"/>
      <c r="V7" s="2846"/>
      <c r="W7" s="2846"/>
      <c r="X7" s="2846"/>
      <c r="Y7" s="2846"/>
      <c r="Z7" s="2846"/>
      <c r="AA7" s="1586">
        <f t="shared" ref="AA7" si="6">IF(ISBLANK(Z7),0,Z7*Y7)</f>
        <v>0</v>
      </c>
    </row>
    <row r="8" spans="1:27" ht="25.5" customHeight="1">
      <c r="A8" s="1681"/>
      <c r="B8" s="1682"/>
      <c r="C8" s="2853">
        <f t="shared" si="1"/>
        <v>0</v>
      </c>
      <c r="D8" s="2851">
        <f t="shared" si="2"/>
        <v>0</v>
      </c>
      <c r="E8" s="2852">
        <f t="shared" si="3"/>
        <v>0</v>
      </c>
      <c r="F8" s="2852">
        <f t="shared" si="3"/>
        <v>0</v>
      </c>
      <c r="G8" s="2852">
        <f t="shared" si="3"/>
        <v>0</v>
      </c>
      <c r="H8" s="2852">
        <f t="shared" si="3"/>
        <v>0</v>
      </c>
      <c r="I8" s="2852">
        <f t="shared" si="3"/>
        <v>0</v>
      </c>
      <c r="J8" s="2857" t="str">
        <f t="shared" si="4"/>
        <v/>
      </c>
      <c r="K8" s="1590"/>
      <c r="L8" s="1591" t="str">
        <f t="shared" si="5"/>
        <v/>
      </c>
      <c r="M8" s="1519">
        <v>25.5</v>
      </c>
      <c r="P8" s="1581"/>
      <c r="Q8" s="1582"/>
      <c r="R8" s="1592"/>
      <c r="S8" s="1550"/>
      <c r="T8" s="1703"/>
      <c r="U8" s="1703"/>
      <c r="V8" s="1703"/>
      <c r="W8" s="1703"/>
      <c r="X8" s="1703"/>
      <c r="Y8" s="1703"/>
      <c r="Z8" s="1703"/>
      <c r="AA8" s="1593">
        <f>IF(ISBLANK(Z8),0,Z8*Y8)</f>
        <v>0</v>
      </c>
    </row>
    <row r="9" spans="1:27" ht="25.5" customHeight="1">
      <c r="A9" s="1681"/>
      <c r="B9" s="1682"/>
      <c r="C9" s="2853">
        <f t="shared" si="1"/>
        <v>0</v>
      </c>
      <c r="D9" s="2851">
        <f t="shared" si="2"/>
        <v>0</v>
      </c>
      <c r="E9" s="2852">
        <f t="shared" si="3"/>
        <v>0</v>
      </c>
      <c r="F9" s="2852">
        <f t="shared" si="3"/>
        <v>0</v>
      </c>
      <c r="G9" s="2852">
        <f t="shared" si="3"/>
        <v>0</v>
      </c>
      <c r="H9" s="2852">
        <f t="shared" si="3"/>
        <v>0</v>
      </c>
      <c r="I9" s="2852">
        <f t="shared" si="3"/>
        <v>0</v>
      </c>
      <c r="J9" s="2857" t="str">
        <f t="shared" si="4"/>
        <v/>
      </c>
      <c r="K9" s="1590"/>
      <c r="L9" s="1591" t="str">
        <f t="shared" si="5"/>
        <v/>
      </c>
      <c r="M9" s="1519">
        <v>25.5</v>
      </c>
      <c r="P9" s="1581"/>
      <c r="Q9" s="1582"/>
      <c r="R9" s="1592"/>
      <c r="S9" s="1550"/>
      <c r="T9" s="1703"/>
      <c r="U9" s="1703"/>
      <c r="V9" s="1703"/>
      <c r="W9" s="1703"/>
      <c r="X9" s="1703"/>
      <c r="Y9" s="1703"/>
      <c r="Z9" s="1703"/>
      <c r="AA9" s="1593">
        <f t="shared" ref="AA9:AA46" si="7">IF(ISBLANK(Z9),0,Z9*Y9)</f>
        <v>0</v>
      </c>
    </row>
    <row r="10" spans="1:27" ht="25.5" customHeight="1">
      <c r="A10" s="1681"/>
      <c r="B10" s="1682"/>
      <c r="C10" s="2853" t="str">
        <f t="shared" si="1"/>
        <v xml:space="preserve"> </v>
      </c>
      <c r="D10" s="2851">
        <f t="shared" si="2"/>
        <v>0</v>
      </c>
      <c r="E10" s="2852">
        <f t="shared" si="3"/>
        <v>0</v>
      </c>
      <c r="F10" s="2852">
        <f t="shared" si="3"/>
        <v>0</v>
      </c>
      <c r="G10" s="2852">
        <f t="shared" si="3"/>
        <v>0</v>
      </c>
      <c r="H10" s="2852">
        <f t="shared" si="3"/>
        <v>0</v>
      </c>
      <c r="I10" s="2852">
        <f t="shared" si="3"/>
        <v>0</v>
      </c>
      <c r="J10" s="2857" t="str">
        <f t="shared" si="4"/>
        <v/>
      </c>
      <c r="K10" s="1590"/>
      <c r="L10" s="1591" t="str">
        <f t="shared" si="5"/>
        <v/>
      </c>
      <c r="M10" s="1519">
        <v>25.5</v>
      </c>
      <c r="P10" s="1581"/>
      <c r="Q10" s="1582"/>
      <c r="R10" s="1592" t="s">
        <v>1456</v>
      </c>
      <c r="S10" s="1550"/>
      <c r="T10" s="1703"/>
      <c r="U10" s="1703"/>
      <c r="V10" s="1703"/>
      <c r="W10" s="1703"/>
      <c r="X10" s="1703"/>
      <c r="Y10" s="1703"/>
      <c r="Z10" s="1703"/>
      <c r="AA10" s="1593">
        <f t="shared" si="7"/>
        <v>0</v>
      </c>
    </row>
    <row r="11" spans="1:27" ht="25.5" customHeight="1">
      <c r="A11" s="1681"/>
      <c r="B11" s="1682"/>
      <c r="C11" s="2853" t="str">
        <f t="shared" si="1"/>
        <v xml:space="preserve"> </v>
      </c>
      <c r="D11" s="2851">
        <f t="shared" si="2"/>
        <v>0</v>
      </c>
      <c r="E11" s="2852">
        <f t="shared" si="3"/>
        <v>0</v>
      </c>
      <c r="F11" s="2852">
        <f t="shared" si="3"/>
        <v>0</v>
      </c>
      <c r="G11" s="2852">
        <f t="shared" si="3"/>
        <v>0</v>
      </c>
      <c r="H11" s="2852">
        <f t="shared" si="3"/>
        <v>0</v>
      </c>
      <c r="I11" s="2852">
        <f t="shared" si="3"/>
        <v>0</v>
      </c>
      <c r="J11" s="2857" t="str">
        <f t="shared" si="4"/>
        <v/>
      </c>
      <c r="K11" s="1590"/>
      <c r="L11" s="1591" t="str">
        <f t="shared" si="5"/>
        <v/>
      </c>
      <c r="M11" s="1519">
        <v>25.5</v>
      </c>
      <c r="P11" s="1581"/>
      <c r="Q11" s="1582"/>
      <c r="R11" s="1594" t="s">
        <v>1456</v>
      </c>
      <c r="S11" s="1550"/>
      <c r="T11" s="1703"/>
      <c r="U11" s="1703"/>
      <c r="V11" s="1703"/>
      <c r="W11" s="1703"/>
      <c r="X11" s="1703"/>
      <c r="Y11" s="1703"/>
      <c r="Z11" s="1703"/>
      <c r="AA11" s="1593">
        <f t="shared" si="7"/>
        <v>0</v>
      </c>
    </row>
    <row r="12" spans="1:27" ht="25.5" customHeight="1">
      <c r="A12" s="1681"/>
      <c r="B12" s="1682"/>
      <c r="C12" s="2854" t="str">
        <f t="shared" si="1"/>
        <v>LEGUMERIE</v>
      </c>
      <c r="D12" s="2855">
        <f t="shared" ref="D12:D13" si="8">S12</f>
        <v>0</v>
      </c>
      <c r="E12" s="2855">
        <f t="shared" si="3"/>
        <v>0</v>
      </c>
      <c r="F12" s="2855">
        <f t="shared" si="3"/>
        <v>0</v>
      </c>
      <c r="G12" s="2855">
        <f t="shared" si="3"/>
        <v>0</v>
      </c>
      <c r="H12" s="2855">
        <f t="shared" si="3"/>
        <v>0</v>
      </c>
      <c r="I12" s="2855">
        <f t="shared" si="3"/>
        <v>0</v>
      </c>
      <c r="J12" s="2856" t="str">
        <f t="shared" si="4"/>
        <v/>
      </c>
      <c r="K12" s="1579"/>
      <c r="L12" s="1580" t="str">
        <f t="shared" ref="L12" si="9">IF(ISBLANK(K12),"",K12*J12)</f>
        <v/>
      </c>
      <c r="M12" s="1519">
        <v>25.5</v>
      </c>
      <c r="P12" s="1581"/>
      <c r="Q12" s="1582"/>
      <c r="R12" s="1598" t="s">
        <v>1460</v>
      </c>
      <c r="S12" s="1584"/>
      <c r="T12" s="2847"/>
      <c r="U12" s="2847"/>
      <c r="V12" s="2847"/>
      <c r="W12" s="2847"/>
      <c r="X12" s="2847"/>
      <c r="Y12" s="2847"/>
      <c r="Z12" s="2847"/>
      <c r="AA12" s="1600">
        <f t="shared" si="7"/>
        <v>0</v>
      </c>
    </row>
    <row r="13" spans="1:27" ht="25.5" customHeight="1">
      <c r="A13" s="1681"/>
      <c r="B13" s="1682"/>
      <c r="C13" s="2853" t="str">
        <f t="shared" si="1"/>
        <v>truffes mélanosporum</v>
      </c>
      <c r="D13" s="2851" t="str">
        <f t="shared" si="8"/>
        <v>kg</v>
      </c>
      <c r="E13" s="2852">
        <f t="shared" si="3"/>
        <v>0.06</v>
      </c>
      <c r="F13" s="2852">
        <f t="shared" si="3"/>
        <v>0</v>
      </c>
      <c r="G13" s="2852">
        <f t="shared" si="3"/>
        <v>0</v>
      </c>
      <c r="H13" s="2852">
        <f t="shared" si="3"/>
        <v>0.02</v>
      </c>
      <c r="I13" s="2852">
        <f t="shared" si="3"/>
        <v>0</v>
      </c>
      <c r="J13" s="2857">
        <f t="shared" si="4"/>
        <v>0.08</v>
      </c>
      <c r="K13" s="1590">
        <v>1</v>
      </c>
      <c r="L13" s="1591">
        <f t="shared" si="5"/>
        <v>0.08</v>
      </c>
      <c r="M13" s="1519">
        <v>25.5</v>
      </c>
      <c r="P13" s="1581"/>
      <c r="Q13" s="1582"/>
      <c r="R13" s="1592" t="s">
        <v>2082</v>
      </c>
      <c r="S13" s="1550" t="s">
        <v>166</v>
      </c>
      <c r="T13" s="1703">
        <v>0.06</v>
      </c>
      <c r="U13" s="1703"/>
      <c r="V13" s="1703"/>
      <c r="W13" s="1703">
        <v>0.02</v>
      </c>
      <c r="X13" s="1703"/>
      <c r="Y13" s="1703">
        <f t="shared" ref="Y13:Y24" si="10">IF(SUM(T13:X13)=0,"",SUM(T13:X13))</f>
        <v>0.08</v>
      </c>
      <c r="Z13" s="1703"/>
      <c r="AA13" s="1593">
        <f t="shared" si="7"/>
        <v>0</v>
      </c>
    </row>
    <row r="14" spans="1:27" ht="25.5" customHeight="1">
      <c r="A14" s="1681"/>
      <c r="B14" s="1687"/>
      <c r="C14" s="2853" t="str">
        <f t="shared" si="1"/>
        <v>céleri rave</v>
      </c>
      <c r="D14" s="2851" t="str">
        <f t="shared" ref="D14:D26" si="11">S14</f>
        <v>Kg</v>
      </c>
      <c r="E14" s="2852">
        <f t="shared" si="3"/>
        <v>0.28000000000000003</v>
      </c>
      <c r="F14" s="2852">
        <f t="shared" si="3"/>
        <v>0</v>
      </c>
      <c r="G14" s="2852">
        <f t="shared" si="3"/>
        <v>0</v>
      </c>
      <c r="H14" s="2852">
        <f t="shared" si="3"/>
        <v>0</v>
      </c>
      <c r="I14" s="2852">
        <f t="shared" si="3"/>
        <v>0</v>
      </c>
      <c r="J14" s="2857">
        <f t="shared" si="4"/>
        <v>0.28000000000000003</v>
      </c>
      <c r="K14" s="1590"/>
      <c r="L14" s="1591" t="str">
        <f t="shared" si="5"/>
        <v/>
      </c>
      <c r="M14" s="1519">
        <v>25.5</v>
      </c>
      <c r="P14" s="1581"/>
      <c r="Q14" s="1602"/>
      <c r="R14" s="1603" t="s">
        <v>2083</v>
      </c>
      <c r="S14" s="1550" t="s">
        <v>122</v>
      </c>
      <c r="T14" s="2848">
        <v>0.28000000000000003</v>
      </c>
      <c r="U14" s="1703"/>
      <c r="V14" s="1703"/>
      <c r="W14" s="1703"/>
      <c r="X14" s="1703"/>
      <c r="Y14" s="1703">
        <f t="shared" si="10"/>
        <v>0.28000000000000003</v>
      </c>
      <c r="Z14" s="1703"/>
      <c r="AA14" s="1593">
        <f t="shared" si="7"/>
        <v>0</v>
      </c>
    </row>
    <row r="15" spans="1:27" ht="25.5" customHeight="1">
      <c r="A15" s="1681"/>
      <c r="B15" s="1682"/>
      <c r="C15" s="2853">
        <f t="shared" si="1"/>
        <v>0</v>
      </c>
      <c r="D15" s="2851">
        <f t="shared" si="11"/>
        <v>0</v>
      </c>
      <c r="E15" s="2852">
        <f t="shared" si="3"/>
        <v>0</v>
      </c>
      <c r="F15" s="2852">
        <f t="shared" si="3"/>
        <v>0</v>
      </c>
      <c r="G15" s="2852">
        <f t="shared" si="3"/>
        <v>0</v>
      </c>
      <c r="H15" s="2852">
        <f t="shared" si="3"/>
        <v>0</v>
      </c>
      <c r="I15" s="2852">
        <f t="shared" si="3"/>
        <v>0</v>
      </c>
      <c r="J15" s="2857" t="str">
        <f t="shared" si="4"/>
        <v/>
      </c>
      <c r="K15" s="1590"/>
      <c r="L15" s="1591" t="str">
        <f t="shared" si="5"/>
        <v/>
      </c>
      <c r="M15" s="1519">
        <v>25.5</v>
      </c>
      <c r="P15" s="1581"/>
      <c r="Q15" s="1582"/>
      <c r="R15" s="1592"/>
      <c r="S15" s="1550"/>
      <c r="T15" s="1703"/>
      <c r="U15" s="1703"/>
      <c r="V15" s="1703"/>
      <c r="W15" s="1703"/>
      <c r="X15" s="1703"/>
      <c r="Y15" s="1703" t="str">
        <f t="shared" si="10"/>
        <v/>
      </c>
      <c r="Z15" s="1703"/>
      <c r="AA15" s="1593">
        <f t="shared" si="7"/>
        <v>0</v>
      </c>
    </row>
    <row r="16" spans="1:27" ht="25.5" customHeight="1">
      <c r="A16" s="1681"/>
      <c r="B16" s="1682"/>
      <c r="C16" s="2853">
        <f t="shared" si="1"/>
        <v>0</v>
      </c>
      <c r="D16" s="2851">
        <f t="shared" si="11"/>
        <v>0</v>
      </c>
      <c r="E16" s="2852">
        <f t="shared" si="3"/>
        <v>0</v>
      </c>
      <c r="F16" s="2852">
        <f t="shared" si="3"/>
        <v>0</v>
      </c>
      <c r="G16" s="2852">
        <f t="shared" si="3"/>
        <v>0</v>
      </c>
      <c r="H16" s="2852">
        <f t="shared" si="3"/>
        <v>0</v>
      </c>
      <c r="I16" s="2852">
        <f t="shared" si="3"/>
        <v>0</v>
      </c>
      <c r="J16" s="2857" t="str">
        <f t="shared" si="4"/>
        <v/>
      </c>
      <c r="K16" s="1590"/>
      <c r="L16" s="1591" t="str">
        <f t="shared" si="5"/>
        <v/>
      </c>
      <c r="M16" s="1519">
        <v>25.5</v>
      </c>
      <c r="P16" s="1581"/>
      <c r="Q16" s="1582"/>
      <c r="R16" s="1592"/>
      <c r="S16" s="1550"/>
      <c r="T16" s="1703"/>
      <c r="U16" s="1703"/>
      <c r="V16" s="1703"/>
      <c r="W16" s="1703"/>
      <c r="X16" s="1703"/>
      <c r="Y16" s="1703" t="str">
        <f t="shared" si="10"/>
        <v/>
      </c>
      <c r="Z16" s="1703"/>
      <c r="AA16" s="1593">
        <f t="shared" si="7"/>
        <v>0</v>
      </c>
    </row>
    <row r="17" spans="1:27" ht="25.5" customHeight="1">
      <c r="A17" s="1681"/>
      <c r="B17" s="1682"/>
      <c r="C17" s="2853">
        <f t="shared" si="1"/>
        <v>0</v>
      </c>
      <c r="D17" s="2851">
        <f t="shared" si="11"/>
        <v>0</v>
      </c>
      <c r="E17" s="2852">
        <f t="shared" si="3"/>
        <v>0</v>
      </c>
      <c r="F17" s="2852">
        <f t="shared" si="3"/>
        <v>0</v>
      </c>
      <c r="G17" s="2852">
        <f t="shared" si="3"/>
        <v>0</v>
      </c>
      <c r="H17" s="2852">
        <f t="shared" si="3"/>
        <v>0</v>
      </c>
      <c r="I17" s="2852">
        <f t="shared" si="3"/>
        <v>0</v>
      </c>
      <c r="J17" s="2857" t="str">
        <f t="shared" si="4"/>
        <v/>
      </c>
      <c r="K17" s="1590"/>
      <c r="L17" s="1591" t="str">
        <f t="shared" si="5"/>
        <v/>
      </c>
      <c r="M17" s="1519">
        <v>25.5</v>
      </c>
      <c r="P17" s="1581"/>
      <c r="Q17" s="1582"/>
      <c r="R17" s="1592"/>
      <c r="S17" s="1550"/>
      <c r="T17" s="1703"/>
      <c r="U17" s="1703"/>
      <c r="V17" s="1703"/>
      <c r="W17" s="1703"/>
      <c r="X17" s="1703"/>
      <c r="Y17" s="1703" t="str">
        <f t="shared" si="10"/>
        <v/>
      </c>
      <c r="Z17" s="1703"/>
      <c r="AA17" s="1593">
        <f t="shared" si="7"/>
        <v>0</v>
      </c>
    </row>
    <row r="18" spans="1:27" ht="25.5" customHeight="1">
      <c r="A18" s="1681"/>
      <c r="B18" s="1682"/>
      <c r="C18" s="2853">
        <f t="shared" si="1"/>
        <v>0</v>
      </c>
      <c r="D18" s="2851">
        <f t="shared" si="11"/>
        <v>0</v>
      </c>
      <c r="E18" s="2852">
        <f t="shared" si="3"/>
        <v>0</v>
      </c>
      <c r="F18" s="2852">
        <f t="shared" si="3"/>
        <v>0</v>
      </c>
      <c r="G18" s="2852">
        <f t="shared" si="3"/>
        <v>0</v>
      </c>
      <c r="H18" s="2852">
        <f t="shared" si="3"/>
        <v>0</v>
      </c>
      <c r="I18" s="2852">
        <f t="shared" si="3"/>
        <v>0</v>
      </c>
      <c r="J18" s="2857" t="str">
        <f t="shared" si="4"/>
        <v/>
      </c>
      <c r="K18" s="1590"/>
      <c r="L18" s="1591" t="str">
        <f t="shared" si="5"/>
        <v/>
      </c>
      <c r="M18" s="1519">
        <v>25.5</v>
      </c>
      <c r="P18" s="1581"/>
      <c r="Q18" s="1582"/>
      <c r="R18" s="1592"/>
      <c r="S18" s="1550"/>
      <c r="T18" s="1703"/>
      <c r="U18" s="1703"/>
      <c r="V18" s="1703"/>
      <c r="W18" s="1703"/>
      <c r="X18" s="1703"/>
      <c r="Y18" s="1703" t="str">
        <f t="shared" si="10"/>
        <v/>
      </c>
      <c r="Z18" s="1703"/>
      <c r="AA18" s="1593">
        <f t="shared" si="7"/>
        <v>0</v>
      </c>
    </row>
    <row r="19" spans="1:27" ht="25.5" customHeight="1">
      <c r="A19" s="1681"/>
      <c r="B19" s="1682"/>
      <c r="C19" s="2853">
        <f t="shared" si="1"/>
        <v>0</v>
      </c>
      <c r="D19" s="2851">
        <f t="shared" si="11"/>
        <v>0</v>
      </c>
      <c r="E19" s="2852">
        <f t="shared" si="3"/>
        <v>0</v>
      </c>
      <c r="F19" s="2852">
        <f t="shared" si="3"/>
        <v>0</v>
      </c>
      <c r="G19" s="2852">
        <f t="shared" si="3"/>
        <v>0</v>
      </c>
      <c r="H19" s="2852">
        <f t="shared" si="3"/>
        <v>0</v>
      </c>
      <c r="I19" s="2852">
        <f t="shared" si="3"/>
        <v>0</v>
      </c>
      <c r="J19" s="2857" t="str">
        <f t="shared" si="4"/>
        <v/>
      </c>
      <c r="K19" s="1702"/>
      <c r="L19" s="1591" t="str">
        <f t="shared" si="5"/>
        <v/>
      </c>
      <c r="M19" s="1519">
        <v>25.5</v>
      </c>
      <c r="P19" s="1581"/>
      <c r="Q19" s="1582"/>
      <c r="R19" s="1592"/>
      <c r="S19" s="1550"/>
      <c r="T19" s="1703"/>
      <c r="U19" s="1703"/>
      <c r="V19" s="1703"/>
      <c r="W19" s="1703"/>
      <c r="X19" s="1703"/>
      <c r="Y19" s="1703" t="str">
        <f t="shared" si="10"/>
        <v/>
      </c>
      <c r="Z19" s="1703"/>
      <c r="AA19" s="1593">
        <f t="shared" si="7"/>
        <v>0</v>
      </c>
    </row>
    <row r="20" spans="1:27" ht="25.5" customHeight="1">
      <c r="A20" s="1681"/>
      <c r="B20" s="1682"/>
      <c r="C20" s="2853">
        <f t="shared" si="1"/>
        <v>0</v>
      </c>
      <c r="D20" s="2851">
        <f t="shared" si="11"/>
        <v>0</v>
      </c>
      <c r="E20" s="2852">
        <f t="shared" si="3"/>
        <v>0</v>
      </c>
      <c r="F20" s="2852">
        <f t="shared" si="3"/>
        <v>0</v>
      </c>
      <c r="G20" s="2852">
        <f t="shared" si="3"/>
        <v>0</v>
      </c>
      <c r="H20" s="2852">
        <f t="shared" si="3"/>
        <v>0</v>
      </c>
      <c r="I20" s="2852">
        <f t="shared" si="3"/>
        <v>0</v>
      </c>
      <c r="J20" s="2857" t="str">
        <f t="shared" si="4"/>
        <v/>
      </c>
      <c r="K20" s="1590"/>
      <c r="L20" s="1591" t="str">
        <f t="shared" si="5"/>
        <v/>
      </c>
      <c r="M20" s="1519">
        <v>25.5</v>
      </c>
      <c r="P20" s="1581"/>
      <c r="Q20" s="1582"/>
      <c r="R20" s="1592"/>
      <c r="S20" s="1550"/>
      <c r="T20" s="1703"/>
      <c r="U20" s="1703"/>
      <c r="V20" s="1703"/>
      <c r="W20" s="1703"/>
      <c r="X20" s="1703"/>
      <c r="Y20" s="1703" t="str">
        <f t="shared" si="10"/>
        <v/>
      </c>
      <c r="Z20" s="1703"/>
      <c r="AA20" s="1593">
        <f t="shared" si="7"/>
        <v>0</v>
      </c>
    </row>
    <row r="21" spans="1:27" ht="25.5" customHeight="1">
      <c r="A21" s="1681"/>
      <c r="B21" s="1682"/>
      <c r="C21" s="2853">
        <f t="shared" si="1"/>
        <v>0</v>
      </c>
      <c r="D21" s="2851">
        <f t="shared" si="11"/>
        <v>0</v>
      </c>
      <c r="E21" s="2852">
        <f t="shared" si="3"/>
        <v>0</v>
      </c>
      <c r="F21" s="2852">
        <f t="shared" si="3"/>
        <v>0</v>
      </c>
      <c r="G21" s="2852">
        <f t="shared" si="3"/>
        <v>0</v>
      </c>
      <c r="H21" s="2852">
        <f t="shared" si="3"/>
        <v>0</v>
      </c>
      <c r="I21" s="2852">
        <f t="shared" si="3"/>
        <v>0</v>
      </c>
      <c r="J21" s="2857" t="str">
        <f t="shared" si="4"/>
        <v/>
      </c>
      <c r="K21" s="1590"/>
      <c r="L21" s="1591" t="str">
        <f t="shared" si="5"/>
        <v/>
      </c>
      <c r="M21" s="1519">
        <v>25.5</v>
      </c>
      <c r="P21" s="1581"/>
      <c r="Q21" s="1582"/>
      <c r="R21" s="1592"/>
      <c r="S21" s="1550"/>
      <c r="T21" s="1703"/>
      <c r="U21" s="1703"/>
      <c r="V21" s="1703"/>
      <c r="W21" s="1703"/>
      <c r="X21" s="1703"/>
      <c r="Y21" s="1703" t="str">
        <f t="shared" si="10"/>
        <v/>
      </c>
      <c r="Z21" s="1703"/>
      <c r="AA21" s="1593">
        <f t="shared" si="7"/>
        <v>0</v>
      </c>
    </row>
    <row r="22" spans="1:27" ht="25.5" customHeight="1">
      <c r="A22" s="1681"/>
      <c r="B22" s="1682"/>
      <c r="C22" s="2853">
        <f t="shared" si="1"/>
        <v>0</v>
      </c>
      <c r="D22" s="2851">
        <f t="shared" si="11"/>
        <v>0</v>
      </c>
      <c r="E22" s="2852">
        <f t="shared" si="3"/>
        <v>0</v>
      </c>
      <c r="F22" s="2852">
        <f t="shared" si="3"/>
        <v>0</v>
      </c>
      <c r="G22" s="2852">
        <f t="shared" si="3"/>
        <v>0</v>
      </c>
      <c r="H22" s="2852">
        <f t="shared" si="3"/>
        <v>0</v>
      </c>
      <c r="I22" s="2852">
        <f t="shared" si="3"/>
        <v>0</v>
      </c>
      <c r="J22" s="2857" t="str">
        <f t="shared" si="4"/>
        <v/>
      </c>
      <c r="K22" s="1590"/>
      <c r="L22" s="1591" t="str">
        <f t="shared" si="5"/>
        <v/>
      </c>
      <c r="M22" s="1519">
        <v>25.5</v>
      </c>
      <c r="P22" s="1581"/>
      <c r="Q22" s="1582"/>
      <c r="R22" s="1592"/>
      <c r="S22" s="1550"/>
      <c r="T22" s="1703"/>
      <c r="U22" s="1703"/>
      <c r="V22" s="1703"/>
      <c r="W22" s="1703"/>
      <c r="X22" s="1703"/>
      <c r="Y22" s="1703" t="str">
        <f t="shared" si="10"/>
        <v/>
      </c>
      <c r="Z22" s="1703"/>
      <c r="AA22" s="1593">
        <f t="shared" si="7"/>
        <v>0</v>
      </c>
    </row>
    <row r="23" spans="1:27" ht="25.5" customHeight="1">
      <c r="A23" s="1681"/>
      <c r="B23" s="1682"/>
      <c r="C23" s="2853">
        <f t="shared" si="1"/>
        <v>0</v>
      </c>
      <c r="D23" s="2851">
        <f t="shared" si="11"/>
        <v>0</v>
      </c>
      <c r="E23" s="2852">
        <f t="shared" si="3"/>
        <v>0</v>
      </c>
      <c r="F23" s="2852">
        <f t="shared" si="3"/>
        <v>0</v>
      </c>
      <c r="G23" s="2852">
        <f t="shared" si="3"/>
        <v>0</v>
      </c>
      <c r="H23" s="2852">
        <f t="shared" si="3"/>
        <v>0</v>
      </c>
      <c r="I23" s="2852">
        <f t="shared" si="3"/>
        <v>0</v>
      </c>
      <c r="J23" s="2857" t="str">
        <f t="shared" si="4"/>
        <v/>
      </c>
      <c r="K23" s="1590"/>
      <c r="L23" s="1591" t="str">
        <f t="shared" si="5"/>
        <v/>
      </c>
      <c r="M23" s="1519">
        <v>25.5</v>
      </c>
      <c r="P23" s="1581"/>
      <c r="Q23" s="1582"/>
      <c r="R23" s="1592"/>
      <c r="S23" s="1550"/>
      <c r="T23" s="1703"/>
      <c r="U23" s="1703"/>
      <c r="V23" s="1703"/>
      <c r="W23" s="1703"/>
      <c r="X23" s="1703"/>
      <c r="Y23" s="1703" t="str">
        <f t="shared" si="10"/>
        <v/>
      </c>
      <c r="Z23" s="1703"/>
      <c r="AA23" s="1593">
        <f t="shared" si="7"/>
        <v>0</v>
      </c>
    </row>
    <row r="24" spans="1:27" ht="25.5" customHeight="1">
      <c r="A24" s="1681"/>
      <c r="B24" s="1682"/>
      <c r="C24" s="2853">
        <f t="shared" si="1"/>
        <v>0</v>
      </c>
      <c r="D24" s="2851">
        <f t="shared" si="11"/>
        <v>0</v>
      </c>
      <c r="E24" s="2852">
        <f t="shared" si="3"/>
        <v>0</v>
      </c>
      <c r="F24" s="2852">
        <f t="shared" si="3"/>
        <v>0</v>
      </c>
      <c r="G24" s="2852">
        <f t="shared" si="3"/>
        <v>0</v>
      </c>
      <c r="H24" s="2852">
        <f t="shared" si="3"/>
        <v>0</v>
      </c>
      <c r="I24" s="2852">
        <f t="shared" si="3"/>
        <v>0</v>
      </c>
      <c r="J24" s="2857" t="str">
        <f t="shared" si="4"/>
        <v/>
      </c>
      <c r="K24" s="1590"/>
      <c r="L24" s="1591" t="str">
        <f t="shared" si="5"/>
        <v/>
      </c>
      <c r="M24" s="1519">
        <v>25.5</v>
      </c>
      <c r="P24" s="1581"/>
      <c r="Q24" s="1582"/>
      <c r="R24" s="1592"/>
      <c r="S24" s="1550"/>
      <c r="T24" s="1703"/>
      <c r="U24" s="1703"/>
      <c r="V24" s="1703"/>
      <c r="W24" s="1703"/>
      <c r="X24" s="1703"/>
      <c r="Y24" s="1703" t="str">
        <f t="shared" si="10"/>
        <v/>
      </c>
      <c r="Z24" s="1703"/>
      <c r="AA24" s="1593">
        <f t="shared" si="7"/>
        <v>0</v>
      </c>
    </row>
    <row r="25" spans="1:27" ht="25.5" customHeight="1">
      <c r="A25" s="1681"/>
      <c r="B25" s="1682"/>
      <c r="C25" s="2854" t="str">
        <f t="shared" si="1"/>
        <v>B.O.F</v>
      </c>
      <c r="D25" s="2855" t="str">
        <f t="shared" si="11"/>
        <v xml:space="preserve"> </v>
      </c>
      <c r="E25" s="2855">
        <f t="shared" si="3"/>
        <v>0</v>
      </c>
      <c r="F25" s="2855">
        <f t="shared" si="3"/>
        <v>0</v>
      </c>
      <c r="G25" s="2855">
        <f t="shared" si="3"/>
        <v>0</v>
      </c>
      <c r="H25" s="2855">
        <f t="shared" si="3"/>
        <v>0</v>
      </c>
      <c r="I25" s="2855">
        <f t="shared" si="3"/>
        <v>0</v>
      </c>
      <c r="J25" s="1674" t="str">
        <f t="shared" si="4"/>
        <v/>
      </c>
      <c r="K25" s="1579"/>
      <c r="L25" s="1580" t="str">
        <f t="shared" si="5"/>
        <v/>
      </c>
      <c r="M25" s="1519">
        <v>25.5</v>
      </c>
      <c r="P25" s="1581"/>
      <c r="Q25" s="1582"/>
      <c r="R25" s="1598" t="s">
        <v>1465</v>
      </c>
      <c r="S25" s="1584" t="s">
        <v>1456</v>
      </c>
      <c r="T25" s="2847"/>
      <c r="U25" s="2847"/>
      <c r="V25" s="2847"/>
      <c r="W25" s="2847"/>
      <c r="X25" s="2847"/>
      <c r="Y25" s="2847" t="s">
        <v>1456</v>
      </c>
      <c r="Z25" s="2847"/>
      <c r="AA25" s="1600">
        <f t="shared" si="7"/>
        <v>0</v>
      </c>
    </row>
    <row r="26" spans="1:27" ht="25.5" customHeight="1">
      <c r="A26" s="1681"/>
      <c r="B26" s="1682"/>
      <c r="C26" s="2853" t="str">
        <f t="shared" si="1"/>
        <v xml:space="preserve">Lait </v>
      </c>
      <c r="D26" s="2851" t="str">
        <f t="shared" si="11"/>
        <v>L</v>
      </c>
      <c r="E26" s="2852">
        <f t="shared" si="3"/>
        <v>1</v>
      </c>
      <c r="F26" s="2852">
        <f t="shared" si="3"/>
        <v>0</v>
      </c>
      <c r="G26" s="2852">
        <f t="shared" si="3"/>
        <v>0</v>
      </c>
      <c r="H26" s="2852">
        <f t="shared" si="3"/>
        <v>0</v>
      </c>
      <c r="I26" s="2852">
        <f t="shared" si="3"/>
        <v>0</v>
      </c>
      <c r="J26" s="2857">
        <f t="shared" si="4"/>
        <v>1</v>
      </c>
      <c r="K26" s="1590"/>
      <c r="L26" s="1591" t="str">
        <f t="shared" si="5"/>
        <v/>
      </c>
      <c r="M26" s="1519">
        <v>25.5</v>
      </c>
      <c r="P26" s="1581"/>
      <c r="Q26" s="1582"/>
      <c r="R26" s="1592" t="s">
        <v>2084</v>
      </c>
      <c r="S26" s="1550" t="s">
        <v>224</v>
      </c>
      <c r="T26" s="1703">
        <v>1</v>
      </c>
      <c r="U26" s="1703"/>
      <c r="V26" s="1703"/>
      <c r="W26" s="1703"/>
      <c r="X26" s="1703"/>
      <c r="Y26" s="1703">
        <f t="shared" ref="Y26:Y33" si="12">IF(SUM(T26:X26)=0,"",SUM(T26:X26))</f>
        <v>1</v>
      </c>
      <c r="Z26" s="1703"/>
      <c r="AA26" s="1593">
        <f t="shared" si="7"/>
        <v>0</v>
      </c>
    </row>
    <row r="27" spans="1:27" ht="25.5" customHeight="1">
      <c r="A27" s="1681"/>
      <c r="B27" s="1682"/>
      <c r="C27" s="2853" t="str">
        <f t="shared" si="1"/>
        <v>œufs jaunes</v>
      </c>
      <c r="D27" s="2851" t="str">
        <f t="shared" ref="D27:D35" si="13">S27</f>
        <v>P</v>
      </c>
      <c r="E27" s="2852">
        <f t="shared" si="3"/>
        <v>8</v>
      </c>
      <c r="F27" s="2852">
        <f t="shared" si="3"/>
        <v>0</v>
      </c>
      <c r="G27" s="2852">
        <f t="shared" si="3"/>
        <v>0</v>
      </c>
      <c r="H27" s="2852">
        <f t="shared" si="3"/>
        <v>0</v>
      </c>
      <c r="I27" s="2852">
        <f t="shared" si="3"/>
        <v>0</v>
      </c>
      <c r="J27" s="2857">
        <f t="shared" si="4"/>
        <v>8</v>
      </c>
      <c r="K27" s="1590"/>
      <c r="L27" s="1591" t="str">
        <f t="shared" si="5"/>
        <v/>
      </c>
      <c r="M27" s="1519">
        <v>25.5</v>
      </c>
      <c r="P27" s="1581"/>
      <c r="Q27" s="1582"/>
      <c r="R27" s="1592" t="s">
        <v>2085</v>
      </c>
      <c r="S27" s="1550" t="s">
        <v>318</v>
      </c>
      <c r="T27" s="1703">
        <v>8</v>
      </c>
      <c r="U27" s="1703"/>
      <c r="V27" s="1703"/>
      <c r="W27" s="1703"/>
      <c r="X27" s="1703"/>
      <c r="Y27" s="1703">
        <f t="shared" si="12"/>
        <v>8</v>
      </c>
      <c r="Z27" s="1703"/>
      <c r="AA27" s="1593">
        <f t="shared" si="7"/>
        <v>0</v>
      </c>
    </row>
    <row r="28" spans="1:27" ht="25.5" customHeight="1">
      <c r="A28" s="1681"/>
      <c r="B28" s="1682"/>
      <c r="C28" s="2853">
        <f t="shared" si="1"/>
        <v>0</v>
      </c>
      <c r="D28" s="2851">
        <f t="shared" si="13"/>
        <v>0</v>
      </c>
      <c r="E28" s="2852">
        <f t="shared" si="3"/>
        <v>0</v>
      </c>
      <c r="F28" s="2852">
        <f t="shared" si="3"/>
        <v>0</v>
      </c>
      <c r="G28" s="2852">
        <f t="shared" si="3"/>
        <v>0</v>
      </c>
      <c r="H28" s="2852">
        <f t="shared" si="3"/>
        <v>0</v>
      </c>
      <c r="I28" s="2852">
        <f t="shared" si="3"/>
        <v>0</v>
      </c>
      <c r="J28" s="2857" t="str">
        <f t="shared" si="4"/>
        <v/>
      </c>
      <c r="K28" s="1590"/>
      <c r="L28" s="1591" t="str">
        <f t="shared" si="5"/>
        <v/>
      </c>
      <c r="M28" s="1519">
        <v>25.5</v>
      </c>
      <c r="P28" s="1581"/>
      <c r="Q28" s="1582"/>
      <c r="R28" s="1592"/>
      <c r="S28" s="1550"/>
      <c r="T28" s="1703"/>
      <c r="U28" s="1703"/>
      <c r="V28" s="1703"/>
      <c r="W28" s="1703"/>
      <c r="X28" s="1703"/>
      <c r="Y28" s="1703" t="str">
        <f t="shared" si="12"/>
        <v/>
      </c>
      <c r="Z28" s="1703"/>
      <c r="AA28" s="1593">
        <f t="shared" si="7"/>
        <v>0</v>
      </c>
    </row>
    <row r="29" spans="1:27" ht="25.5" customHeight="1">
      <c r="A29" s="1681"/>
      <c r="B29" s="1682"/>
      <c r="C29" s="2853">
        <f t="shared" si="1"/>
        <v>0</v>
      </c>
      <c r="D29" s="2851">
        <f t="shared" si="13"/>
        <v>0</v>
      </c>
      <c r="E29" s="2852">
        <f t="shared" si="3"/>
        <v>0</v>
      </c>
      <c r="F29" s="2852">
        <f t="shared" si="3"/>
        <v>0</v>
      </c>
      <c r="G29" s="2852">
        <f t="shared" si="3"/>
        <v>0</v>
      </c>
      <c r="H29" s="2852">
        <f t="shared" si="3"/>
        <v>0</v>
      </c>
      <c r="I29" s="2852">
        <f t="shared" si="3"/>
        <v>0</v>
      </c>
      <c r="J29" s="2857" t="str">
        <f t="shared" si="4"/>
        <v/>
      </c>
      <c r="K29" s="1590"/>
      <c r="L29" s="1591" t="str">
        <f t="shared" si="5"/>
        <v/>
      </c>
      <c r="M29" s="1519">
        <v>25.5</v>
      </c>
      <c r="P29" s="1581"/>
      <c r="Q29" s="1582"/>
      <c r="R29" s="1592"/>
      <c r="S29" s="1550"/>
      <c r="T29" s="1703"/>
      <c r="U29" s="1703"/>
      <c r="V29" s="1703"/>
      <c r="W29" s="1703"/>
      <c r="X29" s="1703"/>
      <c r="Y29" s="1703" t="str">
        <f t="shared" si="12"/>
        <v/>
      </c>
      <c r="Z29" s="1703"/>
      <c r="AA29" s="1593">
        <f t="shared" si="7"/>
        <v>0</v>
      </c>
    </row>
    <row r="30" spans="1:27" ht="25.5" customHeight="1">
      <c r="A30" s="1681"/>
      <c r="B30" s="1682"/>
      <c r="C30" s="2853">
        <f t="shared" si="1"/>
        <v>0</v>
      </c>
      <c r="D30" s="2851">
        <f t="shared" si="13"/>
        <v>0</v>
      </c>
      <c r="E30" s="2852">
        <f t="shared" si="3"/>
        <v>0</v>
      </c>
      <c r="F30" s="2852">
        <f t="shared" si="3"/>
        <v>0</v>
      </c>
      <c r="G30" s="2852">
        <f t="shared" si="3"/>
        <v>0</v>
      </c>
      <c r="H30" s="2852">
        <f t="shared" si="3"/>
        <v>0</v>
      </c>
      <c r="I30" s="2852">
        <f t="shared" si="3"/>
        <v>0</v>
      </c>
      <c r="J30" s="2857" t="str">
        <f t="shared" si="4"/>
        <v/>
      </c>
      <c r="K30" s="1590"/>
      <c r="L30" s="1591" t="str">
        <f t="shared" si="5"/>
        <v/>
      </c>
      <c r="M30" s="1519">
        <v>25.5</v>
      </c>
      <c r="P30" s="1581"/>
      <c r="Q30" s="1582"/>
      <c r="R30" s="1592"/>
      <c r="S30" s="1550"/>
      <c r="T30" s="1703"/>
      <c r="U30" s="1703"/>
      <c r="V30" s="1703"/>
      <c r="W30" s="1703"/>
      <c r="X30" s="1703"/>
      <c r="Y30" s="1703" t="str">
        <f t="shared" si="12"/>
        <v/>
      </c>
      <c r="Z30" s="1703"/>
      <c r="AA30" s="1593">
        <f t="shared" si="7"/>
        <v>0</v>
      </c>
    </row>
    <row r="31" spans="1:27" ht="25.5" customHeight="1">
      <c r="A31" s="1681"/>
      <c r="B31" s="1682"/>
      <c r="C31" s="2853">
        <f t="shared" si="1"/>
        <v>0</v>
      </c>
      <c r="D31" s="2851">
        <f t="shared" si="13"/>
        <v>0</v>
      </c>
      <c r="E31" s="2852">
        <f t="shared" si="3"/>
        <v>0</v>
      </c>
      <c r="F31" s="2852">
        <f t="shared" si="3"/>
        <v>0</v>
      </c>
      <c r="G31" s="2852">
        <f t="shared" si="3"/>
        <v>0</v>
      </c>
      <c r="H31" s="2852">
        <f t="shared" si="3"/>
        <v>0</v>
      </c>
      <c r="I31" s="2852">
        <f t="shared" si="3"/>
        <v>0</v>
      </c>
      <c r="J31" s="2857" t="str">
        <f t="shared" si="4"/>
        <v/>
      </c>
      <c r="K31" s="1590"/>
      <c r="L31" s="1591" t="str">
        <f t="shared" si="5"/>
        <v/>
      </c>
      <c r="M31" s="1519">
        <v>25.5</v>
      </c>
      <c r="P31" s="1581"/>
      <c r="Q31" s="1582"/>
      <c r="R31" s="1592"/>
      <c r="S31" s="1550"/>
      <c r="T31" s="1703"/>
      <c r="U31" s="1703"/>
      <c r="V31" s="1703"/>
      <c r="W31" s="1703"/>
      <c r="X31" s="1703"/>
      <c r="Y31" s="1703" t="str">
        <f t="shared" si="12"/>
        <v/>
      </c>
      <c r="Z31" s="1703"/>
      <c r="AA31" s="1593">
        <f t="shared" si="7"/>
        <v>0</v>
      </c>
    </row>
    <row r="32" spans="1:27" ht="25.5" customHeight="1">
      <c r="A32" s="1681"/>
      <c r="B32" s="1682"/>
      <c r="C32" s="2853">
        <f t="shared" si="1"/>
        <v>0</v>
      </c>
      <c r="D32" s="2851">
        <f t="shared" si="13"/>
        <v>0</v>
      </c>
      <c r="E32" s="2852">
        <f t="shared" si="3"/>
        <v>0</v>
      </c>
      <c r="F32" s="2852">
        <f t="shared" si="3"/>
        <v>0</v>
      </c>
      <c r="G32" s="2852">
        <f t="shared" si="3"/>
        <v>0</v>
      </c>
      <c r="H32" s="2852">
        <f t="shared" si="3"/>
        <v>0</v>
      </c>
      <c r="I32" s="2852">
        <f t="shared" si="3"/>
        <v>0</v>
      </c>
      <c r="J32" s="2857" t="str">
        <f t="shared" si="4"/>
        <v/>
      </c>
      <c r="K32" s="1590"/>
      <c r="L32" s="1591" t="str">
        <f t="shared" si="5"/>
        <v/>
      </c>
      <c r="M32" s="1519">
        <v>25.5</v>
      </c>
      <c r="P32" s="1581"/>
      <c r="Q32" s="1582"/>
      <c r="R32" s="1592"/>
      <c r="S32" s="1550"/>
      <c r="T32" s="1703"/>
      <c r="U32" s="1703"/>
      <c r="V32" s="1703"/>
      <c r="W32" s="1703"/>
      <c r="X32" s="1703"/>
      <c r="Y32" s="1703" t="str">
        <f t="shared" si="12"/>
        <v/>
      </c>
      <c r="Z32" s="1703"/>
      <c r="AA32" s="1593">
        <f t="shared" si="7"/>
        <v>0</v>
      </c>
    </row>
    <row r="33" spans="1:27" ht="25.5" customHeight="1">
      <c r="A33" s="1681"/>
      <c r="B33" s="1682"/>
      <c r="C33" s="2853">
        <f t="shared" si="1"/>
        <v>0</v>
      </c>
      <c r="D33" s="2851">
        <f t="shared" si="13"/>
        <v>0</v>
      </c>
      <c r="E33" s="2852">
        <f t="shared" si="3"/>
        <v>0</v>
      </c>
      <c r="F33" s="2852">
        <f t="shared" si="3"/>
        <v>0</v>
      </c>
      <c r="G33" s="2852">
        <f t="shared" si="3"/>
        <v>0</v>
      </c>
      <c r="H33" s="2852">
        <f t="shared" si="3"/>
        <v>0</v>
      </c>
      <c r="I33" s="2852">
        <f t="shared" si="3"/>
        <v>0</v>
      </c>
      <c r="J33" s="2857" t="str">
        <f t="shared" si="4"/>
        <v/>
      </c>
      <c r="K33" s="1590"/>
      <c r="L33" s="1591" t="str">
        <f t="shared" si="5"/>
        <v/>
      </c>
      <c r="M33" s="1519">
        <v>25.5</v>
      </c>
      <c r="P33" s="1581"/>
      <c r="Q33" s="1582"/>
      <c r="R33" s="1592"/>
      <c r="S33" s="1550"/>
      <c r="T33" s="1703"/>
      <c r="U33" s="1703"/>
      <c r="V33" s="1703"/>
      <c r="W33" s="1703"/>
      <c r="X33" s="1703"/>
      <c r="Y33" s="1703" t="str">
        <f t="shared" si="12"/>
        <v/>
      </c>
      <c r="Z33" s="1703"/>
      <c r="AA33" s="1593">
        <f t="shared" si="7"/>
        <v>0</v>
      </c>
    </row>
    <row r="34" spans="1:27" ht="25.5" customHeight="1">
      <c r="A34" s="1681"/>
      <c r="B34" s="1682"/>
      <c r="C34" s="2854" t="str">
        <f t="shared" si="1"/>
        <v>ECONOMAT/CAVE</v>
      </c>
      <c r="D34" s="2855" t="str">
        <f t="shared" si="13"/>
        <v xml:space="preserve"> </v>
      </c>
      <c r="E34" s="2855">
        <f t="shared" si="3"/>
        <v>0</v>
      </c>
      <c r="F34" s="2855">
        <f t="shared" si="3"/>
        <v>0</v>
      </c>
      <c r="G34" s="2855">
        <f t="shared" si="3"/>
        <v>0</v>
      </c>
      <c r="H34" s="2855">
        <f t="shared" si="3"/>
        <v>0</v>
      </c>
      <c r="I34" s="2855">
        <f t="shared" si="3"/>
        <v>0</v>
      </c>
      <c r="J34" s="1674" t="str">
        <f t="shared" si="4"/>
        <v/>
      </c>
      <c r="K34" s="1579"/>
      <c r="L34" s="1580" t="str">
        <f t="shared" si="5"/>
        <v/>
      </c>
      <c r="M34" s="1519">
        <v>25.5</v>
      </c>
      <c r="P34" s="1581"/>
      <c r="Q34" s="1582"/>
      <c r="R34" s="1598" t="s">
        <v>1967</v>
      </c>
      <c r="S34" s="1584" t="s">
        <v>1456</v>
      </c>
      <c r="T34" s="2847"/>
      <c r="U34" s="2847"/>
      <c r="V34" s="2847"/>
      <c r="W34" s="2847"/>
      <c r="X34" s="2847"/>
      <c r="Y34" s="2847" t="s">
        <v>1456</v>
      </c>
      <c r="Z34" s="2847"/>
      <c r="AA34" s="1600">
        <f t="shared" si="7"/>
        <v>0</v>
      </c>
    </row>
    <row r="35" spans="1:27" ht="25.5" customHeight="1">
      <c r="A35" s="1681"/>
      <c r="B35" s="1682"/>
      <c r="C35" s="2853" t="str">
        <f t="shared" si="1"/>
        <v>sucre</v>
      </c>
      <c r="D35" s="2851" t="str">
        <f t="shared" si="13"/>
        <v>Kg</v>
      </c>
      <c r="E35" s="2852">
        <f t="shared" si="3"/>
        <v>0.2</v>
      </c>
      <c r="F35" s="2852">
        <f t="shared" si="3"/>
        <v>0</v>
      </c>
      <c r="G35" s="2852">
        <f t="shared" si="3"/>
        <v>0</v>
      </c>
      <c r="H35" s="2852">
        <f t="shared" si="3"/>
        <v>0</v>
      </c>
      <c r="I35" s="2852">
        <f t="shared" si="3"/>
        <v>0</v>
      </c>
      <c r="J35" s="2857">
        <f t="shared" si="4"/>
        <v>0.2</v>
      </c>
      <c r="K35" s="1590"/>
      <c r="L35" s="1591" t="str">
        <f t="shared" si="5"/>
        <v/>
      </c>
      <c r="M35" s="1519">
        <v>25.5</v>
      </c>
      <c r="P35" s="1581"/>
      <c r="Q35" s="1582"/>
      <c r="R35" s="1592" t="s">
        <v>216</v>
      </c>
      <c r="S35" s="1550" t="s">
        <v>122</v>
      </c>
      <c r="T35" s="1703">
        <v>0.2</v>
      </c>
      <c r="U35" s="1703"/>
      <c r="V35" s="1703"/>
      <c r="W35" s="1703"/>
      <c r="X35" s="1703"/>
      <c r="Y35" s="1703">
        <f t="shared" ref="Y35:Y39" si="14">IF(SUM(T35:X35)=0,"",SUM(T35:X35))</f>
        <v>0.2</v>
      </c>
      <c r="Z35" s="1703"/>
      <c r="AA35" s="1593">
        <f t="shared" si="7"/>
        <v>0</v>
      </c>
    </row>
    <row r="36" spans="1:27" ht="25.5" customHeight="1">
      <c r="A36" s="1681"/>
      <c r="B36" s="1682"/>
      <c r="C36" s="2853" t="str">
        <f t="shared" si="1"/>
        <v>cognac XO</v>
      </c>
      <c r="D36" s="2851" t="str">
        <f t="shared" ref="D36:D46" si="15">S36</f>
        <v>L</v>
      </c>
      <c r="E36" s="2852">
        <f t="shared" si="3"/>
        <v>0</v>
      </c>
      <c r="F36" s="2852">
        <f t="shared" si="3"/>
        <v>0</v>
      </c>
      <c r="G36" s="2852">
        <f t="shared" si="3"/>
        <v>0</v>
      </c>
      <c r="H36" s="2852">
        <f t="shared" si="3"/>
        <v>0.15</v>
      </c>
      <c r="I36" s="2852">
        <f t="shared" si="3"/>
        <v>0</v>
      </c>
      <c r="J36" s="2857">
        <f t="shared" si="4"/>
        <v>0.15</v>
      </c>
      <c r="K36" s="1590"/>
      <c r="L36" s="1591" t="str">
        <f t="shared" si="5"/>
        <v/>
      </c>
      <c r="M36" s="1519">
        <v>25.5</v>
      </c>
      <c r="P36" s="1581"/>
      <c r="Q36" s="1582"/>
      <c r="R36" s="1592" t="s">
        <v>2086</v>
      </c>
      <c r="S36" s="1550" t="s">
        <v>224</v>
      </c>
      <c r="T36" s="1703"/>
      <c r="U36" s="1703"/>
      <c r="V36" s="1703"/>
      <c r="W36" s="1703">
        <v>0.15</v>
      </c>
      <c r="X36" s="1703"/>
      <c r="Y36" s="1703">
        <f t="shared" si="14"/>
        <v>0.15</v>
      </c>
      <c r="Z36" s="1703"/>
      <c r="AA36" s="1593">
        <f t="shared" si="7"/>
        <v>0</v>
      </c>
    </row>
    <row r="37" spans="1:27" ht="25.5" customHeight="1">
      <c r="A37" s="1681"/>
      <c r="B37" s="1682"/>
      <c r="C37" s="2853">
        <f t="shared" si="1"/>
        <v>0</v>
      </c>
      <c r="D37" s="2851">
        <f t="shared" si="15"/>
        <v>0</v>
      </c>
      <c r="E37" s="2852">
        <f t="shared" si="3"/>
        <v>0</v>
      </c>
      <c r="F37" s="2852">
        <f t="shared" si="3"/>
        <v>0</v>
      </c>
      <c r="G37" s="2852">
        <f t="shared" si="3"/>
        <v>0</v>
      </c>
      <c r="H37" s="2852">
        <f t="shared" si="3"/>
        <v>0</v>
      </c>
      <c r="I37" s="2852">
        <f t="shared" si="3"/>
        <v>0</v>
      </c>
      <c r="J37" s="2857" t="str">
        <f t="shared" si="4"/>
        <v/>
      </c>
      <c r="K37" s="1590"/>
      <c r="L37" s="1591" t="str">
        <f t="shared" si="5"/>
        <v/>
      </c>
      <c r="M37" s="1519">
        <v>25.5</v>
      </c>
      <c r="P37" s="1581"/>
      <c r="Q37" s="1582"/>
      <c r="R37" s="1592"/>
      <c r="S37" s="1550"/>
      <c r="T37" s="1703"/>
      <c r="U37" s="1703"/>
      <c r="V37" s="1703"/>
      <c r="W37" s="1703"/>
      <c r="X37" s="1703"/>
      <c r="Y37" s="1703" t="str">
        <f t="shared" si="14"/>
        <v/>
      </c>
      <c r="Z37" s="1703"/>
      <c r="AA37" s="1593">
        <f t="shared" si="7"/>
        <v>0</v>
      </c>
    </row>
    <row r="38" spans="1:27" ht="25.5" customHeight="1">
      <c r="A38" s="1681"/>
      <c r="B38" s="1682"/>
      <c r="C38" s="2853">
        <f t="shared" si="1"/>
        <v>0</v>
      </c>
      <c r="D38" s="2851">
        <f t="shared" si="15"/>
        <v>0</v>
      </c>
      <c r="E38" s="2852">
        <f t="shared" si="3"/>
        <v>0</v>
      </c>
      <c r="F38" s="2852">
        <f t="shared" si="3"/>
        <v>0</v>
      </c>
      <c r="G38" s="2852">
        <f t="shared" si="3"/>
        <v>0</v>
      </c>
      <c r="H38" s="2852">
        <f t="shared" si="3"/>
        <v>0</v>
      </c>
      <c r="I38" s="2852">
        <f t="shared" si="3"/>
        <v>0</v>
      </c>
      <c r="J38" s="2857" t="str">
        <f t="shared" si="4"/>
        <v/>
      </c>
      <c r="K38" s="1590"/>
      <c r="L38" s="1591" t="str">
        <f t="shared" si="5"/>
        <v/>
      </c>
      <c r="M38" s="1519">
        <v>25.5</v>
      </c>
      <c r="P38" s="1581"/>
      <c r="Q38" s="1582"/>
      <c r="R38" s="1592"/>
      <c r="S38" s="1550"/>
      <c r="T38" s="1703"/>
      <c r="U38" s="1703"/>
      <c r="V38" s="1703"/>
      <c r="W38" s="1703"/>
      <c r="X38" s="1703"/>
      <c r="Y38" s="1703" t="str">
        <f t="shared" si="14"/>
        <v/>
      </c>
      <c r="Z38" s="1703"/>
      <c r="AA38" s="1593">
        <f t="shared" si="7"/>
        <v>0</v>
      </c>
    </row>
    <row r="39" spans="1:27" ht="25.5" customHeight="1">
      <c r="A39" s="1681"/>
      <c r="B39" s="1682"/>
      <c r="C39" s="2853">
        <f t="shared" si="1"/>
        <v>0</v>
      </c>
      <c r="D39" s="2851">
        <f t="shared" si="15"/>
        <v>0</v>
      </c>
      <c r="E39" s="2852">
        <f t="shared" si="3"/>
        <v>0</v>
      </c>
      <c r="F39" s="2852">
        <f t="shared" si="3"/>
        <v>0</v>
      </c>
      <c r="G39" s="2852">
        <f t="shared" si="3"/>
        <v>0</v>
      </c>
      <c r="H39" s="2852">
        <f t="shared" si="3"/>
        <v>0</v>
      </c>
      <c r="I39" s="2852">
        <f t="shared" si="3"/>
        <v>0</v>
      </c>
      <c r="J39" s="2857" t="str">
        <f t="shared" si="4"/>
        <v/>
      </c>
      <c r="K39" s="1590"/>
      <c r="L39" s="1591" t="str">
        <f t="shared" si="5"/>
        <v/>
      </c>
      <c r="M39" s="1519">
        <v>25.5</v>
      </c>
      <c r="P39" s="1581"/>
      <c r="Q39" s="1582"/>
      <c r="R39" s="1592"/>
      <c r="S39" s="1550"/>
      <c r="T39" s="1703"/>
      <c r="U39" s="1703"/>
      <c r="V39" s="1703"/>
      <c r="W39" s="1703"/>
      <c r="X39" s="1703"/>
      <c r="Y39" s="1703" t="str">
        <f t="shared" si="14"/>
        <v/>
      </c>
      <c r="Z39" s="1703"/>
      <c r="AA39" s="1593">
        <f t="shared" si="7"/>
        <v>0</v>
      </c>
    </row>
    <row r="40" spans="1:27" ht="25.5" customHeight="1">
      <c r="A40" s="1681"/>
      <c r="B40" s="1682"/>
      <c r="C40" s="2853">
        <f t="shared" si="1"/>
        <v>0</v>
      </c>
      <c r="D40" s="2851">
        <f t="shared" si="15"/>
        <v>0</v>
      </c>
      <c r="E40" s="2852">
        <f t="shared" si="3"/>
        <v>0</v>
      </c>
      <c r="F40" s="2852">
        <f t="shared" si="3"/>
        <v>0</v>
      </c>
      <c r="G40" s="2852">
        <f t="shared" si="3"/>
        <v>0</v>
      </c>
      <c r="H40" s="2852">
        <f t="shared" si="3"/>
        <v>0</v>
      </c>
      <c r="I40" s="2852">
        <f t="shared" si="3"/>
        <v>0</v>
      </c>
      <c r="J40" s="2857" t="str">
        <f t="shared" si="4"/>
        <v/>
      </c>
      <c r="K40" s="1697"/>
      <c r="L40" s="1591" t="str">
        <f t="shared" si="5"/>
        <v/>
      </c>
      <c r="M40" s="1519">
        <v>25.5</v>
      </c>
      <c r="P40" s="1581"/>
      <c r="Q40" s="1582"/>
      <c r="R40" s="1592"/>
      <c r="S40" s="1550"/>
      <c r="T40" s="1703"/>
      <c r="U40" s="1703"/>
      <c r="V40" s="1703"/>
      <c r="W40" s="1703"/>
      <c r="X40" s="1703"/>
      <c r="Y40" s="1703"/>
      <c r="Z40" s="1703"/>
      <c r="AA40" s="1593">
        <f t="shared" si="7"/>
        <v>0</v>
      </c>
    </row>
    <row r="41" spans="1:27" ht="25.5" customHeight="1">
      <c r="A41" s="1681"/>
      <c r="B41" s="1682"/>
      <c r="C41" s="2853">
        <f t="shared" si="1"/>
        <v>0</v>
      </c>
      <c r="D41" s="2851">
        <f t="shared" si="15"/>
        <v>0</v>
      </c>
      <c r="E41" s="2852">
        <f t="shared" si="3"/>
        <v>0</v>
      </c>
      <c r="F41" s="2852">
        <f t="shared" si="3"/>
        <v>0</v>
      </c>
      <c r="G41" s="2852">
        <f t="shared" si="3"/>
        <v>0</v>
      </c>
      <c r="H41" s="2852">
        <f t="shared" si="3"/>
        <v>0</v>
      </c>
      <c r="I41" s="2852">
        <f t="shared" si="3"/>
        <v>0</v>
      </c>
      <c r="J41" s="2857" t="str">
        <f t="shared" si="4"/>
        <v/>
      </c>
      <c r="K41" s="1590"/>
      <c r="L41" s="1591" t="str">
        <f t="shared" si="5"/>
        <v/>
      </c>
      <c r="M41" s="1519">
        <v>25.5</v>
      </c>
      <c r="P41" s="1581"/>
      <c r="Q41" s="1582"/>
      <c r="R41" s="1592"/>
      <c r="S41" s="1550"/>
      <c r="T41" s="1703"/>
      <c r="U41" s="1703"/>
      <c r="V41" s="1703"/>
      <c r="W41" s="1703"/>
      <c r="X41" s="1703"/>
      <c r="Y41" s="1703"/>
      <c r="Z41" s="1703"/>
      <c r="AA41" s="1593">
        <f t="shared" si="7"/>
        <v>0</v>
      </c>
    </row>
    <row r="42" spans="1:27" ht="25.5" customHeight="1">
      <c r="A42" s="1681"/>
      <c r="B42" s="1682"/>
      <c r="C42" s="2853">
        <f t="shared" si="1"/>
        <v>0</v>
      </c>
      <c r="D42" s="2851">
        <f t="shared" si="15"/>
        <v>0</v>
      </c>
      <c r="E42" s="2852">
        <f t="shared" si="3"/>
        <v>0</v>
      </c>
      <c r="F42" s="2852">
        <f t="shared" si="3"/>
        <v>0</v>
      </c>
      <c r="G42" s="2852">
        <f t="shared" si="3"/>
        <v>0</v>
      </c>
      <c r="H42" s="2852">
        <f t="shared" si="3"/>
        <v>0</v>
      </c>
      <c r="I42" s="2852">
        <f t="shared" si="3"/>
        <v>0</v>
      </c>
      <c r="J42" s="2857" t="str">
        <f t="shared" si="4"/>
        <v/>
      </c>
      <c r="K42" s="1590"/>
      <c r="L42" s="1591" t="str">
        <f t="shared" si="5"/>
        <v/>
      </c>
      <c r="M42" s="1519">
        <v>25.5</v>
      </c>
      <c r="P42" s="1581"/>
      <c r="Q42" s="1582"/>
      <c r="R42" s="1592"/>
      <c r="S42" s="1550"/>
      <c r="T42" s="1703"/>
      <c r="U42" s="1703"/>
      <c r="V42" s="1703"/>
      <c r="W42" s="1703"/>
      <c r="X42" s="1703"/>
      <c r="Y42" s="1703" t="str">
        <f t="shared" ref="Y42:Y47" si="16">IF(SUM(T42:X42)=0,"",SUM(T42:X42))</f>
        <v/>
      </c>
      <c r="Z42" s="1703"/>
      <c r="AA42" s="1593">
        <f t="shared" si="7"/>
        <v>0</v>
      </c>
    </row>
    <row r="43" spans="1:27" ht="25.5" customHeight="1">
      <c r="A43" s="1681"/>
      <c r="B43" s="1682"/>
      <c r="C43" s="2853">
        <f t="shared" si="1"/>
        <v>0</v>
      </c>
      <c r="D43" s="2851">
        <f t="shared" si="15"/>
        <v>0</v>
      </c>
      <c r="E43" s="2852">
        <f t="shared" si="3"/>
        <v>0</v>
      </c>
      <c r="F43" s="2852">
        <f t="shared" si="3"/>
        <v>0</v>
      </c>
      <c r="G43" s="2852">
        <f t="shared" si="3"/>
        <v>0</v>
      </c>
      <c r="H43" s="2852">
        <f t="shared" si="3"/>
        <v>0</v>
      </c>
      <c r="I43" s="2852">
        <f t="shared" si="3"/>
        <v>0</v>
      </c>
      <c r="J43" s="2857" t="str">
        <f t="shared" si="4"/>
        <v/>
      </c>
      <c r="K43" s="1590"/>
      <c r="L43" s="1591" t="str">
        <f t="shared" si="5"/>
        <v/>
      </c>
      <c r="M43" s="1519">
        <v>25.5</v>
      </c>
      <c r="P43" s="1581"/>
      <c r="Q43" s="1582"/>
      <c r="R43" s="1592"/>
      <c r="S43" s="1550"/>
      <c r="T43" s="1703"/>
      <c r="U43" s="1703"/>
      <c r="V43" s="1703"/>
      <c r="W43" s="1703"/>
      <c r="X43" s="1703"/>
      <c r="Y43" s="1703" t="str">
        <f t="shared" si="16"/>
        <v/>
      </c>
      <c r="Z43" s="1703"/>
      <c r="AA43" s="1593">
        <f t="shared" si="7"/>
        <v>0</v>
      </c>
    </row>
    <row r="44" spans="1:27" ht="25.5" customHeight="1">
      <c r="A44" s="1681"/>
      <c r="B44" s="1682"/>
      <c r="C44" s="2853">
        <f t="shared" si="1"/>
        <v>0</v>
      </c>
      <c r="D44" s="2851">
        <f t="shared" si="15"/>
        <v>0</v>
      </c>
      <c r="E44" s="2852">
        <f t="shared" si="3"/>
        <v>0</v>
      </c>
      <c r="F44" s="2852">
        <f t="shared" si="3"/>
        <v>0</v>
      </c>
      <c r="G44" s="2852">
        <f t="shared" si="3"/>
        <v>0</v>
      </c>
      <c r="H44" s="2852">
        <f t="shared" si="3"/>
        <v>0</v>
      </c>
      <c r="I44" s="2852">
        <f t="shared" si="3"/>
        <v>0</v>
      </c>
      <c r="J44" s="2857" t="str">
        <f t="shared" si="4"/>
        <v/>
      </c>
      <c r="K44" s="1590"/>
      <c r="L44" s="1591" t="str">
        <f t="shared" si="5"/>
        <v/>
      </c>
      <c r="M44" s="1519">
        <v>25.5</v>
      </c>
      <c r="P44" s="1581"/>
      <c r="Q44" s="1582"/>
      <c r="R44" s="1592"/>
      <c r="S44" s="1550"/>
      <c r="T44" s="1703"/>
      <c r="U44" s="1703"/>
      <c r="V44" s="1703"/>
      <c r="W44" s="1703"/>
      <c r="X44" s="1703"/>
      <c r="Y44" s="1703" t="str">
        <f t="shared" si="16"/>
        <v/>
      </c>
      <c r="Z44" s="1703"/>
      <c r="AA44" s="1593">
        <f t="shared" si="7"/>
        <v>0</v>
      </c>
    </row>
    <row r="45" spans="1:27" ht="25.5" customHeight="1">
      <c r="A45" s="1681"/>
      <c r="B45" s="1682"/>
      <c r="C45" s="2853">
        <f t="shared" si="1"/>
        <v>0</v>
      </c>
      <c r="D45" s="2851">
        <f t="shared" si="15"/>
        <v>0</v>
      </c>
      <c r="E45" s="2852">
        <f t="shared" si="3"/>
        <v>0</v>
      </c>
      <c r="F45" s="2852">
        <f t="shared" si="3"/>
        <v>0</v>
      </c>
      <c r="G45" s="2852">
        <f t="shared" si="3"/>
        <v>0</v>
      </c>
      <c r="H45" s="2852">
        <f t="shared" si="3"/>
        <v>0</v>
      </c>
      <c r="I45" s="2852">
        <f t="shared" si="3"/>
        <v>0</v>
      </c>
      <c r="J45" s="2857" t="str">
        <f t="shared" si="4"/>
        <v/>
      </c>
      <c r="K45" s="1590"/>
      <c r="L45" s="1591" t="str">
        <f t="shared" si="5"/>
        <v/>
      </c>
      <c r="M45" s="1519">
        <v>25.5</v>
      </c>
      <c r="P45" s="1581"/>
      <c r="Q45" s="1582"/>
      <c r="R45" s="1592"/>
      <c r="S45" s="1550"/>
      <c r="T45" s="1703"/>
      <c r="U45" s="1703"/>
      <c r="V45" s="1703"/>
      <c r="W45" s="1703"/>
      <c r="X45" s="1703"/>
      <c r="Y45" s="1703" t="str">
        <f t="shared" si="16"/>
        <v/>
      </c>
      <c r="Z45" s="1703"/>
      <c r="AA45" s="1593">
        <f t="shared" si="7"/>
        <v>0</v>
      </c>
    </row>
    <row r="46" spans="1:27" ht="25.5" customHeight="1">
      <c r="A46" s="1689"/>
      <c r="B46" s="1682"/>
      <c r="C46" s="2853">
        <f t="shared" si="1"/>
        <v>0</v>
      </c>
      <c r="D46" s="2851">
        <f t="shared" si="15"/>
        <v>0</v>
      </c>
      <c r="E46" s="2852">
        <f t="shared" si="3"/>
        <v>0</v>
      </c>
      <c r="F46" s="2852">
        <f t="shared" si="3"/>
        <v>0</v>
      </c>
      <c r="G46" s="2852">
        <f t="shared" si="3"/>
        <v>0</v>
      </c>
      <c r="H46" s="2852">
        <f t="shared" si="3"/>
        <v>0</v>
      </c>
      <c r="I46" s="2852">
        <f t="shared" si="3"/>
        <v>0</v>
      </c>
      <c r="J46" s="2857" t="str">
        <f t="shared" si="4"/>
        <v/>
      </c>
      <c r="K46" s="1590"/>
      <c r="L46" s="1591" t="str">
        <f t="shared" si="5"/>
        <v/>
      </c>
      <c r="M46" s="1519">
        <v>25.5</v>
      </c>
      <c r="P46" s="1520"/>
      <c r="Q46" s="1582"/>
      <c r="R46" s="1592"/>
      <c r="S46" s="1550"/>
      <c r="T46" s="2849"/>
      <c r="U46" s="2849"/>
      <c r="V46" s="2849"/>
      <c r="W46" s="2849"/>
      <c r="X46" s="2849"/>
      <c r="Y46" s="2849" t="str">
        <f t="shared" si="16"/>
        <v/>
      </c>
      <c r="Z46" s="1703"/>
      <c r="AA46" s="1611">
        <f t="shared" si="7"/>
        <v>0</v>
      </c>
    </row>
    <row r="47" spans="1:27" ht="25.5" customHeight="1">
      <c r="A47" s="1614"/>
      <c r="B47" s="1690" t="s">
        <v>1480</v>
      </c>
      <c r="C47" s="1615"/>
      <c r="D47" s="1615"/>
      <c r="E47" s="1615"/>
      <c r="F47" s="1615"/>
      <c r="G47" s="1614"/>
      <c r="H47" s="1615"/>
      <c r="I47" s="1615"/>
      <c r="J47" s="1615" t="str">
        <f t="shared" si="4"/>
        <v/>
      </c>
      <c r="K47" s="1615" t="s">
        <v>2411</v>
      </c>
      <c r="L47" s="1616" t="str">
        <f>IF(J47="","",(J47*K47))</f>
        <v/>
      </c>
      <c r="M47" s="1519">
        <v>25.5</v>
      </c>
      <c r="P47" s="1533"/>
      <c r="Q47" s="1617" t="s">
        <v>1480</v>
      </c>
      <c r="R47" s="1536"/>
      <c r="S47" s="1536"/>
      <c r="T47" s="1192"/>
      <c r="U47" s="1192"/>
      <c r="V47" s="1533"/>
      <c r="W47" s="1536"/>
      <c r="X47" s="1536"/>
      <c r="Y47" s="1536" t="str">
        <f t="shared" si="16"/>
        <v/>
      </c>
      <c r="Z47" s="1536" t="s">
        <v>2411</v>
      </c>
      <c r="AA47" s="1616" t="str">
        <f>IF(Y47="","",(Y47*Z47))</f>
        <v/>
      </c>
    </row>
    <row r="48" spans="1:27" ht="25.5" customHeight="1">
      <c r="A48" s="1681"/>
      <c r="B48" s="1618" t="s">
        <v>2087</v>
      </c>
      <c r="C48" s="1619"/>
      <c r="D48" s="1618"/>
      <c r="E48" s="1619"/>
      <c r="F48" s="1619"/>
      <c r="G48" s="3522" t="s">
        <v>2288</v>
      </c>
      <c r="H48" s="3523"/>
      <c r="I48" s="1620">
        <f>L2</f>
        <v>10</v>
      </c>
      <c r="J48" s="1621"/>
      <c r="K48" s="1621"/>
      <c r="L48" s="1622">
        <f>SUM(L8:L46)</f>
        <v>0.08</v>
      </c>
      <c r="M48" s="1519">
        <v>25.5</v>
      </c>
      <c r="P48" s="1581"/>
      <c r="Q48" s="1352" t="s">
        <v>2087</v>
      </c>
      <c r="R48" s="1623"/>
      <c r="S48" s="1192"/>
      <c r="T48" s="1623"/>
      <c r="U48" s="1623"/>
      <c r="V48" s="1624" t="s">
        <v>1482</v>
      </c>
      <c r="W48" s="1625"/>
      <c r="X48" s="1625"/>
      <c r="Y48" s="1625"/>
      <c r="Z48" s="1625"/>
      <c r="AA48" s="1626">
        <f>SUM(AA8:AA47)</f>
        <v>0</v>
      </c>
    </row>
    <row r="49" spans="1:27" ht="25.5" customHeight="1">
      <c r="A49" s="1681"/>
      <c r="B49" s="1618"/>
      <c r="C49" s="1618"/>
      <c r="D49" s="1618"/>
      <c r="E49" s="1618"/>
      <c r="F49" s="1618"/>
      <c r="G49" s="3548" t="s">
        <v>1483</v>
      </c>
      <c r="H49" s="3549"/>
      <c r="I49" s="3549"/>
      <c r="J49" s="3549"/>
      <c r="K49" s="1627">
        <v>0.02</v>
      </c>
      <c r="L49" s="1622">
        <f>L48*K49</f>
        <v>1.6000000000000001E-3</v>
      </c>
      <c r="M49" s="1519">
        <v>25.5</v>
      </c>
      <c r="P49" s="1581"/>
      <c r="Q49" s="1352"/>
      <c r="R49" s="1192"/>
      <c r="S49" s="1192"/>
      <c r="T49" s="1192"/>
      <c r="U49" s="1192"/>
      <c r="V49" s="1628" t="s">
        <v>1483</v>
      </c>
      <c r="W49" s="1192"/>
      <c r="X49" s="1192"/>
      <c r="Y49" s="1192"/>
      <c r="Z49" s="1192"/>
      <c r="AA49" s="1537"/>
    </row>
    <row r="50" spans="1:27" ht="25.5" customHeight="1" thickBot="1">
      <c r="A50" s="1689"/>
      <c r="B50" s="1694"/>
      <c r="C50" s="1694"/>
      <c r="D50" s="1694"/>
      <c r="E50" s="1694"/>
      <c r="F50" s="1694"/>
      <c r="G50" s="3614" t="s">
        <v>2289</v>
      </c>
      <c r="H50" s="3615"/>
      <c r="I50" s="3615"/>
      <c r="J50" s="3615"/>
      <c r="K50" s="1630"/>
      <c r="L50" s="1631">
        <f>(L48+L49)/I48</f>
        <v>8.1600000000000006E-3</v>
      </c>
      <c r="M50" s="1519">
        <v>25.5</v>
      </c>
      <c r="P50" s="1520"/>
      <c r="Q50" s="1632"/>
      <c r="R50" s="1633"/>
      <c r="S50" s="1633"/>
      <c r="T50" s="1633"/>
      <c r="U50" s="1633"/>
      <c r="V50" s="1634" t="s">
        <v>1484</v>
      </c>
      <c r="W50" s="1633"/>
      <c r="X50" s="1633"/>
      <c r="Y50" s="1633"/>
      <c r="Z50" s="1635"/>
      <c r="AA50" s="1636">
        <f>AA48/X2</f>
        <v>0</v>
      </c>
    </row>
    <row r="51" spans="1:27">
      <c r="M51" s="1519"/>
    </row>
    <row r="52" spans="1:27">
      <c r="M52" s="1519"/>
    </row>
    <row r="53" spans="1:27">
      <c r="M53" s="1519"/>
    </row>
    <row r="54" spans="1:27">
      <c r="M54" s="1519"/>
    </row>
    <row r="55" spans="1:27">
      <c r="M55" s="1519"/>
    </row>
    <row r="56" spans="1:27">
      <c r="M56" s="1519"/>
    </row>
    <row r="57" spans="1:27">
      <c r="M57" s="1519"/>
    </row>
    <row r="58" spans="1:27">
      <c r="M58" s="1519"/>
    </row>
    <row r="59" spans="1:27">
      <c r="M59" s="1519"/>
    </row>
    <row r="60" spans="1:27">
      <c r="M60" s="1519"/>
    </row>
    <row r="61" spans="1:27">
      <c r="M61" s="1519"/>
    </row>
    <row r="62" spans="1:27">
      <c r="M62" s="1519"/>
    </row>
    <row r="63" spans="1:27">
      <c r="M63" s="1519"/>
    </row>
    <row r="64" spans="1:27">
      <c r="M64" s="1519"/>
    </row>
    <row r="65" spans="13:13">
      <c r="M65" s="1519"/>
    </row>
    <row r="66" spans="13:13">
      <c r="M66" s="1519"/>
    </row>
    <row r="67" spans="13:13">
      <c r="M67" s="1519"/>
    </row>
    <row r="68" spans="13:13">
      <c r="M68" s="1519"/>
    </row>
    <row r="69" spans="13:13">
      <c r="M69" s="1519"/>
    </row>
    <row r="70" spans="13:13">
      <c r="M70" s="1519"/>
    </row>
    <row r="71" spans="13:13">
      <c r="M71" s="1519"/>
    </row>
    <row r="72" spans="13:13">
      <c r="M72" s="1519"/>
    </row>
    <row r="73" spans="13:13">
      <c r="M73" s="1519"/>
    </row>
    <row r="74" spans="13:13">
      <c r="M74" s="1519"/>
    </row>
    <row r="75" spans="13:13">
      <c r="M75" s="1519"/>
    </row>
    <row r="76" spans="13:13">
      <c r="M76" s="1519"/>
    </row>
    <row r="77" spans="13:13">
      <c r="M77" s="1519"/>
    </row>
    <row r="78" spans="13:13">
      <c r="M78" s="1519"/>
    </row>
    <row r="79" spans="13:13">
      <c r="M79" s="1519"/>
    </row>
    <row r="80" spans="1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8">
    <mergeCell ref="P1:AA1"/>
    <mergeCell ref="G49:J49"/>
    <mergeCell ref="G50:J50"/>
    <mergeCell ref="B2:G2"/>
    <mergeCell ref="Q2:V2"/>
    <mergeCell ref="B4:E4"/>
    <mergeCell ref="Q4:T4"/>
    <mergeCell ref="G48:H48"/>
  </mergeCell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&amp;R2TSB</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5AA76-894C-46C3-8C71-A068AE43CB9D}">
  <dimension ref="A1:AA100"/>
  <sheetViews>
    <sheetView showZeros="0" workbookViewId="0">
      <selection activeCell="D1" sqref="D1"/>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6" width="30.5703125" style="1281" customWidth="1"/>
    <col min="17"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6.28515625" style="1281" customWidth="1"/>
    <col min="24" max="24" width="5.42578125" style="1281" customWidth="1"/>
    <col min="25" max="25" width="6" style="1281" customWidth="1"/>
    <col min="26" max="26" width="6.28515625" style="1281" customWidth="1"/>
    <col min="27" max="27" width="5.7109375" style="1281" customWidth="1"/>
    <col min="28" max="255" width="11.42578125" style="1281"/>
    <col min="256" max="256" width="0" style="1281" hidden="1" customWidth="1"/>
    <col min="257" max="257" width="33.42578125" style="1281" customWidth="1"/>
    <col min="258" max="258" width="16.28515625" style="1281" customWidth="1"/>
    <col min="259" max="259" width="3.42578125" style="1281" customWidth="1"/>
    <col min="260" max="260" width="5.7109375" style="1281" customWidth="1"/>
    <col min="261" max="261" width="5.85546875" style="1281" customWidth="1"/>
    <col min="262" max="262" width="6.7109375" style="1281" customWidth="1"/>
    <col min="263" max="263" width="6.28515625" style="1281" customWidth="1"/>
    <col min="264" max="264" width="5.42578125" style="1281" customWidth="1"/>
    <col min="265" max="265" width="6" style="1281" customWidth="1"/>
    <col min="266" max="266" width="6.28515625" style="1281" customWidth="1"/>
    <col min="267" max="267" width="5.7109375" style="1281" customWidth="1"/>
    <col min="268" max="511" width="11.42578125" style="1281"/>
    <col min="512" max="512" width="0" style="1281" hidden="1" customWidth="1"/>
    <col min="513" max="513" width="33.42578125" style="1281" customWidth="1"/>
    <col min="514" max="514" width="16.28515625" style="1281" customWidth="1"/>
    <col min="515" max="515" width="3.42578125" style="1281" customWidth="1"/>
    <col min="516" max="516" width="5.7109375" style="1281" customWidth="1"/>
    <col min="517" max="517" width="5.85546875" style="1281" customWidth="1"/>
    <col min="518" max="518" width="6.7109375" style="1281" customWidth="1"/>
    <col min="519" max="519" width="6.28515625" style="1281" customWidth="1"/>
    <col min="520" max="520" width="5.42578125" style="1281" customWidth="1"/>
    <col min="521" max="521" width="6" style="1281" customWidth="1"/>
    <col min="522" max="522" width="6.28515625" style="1281" customWidth="1"/>
    <col min="523" max="523" width="5.7109375" style="1281" customWidth="1"/>
    <col min="524" max="767" width="11.42578125" style="1281"/>
    <col min="768" max="768" width="0" style="1281" hidden="1" customWidth="1"/>
    <col min="769" max="769" width="33.42578125" style="1281" customWidth="1"/>
    <col min="770" max="770" width="16.28515625" style="1281" customWidth="1"/>
    <col min="771" max="771" width="3.42578125" style="1281" customWidth="1"/>
    <col min="772" max="772" width="5.7109375" style="1281" customWidth="1"/>
    <col min="773" max="773" width="5.85546875" style="1281" customWidth="1"/>
    <col min="774" max="774" width="6.7109375" style="1281" customWidth="1"/>
    <col min="775" max="775" width="6.28515625" style="1281" customWidth="1"/>
    <col min="776" max="776" width="5.42578125" style="1281" customWidth="1"/>
    <col min="777" max="777" width="6" style="1281" customWidth="1"/>
    <col min="778" max="778" width="6.28515625" style="1281" customWidth="1"/>
    <col min="779" max="779" width="5.7109375" style="1281" customWidth="1"/>
    <col min="780" max="1023" width="11.42578125" style="1281"/>
    <col min="1024" max="1024" width="0" style="1281" hidden="1" customWidth="1"/>
    <col min="1025" max="1025" width="33.42578125" style="1281" customWidth="1"/>
    <col min="1026" max="1026" width="16.28515625" style="1281" customWidth="1"/>
    <col min="1027" max="1027" width="3.42578125" style="1281" customWidth="1"/>
    <col min="1028" max="1028" width="5.7109375" style="1281" customWidth="1"/>
    <col min="1029" max="1029" width="5.85546875" style="1281" customWidth="1"/>
    <col min="1030" max="1030" width="6.7109375" style="1281" customWidth="1"/>
    <col min="1031" max="1031" width="6.28515625" style="1281" customWidth="1"/>
    <col min="1032" max="1032" width="5.42578125" style="1281" customWidth="1"/>
    <col min="1033" max="1033" width="6" style="1281" customWidth="1"/>
    <col min="1034" max="1034" width="6.28515625" style="1281" customWidth="1"/>
    <col min="1035" max="1035" width="5.7109375" style="1281" customWidth="1"/>
    <col min="1036" max="1279" width="11.42578125" style="1281"/>
    <col min="1280" max="1280" width="0" style="1281" hidden="1" customWidth="1"/>
    <col min="1281" max="1281" width="33.42578125" style="1281" customWidth="1"/>
    <col min="1282" max="1282" width="16.28515625" style="1281" customWidth="1"/>
    <col min="1283" max="1283" width="3.42578125" style="1281" customWidth="1"/>
    <col min="1284" max="1284" width="5.7109375" style="1281" customWidth="1"/>
    <col min="1285" max="1285" width="5.85546875" style="1281" customWidth="1"/>
    <col min="1286" max="1286" width="6.7109375" style="1281" customWidth="1"/>
    <col min="1287" max="1287" width="6.28515625" style="1281" customWidth="1"/>
    <col min="1288" max="1288" width="5.42578125" style="1281" customWidth="1"/>
    <col min="1289" max="1289" width="6" style="1281" customWidth="1"/>
    <col min="1290" max="1290" width="6.28515625" style="1281" customWidth="1"/>
    <col min="1291" max="1291" width="5.7109375" style="1281" customWidth="1"/>
    <col min="1292" max="1535" width="11.42578125" style="1281"/>
    <col min="1536" max="1536" width="0" style="1281" hidden="1" customWidth="1"/>
    <col min="1537" max="1537" width="33.42578125" style="1281" customWidth="1"/>
    <col min="1538" max="1538" width="16.28515625" style="1281" customWidth="1"/>
    <col min="1539" max="1539" width="3.42578125" style="1281" customWidth="1"/>
    <col min="1540" max="1540" width="5.7109375" style="1281" customWidth="1"/>
    <col min="1541" max="1541" width="5.85546875" style="1281" customWidth="1"/>
    <col min="1542" max="1542" width="6.7109375" style="1281" customWidth="1"/>
    <col min="1543" max="1543" width="6.28515625" style="1281" customWidth="1"/>
    <col min="1544" max="1544" width="5.42578125" style="1281" customWidth="1"/>
    <col min="1545" max="1545" width="6" style="1281" customWidth="1"/>
    <col min="1546" max="1546" width="6.28515625" style="1281" customWidth="1"/>
    <col min="1547" max="1547" width="5.7109375" style="1281" customWidth="1"/>
    <col min="1548" max="1791" width="11.42578125" style="1281"/>
    <col min="1792" max="1792" width="0" style="1281" hidden="1" customWidth="1"/>
    <col min="1793" max="1793" width="33.42578125" style="1281" customWidth="1"/>
    <col min="1794" max="1794" width="16.28515625" style="1281" customWidth="1"/>
    <col min="1795" max="1795" width="3.42578125" style="1281" customWidth="1"/>
    <col min="1796" max="1796" width="5.7109375" style="1281" customWidth="1"/>
    <col min="1797" max="1797" width="5.85546875" style="1281" customWidth="1"/>
    <col min="1798" max="1798" width="6.7109375" style="1281" customWidth="1"/>
    <col min="1799" max="1799" width="6.28515625" style="1281" customWidth="1"/>
    <col min="1800" max="1800" width="5.42578125" style="1281" customWidth="1"/>
    <col min="1801" max="1801" width="6" style="1281" customWidth="1"/>
    <col min="1802" max="1802" width="6.28515625" style="1281" customWidth="1"/>
    <col min="1803" max="1803" width="5.7109375" style="1281" customWidth="1"/>
    <col min="1804" max="2047" width="11.42578125" style="1281"/>
    <col min="2048" max="2048" width="0" style="1281" hidden="1" customWidth="1"/>
    <col min="2049" max="2049" width="33.42578125" style="1281" customWidth="1"/>
    <col min="2050" max="2050" width="16.28515625" style="1281" customWidth="1"/>
    <col min="2051" max="2051" width="3.42578125" style="1281" customWidth="1"/>
    <col min="2052" max="2052" width="5.7109375" style="1281" customWidth="1"/>
    <col min="2053" max="2053" width="5.85546875" style="1281" customWidth="1"/>
    <col min="2054" max="2054" width="6.7109375" style="1281" customWidth="1"/>
    <col min="2055" max="2055" width="6.28515625" style="1281" customWidth="1"/>
    <col min="2056" max="2056" width="5.42578125" style="1281" customWidth="1"/>
    <col min="2057" max="2057" width="6" style="1281" customWidth="1"/>
    <col min="2058" max="2058" width="6.28515625" style="1281" customWidth="1"/>
    <col min="2059" max="2059" width="5.7109375" style="1281" customWidth="1"/>
    <col min="2060" max="2303" width="11.42578125" style="1281"/>
    <col min="2304" max="2304" width="0" style="1281" hidden="1" customWidth="1"/>
    <col min="2305" max="2305" width="33.42578125" style="1281" customWidth="1"/>
    <col min="2306" max="2306" width="16.28515625" style="1281" customWidth="1"/>
    <col min="2307" max="2307" width="3.42578125" style="1281" customWidth="1"/>
    <col min="2308" max="2308" width="5.7109375" style="1281" customWidth="1"/>
    <col min="2309" max="2309" width="5.85546875" style="1281" customWidth="1"/>
    <col min="2310" max="2310" width="6.7109375" style="1281" customWidth="1"/>
    <col min="2311" max="2311" width="6.28515625" style="1281" customWidth="1"/>
    <col min="2312" max="2312" width="5.42578125" style="1281" customWidth="1"/>
    <col min="2313" max="2313" width="6" style="1281" customWidth="1"/>
    <col min="2314" max="2314" width="6.28515625" style="1281" customWidth="1"/>
    <col min="2315" max="2315" width="5.7109375" style="1281" customWidth="1"/>
    <col min="2316" max="2559" width="11.42578125" style="1281"/>
    <col min="2560" max="2560" width="0" style="1281" hidden="1" customWidth="1"/>
    <col min="2561" max="2561" width="33.42578125" style="1281" customWidth="1"/>
    <col min="2562" max="2562" width="16.28515625" style="1281" customWidth="1"/>
    <col min="2563" max="2563" width="3.42578125" style="1281" customWidth="1"/>
    <col min="2564" max="2564" width="5.7109375" style="1281" customWidth="1"/>
    <col min="2565" max="2565" width="5.85546875" style="1281" customWidth="1"/>
    <col min="2566" max="2566" width="6.7109375" style="1281" customWidth="1"/>
    <col min="2567" max="2567" width="6.28515625" style="1281" customWidth="1"/>
    <col min="2568" max="2568" width="5.42578125" style="1281" customWidth="1"/>
    <col min="2569" max="2569" width="6" style="1281" customWidth="1"/>
    <col min="2570" max="2570" width="6.28515625" style="1281" customWidth="1"/>
    <col min="2571" max="2571" width="5.7109375" style="1281" customWidth="1"/>
    <col min="2572" max="2815" width="11.42578125" style="1281"/>
    <col min="2816" max="2816" width="0" style="1281" hidden="1" customWidth="1"/>
    <col min="2817" max="2817" width="33.42578125" style="1281" customWidth="1"/>
    <col min="2818" max="2818" width="16.28515625" style="1281" customWidth="1"/>
    <col min="2819" max="2819" width="3.42578125" style="1281" customWidth="1"/>
    <col min="2820" max="2820" width="5.7109375" style="1281" customWidth="1"/>
    <col min="2821" max="2821" width="5.85546875" style="1281" customWidth="1"/>
    <col min="2822" max="2822" width="6.7109375" style="1281" customWidth="1"/>
    <col min="2823" max="2823" width="6.28515625" style="1281" customWidth="1"/>
    <col min="2824" max="2824" width="5.42578125" style="1281" customWidth="1"/>
    <col min="2825" max="2825" width="6" style="1281" customWidth="1"/>
    <col min="2826" max="2826" width="6.28515625" style="1281" customWidth="1"/>
    <col min="2827" max="2827" width="5.7109375" style="1281" customWidth="1"/>
    <col min="2828" max="3071" width="11.42578125" style="1281"/>
    <col min="3072" max="3072" width="0" style="1281" hidden="1" customWidth="1"/>
    <col min="3073" max="3073" width="33.42578125" style="1281" customWidth="1"/>
    <col min="3074" max="3074" width="16.28515625" style="1281" customWidth="1"/>
    <col min="3075" max="3075" width="3.42578125" style="1281" customWidth="1"/>
    <col min="3076" max="3076" width="5.7109375" style="1281" customWidth="1"/>
    <col min="3077" max="3077" width="5.85546875" style="1281" customWidth="1"/>
    <col min="3078" max="3078" width="6.7109375" style="1281" customWidth="1"/>
    <col min="3079" max="3079" width="6.28515625" style="1281" customWidth="1"/>
    <col min="3080" max="3080" width="5.42578125" style="1281" customWidth="1"/>
    <col min="3081" max="3081" width="6" style="1281" customWidth="1"/>
    <col min="3082" max="3082" width="6.28515625" style="1281" customWidth="1"/>
    <col min="3083" max="3083" width="5.7109375" style="1281" customWidth="1"/>
    <col min="3084" max="3327" width="11.42578125" style="1281"/>
    <col min="3328" max="3328" width="0" style="1281" hidden="1" customWidth="1"/>
    <col min="3329" max="3329" width="33.42578125" style="1281" customWidth="1"/>
    <col min="3330" max="3330" width="16.28515625" style="1281" customWidth="1"/>
    <col min="3331" max="3331" width="3.42578125" style="1281" customWidth="1"/>
    <col min="3332" max="3332" width="5.7109375" style="1281" customWidth="1"/>
    <col min="3333" max="3333" width="5.85546875" style="1281" customWidth="1"/>
    <col min="3334" max="3334" width="6.7109375" style="1281" customWidth="1"/>
    <col min="3335" max="3335" width="6.28515625" style="1281" customWidth="1"/>
    <col min="3336" max="3336" width="5.42578125" style="1281" customWidth="1"/>
    <col min="3337" max="3337" width="6" style="1281" customWidth="1"/>
    <col min="3338" max="3338" width="6.28515625" style="1281" customWidth="1"/>
    <col min="3339" max="3339" width="5.7109375" style="1281" customWidth="1"/>
    <col min="3340" max="3583" width="11.42578125" style="1281"/>
    <col min="3584" max="3584" width="0" style="1281" hidden="1" customWidth="1"/>
    <col min="3585" max="3585" width="33.42578125" style="1281" customWidth="1"/>
    <col min="3586" max="3586" width="16.28515625" style="1281" customWidth="1"/>
    <col min="3587" max="3587" width="3.42578125" style="1281" customWidth="1"/>
    <col min="3588" max="3588" width="5.7109375" style="1281" customWidth="1"/>
    <col min="3589" max="3589" width="5.85546875" style="1281" customWidth="1"/>
    <col min="3590" max="3590" width="6.7109375" style="1281" customWidth="1"/>
    <col min="3591" max="3591" width="6.28515625" style="1281" customWidth="1"/>
    <col min="3592" max="3592" width="5.42578125" style="1281" customWidth="1"/>
    <col min="3593" max="3593" width="6" style="1281" customWidth="1"/>
    <col min="3594" max="3594" width="6.28515625" style="1281" customWidth="1"/>
    <col min="3595" max="3595" width="5.7109375" style="1281" customWidth="1"/>
    <col min="3596" max="3839" width="11.42578125" style="1281"/>
    <col min="3840" max="3840" width="0" style="1281" hidden="1" customWidth="1"/>
    <col min="3841" max="3841" width="33.42578125" style="1281" customWidth="1"/>
    <col min="3842" max="3842" width="16.28515625" style="1281" customWidth="1"/>
    <col min="3843" max="3843" width="3.42578125" style="1281" customWidth="1"/>
    <col min="3844" max="3844" width="5.7109375" style="1281" customWidth="1"/>
    <col min="3845" max="3845" width="5.85546875" style="1281" customWidth="1"/>
    <col min="3846" max="3846" width="6.7109375" style="1281" customWidth="1"/>
    <col min="3847" max="3847" width="6.28515625" style="1281" customWidth="1"/>
    <col min="3848" max="3848" width="5.42578125" style="1281" customWidth="1"/>
    <col min="3849" max="3849" width="6" style="1281" customWidth="1"/>
    <col min="3850" max="3850" width="6.28515625" style="1281" customWidth="1"/>
    <col min="3851" max="3851" width="5.7109375" style="1281" customWidth="1"/>
    <col min="3852" max="4095" width="11.42578125" style="1281"/>
    <col min="4096" max="4096" width="0" style="1281" hidden="1" customWidth="1"/>
    <col min="4097" max="4097" width="33.42578125" style="1281" customWidth="1"/>
    <col min="4098" max="4098" width="16.28515625" style="1281" customWidth="1"/>
    <col min="4099" max="4099" width="3.42578125" style="1281" customWidth="1"/>
    <col min="4100" max="4100" width="5.7109375" style="1281" customWidth="1"/>
    <col min="4101" max="4101" width="5.85546875" style="1281" customWidth="1"/>
    <col min="4102" max="4102" width="6.7109375" style="1281" customWidth="1"/>
    <col min="4103" max="4103" width="6.28515625" style="1281" customWidth="1"/>
    <col min="4104" max="4104" width="5.42578125" style="1281" customWidth="1"/>
    <col min="4105" max="4105" width="6" style="1281" customWidth="1"/>
    <col min="4106" max="4106" width="6.28515625" style="1281" customWidth="1"/>
    <col min="4107" max="4107" width="5.7109375" style="1281" customWidth="1"/>
    <col min="4108" max="4351" width="11.42578125" style="1281"/>
    <col min="4352" max="4352" width="0" style="1281" hidden="1" customWidth="1"/>
    <col min="4353" max="4353" width="33.42578125" style="1281" customWidth="1"/>
    <col min="4354" max="4354" width="16.28515625" style="1281" customWidth="1"/>
    <col min="4355" max="4355" width="3.42578125" style="1281" customWidth="1"/>
    <col min="4356" max="4356" width="5.7109375" style="1281" customWidth="1"/>
    <col min="4357" max="4357" width="5.85546875" style="1281" customWidth="1"/>
    <col min="4358" max="4358" width="6.7109375" style="1281" customWidth="1"/>
    <col min="4359" max="4359" width="6.28515625" style="1281" customWidth="1"/>
    <col min="4360" max="4360" width="5.42578125" style="1281" customWidth="1"/>
    <col min="4361" max="4361" width="6" style="1281" customWidth="1"/>
    <col min="4362" max="4362" width="6.28515625" style="1281" customWidth="1"/>
    <col min="4363" max="4363" width="5.7109375" style="1281" customWidth="1"/>
    <col min="4364" max="4607" width="11.42578125" style="1281"/>
    <col min="4608" max="4608" width="0" style="1281" hidden="1" customWidth="1"/>
    <col min="4609" max="4609" width="33.42578125" style="1281" customWidth="1"/>
    <col min="4610" max="4610" width="16.28515625" style="1281" customWidth="1"/>
    <col min="4611" max="4611" width="3.42578125" style="1281" customWidth="1"/>
    <col min="4612" max="4612" width="5.7109375" style="1281" customWidth="1"/>
    <col min="4613" max="4613" width="5.85546875" style="1281" customWidth="1"/>
    <col min="4614" max="4614" width="6.7109375" style="1281" customWidth="1"/>
    <col min="4615" max="4615" width="6.28515625" style="1281" customWidth="1"/>
    <col min="4616" max="4616" width="5.42578125" style="1281" customWidth="1"/>
    <col min="4617" max="4617" width="6" style="1281" customWidth="1"/>
    <col min="4618" max="4618" width="6.28515625" style="1281" customWidth="1"/>
    <col min="4619" max="4619" width="5.7109375" style="1281" customWidth="1"/>
    <col min="4620" max="4863" width="11.42578125" style="1281"/>
    <col min="4864" max="4864" width="0" style="1281" hidden="1" customWidth="1"/>
    <col min="4865" max="4865" width="33.42578125" style="1281" customWidth="1"/>
    <col min="4866" max="4866" width="16.28515625" style="1281" customWidth="1"/>
    <col min="4867" max="4867" width="3.42578125" style="1281" customWidth="1"/>
    <col min="4868" max="4868" width="5.7109375" style="1281" customWidth="1"/>
    <col min="4869" max="4869" width="5.85546875" style="1281" customWidth="1"/>
    <col min="4870" max="4870" width="6.7109375" style="1281" customWidth="1"/>
    <col min="4871" max="4871" width="6.28515625" style="1281" customWidth="1"/>
    <col min="4872" max="4872" width="5.42578125" style="1281" customWidth="1"/>
    <col min="4873" max="4873" width="6" style="1281" customWidth="1"/>
    <col min="4874" max="4874" width="6.28515625" style="1281" customWidth="1"/>
    <col min="4875" max="4875" width="5.7109375" style="1281" customWidth="1"/>
    <col min="4876" max="5119" width="11.42578125" style="1281"/>
    <col min="5120" max="5120" width="0" style="1281" hidden="1" customWidth="1"/>
    <col min="5121" max="5121" width="33.42578125" style="1281" customWidth="1"/>
    <col min="5122" max="5122" width="16.28515625" style="1281" customWidth="1"/>
    <col min="5123" max="5123" width="3.42578125" style="1281" customWidth="1"/>
    <col min="5124" max="5124" width="5.7109375" style="1281" customWidth="1"/>
    <col min="5125" max="5125" width="5.85546875" style="1281" customWidth="1"/>
    <col min="5126" max="5126" width="6.7109375" style="1281" customWidth="1"/>
    <col min="5127" max="5127" width="6.28515625" style="1281" customWidth="1"/>
    <col min="5128" max="5128" width="5.42578125" style="1281" customWidth="1"/>
    <col min="5129" max="5129" width="6" style="1281" customWidth="1"/>
    <col min="5130" max="5130" width="6.28515625" style="1281" customWidth="1"/>
    <col min="5131" max="5131" width="5.7109375" style="1281" customWidth="1"/>
    <col min="5132" max="5375" width="11.42578125" style="1281"/>
    <col min="5376" max="5376" width="0" style="1281" hidden="1" customWidth="1"/>
    <col min="5377" max="5377" width="33.42578125" style="1281" customWidth="1"/>
    <col min="5378" max="5378" width="16.28515625" style="1281" customWidth="1"/>
    <col min="5379" max="5379" width="3.42578125" style="1281" customWidth="1"/>
    <col min="5380" max="5380" width="5.7109375" style="1281" customWidth="1"/>
    <col min="5381" max="5381" width="5.85546875" style="1281" customWidth="1"/>
    <col min="5382" max="5382" width="6.7109375" style="1281" customWidth="1"/>
    <col min="5383" max="5383" width="6.28515625" style="1281" customWidth="1"/>
    <col min="5384" max="5384" width="5.42578125" style="1281" customWidth="1"/>
    <col min="5385" max="5385" width="6" style="1281" customWidth="1"/>
    <col min="5386" max="5386" width="6.28515625" style="1281" customWidth="1"/>
    <col min="5387" max="5387" width="5.7109375" style="1281" customWidth="1"/>
    <col min="5388" max="5631" width="11.42578125" style="1281"/>
    <col min="5632" max="5632" width="0" style="1281" hidden="1" customWidth="1"/>
    <col min="5633" max="5633" width="33.42578125" style="1281" customWidth="1"/>
    <col min="5634" max="5634" width="16.28515625" style="1281" customWidth="1"/>
    <col min="5635" max="5635" width="3.42578125" style="1281" customWidth="1"/>
    <col min="5636" max="5636" width="5.7109375" style="1281" customWidth="1"/>
    <col min="5637" max="5637" width="5.85546875" style="1281" customWidth="1"/>
    <col min="5638" max="5638" width="6.7109375" style="1281" customWidth="1"/>
    <col min="5639" max="5639" width="6.28515625" style="1281" customWidth="1"/>
    <col min="5640" max="5640" width="5.42578125" style="1281" customWidth="1"/>
    <col min="5641" max="5641" width="6" style="1281" customWidth="1"/>
    <col min="5642" max="5642" width="6.28515625" style="1281" customWidth="1"/>
    <col min="5643" max="5643" width="5.7109375" style="1281" customWidth="1"/>
    <col min="5644" max="5887" width="11.42578125" style="1281"/>
    <col min="5888" max="5888" width="0" style="1281" hidden="1" customWidth="1"/>
    <col min="5889" max="5889" width="33.42578125" style="1281" customWidth="1"/>
    <col min="5890" max="5890" width="16.28515625" style="1281" customWidth="1"/>
    <col min="5891" max="5891" width="3.42578125" style="1281" customWidth="1"/>
    <col min="5892" max="5892" width="5.7109375" style="1281" customWidth="1"/>
    <col min="5893" max="5893" width="5.85546875" style="1281" customWidth="1"/>
    <col min="5894" max="5894" width="6.7109375" style="1281" customWidth="1"/>
    <col min="5895" max="5895" width="6.28515625" style="1281" customWidth="1"/>
    <col min="5896" max="5896" width="5.42578125" style="1281" customWidth="1"/>
    <col min="5897" max="5897" width="6" style="1281" customWidth="1"/>
    <col min="5898" max="5898" width="6.28515625" style="1281" customWidth="1"/>
    <col min="5899" max="5899" width="5.7109375" style="1281" customWidth="1"/>
    <col min="5900" max="6143" width="11.42578125" style="1281"/>
    <col min="6144" max="6144" width="0" style="1281" hidden="1" customWidth="1"/>
    <col min="6145" max="6145" width="33.42578125" style="1281" customWidth="1"/>
    <col min="6146" max="6146" width="16.28515625" style="1281" customWidth="1"/>
    <col min="6147" max="6147" width="3.42578125" style="1281" customWidth="1"/>
    <col min="6148" max="6148" width="5.7109375" style="1281" customWidth="1"/>
    <col min="6149" max="6149" width="5.85546875" style="1281" customWidth="1"/>
    <col min="6150" max="6150" width="6.7109375" style="1281" customWidth="1"/>
    <col min="6151" max="6151" width="6.28515625" style="1281" customWidth="1"/>
    <col min="6152" max="6152" width="5.42578125" style="1281" customWidth="1"/>
    <col min="6153" max="6153" width="6" style="1281" customWidth="1"/>
    <col min="6154" max="6154" width="6.28515625" style="1281" customWidth="1"/>
    <col min="6155" max="6155" width="5.7109375" style="1281" customWidth="1"/>
    <col min="6156" max="6399" width="11.42578125" style="1281"/>
    <col min="6400" max="6400" width="0" style="1281" hidden="1" customWidth="1"/>
    <col min="6401" max="6401" width="33.42578125" style="1281" customWidth="1"/>
    <col min="6402" max="6402" width="16.28515625" style="1281" customWidth="1"/>
    <col min="6403" max="6403" width="3.42578125" style="1281" customWidth="1"/>
    <col min="6404" max="6404" width="5.7109375" style="1281" customWidth="1"/>
    <col min="6405" max="6405" width="5.85546875" style="1281" customWidth="1"/>
    <col min="6406" max="6406" width="6.7109375" style="1281" customWidth="1"/>
    <col min="6407" max="6407" width="6.28515625" style="1281" customWidth="1"/>
    <col min="6408" max="6408" width="5.42578125" style="1281" customWidth="1"/>
    <col min="6409" max="6409" width="6" style="1281" customWidth="1"/>
    <col min="6410" max="6410" width="6.28515625" style="1281" customWidth="1"/>
    <col min="6411" max="6411" width="5.7109375" style="1281" customWidth="1"/>
    <col min="6412" max="6655" width="11.42578125" style="1281"/>
    <col min="6656" max="6656" width="0" style="1281" hidden="1" customWidth="1"/>
    <col min="6657" max="6657" width="33.42578125" style="1281" customWidth="1"/>
    <col min="6658" max="6658" width="16.28515625" style="1281" customWidth="1"/>
    <col min="6659" max="6659" width="3.42578125" style="1281" customWidth="1"/>
    <col min="6660" max="6660" width="5.7109375" style="1281" customWidth="1"/>
    <col min="6661" max="6661" width="5.85546875" style="1281" customWidth="1"/>
    <col min="6662" max="6662" width="6.7109375" style="1281" customWidth="1"/>
    <col min="6663" max="6663" width="6.28515625" style="1281" customWidth="1"/>
    <col min="6664" max="6664" width="5.42578125" style="1281" customWidth="1"/>
    <col min="6665" max="6665" width="6" style="1281" customWidth="1"/>
    <col min="6666" max="6666" width="6.28515625" style="1281" customWidth="1"/>
    <col min="6667" max="6667" width="5.7109375" style="1281" customWidth="1"/>
    <col min="6668" max="6911" width="11.42578125" style="1281"/>
    <col min="6912" max="6912" width="0" style="1281" hidden="1" customWidth="1"/>
    <col min="6913" max="6913" width="33.42578125" style="1281" customWidth="1"/>
    <col min="6914" max="6914" width="16.28515625" style="1281" customWidth="1"/>
    <col min="6915" max="6915" width="3.42578125" style="1281" customWidth="1"/>
    <col min="6916" max="6916" width="5.7109375" style="1281" customWidth="1"/>
    <col min="6917" max="6917" width="5.85546875" style="1281" customWidth="1"/>
    <col min="6918" max="6918" width="6.7109375" style="1281" customWidth="1"/>
    <col min="6919" max="6919" width="6.28515625" style="1281" customWidth="1"/>
    <col min="6920" max="6920" width="5.42578125" style="1281" customWidth="1"/>
    <col min="6921" max="6921" width="6" style="1281" customWidth="1"/>
    <col min="6922" max="6922" width="6.28515625" style="1281" customWidth="1"/>
    <col min="6923" max="6923" width="5.7109375" style="1281" customWidth="1"/>
    <col min="6924" max="7167" width="11.42578125" style="1281"/>
    <col min="7168" max="7168" width="0" style="1281" hidden="1" customWidth="1"/>
    <col min="7169" max="7169" width="33.42578125" style="1281" customWidth="1"/>
    <col min="7170" max="7170" width="16.28515625" style="1281" customWidth="1"/>
    <col min="7171" max="7171" width="3.42578125" style="1281" customWidth="1"/>
    <col min="7172" max="7172" width="5.7109375" style="1281" customWidth="1"/>
    <col min="7173" max="7173" width="5.85546875" style="1281" customWidth="1"/>
    <col min="7174" max="7174" width="6.7109375" style="1281" customWidth="1"/>
    <col min="7175" max="7175" width="6.28515625" style="1281" customWidth="1"/>
    <col min="7176" max="7176" width="5.42578125" style="1281" customWidth="1"/>
    <col min="7177" max="7177" width="6" style="1281" customWidth="1"/>
    <col min="7178" max="7178" width="6.28515625" style="1281" customWidth="1"/>
    <col min="7179" max="7179" width="5.7109375" style="1281" customWidth="1"/>
    <col min="7180" max="7423" width="11.42578125" style="1281"/>
    <col min="7424" max="7424" width="0" style="1281" hidden="1" customWidth="1"/>
    <col min="7425" max="7425" width="33.42578125" style="1281" customWidth="1"/>
    <col min="7426" max="7426" width="16.28515625" style="1281" customWidth="1"/>
    <col min="7427" max="7427" width="3.42578125" style="1281" customWidth="1"/>
    <col min="7428" max="7428" width="5.7109375" style="1281" customWidth="1"/>
    <col min="7429" max="7429" width="5.85546875" style="1281" customWidth="1"/>
    <col min="7430" max="7430" width="6.7109375" style="1281" customWidth="1"/>
    <col min="7431" max="7431" width="6.28515625" style="1281" customWidth="1"/>
    <col min="7432" max="7432" width="5.42578125" style="1281" customWidth="1"/>
    <col min="7433" max="7433" width="6" style="1281" customWidth="1"/>
    <col min="7434" max="7434" width="6.28515625" style="1281" customWidth="1"/>
    <col min="7435" max="7435" width="5.7109375" style="1281" customWidth="1"/>
    <col min="7436" max="7679" width="11.42578125" style="1281"/>
    <col min="7680" max="7680" width="0" style="1281" hidden="1" customWidth="1"/>
    <col min="7681" max="7681" width="33.42578125" style="1281" customWidth="1"/>
    <col min="7682" max="7682" width="16.28515625" style="1281" customWidth="1"/>
    <col min="7683" max="7683" width="3.42578125" style="1281" customWidth="1"/>
    <col min="7684" max="7684" width="5.7109375" style="1281" customWidth="1"/>
    <col min="7685" max="7685" width="5.85546875" style="1281" customWidth="1"/>
    <col min="7686" max="7686" width="6.7109375" style="1281" customWidth="1"/>
    <col min="7687" max="7687" width="6.28515625" style="1281" customWidth="1"/>
    <col min="7688" max="7688" width="5.42578125" style="1281" customWidth="1"/>
    <col min="7689" max="7689" width="6" style="1281" customWidth="1"/>
    <col min="7690" max="7690" width="6.28515625" style="1281" customWidth="1"/>
    <col min="7691" max="7691" width="5.7109375" style="1281" customWidth="1"/>
    <col min="7692" max="7935" width="11.42578125" style="1281"/>
    <col min="7936" max="7936" width="0" style="1281" hidden="1" customWidth="1"/>
    <col min="7937" max="7937" width="33.42578125" style="1281" customWidth="1"/>
    <col min="7938" max="7938" width="16.28515625" style="1281" customWidth="1"/>
    <col min="7939" max="7939" width="3.42578125" style="1281" customWidth="1"/>
    <col min="7940" max="7940" width="5.7109375" style="1281" customWidth="1"/>
    <col min="7941" max="7941" width="5.85546875" style="1281" customWidth="1"/>
    <col min="7942" max="7942" width="6.7109375" style="1281" customWidth="1"/>
    <col min="7943" max="7943" width="6.28515625" style="1281" customWidth="1"/>
    <col min="7944" max="7944" width="5.42578125" style="1281" customWidth="1"/>
    <col min="7945" max="7945" width="6" style="1281" customWidth="1"/>
    <col min="7946" max="7946" width="6.28515625" style="1281" customWidth="1"/>
    <col min="7947" max="7947" width="5.7109375" style="1281" customWidth="1"/>
    <col min="7948" max="8191" width="11.42578125" style="1281"/>
    <col min="8192" max="8192" width="0" style="1281" hidden="1" customWidth="1"/>
    <col min="8193" max="8193" width="33.42578125" style="1281" customWidth="1"/>
    <col min="8194" max="8194" width="16.28515625" style="1281" customWidth="1"/>
    <col min="8195" max="8195" width="3.42578125" style="1281" customWidth="1"/>
    <col min="8196" max="8196" width="5.7109375" style="1281" customWidth="1"/>
    <col min="8197" max="8197" width="5.85546875" style="1281" customWidth="1"/>
    <col min="8198" max="8198" width="6.7109375" style="1281" customWidth="1"/>
    <col min="8199" max="8199" width="6.28515625" style="1281" customWidth="1"/>
    <col min="8200" max="8200" width="5.42578125" style="1281" customWidth="1"/>
    <col min="8201" max="8201" width="6" style="1281" customWidth="1"/>
    <col min="8202" max="8202" width="6.28515625" style="1281" customWidth="1"/>
    <col min="8203" max="8203" width="5.7109375" style="1281" customWidth="1"/>
    <col min="8204" max="8447" width="11.42578125" style="1281"/>
    <col min="8448" max="8448" width="0" style="1281" hidden="1" customWidth="1"/>
    <col min="8449" max="8449" width="33.42578125" style="1281" customWidth="1"/>
    <col min="8450" max="8450" width="16.28515625" style="1281" customWidth="1"/>
    <col min="8451" max="8451" width="3.42578125" style="1281" customWidth="1"/>
    <col min="8452" max="8452" width="5.7109375" style="1281" customWidth="1"/>
    <col min="8453" max="8453" width="5.85546875" style="1281" customWidth="1"/>
    <col min="8454" max="8454" width="6.7109375" style="1281" customWidth="1"/>
    <col min="8455" max="8455" width="6.28515625" style="1281" customWidth="1"/>
    <col min="8456" max="8456" width="5.42578125" style="1281" customWidth="1"/>
    <col min="8457" max="8457" width="6" style="1281" customWidth="1"/>
    <col min="8458" max="8458" width="6.28515625" style="1281" customWidth="1"/>
    <col min="8459" max="8459" width="5.7109375" style="1281" customWidth="1"/>
    <col min="8460" max="8703" width="11.42578125" style="1281"/>
    <col min="8704" max="8704" width="0" style="1281" hidden="1" customWidth="1"/>
    <col min="8705" max="8705" width="33.42578125" style="1281" customWidth="1"/>
    <col min="8706" max="8706" width="16.28515625" style="1281" customWidth="1"/>
    <col min="8707" max="8707" width="3.42578125" style="1281" customWidth="1"/>
    <col min="8708" max="8708" width="5.7109375" style="1281" customWidth="1"/>
    <col min="8709" max="8709" width="5.85546875" style="1281" customWidth="1"/>
    <col min="8710" max="8710" width="6.7109375" style="1281" customWidth="1"/>
    <col min="8711" max="8711" width="6.28515625" style="1281" customWidth="1"/>
    <col min="8712" max="8712" width="5.42578125" style="1281" customWidth="1"/>
    <col min="8713" max="8713" width="6" style="1281" customWidth="1"/>
    <col min="8714" max="8714" width="6.28515625" style="1281" customWidth="1"/>
    <col min="8715" max="8715" width="5.7109375" style="1281" customWidth="1"/>
    <col min="8716" max="8959" width="11.42578125" style="1281"/>
    <col min="8960" max="8960" width="0" style="1281" hidden="1" customWidth="1"/>
    <col min="8961" max="8961" width="33.42578125" style="1281" customWidth="1"/>
    <col min="8962" max="8962" width="16.28515625" style="1281" customWidth="1"/>
    <col min="8963" max="8963" width="3.42578125" style="1281" customWidth="1"/>
    <col min="8964" max="8964" width="5.7109375" style="1281" customWidth="1"/>
    <col min="8965" max="8965" width="5.85546875" style="1281" customWidth="1"/>
    <col min="8966" max="8966" width="6.7109375" style="1281" customWidth="1"/>
    <col min="8967" max="8967" width="6.28515625" style="1281" customWidth="1"/>
    <col min="8968" max="8968" width="5.42578125" style="1281" customWidth="1"/>
    <col min="8969" max="8969" width="6" style="1281" customWidth="1"/>
    <col min="8970" max="8970" width="6.28515625" style="1281" customWidth="1"/>
    <col min="8971" max="8971" width="5.7109375" style="1281" customWidth="1"/>
    <col min="8972" max="9215" width="11.42578125" style="1281"/>
    <col min="9216" max="9216" width="0" style="1281" hidden="1" customWidth="1"/>
    <col min="9217" max="9217" width="33.42578125" style="1281" customWidth="1"/>
    <col min="9218" max="9218" width="16.28515625" style="1281" customWidth="1"/>
    <col min="9219" max="9219" width="3.42578125" style="1281" customWidth="1"/>
    <col min="9220" max="9220" width="5.7109375" style="1281" customWidth="1"/>
    <col min="9221" max="9221" width="5.85546875" style="1281" customWidth="1"/>
    <col min="9222" max="9222" width="6.7109375" style="1281" customWidth="1"/>
    <col min="9223" max="9223" width="6.28515625" style="1281" customWidth="1"/>
    <col min="9224" max="9224" width="5.42578125" style="1281" customWidth="1"/>
    <col min="9225" max="9225" width="6" style="1281" customWidth="1"/>
    <col min="9226" max="9226" width="6.28515625" style="1281" customWidth="1"/>
    <col min="9227" max="9227" width="5.7109375" style="1281" customWidth="1"/>
    <col min="9228" max="9471" width="11.42578125" style="1281"/>
    <col min="9472" max="9472" width="0" style="1281" hidden="1" customWidth="1"/>
    <col min="9473" max="9473" width="33.42578125" style="1281" customWidth="1"/>
    <col min="9474" max="9474" width="16.28515625" style="1281" customWidth="1"/>
    <col min="9475" max="9475" width="3.42578125" style="1281" customWidth="1"/>
    <col min="9476" max="9476" width="5.7109375" style="1281" customWidth="1"/>
    <col min="9477" max="9477" width="5.85546875" style="1281" customWidth="1"/>
    <col min="9478" max="9478" width="6.7109375" style="1281" customWidth="1"/>
    <col min="9479" max="9479" width="6.28515625" style="1281" customWidth="1"/>
    <col min="9480" max="9480" width="5.42578125" style="1281" customWidth="1"/>
    <col min="9481" max="9481" width="6" style="1281" customWidth="1"/>
    <col min="9482" max="9482" width="6.28515625" style="1281" customWidth="1"/>
    <col min="9483" max="9483" width="5.7109375" style="1281" customWidth="1"/>
    <col min="9484" max="9727" width="11.42578125" style="1281"/>
    <col min="9728" max="9728" width="0" style="1281" hidden="1" customWidth="1"/>
    <col min="9729" max="9729" width="33.42578125" style="1281" customWidth="1"/>
    <col min="9730" max="9730" width="16.28515625" style="1281" customWidth="1"/>
    <col min="9731" max="9731" width="3.42578125" style="1281" customWidth="1"/>
    <col min="9732" max="9732" width="5.7109375" style="1281" customWidth="1"/>
    <col min="9733" max="9733" width="5.85546875" style="1281" customWidth="1"/>
    <col min="9734" max="9734" width="6.7109375" style="1281" customWidth="1"/>
    <col min="9735" max="9735" width="6.28515625" style="1281" customWidth="1"/>
    <col min="9736" max="9736" width="5.42578125" style="1281" customWidth="1"/>
    <col min="9737" max="9737" width="6" style="1281" customWidth="1"/>
    <col min="9738" max="9738" width="6.28515625" style="1281" customWidth="1"/>
    <col min="9739" max="9739" width="5.7109375" style="1281" customWidth="1"/>
    <col min="9740" max="9983" width="11.42578125" style="1281"/>
    <col min="9984" max="9984" width="0" style="1281" hidden="1" customWidth="1"/>
    <col min="9985" max="9985" width="33.42578125" style="1281" customWidth="1"/>
    <col min="9986" max="9986" width="16.28515625" style="1281" customWidth="1"/>
    <col min="9987" max="9987" width="3.42578125" style="1281" customWidth="1"/>
    <col min="9988" max="9988" width="5.7109375" style="1281" customWidth="1"/>
    <col min="9989" max="9989" width="5.85546875" style="1281" customWidth="1"/>
    <col min="9990" max="9990" width="6.7109375" style="1281" customWidth="1"/>
    <col min="9991" max="9991" width="6.28515625" style="1281" customWidth="1"/>
    <col min="9992" max="9992" width="5.42578125" style="1281" customWidth="1"/>
    <col min="9993" max="9993" width="6" style="1281" customWidth="1"/>
    <col min="9994" max="9994" width="6.28515625" style="1281" customWidth="1"/>
    <col min="9995" max="9995" width="5.7109375" style="1281" customWidth="1"/>
    <col min="9996" max="10239" width="11.42578125" style="1281"/>
    <col min="10240" max="10240" width="0" style="1281" hidden="1" customWidth="1"/>
    <col min="10241" max="10241" width="33.42578125" style="1281" customWidth="1"/>
    <col min="10242" max="10242" width="16.28515625" style="1281" customWidth="1"/>
    <col min="10243" max="10243" width="3.42578125" style="1281" customWidth="1"/>
    <col min="10244" max="10244" width="5.7109375" style="1281" customWidth="1"/>
    <col min="10245" max="10245" width="5.85546875" style="1281" customWidth="1"/>
    <col min="10246" max="10246" width="6.7109375" style="1281" customWidth="1"/>
    <col min="10247" max="10247" width="6.28515625" style="1281" customWidth="1"/>
    <col min="10248" max="10248" width="5.42578125" style="1281" customWidth="1"/>
    <col min="10249" max="10249" width="6" style="1281" customWidth="1"/>
    <col min="10250" max="10250" width="6.28515625" style="1281" customWidth="1"/>
    <col min="10251" max="10251" width="5.7109375" style="1281" customWidth="1"/>
    <col min="10252" max="10495" width="11.42578125" style="1281"/>
    <col min="10496" max="10496" width="0" style="1281" hidden="1" customWidth="1"/>
    <col min="10497" max="10497" width="33.42578125" style="1281" customWidth="1"/>
    <col min="10498" max="10498" width="16.28515625" style="1281" customWidth="1"/>
    <col min="10499" max="10499" width="3.42578125" style="1281" customWidth="1"/>
    <col min="10500" max="10500" width="5.7109375" style="1281" customWidth="1"/>
    <col min="10501" max="10501" width="5.85546875" style="1281" customWidth="1"/>
    <col min="10502" max="10502" width="6.7109375" style="1281" customWidth="1"/>
    <col min="10503" max="10503" width="6.28515625" style="1281" customWidth="1"/>
    <col min="10504" max="10504" width="5.42578125" style="1281" customWidth="1"/>
    <col min="10505" max="10505" width="6" style="1281" customWidth="1"/>
    <col min="10506" max="10506" width="6.28515625" style="1281" customWidth="1"/>
    <col min="10507" max="10507" width="5.7109375" style="1281" customWidth="1"/>
    <col min="10508" max="10751" width="11.42578125" style="1281"/>
    <col min="10752" max="10752" width="0" style="1281" hidden="1" customWidth="1"/>
    <col min="10753" max="10753" width="33.42578125" style="1281" customWidth="1"/>
    <col min="10754" max="10754" width="16.28515625" style="1281" customWidth="1"/>
    <col min="10755" max="10755" width="3.42578125" style="1281" customWidth="1"/>
    <col min="10756" max="10756" width="5.7109375" style="1281" customWidth="1"/>
    <col min="10757" max="10757" width="5.85546875" style="1281" customWidth="1"/>
    <col min="10758" max="10758" width="6.7109375" style="1281" customWidth="1"/>
    <col min="10759" max="10759" width="6.28515625" style="1281" customWidth="1"/>
    <col min="10760" max="10760" width="5.42578125" style="1281" customWidth="1"/>
    <col min="10761" max="10761" width="6" style="1281" customWidth="1"/>
    <col min="10762" max="10762" width="6.28515625" style="1281" customWidth="1"/>
    <col min="10763" max="10763" width="5.7109375" style="1281" customWidth="1"/>
    <col min="10764" max="11007" width="11.42578125" style="1281"/>
    <col min="11008" max="11008" width="0" style="1281" hidden="1" customWidth="1"/>
    <col min="11009" max="11009" width="33.42578125" style="1281" customWidth="1"/>
    <col min="11010" max="11010" width="16.28515625" style="1281" customWidth="1"/>
    <col min="11011" max="11011" width="3.42578125" style="1281" customWidth="1"/>
    <col min="11012" max="11012" width="5.7109375" style="1281" customWidth="1"/>
    <col min="11013" max="11013" width="5.85546875" style="1281" customWidth="1"/>
    <col min="11014" max="11014" width="6.7109375" style="1281" customWidth="1"/>
    <col min="11015" max="11015" width="6.28515625" style="1281" customWidth="1"/>
    <col min="11016" max="11016" width="5.42578125" style="1281" customWidth="1"/>
    <col min="11017" max="11017" width="6" style="1281" customWidth="1"/>
    <col min="11018" max="11018" width="6.28515625" style="1281" customWidth="1"/>
    <col min="11019" max="11019" width="5.7109375" style="1281" customWidth="1"/>
    <col min="11020" max="11263" width="11.42578125" style="1281"/>
    <col min="11264" max="11264" width="0" style="1281" hidden="1" customWidth="1"/>
    <col min="11265" max="11265" width="33.42578125" style="1281" customWidth="1"/>
    <col min="11266" max="11266" width="16.28515625" style="1281" customWidth="1"/>
    <col min="11267" max="11267" width="3.42578125" style="1281" customWidth="1"/>
    <col min="11268" max="11268" width="5.7109375" style="1281" customWidth="1"/>
    <col min="11269" max="11269" width="5.85546875" style="1281" customWidth="1"/>
    <col min="11270" max="11270" width="6.7109375" style="1281" customWidth="1"/>
    <col min="11271" max="11271" width="6.28515625" style="1281" customWidth="1"/>
    <col min="11272" max="11272" width="5.42578125" style="1281" customWidth="1"/>
    <col min="11273" max="11273" width="6" style="1281" customWidth="1"/>
    <col min="11274" max="11274" width="6.28515625" style="1281" customWidth="1"/>
    <col min="11275" max="11275" width="5.7109375" style="1281" customWidth="1"/>
    <col min="11276" max="11519" width="11.42578125" style="1281"/>
    <col min="11520" max="11520" width="0" style="1281" hidden="1" customWidth="1"/>
    <col min="11521" max="11521" width="33.42578125" style="1281" customWidth="1"/>
    <col min="11522" max="11522" width="16.28515625" style="1281" customWidth="1"/>
    <col min="11523" max="11523" width="3.42578125" style="1281" customWidth="1"/>
    <col min="11524" max="11524" width="5.7109375" style="1281" customWidth="1"/>
    <col min="11525" max="11525" width="5.85546875" style="1281" customWidth="1"/>
    <col min="11526" max="11526" width="6.7109375" style="1281" customWidth="1"/>
    <col min="11527" max="11527" width="6.28515625" style="1281" customWidth="1"/>
    <col min="11528" max="11528" width="5.42578125" style="1281" customWidth="1"/>
    <col min="11529" max="11529" width="6" style="1281" customWidth="1"/>
    <col min="11530" max="11530" width="6.28515625" style="1281" customWidth="1"/>
    <col min="11531" max="11531" width="5.7109375" style="1281" customWidth="1"/>
    <col min="11532" max="11775" width="11.42578125" style="1281"/>
    <col min="11776" max="11776" width="0" style="1281" hidden="1" customWidth="1"/>
    <col min="11777" max="11777" width="33.42578125" style="1281" customWidth="1"/>
    <col min="11778" max="11778" width="16.28515625" style="1281" customWidth="1"/>
    <col min="11779" max="11779" width="3.42578125" style="1281" customWidth="1"/>
    <col min="11780" max="11780" width="5.7109375" style="1281" customWidth="1"/>
    <col min="11781" max="11781" width="5.85546875" style="1281" customWidth="1"/>
    <col min="11782" max="11782" width="6.7109375" style="1281" customWidth="1"/>
    <col min="11783" max="11783" width="6.28515625" style="1281" customWidth="1"/>
    <col min="11784" max="11784" width="5.42578125" style="1281" customWidth="1"/>
    <col min="11785" max="11785" width="6" style="1281" customWidth="1"/>
    <col min="11786" max="11786" width="6.28515625" style="1281" customWidth="1"/>
    <col min="11787" max="11787" width="5.7109375" style="1281" customWidth="1"/>
    <col min="11788" max="12031" width="11.42578125" style="1281"/>
    <col min="12032" max="12032" width="0" style="1281" hidden="1" customWidth="1"/>
    <col min="12033" max="12033" width="33.42578125" style="1281" customWidth="1"/>
    <col min="12034" max="12034" width="16.28515625" style="1281" customWidth="1"/>
    <col min="12035" max="12035" width="3.42578125" style="1281" customWidth="1"/>
    <col min="12036" max="12036" width="5.7109375" style="1281" customWidth="1"/>
    <col min="12037" max="12037" width="5.85546875" style="1281" customWidth="1"/>
    <col min="12038" max="12038" width="6.7109375" style="1281" customWidth="1"/>
    <col min="12039" max="12039" width="6.28515625" style="1281" customWidth="1"/>
    <col min="12040" max="12040" width="5.42578125" style="1281" customWidth="1"/>
    <col min="12041" max="12041" width="6" style="1281" customWidth="1"/>
    <col min="12042" max="12042" width="6.28515625" style="1281" customWidth="1"/>
    <col min="12043" max="12043" width="5.7109375" style="1281" customWidth="1"/>
    <col min="12044" max="12287" width="11.42578125" style="1281"/>
    <col min="12288" max="12288" width="0" style="1281" hidden="1" customWidth="1"/>
    <col min="12289" max="12289" width="33.42578125" style="1281" customWidth="1"/>
    <col min="12290" max="12290" width="16.28515625" style="1281" customWidth="1"/>
    <col min="12291" max="12291" width="3.42578125" style="1281" customWidth="1"/>
    <col min="12292" max="12292" width="5.7109375" style="1281" customWidth="1"/>
    <col min="12293" max="12293" width="5.85546875" style="1281" customWidth="1"/>
    <col min="12294" max="12294" width="6.7109375" style="1281" customWidth="1"/>
    <col min="12295" max="12295" width="6.28515625" style="1281" customWidth="1"/>
    <col min="12296" max="12296" width="5.42578125" style="1281" customWidth="1"/>
    <col min="12297" max="12297" width="6" style="1281" customWidth="1"/>
    <col min="12298" max="12298" width="6.28515625" style="1281" customWidth="1"/>
    <col min="12299" max="12299" width="5.7109375" style="1281" customWidth="1"/>
    <col min="12300" max="12543" width="11.42578125" style="1281"/>
    <col min="12544" max="12544" width="0" style="1281" hidden="1" customWidth="1"/>
    <col min="12545" max="12545" width="33.42578125" style="1281" customWidth="1"/>
    <col min="12546" max="12546" width="16.28515625" style="1281" customWidth="1"/>
    <col min="12547" max="12547" width="3.42578125" style="1281" customWidth="1"/>
    <col min="12548" max="12548" width="5.7109375" style="1281" customWidth="1"/>
    <col min="12549" max="12549" width="5.85546875" style="1281" customWidth="1"/>
    <col min="12550" max="12550" width="6.7109375" style="1281" customWidth="1"/>
    <col min="12551" max="12551" width="6.28515625" style="1281" customWidth="1"/>
    <col min="12552" max="12552" width="5.42578125" style="1281" customWidth="1"/>
    <col min="12553" max="12553" width="6" style="1281" customWidth="1"/>
    <col min="12554" max="12554" width="6.28515625" style="1281" customWidth="1"/>
    <col min="12555" max="12555" width="5.7109375" style="1281" customWidth="1"/>
    <col min="12556" max="12799" width="11.42578125" style="1281"/>
    <col min="12800" max="12800" width="0" style="1281" hidden="1" customWidth="1"/>
    <col min="12801" max="12801" width="33.42578125" style="1281" customWidth="1"/>
    <col min="12802" max="12802" width="16.28515625" style="1281" customWidth="1"/>
    <col min="12803" max="12803" width="3.42578125" style="1281" customWidth="1"/>
    <col min="12804" max="12804" width="5.7109375" style="1281" customWidth="1"/>
    <col min="12805" max="12805" width="5.85546875" style="1281" customWidth="1"/>
    <col min="12806" max="12806" width="6.7109375" style="1281" customWidth="1"/>
    <col min="12807" max="12807" width="6.28515625" style="1281" customWidth="1"/>
    <col min="12808" max="12808" width="5.42578125" style="1281" customWidth="1"/>
    <col min="12809" max="12809" width="6" style="1281" customWidth="1"/>
    <col min="12810" max="12810" width="6.28515625" style="1281" customWidth="1"/>
    <col min="12811" max="12811" width="5.7109375" style="1281" customWidth="1"/>
    <col min="12812" max="13055" width="11.42578125" style="1281"/>
    <col min="13056" max="13056" width="0" style="1281" hidden="1" customWidth="1"/>
    <col min="13057" max="13057" width="33.42578125" style="1281" customWidth="1"/>
    <col min="13058" max="13058" width="16.28515625" style="1281" customWidth="1"/>
    <col min="13059" max="13059" width="3.42578125" style="1281" customWidth="1"/>
    <col min="13060" max="13060" width="5.7109375" style="1281" customWidth="1"/>
    <col min="13061" max="13061" width="5.85546875" style="1281" customWidth="1"/>
    <col min="13062" max="13062" width="6.7109375" style="1281" customWidth="1"/>
    <col min="13063" max="13063" width="6.28515625" style="1281" customWidth="1"/>
    <col min="13064" max="13064" width="5.42578125" style="1281" customWidth="1"/>
    <col min="13065" max="13065" width="6" style="1281" customWidth="1"/>
    <col min="13066" max="13066" width="6.28515625" style="1281" customWidth="1"/>
    <col min="13067" max="13067" width="5.7109375" style="1281" customWidth="1"/>
    <col min="13068" max="13311" width="11.42578125" style="1281"/>
    <col min="13312" max="13312" width="0" style="1281" hidden="1" customWidth="1"/>
    <col min="13313" max="13313" width="33.42578125" style="1281" customWidth="1"/>
    <col min="13314" max="13314" width="16.28515625" style="1281" customWidth="1"/>
    <col min="13315" max="13315" width="3.42578125" style="1281" customWidth="1"/>
    <col min="13316" max="13316" width="5.7109375" style="1281" customWidth="1"/>
    <col min="13317" max="13317" width="5.85546875" style="1281" customWidth="1"/>
    <col min="13318" max="13318" width="6.7109375" style="1281" customWidth="1"/>
    <col min="13319" max="13319" width="6.28515625" style="1281" customWidth="1"/>
    <col min="13320" max="13320" width="5.42578125" style="1281" customWidth="1"/>
    <col min="13321" max="13321" width="6" style="1281" customWidth="1"/>
    <col min="13322" max="13322" width="6.28515625" style="1281" customWidth="1"/>
    <col min="13323" max="13323" width="5.7109375" style="1281" customWidth="1"/>
    <col min="13324" max="13567" width="11.42578125" style="1281"/>
    <col min="13568" max="13568" width="0" style="1281" hidden="1" customWidth="1"/>
    <col min="13569" max="13569" width="33.42578125" style="1281" customWidth="1"/>
    <col min="13570" max="13570" width="16.28515625" style="1281" customWidth="1"/>
    <col min="13571" max="13571" width="3.42578125" style="1281" customWidth="1"/>
    <col min="13572" max="13572" width="5.7109375" style="1281" customWidth="1"/>
    <col min="13573" max="13573" width="5.85546875" style="1281" customWidth="1"/>
    <col min="13574" max="13574" width="6.7109375" style="1281" customWidth="1"/>
    <col min="13575" max="13575" width="6.28515625" style="1281" customWidth="1"/>
    <col min="13576" max="13576" width="5.42578125" style="1281" customWidth="1"/>
    <col min="13577" max="13577" width="6" style="1281" customWidth="1"/>
    <col min="13578" max="13578" width="6.28515625" style="1281" customWidth="1"/>
    <col min="13579" max="13579" width="5.7109375" style="1281" customWidth="1"/>
    <col min="13580" max="13823" width="11.42578125" style="1281"/>
    <col min="13824" max="13824" width="0" style="1281" hidden="1" customWidth="1"/>
    <col min="13825" max="13825" width="33.42578125" style="1281" customWidth="1"/>
    <col min="13826" max="13826" width="16.28515625" style="1281" customWidth="1"/>
    <col min="13827" max="13827" width="3.42578125" style="1281" customWidth="1"/>
    <col min="13828" max="13828" width="5.7109375" style="1281" customWidth="1"/>
    <col min="13829" max="13829" width="5.85546875" style="1281" customWidth="1"/>
    <col min="13830" max="13830" width="6.7109375" style="1281" customWidth="1"/>
    <col min="13831" max="13831" width="6.28515625" style="1281" customWidth="1"/>
    <col min="13832" max="13832" width="5.42578125" style="1281" customWidth="1"/>
    <col min="13833" max="13833" width="6" style="1281" customWidth="1"/>
    <col min="13834" max="13834" width="6.28515625" style="1281" customWidth="1"/>
    <col min="13835" max="13835" width="5.7109375" style="1281" customWidth="1"/>
    <col min="13836" max="14079" width="11.42578125" style="1281"/>
    <col min="14080" max="14080" width="0" style="1281" hidden="1" customWidth="1"/>
    <col min="14081" max="14081" width="33.42578125" style="1281" customWidth="1"/>
    <col min="14082" max="14082" width="16.28515625" style="1281" customWidth="1"/>
    <col min="14083" max="14083" width="3.42578125" style="1281" customWidth="1"/>
    <col min="14084" max="14084" width="5.7109375" style="1281" customWidth="1"/>
    <col min="14085" max="14085" width="5.85546875" style="1281" customWidth="1"/>
    <col min="14086" max="14086" width="6.7109375" style="1281" customWidth="1"/>
    <col min="14087" max="14087" width="6.28515625" style="1281" customWidth="1"/>
    <col min="14088" max="14088" width="5.42578125" style="1281" customWidth="1"/>
    <col min="14089" max="14089" width="6" style="1281" customWidth="1"/>
    <col min="14090" max="14090" width="6.28515625" style="1281" customWidth="1"/>
    <col min="14091" max="14091" width="5.7109375" style="1281" customWidth="1"/>
    <col min="14092" max="14335" width="11.42578125" style="1281"/>
    <col min="14336" max="14336" width="0" style="1281" hidden="1" customWidth="1"/>
    <col min="14337" max="14337" width="33.42578125" style="1281" customWidth="1"/>
    <col min="14338" max="14338" width="16.28515625" style="1281" customWidth="1"/>
    <col min="14339" max="14339" width="3.42578125" style="1281" customWidth="1"/>
    <col min="14340" max="14340" width="5.7109375" style="1281" customWidth="1"/>
    <col min="14341" max="14341" width="5.85546875" style="1281" customWidth="1"/>
    <col min="14342" max="14342" width="6.7109375" style="1281" customWidth="1"/>
    <col min="14343" max="14343" width="6.28515625" style="1281" customWidth="1"/>
    <col min="14344" max="14344" width="5.42578125" style="1281" customWidth="1"/>
    <col min="14345" max="14345" width="6" style="1281" customWidth="1"/>
    <col min="14346" max="14346" width="6.28515625" style="1281" customWidth="1"/>
    <col min="14347" max="14347" width="5.7109375" style="1281" customWidth="1"/>
    <col min="14348" max="14591" width="11.42578125" style="1281"/>
    <col min="14592" max="14592" width="0" style="1281" hidden="1" customWidth="1"/>
    <col min="14593" max="14593" width="33.42578125" style="1281" customWidth="1"/>
    <col min="14594" max="14594" width="16.28515625" style="1281" customWidth="1"/>
    <col min="14595" max="14595" width="3.42578125" style="1281" customWidth="1"/>
    <col min="14596" max="14596" width="5.7109375" style="1281" customWidth="1"/>
    <col min="14597" max="14597" width="5.85546875" style="1281" customWidth="1"/>
    <col min="14598" max="14598" width="6.7109375" style="1281" customWidth="1"/>
    <col min="14599" max="14599" width="6.28515625" style="1281" customWidth="1"/>
    <col min="14600" max="14600" width="5.42578125" style="1281" customWidth="1"/>
    <col min="14601" max="14601" width="6" style="1281" customWidth="1"/>
    <col min="14602" max="14602" width="6.28515625" style="1281" customWidth="1"/>
    <col min="14603" max="14603" width="5.7109375" style="1281" customWidth="1"/>
    <col min="14604" max="14847" width="11.42578125" style="1281"/>
    <col min="14848" max="14848" width="0" style="1281" hidden="1" customWidth="1"/>
    <col min="14849" max="14849" width="33.42578125" style="1281" customWidth="1"/>
    <col min="14850" max="14850" width="16.28515625" style="1281" customWidth="1"/>
    <col min="14851" max="14851" width="3.42578125" style="1281" customWidth="1"/>
    <col min="14852" max="14852" width="5.7109375" style="1281" customWidth="1"/>
    <col min="14853" max="14853" width="5.85546875" style="1281" customWidth="1"/>
    <col min="14854" max="14854" width="6.7109375" style="1281" customWidth="1"/>
    <col min="14855" max="14855" width="6.28515625" style="1281" customWidth="1"/>
    <col min="14856" max="14856" width="5.42578125" style="1281" customWidth="1"/>
    <col min="14857" max="14857" width="6" style="1281" customWidth="1"/>
    <col min="14858" max="14858" width="6.28515625" style="1281" customWidth="1"/>
    <col min="14859" max="14859" width="5.7109375" style="1281" customWidth="1"/>
    <col min="14860" max="15103" width="11.42578125" style="1281"/>
    <col min="15104" max="15104" width="0" style="1281" hidden="1" customWidth="1"/>
    <col min="15105" max="15105" width="33.42578125" style="1281" customWidth="1"/>
    <col min="15106" max="15106" width="16.28515625" style="1281" customWidth="1"/>
    <col min="15107" max="15107" width="3.42578125" style="1281" customWidth="1"/>
    <col min="15108" max="15108" width="5.7109375" style="1281" customWidth="1"/>
    <col min="15109" max="15109" width="5.85546875" style="1281" customWidth="1"/>
    <col min="15110" max="15110" width="6.7109375" style="1281" customWidth="1"/>
    <col min="15111" max="15111" width="6.28515625" style="1281" customWidth="1"/>
    <col min="15112" max="15112" width="5.42578125" style="1281" customWidth="1"/>
    <col min="15113" max="15113" width="6" style="1281" customWidth="1"/>
    <col min="15114" max="15114" width="6.28515625" style="1281" customWidth="1"/>
    <col min="15115" max="15115" width="5.7109375" style="1281" customWidth="1"/>
    <col min="15116" max="15359" width="11.42578125" style="1281"/>
    <col min="15360" max="15360" width="0" style="1281" hidden="1" customWidth="1"/>
    <col min="15361" max="15361" width="33.42578125" style="1281" customWidth="1"/>
    <col min="15362" max="15362" width="16.28515625" style="1281" customWidth="1"/>
    <col min="15363" max="15363" width="3.42578125" style="1281" customWidth="1"/>
    <col min="15364" max="15364" width="5.7109375" style="1281" customWidth="1"/>
    <col min="15365" max="15365" width="5.85546875" style="1281" customWidth="1"/>
    <col min="15366" max="15366" width="6.7109375" style="1281" customWidth="1"/>
    <col min="15367" max="15367" width="6.28515625" style="1281" customWidth="1"/>
    <col min="15368" max="15368" width="5.42578125" style="1281" customWidth="1"/>
    <col min="15369" max="15369" width="6" style="1281" customWidth="1"/>
    <col min="15370" max="15370" width="6.28515625" style="1281" customWidth="1"/>
    <col min="15371" max="15371" width="5.7109375" style="1281" customWidth="1"/>
    <col min="15372" max="15615" width="11.42578125" style="1281"/>
    <col min="15616" max="15616" width="0" style="1281" hidden="1" customWidth="1"/>
    <col min="15617" max="15617" width="33.42578125" style="1281" customWidth="1"/>
    <col min="15618" max="15618" width="16.28515625" style="1281" customWidth="1"/>
    <col min="15619" max="15619" width="3.42578125" style="1281" customWidth="1"/>
    <col min="15620" max="15620" width="5.7109375" style="1281" customWidth="1"/>
    <col min="15621" max="15621" width="5.85546875" style="1281" customWidth="1"/>
    <col min="15622" max="15622" width="6.7109375" style="1281" customWidth="1"/>
    <col min="15623" max="15623" width="6.28515625" style="1281" customWidth="1"/>
    <col min="15624" max="15624" width="5.42578125" style="1281" customWidth="1"/>
    <col min="15625" max="15625" width="6" style="1281" customWidth="1"/>
    <col min="15626" max="15626" width="6.28515625" style="1281" customWidth="1"/>
    <col min="15627" max="15627" width="5.7109375" style="1281" customWidth="1"/>
    <col min="15628" max="15871" width="11.42578125" style="1281"/>
    <col min="15872" max="15872" width="0" style="1281" hidden="1" customWidth="1"/>
    <col min="15873" max="15873" width="33.42578125" style="1281" customWidth="1"/>
    <col min="15874" max="15874" width="16.28515625" style="1281" customWidth="1"/>
    <col min="15875" max="15875" width="3.42578125" style="1281" customWidth="1"/>
    <col min="15876" max="15876" width="5.7109375" style="1281" customWidth="1"/>
    <col min="15877" max="15877" width="5.85546875" style="1281" customWidth="1"/>
    <col min="15878" max="15878" width="6.7109375" style="1281" customWidth="1"/>
    <col min="15879" max="15879" width="6.28515625" style="1281" customWidth="1"/>
    <col min="15880" max="15880" width="5.42578125" style="1281" customWidth="1"/>
    <col min="15881" max="15881" width="6" style="1281" customWidth="1"/>
    <col min="15882" max="15882" width="6.28515625" style="1281" customWidth="1"/>
    <col min="15883" max="15883" width="5.7109375" style="1281" customWidth="1"/>
    <col min="15884" max="16127" width="11.42578125" style="1281"/>
    <col min="16128" max="16128" width="0" style="1281" hidden="1" customWidth="1"/>
    <col min="16129" max="16129" width="33.42578125" style="1281" customWidth="1"/>
    <col min="16130" max="16130" width="16.28515625" style="1281" customWidth="1"/>
    <col min="16131" max="16131" width="3.42578125" style="1281" customWidth="1"/>
    <col min="16132" max="16132" width="5.7109375" style="1281" customWidth="1"/>
    <col min="16133" max="16133" width="5.85546875" style="1281" customWidth="1"/>
    <col min="16134" max="16134" width="6.7109375" style="1281" customWidth="1"/>
    <col min="16135" max="16135" width="6.28515625" style="1281" customWidth="1"/>
    <col min="16136" max="16136" width="5.42578125" style="1281" customWidth="1"/>
    <col min="16137" max="16137" width="6" style="1281" customWidth="1"/>
    <col min="16138" max="16138" width="6.28515625" style="1281" customWidth="1"/>
    <col min="16139" max="16139" width="5.7109375" style="1281" customWidth="1"/>
    <col min="16140" max="16384" width="11.42578125" style="1281"/>
  </cols>
  <sheetData>
    <row r="1" spans="1:27" ht="42"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1959</v>
      </c>
      <c r="C2" s="3629"/>
      <c r="D2" s="3629"/>
      <c r="E2" s="3629"/>
      <c r="F2" s="3629"/>
      <c r="G2" s="3629"/>
      <c r="H2" s="2844" t="s">
        <v>1444</v>
      </c>
      <c r="I2" s="2845">
        <f>X2</f>
        <v>10</v>
      </c>
      <c r="J2" s="2841"/>
      <c r="K2" s="2843" t="s">
        <v>2873</v>
      </c>
      <c r="L2" s="2842">
        <v>5</v>
      </c>
      <c r="M2" s="1519">
        <v>42.75</v>
      </c>
      <c r="P2" s="1520"/>
      <c r="Q2" s="3630" t="s">
        <v>1959</v>
      </c>
      <c r="R2" s="3631"/>
      <c r="S2" s="3631"/>
      <c r="T2" s="3631"/>
      <c r="U2" s="3631"/>
      <c r="V2" s="3632"/>
      <c r="W2" s="1521" t="s">
        <v>1444</v>
      </c>
      <c r="X2" s="1522">
        <v>10</v>
      </c>
      <c r="Y2" s="1523"/>
      <c r="Z2" s="1523"/>
      <c r="AA2" s="1524"/>
    </row>
    <row r="3" spans="1:27" ht="24.75" customHeight="1">
      <c r="A3" s="1533"/>
      <c r="B3" s="1526" t="s">
        <v>1391</v>
      </c>
      <c r="C3" s="1527"/>
      <c r="D3" s="1527"/>
      <c r="E3" s="1528"/>
      <c r="F3" s="1529" t="s">
        <v>1445</v>
      </c>
      <c r="G3" s="1530"/>
      <c r="H3" s="1531"/>
      <c r="I3" s="1531"/>
      <c r="J3" s="1530"/>
      <c r="K3" s="1530"/>
      <c r="L3" s="1532"/>
      <c r="M3" s="1519">
        <v>24.75</v>
      </c>
      <c r="P3" s="1533"/>
      <c r="Q3" s="1534" t="s">
        <v>1391</v>
      </c>
      <c r="R3" s="1527"/>
      <c r="S3" s="1527"/>
      <c r="T3" s="1528"/>
      <c r="U3" s="1535" t="s">
        <v>1445</v>
      </c>
      <c r="V3" s="1536"/>
      <c r="W3" s="1192"/>
      <c r="X3" s="1192"/>
      <c r="Y3" s="1536"/>
      <c r="Z3" s="1536"/>
      <c r="AA3" s="1537"/>
    </row>
    <row r="4" spans="1:27" ht="88.7" customHeight="1">
      <c r="A4" s="1520"/>
      <c r="B4" s="3633"/>
      <c r="C4" s="3633"/>
      <c r="D4" s="3633"/>
      <c r="E4" s="3634"/>
      <c r="F4" s="1539"/>
      <c r="G4" s="1540"/>
      <c r="H4" s="1540"/>
      <c r="I4" s="1540"/>
      <c r="J4" s="1531"/>
      <c r="K4" s="1531"/>
      <c r="L4" s="1532"/>
      <c r="M4" s="1519">
        <v>112.5</v>
      </c>
      <c r="P4" s="1520"/>
      <c r="Q4" s="3635"/>
      <c r="R4" s="3633"/>
      <c r="S4" s="3633"/>
      <c r="T4" s="3634"/>
      <c r="U4" s="1520"/>
      <c r="V4" s="1426"/>
      <c r="W4" s="1426"/>
      <c r="X4" s="1426"/>
      <c r="Y4" s="1192"/>
      <c r="Z4" s="1192"/>
      <c r="AA4" s="1537"/>
    </row>
    <row r="5" spans="1:27" ht="63.75" customHeight="1">
      <c r="A5" s="1667"/>
      <c r="B5" s="1668" t="s">
        <v>151</v>
      </c>
      <c r="C5" s="1543" t="s">
        <v>1446</v>
      </c>
      <c r="D5" s="1544"/>
      <c r="E5" s="1545" t="s">
        <v>1447</v>
      </c>
      <c r="F5" s="1546"/>
      <c r="G5" s="1546"/>
      <c r="H5" s="1546"/>
      <c r="I5" s="1547"/>
      <c r="J5" s="1543" t="s">
        <v>1448</v>
      </c>
      <c r="K5" s="1548"/>
      <c r="L5" s="1549"/>
      <c r="M5" s="1519">
        <v>63.75</v>
      </c>
      <c r="N5" s="1192"/>
      <c r="P5" s="1550"/>
      <c r="Q5" s="1551" t="s">
        <v>151</v>
      </c>
      <c r="R5" s="1552" t="s">
        <v>1446</v>
      </c>
      <c r="S5" s="1553"/>
      <c r="T5" s="1554" t="s">
        <v>1447</v>
      </c>
      <c r="U5" s="1555"/>
      <c r="V5" s="1555"/>
      <c r="W5" s="1555"/>
      <c r="X5" s="1556"/>
      <c r="Y5" s="1552" t="s">
        <v>1448</v>
      </c>
      <c r="Z5" s="1557"/>
      <c r="AA5" s="1558"/>
    </row>
    <row r="6" spans="1:27" ht="57.75">
      <c r="A6" s="1614"/>
      <c r="B6" s="1669"/>
      <c r="C6" s="1560" t="str">
        <f t="shared" ref="C6:I8" si="0">R6</f>
        <v>NATURE</v>
      </c>
      <c r="D6" s="1561" t="str">
        <f t="shared" si="0"/>
        <v>unite</v>
      </c>
      <c r="E6" s="1561" t="str">
        <f t="shared" si="0"/>
        <v>DASHI</v>
      </c>
      <c r="F6" s="1561" t="str">
        <f t="shared" si="0"/>
        <v>NIKUJYAGA</v>
      </c>
      <c r="G6" s="1561">
        <f t="shared" si="0"/>
        <v>0</v>
      </c>
      <c r="H6" s="1561">
        <f t="shared" si="0"/>
        <v>0</v>
      </c>
      <c r="I6" s="1562" t="str">
        <f t="shared" si="0"/>
        <v>finitio</v>
      </c>
      <c r="J6" s="1563" t="s">
        <v>110</v>
      </c>
      <c r="K6" s="1564" t="s">
        <v>117</v>
      </c>
      <c r="L6" s="1565" t="s">
        <v>118</v>
      </c>
      <c r="M6" s="1519">
        <v>57.75</v>
      </c>
      <c r="P6" s="1533"/>
      <c r="Q6" s="1566"/>
      <c r="R6" s="1567" t="s">
        <v>1449</v>
      </c>
      <c r="S6" s="1568" t="s">
        <v>1450</v>
      </c>
      <c r="T6" s="1569" t="s">
        <v>1960</v>
      </c>
      <c r="U6" s="1569" t="s">
        <v>1961</v>
      </c>
      <c r="V6" s="1569"/>
      <c r="W6" s="1570"/>
      <c r="X6" s="1571" t="s">
        <v>1455</v>
      </c>
      <c r="Y6" s="1572" t="s">
        <v>110</v>
      </c>
      <c r="Z6" s="1572" t="s">
        <v>117</v>
      </c>
      <c r="AA6" s="1573" t="s">
        <v>118</v>
      </c>
    </row>
    <row r="7" spans="1:27" ht="26.25">
      <c r="A7" s="1670"/>
      <c r="B7" s="1671"/>
      <c r="C7" s="1576" t="str">
        <f t="shared" si="0"/>
        <v>Viandes/Poissons</v>
      </c>
      <c r="D7" s="2855" t="str">
        <f t="shared" si="0"/>
        <v xml:space="preserve"> </v>
      </c>
      <c r="E7" s="2855">
        <f t="shared" ref="E7:I8" si="1">IF(ISTEXT(T7),T7,(T7/$I$2)*$L$2)</f>
        <v>0</v>
      </c>
      <c r="F7" s="2855">
        <f t="shared" si="1"/>
        <v>0</v>
      </c>
      <c r="G7" s="2855">
        <f t="shared" si="1"/>
        <v>0</v>
      </c>
      <c r="H7" s="2855">
        <f t="shared" si="1"/>
        <v>0</v>
      </c>
      <c r="I7" s="2867">
        <f t="shared" si="1"/>
        <v>0</v>
      </c>
      <c r="J7" s="1577"/>
      <c r="K7" s="1579"/>
      <c r="L7" s="1580" t="str">
        <f t="shared" ref="L7:L46" si="2">IF(ISBLANK(K7),"",K7*J7)</f>
        <v/>
      </c>
      <c r="M7" s="1519">
        <v>25.5</v>
      </c>
      <c r="P7" s="1581"/>
      <c r="Q7" s="1582"/>
      <c r="R7" s="1583" t="s">
        <v>120</v>
      </c>
      <c r="S7" s="1584" t="s">
        <v>1456</v>
      </c>
      <c r="T7" s="1585"/>
      <c r="U7" s="1585"/>
      <c r="V7" s="1585"/>
      <c r="W7" s="1585"/>
      <c r="X7" s="1585"/>
      <c r="Y7" s="1585"/>
      <c r="Z7" s="1585"/>
      <c r="AA7" s="1586">
        <f t="shared" ref="AA7:AA46" si="3">IF(ISBLANK(Z7),0,Z7*Y7)</f>
        <v>0</v>
      </c>
    </row>
    <row r="8" spans="1:27" ht="23.25">
      <c r="A8" s="1670"/>
      <c r="B8" s="1671"/>
      <c r="C8" s="2853" t="str">
        <f t="shared" si="0"/>
        <v xml:space="preserve">Entrecôte </v>
      </c>
      <c r="D8" s="2851" t="str">
        <f t="shared" si="0"/>
        <v>kg</v>
      </c>
      <c r="E8" s="2852">
        <f t="shared" si="1"/>
        <v>0</v>
      </c>
      <c r="F8" s="2852">
        <f t="shared" si="1"/>
        <v>1</v>
      </c>
      <c r="G8" s="2852">
        <f t="shared" si="1"/>
        <v>0</v>
      </c>
      <c r="H8" s="2852">
        <f t="shared" si="1"/>
        <v>0</v>
      </c>
      <c r="I8" s="2852">
        <f t="shared" si="1"/>
        <v>0</v>
      </c>
      <c r="J8" s="2857">
        <f>IF(SUM(E8:I8)=0,"",SUM(E8:I8))</f>
        <v>1</v>
      </c>
      <c r="K8" s="1590"/>
      <c r="L8" s="1591" t="str">
        <f t="shared" si="2"/>
        <v/>
      </c>
      <c r="M8" s="1519">
        <v>25.5</v>
      </c>
      <c r="P8" s="1581"/>
      <c r="Q8" s="1582"/>
      <c r="R8" s="1592" t="s">
        <v>1962</v>
      </c>
      <c r="S8" s="1550" t="s">
        <v>166</v>
      </c>
      <c r="T8" s="1592"/>
      <c r="U8" s="1592">
        <v>2</v>
      </c>
      <c r="V8" s="1592"/>
      <c r="W8" s="1592"/>
      <c r="X8" s="1592"/>
      <c r="Y8" s="1592">
        <f>IF(SUM(T8:X8)=0,"",SUM(T8:X8))</f>
        <v>2</v>
      </c>
      <c r="Z8" s="1592"/>
      <c r="AA8" s="1593">
        <f t="shared" si="3"/>
        <v>0</v>
      </c>
    </row>
    <row r="9" spans="1:27" ht="23.25">
      <c r="A9" s="1670"/>
      <c r="B9" s="1671"/>
      <c r="C9" s="2853" t="str">
        <f t="shared" ref="C9:C13" si="4">R9</f>
        <v xml:space="preserve"> </v>
      </c>
      <c r="D9" s="2851">
        <f t="shared" ref="D9:D13" si="5">S9</f>
        <v>0</v>
      </c>
      <c r="E9" s="2852">
        <f t="shared" ref="E9:E13" si="6">IF(ISTEXT(T9),T9,(T9/$I$2)*$L$2)</f>
        <v>0</v>
      </c>
      <c r="F9" s="2852" t="str">
        <f t="shared" ref="F9:F13" si="7">IF(ISTEXT(U9),U9,(U9/$I$2)*$L$2)</f>
        <v xml:space="preserve"> </v>
      </c>
      <c r="G9" s="2852">
        <f t="shared" ref="G9:G13" si="8">IF(ISTEXT(V9),V9,(V9/$I$2)*$L$2)</f>
        <v>0</v>
      </c>
      <c r="H9" s="2852">
        <f t="shared" ref="H9:H13" si="9">IF(ISTEXT(W9),W9,(W9/$I$2)*$L$2)</f>
        <v>0</v>
      </c>
      <c r="I9" s="2852">
        <f t="shared" ref="I9:I13" si="10">IF(ISTEXT(X9),X9,(X9/$I$2)*$L$2)</f>
        <v>0</v>
      </c>
      <c r="J9" s="2857" t="str">
        <f t="shared" ref="J9:J47" si="11">IF(SUM(E9:I9)=0,"",SUM(E9:I9))</f>
        <v/>
      </c>
      <c r="K9" s="1590"/>
      <c r="L9" s="1591" t="str">
        <f t="shared" si="2"/>
        <v/>
      </c>
      <c r="M9" s="1519">
        <v>25.5</v>
      </c>
      <c r="P9" s="1581"/>
      <c r="Q9" s="1582"/>
      <c r="R9" s="1592" t="s">
        <v>1456</v>
      </c>
      <c r="S9" s="1550"/>
      <c r="T9" s="1592"/>
      <c r="U9" s="1592" t="s">
        <v>1456</v>
      </c>
      <c r="V9" s="1592"/>
      <c r="W9" s="1592"/>
      <c r="X9" s="1592"/>
      <c r="Y9" s="1592" t="str">
        <f t="shared" ref="Y9" si="12">IF(SUM(T9:X9)=0,"",SUM(T9:X9))</f>
        <v/>
      </c>
      <c r="Z9" s="1592"/>
      <c r="AA9" s="1593">
        <f t="shared" si="3"/>
        <v>0</v>
      </c>
    </row>
    <row r="10" spans="1:27" ht="23.25">
      <c r="A10" s="1670"/>
      <c r="B10" s="1671"/>
      <c r="C10" s="2853" t="str">
        <f t="shared" si="4"/>
        <v xml:space="preserve"> </v>
      </c>
      <c r="D10" s="2851">
        <f t="shared" si="5"/>
        <v>0</v>
      </c>
      <c r="E10" s="2852">
        <f t="shared" si="6"/>
        <v>0</v>
      </c>
      <c r="F10" s="2852" t="str">
        <f t="shared" si="7"/>
        <v xml:space="preserve"> </v>
      </c>
      <c r="G10" s="2852">
        <f t="shared" si="8"/>
        <v>0</v>
      </c>
      <c r="H10" s="2852">
        <f t="shared" si="9"/>
        <v>0</v>
      </c>
      <c r="I10" s="2852">
        <f t="shared" si="10"/>
        <v>0</v>
      </c>
      <c r="J10" s="2857" t="str">
        <f>IF(SUM(E10:I10)=0,"",SUM(E10:I10))</f>
        <v/>
      </c>
      <c r="K10" s="1590"/>
      <c r="L10" s="1591" t="str">
        <f t="shared" si="2"/>
        <v/>
      </c>
      <c r="M10" s="1519">
        <v>25.5</v>
      </c>
      <c r="P10" s="1581"/>
      <c r="Q10" s="1582"/>
      <c r="R10" s="1592" t="s">
        <v>1456</v>
      </c>
      <c r="S10" s="1550"/>
      <c r="T10" s="1592"/>
      <c r="U10" s="1592" t="s">
        <v>1456</v>
      </c>
      <c r="V10" s="1592"/>
      <c r="W10" s="1592"/>
      <c r="X10" s="1592"/>
      <c r="Y10" s="1592" t="str">
        <f>IF(SUM(T10:X10)=0,"",SUM(T10:X10))</f>
        <v/>
      </c>
      <c r="Z10" s="1592"/>
      <c r="AA10" s="1593">
        <f t="shared" si="3"/>
        <v>0</v>
      </c>
    </row>
    <row r="11" spans="1:27" ht="23.25">
      <c r="A11" s="1670"/>
      <c r="B11" s="1671"/>
      <c r="C11" s="2853" t="str">
        <f t="shared" si="4"/>
        <v xml:space="preserve"> </v>
      </c>
      <c r="D11" s="2851">
        <f t="shared" si="5"/>
        <v>0</v>
      </c>
      <c r="E11" s="2852">
        <f t="shared" si="6"/>
        <v>0</v>
      </c>
      <c r="F11" s="2852" t="str">
        <f t="shared" si="7"/>
        <v xml:space="preserve"> </v>
      </c>
      <c r="G11" s="2852">
        <f t="shared" si="8"/>
        <v>0</v>
      </c>
      <c r="H11" s="2852">
        <f t="shared" si="9"/>
        <v>0</v>
      </c>
      <c r="I11" s="2852">
        <f t="shared" si="10"/>
        <v>0</v>
      </c>
      <c r="J11" s="2857" t="str">
        <f t="shared" si="11"/>
        <v/>
      </c>
      <c r="K11" s="1590"/>
      <c r="L11" s="1591" t="str">
        <f t="shared" si="2"/>
        <v/>
      </c>
      <c r="M11" s="1519">
        <v>25.5</v>
      </c>
      <c r="P11" s="1581"/>
      <c r="Q11" s="1582"/>
      <c r="R11" s="1594" t="s">
        <v>1456</v>
      </c>
      <c r="S11" s="1550"/>
      <c r="T11" s="1592"/>
      <c r="U11" s="1592" t="s">
        <v>1456</v>
      </c>
      <c r="V11" s="1592"/>
      <c r="W11" s="1592"/>
      <c r="X11" s="1592"/>
      <c r="Y11" s="1592" t="str">
        <f t="shared" ref="Y11:Y24" si="13">IF(SUM(T11:X11)=0,"",SUM(T11:X11))</f>
        <v/>
      </c>
      <c r="Z11" s="1592"/>
      <c r="AA11" s="1593">
        <f t="shared" si="3"/>
        <v>0</v>
      </c>
    </row>
    <row r="12" spans="1:27" ht="26.25">
      <c r="A12" s="1670"/>
      <c r="B12" s="1671"/>
      <c r="C12" s="1576" t="str">
        <f t="shared" si="4"/>
        <v>LEGUMERIE</v>
      </c>
      <c r="D12" s="2855" t="str">
        <f t="shared" si="5"/>
        <v xml:space="preserve"> </v>
      </c>
      <c r="E12" s="2855">
        <f t="shared" si="6"/>
        <v>0</v>
      </c>
      <c r="F12" s="2855" t="str">
        <f t="shared" si="7"/>
        <v xml:space="preserve"> </v>
      </c>
      <c r="G12" s="2855">
        <f t="shared" si="8"/>
        <v>0</v>
      </c>
      <c r="H12" s="2855">
        <f t="shared" si="9"/>
        <v>0</v>
      </c>
      <c r="I12" s="2867">
        <f t="shared" si="10"/>
        <v>0</v>
      </c>
      <c r="J12" s="1577" t="str">
        <f t="shared" si="11"/>
        <v/>
      </c>
      <c r="K12" s="1579"/>
      <c r="L12" s="1580" t="str">
        <f t="shared" si="2"/>
        <v/>
      </c>
      <c r="M12" s="1519">
        <v>25.5</v>
      </c>
      <c r="P12" s="1581"/>
      <c r="Q12" s="1582"/>
      <c r="R12" s="1598" t="s">
        <v>1460</v>
      </c>
      <c r="S12" s="1584" t="s">
        <v>1456</v>
      </c>
      <c r="T12" s="1599"/>
      <c r="U12" s="1599" t="s">
        <v>1456</v>
      </c>
      <c r="V12" s="1599"/>
      <c r="W12" s="1599"/>
      <c r="X12" s="1599"/>
      <c r="Y12" s="1599" t="str">
        <f t="shared" si="13"/>
        <v/>
      </c>
      <c r="Z12" s="1599"/>
      <c r="AA12" s="1600">
        <f t="shared" si="3"/>
        <v>0</v>
      </c>
    </row>
    <row r="13" spans="1:27" ht="23.25">
      <c r="A13" s="1670"/>
      <c r="B13" s="1671"/>
      <c r="C13" s="2853" t="str">
        <f t="shared" si="4"/>
        <v>pommes de terre</v>
      </c>
      <c r="D13" s="2851" t="str">
        <f t="shared" si="5"/>
        <v>kg</v>
      </c>
      <c r="E13" s="2852">
        <f t="shared" si="6"/>
        <v>0</v>
      </c>
      <c r="F13" s="2852">
        <f t="shared" si="7"/>
        <v>1</v>
      </c>
      <c r="G13" s="2852">
        <f t="shared" si="8"/>
        <v>0</v>
      </c>
      <c r="H13" s="2852">
        <f t="shared" si="9"/>
        <v>0</v>
      </c>
      <c r="I13" s="2852">
        <f t="shared" si="10"/>
        <v>0</v>
      </c>
      <c r="J13" s="2857">
        <f t="shared" si="11"/>
        <v>1</v>
      </c>
      <c r="K13" s="1590"/>
      <c r="L13" s="1591" t="str">
        <f t="shared" si="2"/>
        <v/>
      </c>
      <c r="M13" s="1519">
        <v>25.5</v>
      </c>
      <c r="P13" s="1581"/>
      <c r="Q13" s="1582"/>
      <c r="R13" s="1592" t="s">
        <v>1963</v>
      </c>
      <c r="S13" s="1550" t="s">
        <v>166</v>
      </c>
      <c r="T13" s="1592"/>
      <c r="U13" s="1592">
        <v>2</v>
      </c>
      <c r="V13" s="1592"/>
      <c r="W13" s="1592"/>
      <c r="X13" s="1592"/>
      <c r="Y13" s="1592">
        <f t="shared" si="13"/>
        <v>2</v>
      </c>
      <c r="Z13" s="1592"/>
      <c r="AA13" s="1593">
        <f t="shared" si="3"/>
        <v>0</v>
      </c>
    </row>
    <row r="14" spans="1:27" ht="23.25">
      <c r="A14" s="1670"/>
      <c r="B14" s="1672"/>
      <c r="C14" s="2853" t="str">
        <f t="shared" ref="C14:C26" si="14">R14</f>
        <v>carottes</v>
      </c>
      <c r="D14" s="2851" t="str">
        <f t="shared" ref="D14:D26" si="15">S14</f>
        <v>kg</v>
      </c>
      <c r="E14" s="2852">
        <f t="shared" ref="E14:E26" si="16">IF(ISTEXT(T14),T14,(T14/$I$2)*$L$2)</f>
        <v>0</v>
      </c>
      <c r="F14" s="2852">
        <f t="shared" ref="F14:F26" si="17">IF(ISTEXT(U14),U14,(U14/$I$2)*$L$2)</f>
        <v>0.5</v>
      </c>
      <c r="G14" s="2852">
        <f t="shared" ref="G14:G26" si="18">IF(ISTEXT(V14),V14,(V14/$I$2)*$L$2)</f>
        <v>0</v>
      </c>
      <c r="H14" s="2852">
        <f t="shared" ref="H14:H26" si="19">IF(ISTEXT(W14),W14,(W14/$I$2)*$L$2)</f>
        <v>0</v>
      </c>
      <c r="I14" s="2852">
        <f t="shared" ref="I14:I26" si="20">IF(ISTEXT(X14),X14,(X14/$I$2)*$L$2)</f>
        <v>0</v>
      </c>
      <c r="J14" s="2857">
        <f t="shared" si="11"/>
        <v>0.5</v>
      </c>
      <c r="K14" s="1590"/>
      <c r="L14" s="1591" t="str">
        <f t="shared" si="2"/>
        <v/>
      </c>
      <c r="M14" s="1519">
        <v>25.5</v>
      </c>
      <c r="P14" s="1581"/>
      <c r="Q14" s="1602"/>
      <c r="R14" s="1603" t="s">
        <v>1500</v>
      </c>
      <c r="S14" s="1550" t="s">
        <v>166</v>
      </c>
      <c r="T14" s="1604"/>
      <c r="U14" s="1592">
        <v>1</v>
      </c>
      <c r="V14" s="1592"/>
      <c r="W14" s="1592"/>
      <c r="X14" s="1592"/>
      <c r="Y14" s="1592">
        <f t="shared" si="13"/>
        <v>1</v>
      </c>
      <c r="Z14" s="1592"/>
      <c r="AA14" s="1593">
        <f t="shared" si="3"/>
        <v>0</v>
      </c>
    </row>
    <row r="15" spans="1:27" ht="23.25">
      <c r="A15" s="1670"/>
      <c r="B15" s="1671"/>
      <c r="C15" s="2853" t="str">
        <f t="shared" si="14"/>
        <v>oignons</v>
      </c>
      <c r="D15" s="2851" t="str">
        <f t="shared" si="15"/>
        <v>kg</v>
      </c>
      <c r="E15" s="2852">
        <f t="shared" si="16"/>
        <v>0</v>
      </c>
      <c r="F15" s="2852">
        <f t="shared" si="17"/>
        <v>0.5</v>
      </c>
      <c r="G15" s="2852" t="str">
        <f t="shared" si="18"/>
        <v xml:space="preserve"> </v>
      </c>
      <c r="H15" s="2852">
        <f t="shared" si="19"/>
        <v>0</v>
      </c>
      <c r="I15" s="2852">
        <f t="shared" si="20"/>
        <v>0</v>
      </c>
      <c r="J15" s="2857">
        <f t="shared" si="11"/>
        <v>0.5</v>
      </c>
      <c r="K15" s="1590"/>
      <c r="L15" s="1591" t="str">
        <f t="shared" si="2"/>
        <v/>
      </c>
      <c r="M15" s="1519">
        <v>25.5</v>
      </c>
      <c r="P15" s="1581"/>
      <c r="Q15" s="1582"/>
      <c r="R15" s="1592" t="s">
        <v>1533</v>
      </c>
      <c r="S15" s="1550" t="s">
        <v>166</v>
      </c>
      <c r="T15" s="1592"/>
      <c r="U15" s="1592">
        <v>1</v>
      </c>
      <c r="V15" s="1592" t="s">
        <v>1456</v>
      </c>
      <c r="W15" s="1592"/>
      <c r="X15" s="1592"/>
      <c r="Y15" s="1592">
        <f t="shared" si="13"/>
        <v>1</v>
      </c>
      <c r="Z15" s="1592"/>
      <c r="AA15" s="1593">
        <f t="shared" si="3"/>
        <v>0</v>
      </c>
    </row>
    <row r="16" spans="1:27" ht="23.25">
      <c r="A16" s="1670"/>
      <c r="B16" s="1671"/>
      <c r="C16" s="2853" t="str">
        <f t="shared" si="14"/>
        <v>haricots verts frais</v>
      </c>
      <c r="D16" s="2851" t="str">
        <f t="shared" si="15"/>
        <v>kg</v>
      </c>
      <c r="E16" s="2852">
        <f t="shared" si="16"/>
        <v>0</v>
      </c>
      <c r="F16" s="2852">
        <f t="shared" si="17"/>
        <v>0.15</v>
      </c>
      <c r="G16" s="2852">
        <f t="shared" si="18"/>
        <v>0</v>
      </c>
      <c r="H16" s="2852">
        <f t="shared" si="19"/>
        <v>0</v>
      </c>
      <c r="I16" s="2852">
        <f t="shared" si="20"/>
        <v>0</v>
      </c>
      <c r="J16" s="2857">
        <f t="shared" si="11"/>
        <v>0.15</v>
      </c>
      <c r="K16" s="1590"/>
      <c r="L16" s="1591" t="str">
        <f t="shared" si="2"/>
        <v/>
      </c>
      <c r="M16" s="1519">
        <v>25.5</v>
      </c>
      <c r="P16" s="1581"/>
      <c r="Q16" s="1582"/>
      <c r="R16" s="1592" t="s">
        <v>1964</v>
      </c>
      <c r="S16" s="1550" t="s">
        <v>166</v>
      </c>
      <c r="T16" s="1592"/>
      <c r="U16" s="1592">
        <v>0.3</v>
      </c>
      <c r="V16" s="1592"/>
      <c r="W16" s="1592"/>
      <c r="X16" s="1592"/>
      <c r="Y16" s="1592">
        <f t="shared" si="13"/>
        <v>0.3</v>
      </c>
      <c r="Z16" s="1592"/>
      <c r="AA16" s="1593">
        <f t="shared" si="3"/>
        <v>0</v>
      </c>
    </row>
    <row r="17" spans="1:27" ht="23.25">
      <c r="A17" s="1670"/>
      <c r="B17" s="1671"/>
      <c r="C17" s="2853" t="str">
        <f t="shared" si="14"/>
        <v>banane plantain</v>
      </c>
      <c r="D17" s="2851" t="str">
        <f t="shared" si="15"/>
        <v>p</v>
      </c>
      <c r="E17" s="2852">
        <f t="shared" si="16"/>
        <v>0</v>
      </c>
      <c r="F17" s="2852">
        <f t="shared" si="17"/>
        <v>0</v>
      </c>
      <c r="G17" s="2852">
        <f t="shared" si="18"/>
        <v>0</v>
      </c>
      <c r="H17" s="2852">
        <f t="shared" si="19"/>
        <v>0</v>
      </c>
      <c r="I17" s="2852">
        <f t="shared" si="20"/>
        <v>1</v>
      </c>
      <c r="J17" s="2857">
        <f t="shared" si="11"/>
        <v>1</v>
      </c>
      <c r="K17" s="1590"/>
      <c r="L17" s="1591" t="str">
        <f t="shared" si="2"/>
        <v/>
      </c>
      <c r="M17" s="1519">
        <v>25.5</v>
      </c>
      <c r="P17" s="1581"/>
      <c r="Q17" s="1582"/>
      <c r="R17" s="1592" t="s">
        <v>1965</v>
      </c>
      <c r="S17" s="1550" t="s">
        <v>788</v>
      </c>
      <c r="T17" s="1592"/>
      <c r="U17" s="1592"/>
      <c r="V17" s="1592"/>
      <c r="W17" s="1592"/>
      <c r="X17" s="1592">
        <v>2</v>
      </c>
      <c r="Y17" s="1592">
        <f t="shared" si="13"/>
        <v>2</v>
      </c>
      <c r="Z17" s="1592"/>
      <c r="AA17" s="1593">
        <f t="shared" si="3"/>
        <v>0</v>
      </c>
    </row>
    <row r="18" spans="1:27" ht="23.25">
      <c r="A18" s="1670"/>
      <c r="B18" s="1671"/>
      <c r="C18" s="2853" t="str">
        <f t="shared" si="14"/>
        <v>feuille de bananier</v>
      </c>
      <c r="D18" s="2851" t="str">
        <f t="shared" si="15"/>
        <v>p</v>
      </c>
      <c r="E18" s="2852" t="str">
        <f t="shared" si="16"/>
        <v xml:space="preserve"> </v>
      </c>
      <c r="F18" s="2852" t="str">
        <f t="shared" si="17"/>
        <v xml:space="preserve"> </v>
      </c>
      <c r="G18" s="2852" t="str">
        <f t="shared" si="18"/>
        <v xml:space="preserve"> </v>
      </c>
      <c r="H18" s="2852" t="str">
        <f t="shared" si="19"/>
        <v xml:space="preserve"> </v>
      </c>
      <c r="I18" s="2852">
        <f t="shared" si="20"/>
        <v>0.5</v>
      </c>
      <c r="J18" s="2857">
        <f t="shared" si="11"/>
        <v>0.5</v>
      </c>
      <c r="K18" s="1590"/>
      <c r="L18" s="1591" t="str">
        <f t="shared" si="2"/>
        <v/>
      </c>
      <c r="M18" s="1519">
        <v>25.5</v>
      </c>
      <c r="P18" s="1581"/>
      <c r="Q18" s="1582"/>
      <c r="R18" s="1592" t="s">
        <v>1966</v>
      </c>
      <c r="S18" s="1550" t="s">
        <v>788</v>
      </c>
      <c r="T18" s="1592" t="s">
        <v>1456</v>
      </c>
      <c r="U18" s="1592" t="s">
        <v>1456</v>
      </c>
      <c r="V18" s="1592" t="s">
        <v>1456</v>
      </c>
      <c r="W18" s="1592" t="s">
        <v>1456</v>
      </c>
      <c r="X18" s="1592">
        <v>1</v>
      </c>
      <c r="Y18" s="1592">
        <f t="shared" si="13"/>
        <v>1</v>
      </c>
      <c r="Z18" s="1592"/>
      <c r="AA18" s="1593">
        <f t="shared" si="3"/>
        <v>0</v>
      </c>
    </row>
    <row r="19" spans="1:27" ht="23.25">
      <c r="A19" s="1670"/>
      <c r="B19" s="1671"/>
      <c r="C19" s="2853">
        <f t="shared" si="14"/>
        <v>0</v>
      </c>
      <c r="D19" s="2851">
        <f t="shared" si="15"/>
        <v>0</v>
      </c>
      <c r="E19" s="2852">
        <f t="shared" si="16"/>
        <v>0</v>
      </c>
      <c r="F19" s="2852">
        <f t="shared" si="17"/>
        <v>0</v>
      </c>
      <c r="G19" s="2852">
        <f t="shared" si="18"/>
        <v>0</v>
      </c>
      <c r="H19" s="2852">
        <f t="shared" si="19"/>
        <v>0</v>
      </c>
      <c r="I19" s="2852">
        <f t="shared" si="20"/>
        <v>0</v>
      </c>
      <c r="J19" s="2857" t="str">
        <f t="shared" si="11"/>
        <v/>
      </c>
      <c r="K19" s="1590"/>
      <c r="L19" s="1591" t="str">
        <f t="shared" si="2"/>
        <v/>
      </c>
      <c r="M19" s="1519">
        <v>25.5</v>
      </c>
      <c r="P19" s="1581"/>
      <c r="Q19" s="1582"/>
      <c r="R19" s="1592"/>
      <c r="S19" s="1550"/>
      <c r="T19" s="1592"/>
      <c r="U19" s="1592"/>
      <c r="V19" s="1592"/>
      <c r="W19" s="1592"/>
      <c r="X19" s="1592"/>
      <c r="Y19" s="1592" t="str">
        <f t="shared" si="13"/>
        <v/>
      </c>
      <c r="Z19" s="1592"/>
      <c r="AA19" s="1593">
        <f t="shared" si="3"/>
        <v>0</v>
      </c>
    </row>
    <row r="20" spans="1:27" ht="23.25">
      <c r="A20" s="1670"/>
      <c r="B20" s="1671"/>
      <c r="C20" s="2853">
        <f t="shared" si="14"/>
        <v>0</v>
      </c>
      <c r="D20" s="2851">
        <f t="shared" si="15"/>
        <v>0</v>
      </c>
      <c r="E20" s="2852">
        <f t="shared" si="16"/>
        <v>0</v>
      </c>
      <c r="F20" s="2852">
        <f t="shared" si="17"/>
        <v>0</v>
      </c>
      <c r="G20" s="2852">
        <f t="shared" si="18"/>
        <v>0</v>
      </c>
      <c r="H20" s="2852">
        <f t="shared" si="19"/>
        <v>0</v>
      </c>
      <c r="I20" s="2852">
        <f t="shared" si="20"/>
        <v>0</v>
      </c>
      <c r="J20" s="2857" t="str">
        <f t="shared" si="11"/>
        <v/>
      </c>
      <c r="K20" s="1590"/>
      <c r="L20" s="1591" t="str">
        <f t="shared" si="2"/>
        <v/>
      </c>
      <c r="M20" s="1519">
        <v>25.5</v>
      </c>
      <c r="P20" s="1581"/>
      <c r="Q20" s="1582"/>
      <c r="R20" s="1592"/>
      <c r="S20" s="1550"/>
      <c r="T20" s="1592"/>
      <c r="U20" s="1592"/>
      <c r="V20" s="1592"/>
      <c r="W20" s="1592"/>
      <c r="X20" s="1592"/>
      <c r="Y20" s="1592" t="str">
        <f t="shared" si="13"/>
        <v/>
      </c>
      <c r="Z20" s="1592"/>
      <c r="AA20" s="1593">
        <f t="shared" si="3"/>
        <v>0</v>
      </c>
    </row>
    <row r="21" spans="1:27" ht="23.25">
      <c r="A21" s="1670"/>
      <c r="B21" s="1671"/>
      <c r="C21" s="2853">
        <f t="shared" si="14"/>
        <v>0</v>
      </c>
      <c r="D21" s="2851">
        <f t="shared" si="15"/>
        <v>0</v>
      </c>
      <c r="E21" s="2852">
        <f t="shared" si="16"/>
        <v>0</v>
      </c>
      <c r="F21" s="2852">
        <f t="shared" si="17"/>
        <v>0</v>
      </c>
      <c r="G21" s="2852">
        <f t="shared" si="18"/>
        <v>0</v>
      </c>
      <c r="H21" s="2852">
        <f t="shared" si="19"/>
        <v>0</v>
      </c>
      <c r="I21" s="2852">
        <f t="shared" si="20"/>
        <v>0</v>
      </c>
      <c r="J21" s="2857" t="str">
        <f t="shared" si="11"/>
        <v/>
      </c>
      <c r="K21" s="1590"/>
      <c r="L21" s="1591" t="str">
        <f t="shared" si="2"/>
        <v/>
      </c>
      <c r="M21" s="1519">
        <v>25.5</v>
      </c>
      <c r="P21" s="1581"/>
      <c r="Q21" s="1582"/>
      <c r="R21" s="1592"/>
      <c r="S21" s="1550"/>
      <c r="T21" s="1592"/>
      <c r="U21" s="1592"/>
      <c r="V21" s="1592"/>
      <c r="W21" s="1592"/>
      <c r="X21" s="1592"/>
      <c r="Y21" s="1592" t="str">
        <f t="shared" si="13"/>
        <v/>
      </c>
      <c r="Z21" s="1592"/>
      <c r="AA21" s="1593">
        <f t="shared" si="3"/>
        <v>0</v>
      </c>
    </row>
    <row r="22" spans="1:27" ht="23.25">
      <c r="A22" s="1670"/>
      <c r="B22" s="1671"/>
      <c r="C22" s="2853">
        <f t="shared" si="14"/>
        <v>0</v>
      </c>
      <c r="D22" s="2851">
        <f t="shared" si="15"/>
        <v>0</v>
      </c>
      <c r="E22" s="2852">
        <f t="shared" si="16"/>
        <v>0</v>
      </c>
      <c r="F22" s="2852">
        <f t="shared" si="17"/>
        <v>0</v>
      </c>
      <c r="G22" s="2852">
        <f t="shared" si="18"/>
        <v>0</v>
      </c>
      <c r="H22" s="2852">
        <f t="shared" si="19"/>
        <v>0</v>
      </c>
      <c r="I22" s="2852">
        <f t="shared" si="20"/>
        <v>0</v>
      </c>
      <c r="J22" s="2857" t="str">
        <f t="shared" si="11"/>
        <v/>
      </c>
      <c r="K22" s="1590"/>
      <c r="L22" s="1591" t="str">
        <f t="shared" si="2"/>
        <v/>
      </c>
      <c r="M22" s="1519">
        <v>25.5</v>
      </c>
      <c r="P22" s="1581"/>
      <c r="Q22" s="1582"/>
      <c r="R22" s="1592"/>
      <c r="S22" s="1550"/>
      <c r="T22" s="1592"/>
      <c r="U22" s="1592"/>
      <c r="V22" s="1592"/>
      <c r="W22" s="1592"/>
      <c r="X22" s="1592"/>
      <c r="Y22" s="1592" t="str">
        <f t="shared" si="13"/>
        <v/>
      </c>
      <c r="Z22" s="1592"/>
      <c r="AA22" s="1593">
        <f t="shared" si="3"/>
        <v>0</v>
      </c>
    </row>
    <row r="23" spans="1:27" ht="23.25">
      <c r="A23" s="1670"/>
      <c r="B23" s="1671"/>
      <c r="C23" s="2853">
        <f t="shared" si="14"/>
        <v>0</v>
      </c>
      <c r="D23" s="2851">
        <f t="shared" si="15"/>
        <v>0</v>
      </c>
      <c r="E23" s="2852">
        <f t="shared" si="16"/>
        <v>0</v>
      </c>
      <c r="F23" s="2852">
        <f t="shared" si="17"/>
        <v>0</v>
      </c>
      <c r="G23" s="2852">
        <f t="shared" si="18"/>
        <v>0</v>
      </c>
      <c r="H23" s="2852">
        <f t="shared" si="19"/>
        <v>0</v>
      </c>
      <c r="I23" s="2852">
        <f t="shared" si="20"/>
        <v>0</v>
      </c>
      <c r="J23" s="2857" t="str">
        <f t="shared" si="11"/>
        <v/>
      </c>
      <c r="K23" s="1590"/>
      <c r="L23" s="1591" t="str">
        <f t="shared" si="2"/>
        <v/>
      </c>
      <c r="M23" s="1519">
        <v>25.5</v>
      </c>
      <c r="P23" s="1581"/>
      <c r="Q23" s="1582"/>
      <c r="R23" s="1592"/>
      <c r="S23" s="1550"/>
      <c r="T23" s="1592"/>
      <c r="U23" s="1592"/>
      <c r="V23" s="1592"/>
      <c r="W23" s="1592"/>
      <c r="X23" s="1592"/>
      <c r="Y23" s="1592" t="str">
        <f t="shared" si="13"/>
        <v/>
      </c>
      <c r="Z23" s="1592"/>
      <c r="AA23" s="1593">
        <f t="shared" si="3"/>
        <v>0</v>
      </c>
    </row>
    <row r="24" spans="1:27" ht="23.25">
      <c r="A24" s="1670"/>
      <c r="B24" s="1671"/>
      <c r="C24" s="2853">
        <f t="shared" si="14"/>
        <v>0</v>
      </c>
      <c r="D24" s="2851">
        <f t="shared" si="15"/>
        <v>0</v>
      </c>
      <c r="E24" s="2852">
        <f t="shared" si="16"/>
        <v>0</v>
      </c>
      <c r="F24" s="2852">
        <f t="shared" si="17"/>
        <v>0</v>
      </c>
      <c r="G24" s="2852">
        <f t="shared" si="18"/>
        <v>0</v>
      </c>
      <c r="H24" s="2852">
        <f t="shared" si="19"/>
        <v>0</v>
      </c>
      <c r="I24" s="2852">
        <f t="shared" si="20"/>
        <v>0</v>
      </c>
      <c r="J24" s="2857" t="str">
        <f t="shared" si="11"/>
        <v/>
      </c>
      <c r="K24" s="1590"/>
      <c r="L24" s="1591" t="str">
        <f t="shared" si="2"/>
        <v/>
      </c>
      <c r="M24" s="1519">
        <v>25.5</v>
      </c>
      <c r="P24" s="1581"/>
      <c r="Q24" s="1582"/>
      <c r="R24" s="1592"/>
      <c r="S24" s="1550"/>
      <c r="T24" s="1592"/>
      <c r="U24" s="1592"/>
      <c r="V24" s="1592"/>
      <c r="W24" s="1592"/>
      <c r="X24" s="1592"/>
      <c r="Y24" s="1592" t="str">
        <f t="shared" si="13"/>
        <v/>
      </c>
      <c r="Z24" s="1592"/>
      <c r="AA24" s="1593">
        <f t="shared" si="3"/>
        <v>0</v>
      </c>
    </row>
    <row r="25" spans="1:27" ht="26.25">
      <c r="A25" s="1670"/>
      <c r="B25" s="1671"/>
      <c r="C25" s="1576" t="str">
        <f t="shared" si="14"/>
        <v>B.O.F</v>
      </c>
      <c r="D25" s="2855" t="str">
        <f t="shared" si="15"/>
        <v xml:space="preserve"> </v>
      </c>
      <c r="E25" s="2855">
        <f t="shared" si="16"/>
        <v>0</v>
      </c>
      <c r="F25" s="2855">
        <f t="shared" si="17"/>
        <v>0</v>
      </c>
      <c r="G25" s="2855">
        <f t="shared" si="18"/>
        <v>0</v>
      </c>
      <c r="H25" s="2855">
        <f t="shared" si="19"/>
        <v>0</v>
      </c>
      <c r="I25" s="2867">
        <f t="shared" si="20"/>
        <v>0</v>
      </c>
      <c r="J25" s="2866" t="s">
        <v>1456</v>
      </c>
      <c r="K25" s="1579"/>
      <c r="L25" s="1580" t="str">
        <f t="shared" si="2"/>
        <v/>
      </c>
      <c r="M25" s="1519">
        <v>25.5</v>
      </c>
      <c r="P25" s="1581"/>
      <c r="Q25" s="1582"/>
      <c r="R25" s="1598" t="s">
        <v>1465</v>
      </c>
      <c r="S25" s="1584" t="s">
        <v>1456</v>
      </c>
      <c r="T25" s="1599"/>
      <c r="U25" s="1599"/>
      <c r="V25" s="1599"/>
      <c r="W25" s="1599"/>
      <c r="X25" s="1599"/>
      <c r="Y25" s="1599" t="s">
        <v>1456</v>
      </c>
      <c r="Z25" s="1599"/>
      <c r="AA25" s="1600">
        <f t="shared" si="3"/>
        <v>0</v>
      </c>
    </row>
    <row r="26" spans="1:27" ht="23.25">
      <c r="A26" s="1670"/>
      <c r="B26" s="1671"/>
      <c r="C26" s="2853">
        <f t="shared" si="14"/>
        <v>0</v>
      </c>
      <c r="D26" s="2851">
        <f t="shared" si="15"/>
        <v>0</v>
      </c>
      <c r="E26" s="2852">
        <f t="shared" si="16"/>
        <v>0</v>
      </c>
      <c r="F26" s="2852">
        <f t="shared" si="17"/>
        <v>0</v>
      </c>
      <c r="G26" s="2852">
        <f t="shared" si="18"/>
        <v>0</v>
      </c>
      <c r="H26" s="2852">
        <f t="shared" si="19"/>
        <v>0</v>
      </c>
      <c r="I26" s="2852">
        <f t="shared" si="20"/>
        <v>0</v>
      </c>
      <c r="J26" s="2857" t="str">
        <f t="shared" si="11"/>
        <v/>
      </c>
      <c r="K26" s="1590"/>
      <c r="L26" s="1591" t="str">
        <f t="shared" si="2"/>
        <v/>
      </c>
      <c r="M26" s="1519">
        <v>25.5</v>
      </c>
      <c r="P26" s="1581"/>
      <c r="Q26" s="1582"/>
      <c r="R26" s="1592"/>
      <c r="S26" s="1550"/>
      <c r="T26" s="1592"/>
      <c r="U26" s="1592"/>
      <c r="V26" s="1592"/>
      <c r="W26" s="1592"/>
      <c r="X26" s="1592"/>
      <c r="Y26" s="1592" t="str">
        <f t="shared" ref="Y26:Y33" si="21">IF(SUM(T26:X26)=0,"",SUM(T26:X26))</f>
        <v/>
      </c>
      <c r="Z26" s="1592"/>
      <c r="AA26" s="1593">
        <f t="shared" si="3"/>
        <v>0</v>
      </c>
    </row>
    <row r="27" spans="1:27" ht="23.25">
      <c r="A27" s="1670"/>
      <c r="B27" s="1671"/>
      <c r="C27" s="2853">
        <f t="shared" ref="C27:C35" si="22">R27</f>
        <v>0</v>
      </c>
      <c r="D27" s="2851">
        <f t="shared" ref="D27:D35" si="23">S27</f>
        <v>0</v>
      </c>
      <c r="E27" s="2852">
        <f t="shared" ref="E27:E35" si="24">IF(ISTEXT(T27),T27,(T27/$I$2)*$L$2)</f>
        <v>0</v>
      </c>
      <c r="F27" s="2852">
        <f t="shared" ref="F27:F35" si="25">IF(ISTEXT(U27),U27,(U27/$I$2)*$L$2)</f>
        <v>0</v>
      </c>
      <c r="G27" s="2852">
        <f t="shared" ref="G27:G35" si="26">IF(ISTEXT(V27),V27,(V27/$I$2)*$L$2)</f>
        <v>0</v>
      </c>
      <c r="H27" s="2852">
        <f t="shared" ref="H27:H35" si="27">IF(ISTEXT(W27),W27,(W27/$I$2)*$L$2)</f>
        <v>0</v>
      </c>
      <c r="I27" s="2852">
        <f t="shared" ref="I27:I35" si="28">IF(ISTEXT(X27),X27,(X27/$I$2)*$L$2)</f>
        <v>0</v>
      </c>
      <c r="J27" s="2857" t="str">
        <f t="shared" si="11"/>
        <v/>
      </c>
      <c r="K27" s="1590"/>
      <c r="L27" s="1591" t="str">
        <f t="shared" si="2"/>
        <v/>
      </c>
      <c r="M27" s="1519">
        <v>25.5</v>
      </c>
      <c r="P27" s="1581"/>
      <c r="Q27" s="1582"/>
      <c r="R27" s="1592"/>
      <c r="S27" s="1550"/>
      <c r="T27" s="1592"/>
      <c r="U27" s="1592"/>
      <c r="V27" s="1592"/>
      <c r="W27" s="1592"/>
      <c r="X27" s="1592"/>
      <c r="Y27" s="1592" t="str">
        <f t="shared" si="21"/>
        <v/>
      </c>
      <c r="Z27" s="1592"/>
      <c r="AA27" s="1593">
        <f t="shared" si="3"/>
        <v>0</v>
      </c>
    </row>
    <row r="28" spans="1:27" ht="23.25">
      <c r="A28" s="1670"/>
      <c r="B28" s="1671"/>
      <c r="C28" s="2853">
        <f t="shared" si="22"/>
        <v>0</v>
      </c>
      <c r="D28" s="2851">
        <f t="shared" si="23"/>
        <v>0</v>
      </c>
      <c r="E28" s="2852">
        <f t="shared" si="24"/>
        <v>0</v>
      </c>
      <c r="F28" s="2852">
        <f t="shared" si="25"/>
        <v>0</v>
      </c>
      <c r="G28" s="2852">
        <f t="shared" si="26"/>
        <v>0</v>
      </c>
      <c r="H28" s="2852">
        <f t="shared" si="27"/>
        <v>0</v>
      </c>
      <c r="I28" s="2852">
        <f t="shared" si="28"/>
        <v>0</v>
      </c>
      <c r="J28" s="2857" t="str">
        <f t="shared" si="11"/>
        <v/>
      </c>
      <c r="K28" s="1590"/>
      <c r="L28" s="1591" t="str">
        <f t="shared" si="2"/>
        <v/>
      </c>
      <c r="M28" s="1519">
        <v>25.5</v>
      </c>
      <c r="P28" s="1581"/>
      <c r="Q28" s="1582"/>
      <c r="R28" s="1592"/>
      <c r="S28" s="1550"/>
      <c r="T28" s="1592"/>
      <c r="U28" s="1592"/>
      <c r="V28" s="1592"/>
      <c r="W28" s="1592"/>
      <c r="X28" s="1592"/>
      <c r="Y28" s="1592" t="str">
        <f t="shared" si="21"/>
        <v/>
      </c>
      <c r="Z28" s="1592"/>
      <c r="AA28" s="1593">
        <f t="shared" si="3"/>
        <v>0</v>
      </c>
    </row>
    <row r="29" spans="1:27" ht="23.25">
      <c r="A29" s="1670"/>
      <c r="B29" s="1671"/>
      <c r="C29" s="2853">
        <f t="shared" si="22"/>
        <v>0</v>
      </c>
      <c r="D29" s="2851">
        <f t="shared" si="23"/>
        <v>0</v>
      </c>
      <c r="E29" s="2852">
        <f t="shared" si="24"/>
        <v>0</v>
      </c>
      <c r="F29" s="2852">
        <f t="shared" si="25"/>
        <v>0</v>
      </c>
      <c r="G29" s="2852">
        <f t="shared" si="26"/>
        <v>0</v>
      </c>
      <c r="H29" s="2852">
        <f t="shared" si="27"/>
        <v>0</v>
      </c>
      <c r="I29" s="2852">
        <f t="shared" si="28"/>
        <v>0</v>
      </c>
      <c r="J29" s="2857" t="str">
        <f t="shared" si="11"/>
        <v/>
      </c>
      <c r="K29" s="1590"/>
      <c r="L29" s="1591" t="str">
        <f t="shared" si="2"/>
        <v/>
      </c>
      <c r="M29" s="1519">
        <v>25.5</v>
      </c>
      <c r="P29" s="1581"/>
      <c r="Q29" s="1582"/>
      <c r="R29" s="1592"/>
      <c r="S29" s="1550"/>
      <c r="T29" s="1592"/>
      <c r="U29" s="1592"/>
      <c r="V29" s="1592"/>
      <c r="W29" s="1592"/>
      <c r="X29" s="1592"/>
      <c r="Y29" s="1592" t="str">
        <f t="shared" si="21"/>
        <v/>
      </c>
      <c r="Z29" s="1592"/>
      <c r="AA29" s="1593">
        <f t="shared" si="3"/>
        <v>0</v>
      </c>
    </row>
    <row r="30" spans="1:27" ht="23.25">
      <c r="A30" s="1670"/>
      <c r="B30" s="1671"/>
      <c r="C30" s="2853">
        <f t="shared" si="22"/>
        <v>0</v>
      </c>
      <c r="D30" s="2851">
        <f t="shared" si="23"/>
        <v>0</v>
      </c>
      <c r="E30" s="2852">
        <f t="shared" si="24"/>
        <v>0</v>
      </c>
      <c r="F30" s="2852">
        <f t="shared" si="25"/>
        <v>0</v>
      </c>
      <c r="G30" s="2852">
        <f t="shared" si="26"/>
        <v>0</v>
      </c>
      <c r="H30" s="2852">
        <f t="shared" si="27"/>
        <v>0</v>
      </c>
      <c r="I30" s="2852">
        <f t="shared" si="28"/>
        <v>0</v>
      </c>
      <c r="J30" s="2857" t="str">
        <f t="shared" si="11"/>
        <v/>
      </c>
      <c r="K30" s="1590"/>
      <c r="L30" s="1591" t="str">
        <f t="shared" si="2"/>
        <v/>
      </c>
      <c r="M30" s="1519">
        <v>25.5</v>
      </c>
      <c r="P30" s="1581"/>
      <c r="Q30" s="1582"/>
      <c r="R30" s="1592"/>
      <c r="S30" s="1550"/>
      <c r="T30" s="1592"/>
      <c r="U30" s="1592"/>
      <c r="V30" s="1592"/>
      <c r="W30" s="1592"/>
      <c r="X30" s="1592"/>
      <c r="Y30" s="1592" t="str">
        <f t="shared" si="21"/>
        <v/>
      </c>
      <c r="Z30" s="1592"/>
      <c r="AA30" s="1593">
        <f t="shared" si="3"/>
        <v>0</v>
      </c>
    </row>
    <row r="31" spans="1:27" ht="23.25">
      <c r="A31" s="1670"/>
      <c r="B31" s="1671"/>
      <c r="C31" s="2853">
        <f t="shared" si="22"/>
        <v>0</v>
      </c>
      <c r="D31" s="2851">
        <f t="shared" si="23"/>
        <v>0</v>
      </c>
      <c r="E31" s="2852">
        <f t="shared" si="24"/>
        <v>0</v>
      </c>
      <c r="F31" s="2852">
        <f t="shared" si="25"/>
        <v>0</v>
      </c>
      <c r="G31" s="2852">
        <f t="shared" si="26"/>
        <v>0</v>
      </c>
      <c r="H31" s="2852">
        <f t="shared" si="27"/>
        <v>0</v>
      </c>
      <c r="I31" s="2852">
        <f t="shared" si="28"/>
        <v>0</v>
      </c>
      <c r="J31" s="2857" t="str">
        <f t="shared" si="11"/>
        <v/>
      </c>
      <c r="K31" s="1590"/>
      <c r="L31" s="1591" t="str">
        <f t="shared" si="2"/>
        <v/>
      </c>
      <c r="M31" s="1519">
        <v>25.5</v>
      </c>
      <c r="P31" s="1581"/>
      <c r="Q31" s="1582"/>
      <c r="R31" s="1592"/>
      <c r="S31" s="1550"/>
      <c r="T31" s="1592"/>
      <c r="U31" s="1592"/>
      <c r="V31" s="1592"/>
      <c r="W31" s="1592"/>
      <c r="X31" s="1592"/>
      <c r="Y31" s="1592" t="str">
        <f t="shared" si="21"/>
        <v/>
      </c>
      <c r="Z31" s="1592"/>
      <c r="AA31" s="1593">
        <f t="shared" si="3"/>
        <v>0</v>
      </c>
    </row>
    <row r="32" spans="1:27" ht="23.25">
      <c r="A32" s="1670"/>
      <c r="B32" s="1671"/>
      <c r="C32" s="2853">
        <f t="shared" si="22"/>
        <v>0</v>
      </c>
      <c r="D32" s="2851">
        <f t="shared" si="23"/>
        <v>0</v>
      </c>
      <c r="E32" s="2852">
        <f t="shared" si="24"/>
        <v>0</v>
      </c>
      <c r="F32" s="2852">
        <f t="shared" si="25"/>
        <v>0</v>
      </c>
      <c r="G32" s="2852">
        <f t="shared" si="26"/>
        <v>0</v>
      </c>
      <c r="H32" s="2852">
        <f t="shared" si="27"/>
        <v>0</v>
      </c>
      <c r="I32" s="2852">
        <f t="shared" si="28"/>
        <v>0</v>
      </c>
      <c r="J32" s="2857" t="str">
        <f t="shared" si="11"/>
        <v/>
      </c>
      <c r="K32" s="1590"/>
      <c r="L32" s="1591" t="str">
        <f t="shared" si="2"/>
        <v/>
      </c>
      <c r="M32" s="1519">
        <v>25.5</v>
      </c>
      <c r="P32" s="1581"/>
      <c r="Q32" s="1582"/>
      <c r="R32" s="1592"/>
      <c r="S32" s="1550"/>
      <c r="T32" s="1592"/>
      <c r="U32" s="1592"/>
      <c r="V32" s="1592"/>
      <c r="W32" s="1592"/>
      <c r="X32" s="1592"/>
      <c r="Y32" s="1592" t="str">
        <f t="shared" si="21"/>
        <v/>
      </c>
      <c r="Z32" s="1592"/>
      <c r="AA32" s="1593">
        <f t="shared" si="3"/>
        <v>0</v>
      </c>
    </row>
    <row r="33" spans="1:27" ht="23.25">
      <c r="A33" s="1670"/>
      <c r="B33" s="1671"/>
      <c r="C33" s="2853">
        <f t="shared" si="22"/>
        <v>0</v>
      </c>
      <c r="D33" s="2851">
        <f t="shared" si="23"/>
        <v>0</v>
      </c>
      <c r="E33" s="2852">
        <f t="shared" si="24"/>
        <v>0</v>
      </c>
      <c r="F33" s="2852">
        <f t="shared" si="25"/>
        <v>0</v>
      </c>
      <c r="G33" s="2852">
        <f t="shared" si="26"/>
        <v>0</v>
      </c>
      <c r="H33" s="2852">
        <f t="shared" si="27"/>
        <v>0</v>
      </c>
      <c r="I33" s="2852">
        <f t="shared" si="28"/>
        <v>0</v>
      </c>
      <c r="J33" s="2857" t="str">
        <f t="shared" si="11"/>
        <v/>
      </c>
      <c r="K33" s="1590"/>
      <c r="L33" s="1591" t="str">
        <f t="shared" si="2"/>
        <v/>
      </c>
      <c r="M33" s="1519">
        <v>25.5</v>
      </c>
      <c r="P33" s="1581"/>
      <c r="Q33" s="1582"/>
      <c r="R33" s="1592"/>
      <c r="S33" s="1550"/>
      <c r="T33" s="1592"/>
      <c r="U33" s="1592"/>
      <c r="V33" s="1592"/>
      <c r="W33" s="1592"/>
      <c r="X33" s="1592"/>
      <c r="Y33" s="1592" t="str">
        <f t="shared" si="21"/>
        <v/>
      </c>
      <c r="Z33" s="1592"/>
      <c r="AA33" s="1593">
        <f t="shared" si="3"/>
        <v>0</v>
      </c>
    </row>
    <row r="34" spans="1:27" ht="26.25">
      <c r="A34" s="1670"/>
      <c r="B34" s="1671"/>
      <c r="C34" s="1576" t="str">
        <f t="shared" si="22"/>
        <v>ECONOMAT/CAVE</v>
      </c>
      <c r="D34" s="2855" t="str">
        <f t="shared" si="23"/>
        <v xml:space="preserve"> </v>
      </c>
      <c r="E34" s="2855">
        <f t="shared" si="24"/>
        <v>0</v>
      </c>
      <c r="F34" s="2855">
        <f t="shared" si="25"/>
        <v>0</v>
      </c>
      <c r="G34" s="2855">
        <f t="shared" si="26"/>
        <v>0</v>
      </c>
      <c r="H34" s="2855">
        <f t="shared" si="27"/>
        <v>0</v>
      </c>
      <c r="I34" s="2867">
        <f t="shared" si="28"/>
        <v>0</v>
      </c>
      <c r="J34" s="1577" t="s">
        <v>1456</v>
      </c>
      <c r="K34" s="1579"/>
      <c r="L34" s="1580" t="str">
        <f t="shared" si="2"/>
        <v/>
      </c>
      <c r="M34" s="1519">
        <v>25.5</v>
      </c>
      <c r="P34" s="1581"/>
      <c r="Q34" s="1582"/>
      <c r="R34" s="1598" t="s">
        <v>1967</v>
      </c>
      <c r="S34" s="1584" t="s">
        <v>1456</v>
      </c>
      <c r="T34" s="1599"/>
      <c r="U34" s="1599"/>
      <c r="V34" s="1599"/>
      <c r="W34" s="1599"/>
      <c r="X34" s="1599"/>
      <c r="Y34" s="1599" t="s">
        <v>1456</v>
      </c>
      <c r="Z34" s="1599"/>
      <c r="AA34" s="1600">
        <f t="shared" si="3"/>
        <v>0</v>
      </c>
    </row>
    <row r="35" spans="1:27" ht="23.25">
      <c r="A35" s="1670"/>
      <c r="B35" s="1671"/>
      <c r="C35" s="2853" t="str">
        <f t="shared" si="22"/>
        <v>Konnyaku</v>
      </c>
      <c r="D35" s="2851" t="str">
        <f t="shared" si="23"/>
        <v>P</v>
      </c>
      <c r="E35" s="2852">
        <f t="shared" si="24"/>
        <v>0</v>
      </c>
      <c r="F35" s="2852">
        <f t="shared" si="25"/>
        <v>0.5</v>
      </c>
      <c r="G35" s="2852">
        <f t="shared" si="26"/>
        <v>0</v>
      </c>
      <c r="H35" s="2852">
        <f t="shared" si="27"/>
        <v>0</v>
      </c>
      <c r="I35" s="2852">
        <f t="shared" si="28"/>
        <v>0</v>
      </c>
      <c r="J35" s="2857">
        <f t="shared" si="11"/>
        <v>0.5</v>
      </c>
      <c r="K35" s="1590"/>
      <c r="L35" s="1591" t="str">
        <f t="shared" si="2"/>
        <v/>
      </c>
      <c r="M35" s="1519">
        <v>25.5</v>
      </c>
      <c r="P35" s="1581"/>
      <c r="Q35" s="1582"/>
      <c r="R35" s="1592" t="s">
        <v>1968</v>
      </c>
      <c r="S35" s="1550" t="s">
        <v>318</v>
      </c>
      <c r="T35" s="1592"/>
      <c r="U35" s="1592">
        <v>1</v>
      </c>
      <c r="V35" s="1592"/>
      <c r="W35" s="1592"/>
      <c r="X35" s="1592"/>
      <c r="Y35" s="1592">
        <f t="shared" ref="Y35:Y47" si="29">IF(SUM(T35:X35)=0,"",SUM(T35:X35))</f>
        <v>1</v>
      </c>
      <c r="Z35" s="1592"/>
      <c r="AA35" s="1593">
        <f t="shared" si="3"/>
        <v>0</v>
      </c>
    </row>
    <row r="36" spans="1:27" ht="23.25">
      <c r="A36" s="1670"/>
      <c r="B36" s="1671"/>
      <c r="C36" s="2853" t="str">
        <f t="shared" ref="C36:C46" si="30">R36</f>
        <v>SOJA UZUKUJI</v>
      </c>
      <c r="D36" s="2851" t="str">
        <f t="shared" ref="D36:D46" si="31">S36</f>
        <v>L</v>
      </c>
      <c r="E36" s="2852">
        <f t="shared" ref="E36:E46" si="32">IF(ISTEXT(T36),T36,(T36/$I$2)*$L$2)</f>
        <v>0</v>
      </c>
      <c r="F36" s="2852">
        <f t="shared" ref="F36:F46" si="33">IF(ISTEXT(U36),U36,(U36/$I$2)*$L$2)</f>
        <v>0.25</v>
      </c>
      <c r="G36" s="2852">
        <f t="shared" ref="G36:G46" si="34">IF(ISTEXT(V36),V36,(V36/$I$2)*$L$2)</f>
        <v>0</v>
      </c>
      <c r="H36" s="2852">
        <f t="shared" ref="H36:H46" si="35">IF(ISTEXT(W36),W36,(W36/$I$2)*$L$2)</f>
        <v>0</v>
      </c>
      <c r="I36" s="2852">
        <f t="shared" ref="I36:I46" si="36">IF(ISTEXT(X36),X36,(X36/$I$2)*$L$2)</f>
        <v>0</v>
      </c>
      <c r="J36" s="2857">
        <f t="shared" si="11"/>
        <v>0.25</v>
      </c>
      <c r="K36" s="1590"/>
      <c r="L36" s="1591" t="str">
        <f t="shared" si="2"/>
        <v/>
      </c>
      <c r="M36" s="1519">
        <v>25.5</v>
      </c>
      <c r="P36" s="1581"/>
      <c r="Q36" s="1582"/>
      <c r="R36" s="1592" t="s">
        <v>1969</v>
      </c>
      <c r="S36" s="1550" t="s">
        <v>224</v>
      </c>
      <c r="T36" s="1592"/>
      <c r="U36" s="1592">
        <v>0.5</v>
      </c>
      <c r="V36" s="1592"/>
      <c r="W36" s="1592"/>
      <c r="X36" s="1592"/>
      <c r="Y36" s="1592">
        <f t="shared" si="29"/>
        <v>0.5</v>
      </c>
      <c r="Z36" s="1592"/>
      <c r="AA36" s="1593">
        <f t="shared" si="3"/>
        <v>0</v>
      </c>
    </row>
    <row r="37" spans="1:27" ht="23.25">
      <c r="A37" s="1670"/>
      <c r="B37" s="1671"/>
      <c r="C37" s="2853" t="str">
        <f t="shared" si="30"/>
        <v>sucre</v>
      </c>
      <c r="D37" s="2851" t="str">
        <f t="shared" si="31"/>
        <v>kg</v>
      </c>
      <c r="E37" s="2852">
        <f t="shared" si="32"/>
        <v>0</v>
      </c>
      <c r="F37" s="2852">
        <f t="shared" si="33"/>
        <v>0.15</v>
      </c>
      <c r="G37" s="2852">
        <f t="shared" si="34"/>
        <v>0</v>
      </c>
      <c r="H37" s="2852">
        <f t="shared" si="35"/>
        <v>0</v>
      </c>
      <c r="I37" s="2852">
        <f t="shared" si="36"/>
        <v>0</v>
      </c>
      <c r="J37" s="2857">
        <f t="shared" si="11"/>
        <v>0.15</v>
      </c>
      <c r="K37" s="1590"/>
      <c r="L37" s="1591" t="str">
        <f t="shared" si="2"/>
        <v/>
      </c>
      <c r="M37" s="1519">
        <v>25.5</v>
      </c>
      <c r="P37" s="1581"/>
      <c r="Q37" s="1582"/>
      <c r="R37" s="1592" t="s">
        <v>216</v>
      </c>
      <c r="S37" s="1550" t="s">
        <v>166</v>
      </c>
      <c r="T37" s="1592"/>
      <c r="U37" s="1592">
        <v>0.3</v>
      </c>
      <c r="V37" s="1592"/>
      <c r="W37" s="1592"/>
      <c r="X37" s="1592"/>
      <c r="Y37" s="1592">
        <f t="shared" si="29"/>
        <v>0.3</v>
      </c>
      <c r="Z37" s="1592"/>
      <c r="AA37" s="1593">
        <f t="shared" si="3"/>
        <v>0</v>
      </c>
    </row>
    <row r="38" spans="1:27" ht="23.25">
      <c r="A38" s="1670"/>
      <c r="B38" s="1671"/>
      <c r="C38" s="2853" t="str">
        <f t="shared" si="30"/>
        <v>saké</v>
      </c>
      <c r="D38" s="2851" t="str">
        <f t="shared" si="31"/>
        <v>L</v>
      </c>
      <c r="E38" s="2852">
        <f t="shared" si="32"/>
        <v>0</v>
      </c>
      <c r="F38" s="2852">
        <f t="shared" si="33"/>
        <v>0.1</v>
      </c>
      <c r="G38" s="2852">
        <f t="shared" si="34"/>
        <v>0</v>
      </c>
      <c r="H38" s="2852">
        <f t="shared" si="35"/>
        <v>0</v>
      </c>
      <c r="I38" s="2852">
        <f t="shared" si="36"/>
        <v>0</v>
      </c>
      <c r="J38" s="2857">
        <f t="shared" si="11"/>
        <v>0.1</v>
      </c>
      <c r="K38" s="1590"/>
      <c r="L38" s="1591" t="str">
        <f t="shared" si="2"/>
        <v/>
      </c>
      <c r="M38" s="1519">
        <v>25.5</v>
      </c>
      <c r="P38" s="1581"/>
      <c r="Q38" s="1582"/>
      <c r="R38" s="1592" t="s">
        <v>1470</v>
      </c>
      <c r="S38" s="1550" t="s">
        <v>224</v>
      </c>
      <c r="T38" s="1592"/>
      <c r="U38" s="1592">
        <v>0.2</v>
      </c>
      <c r="V38" s="1592"/>
      <c r="W38" s="1592"/>
      <c r="X38" s="1592"/>
      <c r="Y38" s="1592">
        <f t="shared" si="29"/>
        <v>0.2</v>
      </c>
      <c r="Z38" s="1592"/>
      <c r="AA38" s="1593">
        <f t="shared" si="3"/>
        <v>0</v>
      </c>
    </row>
    <row r="39" spans="1:27" ht="23.25">
      <c r="A39" s="1670"/>
      <c r="B39" s="1671"/>
      <c r="C39" s="2853" t="str">
        <f t="shared" si="30"/>
        <v>Kombe</v>
      </c>
      <c r="D39" s="2851" t="str">
        <f t="shared" si="31"/>
        <v>kg</v>
      </c>
      <c r="E39" s="2852">
        <f t="shared" si="32"/>
        <v>0.05</v>
      </c>
      <c r="F39" s="2852">
        <f t="shared" si="33"/>
        <v>0</v>
      </c>
      <c r="G39" s="2852">
        <f t="shared" si="34"/>
        <v>0</v>
      </c>
      <c r="H39" s="2852">
        <f t="shared" si="35"/>
        <v>0</v>
      </c>
      <c r="I39" s="2852">
        <f t="shared" si="36"/>
        <v>0</v>
      </c>
      <c r="J39" s="2857">
        <f t="shared" si="11"/>
        <v>0.05</v>
      </c>
      <c r="K39" s="1590"/>
      <c r="L39" s="1591" t="str">
        <f t="shared" si="2"/>
        <v/>
      </c>
      <c r="M39" s="1519">
        <v>25.5</v>
      </c>
      <c r="P39" s="1581"/>
      <c r="Q39" s="1582"/>
      <c r="R39" s="1592" t="s">
        <v>1970</v>
      </c>
      <c r="S39" s="1550" t="s">
        <v>166</v>
      </c>
      <c r="T39" s="1592">
        <v>0.1</v>
      </c>
      <c r="U39" s="1592"/>
      <c r="V39" s="1592"/>
      <c r="W39" s="1592"/>
      <c r="X39" s="1592"/>
      <c r="Y39" s="1592">
        <f t="shared" si="29"/>
        <v>0.1</v>
      </c>
      <c r="Z39" s="1592"/>
      <c r="AA39" s="1593">
        <f t="shared" si="3"/>
        <v>0</v>
      </c>
    </row>
    <row r="40" spans="1:27" ht="23.25">
      <c r="A40" s="1670"/>
      <c r="B40" s="1671"/>
      <c r="C40" s="2853" t="str">
        <f t="shared" si="30"/>
        <v>bonite séchée fum</v>
      </c>
      <c r="D40" s="2851" t="str">
        <f t="shared" si="31"/>
        <v>kg</v>
      </c>
      <c r="E40" s="2852">
        <f t="shared" si="32"/>
        <v>0.05</v>
      </c>
      <c r="F40" s="2852">
        <f t="shared" si="33"/>
        <v>0</v>
      </c>
      <c r="G40" s="2852">
        <f t="shared" si="34"/>
        <v>0</v>
      </c>
      <c r="H40" s="2852">
        <f t="shared" si="35"/>
        <v>0</v>
      </c>
      <c r="I40" s="2852">
        <f t="shared" si="36"/>
        <v>0</v>
      </c>
      <c r="J40" s="2857">
        <f t="shared" si="11"/>
        <v>0.05</v>
      </c>
      <c r="K40" s="1590"/>
      <c r="L40" s="1591" t="str">
        <f t="shared" si="2"/>
        <v/>
      </c>
      <c r="M40" s="1519">
        <v>25.5</v>
      </c>
      <c r="P40" s="1581"/>
      <c r="Q40" s="1582"/>
      <c r="R40" s="1592" t="s">
        <v>1971</v>
      </c>
      <c r="S40" s="1550" t="s">
        <v>166</v>
      </c>
      <c r="T40" s="1592">
        <v>0.1</v>
      </c>
      <c r="U40" s="1592"/>
      <c r="V40" s="1592"/>
      <c r="W40" s="1592"/>
      <c r="X40" s="1592"/>
      <c r="Y40" s="1592">
        <f t="shared" si="29"/>
        <v>0.1</v>
      </c>
      <c r="Z40" s="1592"/>
      <c r="AA40" s="1593">
        <f t="shared" si="3"/>
        <v>0</v>
      </c>
    </row>
    <row r="41" spans="1:27" ht="23.25">
      <c r="A41" s="1670"/>
      <c r="B41" s="1671"/>
      <c r="C41" s="2853" t="str">
        <f t="shared" si="30"/>
        <v>piment doux</v>
      </c>
      <c r="D41" s="2851" t="str">
        <f t="shared" si="31"/>
        <v>kg</v>
      </c>
      <c r="E41" s="2852" t="str">
        <f t="shared" si="32"/>
        <v>pm</v>
      </c>
      <c r="F41" s="2852">
        <f t="shared" si="33"/>
        <v>0</v>
      </c>
      <c r="G41" s="2852">
        <f t="shared" si="34"/>
        <v>0</v>
      </c>
      <c r="H41" s="2852">
        <f t="shared" si="35"/>
        <v>0</v>
      </c>
      <c r="I41" s="2852">
        <f t="shared" si="36"/>
        <v>0</v>
      </c>
      <c r="J41" s="2857" t="str">
        <f t="shared" si="11"/>
        <v/>
      </c>
      <c r="K41" s="1590"/>
      <c r="L41" s="1591" t="str">
        <f t="shared" si="2"/>
        <v/>
      </c>
      <c r="M41" s="1519">
        <v>25.5</v>
      </c>
      <c r="P41" s="1581"/>
      <c r="Q41" s="1582"/>
      <c r="R41" s="1592" t="s">
        <v>1972</v>
      </c>
      <c r="S41" s="1550" t="s">
        <v>166</v>
      </c>
      <c r="T41" s="1592" t="s">
        <v>214</v>
      </c>
      <c r="U41" s="1592"/>
      <c r="V41" s="1592"/>
      <c r="W41" s="1592"/>
      <c r="X41" s="1592"/>
      <c r="Y41" s="1592" t="str">
        <f t="shared" si="29"/>
        <v/>
      </c>
      <c r="Z41" s="1592"/>
      <c r="AA41" s="1593">
        <f t="shared" si="3"/>
        <v>0</v>
      </c>
    </row>
    <row r="42" spans="1:27" ht="23.25">
      <c r="A42" s="1670"/>
      <c r="B42" s="1671"/>
      <c r="C42" s="2853" t="str">
        <f t="shared" si="30"/>
        <v>huile</v>
      </c>
      <c r="D42" s="2851" t="str">
        <f t="shared" si="31"/>
        <v>L</v>
      </c>
      <c r="E42" s="2852">
        <f t="shared" si="32"/>
        <v>0</v>
      </c>
      <c r="F42" s="2852">
        <f t="shared" si="33"/>
        <v>0.05</v>
      </c>
      <c r="G42" s="2852">
        <f t="shared" si="34"/>
        <v>0</v>
      </c>
      <c r="H42" s="2852">
        <f t="shared" si="35"/>
        <v>0</v>
      </c>
      <c r="I42" s="2852">
        <f t="shared" si="36"/>
        <v>0</v>
      </c>
      <c r="J42" s="2857">
        <f t="shared" si="11"/>
        <v>0.05</v>
      </c>
      <c r="K42" s="1590"/>
      <c r="L42" s="1591" t="str">
        <f t="shared" si="2"/>
        <v/>
      </c>
      <c r="M42" s="1519">
        <v>25.5</v>
      </c>
      <c r="P42" s="1581"/>
      <c r="Q42" s="1582"/>
      <c r="R42" s="1592" t="s">
        <v>1056</v>
      </c>
      <c r="S42" s="1550" t="s">
        <v>224</v>
      </c>
      <c r="T42" s="1592"/>
      <c r="U42" s="1592">
        <v>0.1</v>
      </c>
      <c r="V42" s="1592"/>
      <c r="W42" s="1592"/>
      <c r="X42" s="1592"/>
      <c r="Y42" s="1592">
        <f t="shared" si="29"/>
        <v>0.1</v>
      </c>
      <c r="Z42" s="1592"/>
      <c r="AA42" s="1593">
        <f t="shared" si="3"/>
        <v>0</v>
      </c>
    </row>
    <row r="43" spans="1:27" ht="23.25">
      <c r="A43" s="1670"/>
      <c r="B43" s="1671"/>
      <c r="C43" s="2853">
        <f t="shared" si="30"/>
        <v>0</v>
      </c>
      <c r="D43" s="2851">
        <f t="shared" si="31"/>
        <v>0</v>
      </c>
      <c r="E43" s="2852">
        <f t="shared" si="32"/>
        <v>0</v>
      </c>
      <c r="F43" s="2852">
        <f t="shared" si="33"/>
        <v>0</v>
      </c>
      <c r="G43" s="2852">
        <f t="shared" si="34"/>
        <v>0</v>
      </c>
      <c r="H43" s="2852">
        <f t="shared" si="35"/>
        <v>0</v>
      </c>
      <c r="I43" s="2852">
        <f t="shared" si="36"/>
        <v>0</v>
      </c>
      <c r="J43" s="2857" t="str">
        <f t="shared" si="11"/>
        <v/>
      </c>
      <c r="K43" s="1590"/>
      <c r="L43" s="1591" t="str">
        <f t="shared" si="2"/>
        <v/>
      </c>
      <c r="M43" s="1519">
        <v>25.5</v>
      </c>
      <c r="P43" s="1581"/>
      <c r="Q43" s="1582"/>
      <c r="R43" s="1592"/>
      <c r="S43" s="1550"/>
      <c r="T43" s="1592"/>
      <c r="U43" s="1592"/>
      <c r="V43" s="1592"/>
      <c r="W43" s="1592"/>
      <c r="X43" s="1592"/>
      <c r="Y43" s="1592" t="str">
        <f t="shared" si="29"/>
        <v/>
      </c>
      <c r="Z43" s="1592"/>
      <c r="AA43" s="1593">
        <f t="shared" si="3"/>
        <v>0</v>
      </c>
    </row>
    <row r="44" spans="1:27" ht="23.25">
      <c r="A44" s="1670"/>
      <c r="B44" s="1671"/>
      <c r="C44" s="2853">
        <f t="shared" si="30"/>
        <v>0</v>
      </c>
      <c r="D44" s="2851">
        <f t="shared" si="31"/>
        <v>0</v>
      </c>
      <c r="E44" s="2852">
        <f t="shared" si="32"/>
        <v>0</v>
      </c>
      <c r="F44" s="2852">
        <f t="shared" si="33"/>
        <v>0</v>
      </c>
      <c r="G44" s="2852">
        <f t="shared" si="34"/>
        <v>0</v>
      </c>
      <c r="H44" s="2852">
        <f t="shared" si="35"/>
        <v>0</v>
      </c>
      <c r="I44" s="2852">
        <f t="shared" si="36"/>
        <v>0</v>
      </c>
      <c r="J44" s="2857" t="str">
        <f t="shared" si="11"/>
        <v/>
      </c>
      <c r="K44" s="1590"/>
      <c r="L44" s="1591" t="str">
        <f t="shared" si="2"/>
        <v/>
      </c>
      <c r="M44" s="1519">
        <v>25.5</v>
      </c>
      <c r="P44" s="1581"/>
      <c r="Q44" s="1582"/>
      <c r="R44" s="1592"/>
      <c r="S44" s="1550"/>
      <c r="T44" s="1592"/>
      <c r="U44" s="1592"/>
      <c r="V44" s="1592"/>
      <c r="W44" s="1592"/>
      <c r="X44" s="1592"/>
      <c r="Y44" s="1592" t="str">
        <f t="shared" si="29"/>
        <v/>
      </c>
      <c r="Z44" s="1592"/>
      <c r="AA44" s="1593">
        <f t="shared" si="3"/>
        <v>0</v>
      </c>
    </row>
    <row r="45" spans="1:27" ht="23.25">
      <c r="A45" s="1670"/>
      <c r="B45" s="1671"/>
      <c r="C45" s="2853">
        <f t="shared" si="30"/>
        <v>0</v>
      </c>
      <c r="D45" s="2851">
        <f t="shared" si="31"/>
        <v>0</v>
      </c>
      <c r="E45" s="2852">
        <f t="shared" si="32"/>
        <v>0</v>
      </c>
      <c r="F45" s="2852">
        <f t="shared" si="33"/>
        <v>0</v>
      </c>
      <c r="G45" s="2852">
        <f t="shared" si="34"/>
        <v>0</v>
      </c>
      <c r="H45" s="2852">
        <f t="shared" si="35"/>
        <v>0</v>
      </c>
      <c r="I45" s="2852">
        <f t="shared" si="36"/>
        <v>0</v>
      </c>
      <c r="J45" s="2857" t="str">
        <f t="shared" si="11"/>
        <v/>
      </c>
      <c r="K45" s="1590"/>
      <c r="L45" s="1591" t="str">
        <f t="shared" si="2"/>
        <v/>
      </c>
      <c r="M45" s="1519">
        <v>25.5</v>
      </c>
      <c r="P45" s="1581"/>
      <c r="Q45" s="1582"/>
      <c r="R45" s="1592"/>
      <c r="S45" s="1550"/>
      <c r="T45" s="1592"/>
      <c r="U45" s="1592"/>
      <c r="V45" s="1592"/>
      <c r="W45" s="1592"/>
      <c r="X45" s="1592"/>
      <c r="Y45" s="1592" t="str">
        <f t="shared" si="29"/>
        <v/>
      </c>
      <c r="Z45" s="1592"/>
      <c r="AA45" s="1593">
        <f t="shared" si="3"/>
        <v>0</v>
      </c>
    </row>
    <row r="46" spans="1:27" ht="15.6" customHeight="1">
      <c r="A46" s="1539"/>
      <c r="B46" s="1673"/>
      <c r="C46" s="2853">
        <f t="shared" si="30"/>
        <v>0</v>
      </c>
      <c r="D46" s="2851">
        <f t="shared" si="31"/>
        <v>0</v>
      </c>
      <c r="E46" s="2852">
        <f t="shared" si="32"/>
        <v>0</v>
      </c>
      <c r="F46" s="2852">
        <f t="shared" si="33"/>
        <v>0</v>
      </c>
      <c r="G46" s="2852">
        <f t="shared" si="34"/>
        <v>0</v>
      </c>
      <c r="H46" s="2852">
        <f t="shared" si="35"/>
        <v>0</v>
      </c>
      <c r="I46" s="2852">
        <f t="shared" si="36"/>
        <v>0</v>
      </c>
      <c r="J46" s="1257" t="str">
        <f t="shared" si="11"/>
        <v/>
      </c>
      <c r="K46" s="1590"/>
      <c r="L46" s="1591" t="str">
        <f t="shared" si="2"/>
        <v/>
      </c>
      <c r="M46" s="1519">
        <v>25.5</v>
      </c>
      <c r="P46" s="1520"/>
      <c r="Q46" s="1582"/>
      <c r="R46" s="1592"/>
      <c r="S46" s="1550"/>
      <c r="T46" s="1610"/>
      <c r="U46" s="1610"/>
      <c r="V46" s="1610"/>
      <c r="W46" s="1610"/>
      <c r="X46" s="1610"/>
      <c r="Y46" s="1610" t="str">
        <f t="shared" si="29"/>
        <v/>
      </c>
      <c r="Z46" s="1592"/>
      <c r="AA46" s="1611">
        <f t="shared" si="3"/>
        <v>0</v>
      </c>
    </row>
    <row r="47" spans="1:27" ht="21" customHeight="1">
      <c r="A47" s="1533"/>
      <c r="B47" s="1612" t="s">
        <v>1480</v>
      </c>
      <c r="C47" s="1613"/>
      <c r="D47" s="1613"/>
      <c r="E47" s="1613"/>
      <c r="F47" s="1613"/>
      <c r="G47" s="1614"/>
      <c r="H47" s="1615"/>
      <c r="I47" s="1615"/>
      <c r="J47" s="1615" t="str">
        <f t="shared" si="11"/>
        <v/>
      </c>
      <c r="K47" s="1615" t="s">
        <v>2411</v>
      </c>
      <c r="L47" s="1616" t="str">
        <f>IF(J47="","",(J47*K47))</f>
        <v/>
      </c>
      <c r="M47" s="1519">
        <v>25.5</v>
      </c>
      <c r="P47" s="1533"/>
      <c r="Q47" s="1617" t="s">
        <v>1480</v>
      </c>
      <c r="R47" s="1536"/>
      <c r="S47" s="1536"/>
      <c r="T47" s="1192"/>
      <c r="U47" s="1192"/>
      <c r="V47" s="1533"/>
      <c r="W47" s="1536"/>
      <c r="X47" s="1536"/>
      <c r="Y47" s="1536" t="str">
        <f t="shared" si="29"/>
        <v/>
      </c>
      <c r="Z47" s="1536" t="s">
        <v>2411</v>
      </c>
      <c r="AA47" s="1616" t="str">
        <f>IF(Y47="","",(Y47*Z47))</f>
        <v/>
      </c>
    </row>
    <row r="48" spans="1:27" ht="21">
      <c r="A48" s="1581"/>
      <c r="B48" s="1618"/>
      <c r="C48" s="1619"/>
      <c r="D48" s="1618"/>
      <c r="E48" s="1619"/>
      <c r="F48" s="1619"/>
      <c r="G48" s="3522" t="s">
        <v>2288</v>
      </c>
      <c r="H48" s="3523"/>
      <c r="I48" s="1620">
        <f>L2</f>
        <v>5</v>
      </c>
      <c r="J48" s="1621"/>
      <c r="K48" s="1621"/>
      <c r="L48" s="1622">
        <f>SUM(L8:L46)</f>
        <v>0</v>
      </c>
      <c r="M48" s="1519">
        <v>25.5</v>
      </c>
      <c r="P48" s="1581"/>
      <c r="Q48" s="1352"/>
      <c r="R48" s="1623"/>
      <c r="S48" s="1192"/>
      <c r="T48" s="1623"/>
      <c r="U48" s="1623"/>
      <c r="V48" s="1624" t="s">
        <v>1482</v>
      </c>
      <c r="W48" s="1625"/>
      <c r="X48" s="1625"/>
      <c r="Y48" s="1625"/>
      <c r="Z48" s="1625"/>
      <c r="AA48" s="1626">
        <f>SUM(AA8:AA47)</f>
        <v>0</v>
      </c>
    </row>
    <row r="49" spans="1:27" ht="21">
      <c r="A49" s="1581"/>
      <c r="B49" s="1618" t="s">
        <v>1973</v>
      </c>
      <c r="C49" s="1618"/>
      <c r="D49" s="1618"/>
      <c r="E49" s="1618"/>
      <c r="F49" s="1618"/>
      <c r="G49" s="3548" t="s">
        <v>1483</v>
      </c>
      <c r="H49" s="3549"/>
      <c r="I49" s="3549"/>
      <c r="J49" s="3549"/>
      <c r="K49" s="1627">
        <v>0.02</v>
      </c>
      <c r="L49" s="1622">
        <f>L48*K49</f>
        <v>0</v>
      </c>
      <c r="M49" s="1519"/>
      <c r="P49" s="1581"/>
      <c r="Q49" s="1352" t="s">
        <v>1973</v>
      </c>
      <c r="R49" s="1192"/>
      <c r="S49" s="1192"/>
      <c r="T49" s="1192"/>
      <c r="U49" s="1192"/>
      <c r="V49" s="1628" t="s">
        <v>1483</v>
      </c>
      <c r="W49" s="1192"/>
      <c r="X49" s="1192"/>
      <c r="Y49" s="1192"/>
      <c r="Z49" s="1192"/>
      <c r="AA49" s="1537"/>
    </row>
    <row r="50" spans="1:27" ht="21.75" thickBot="1">
      <c r="A50" s="1520"/>
      <c r="B50" s="1629"/>
      <c r="C50" s="1629"/>
      <c r="D50" s="1629"/>
      <c r="E50" s="1629"/>
      <c r="F50" s="1629"/>
      <c r="G50" s="3614" t="s">
        <v>2289</v>
      </c>
      <c r="H50" s="3615"/>
      <c r="I50" s="3615"/>
      <c r="J50" s="3615"/>
      <c r="K50" s="1630"/>
      <c r="L50" s="1631">
        <f>(L48+L49)/I48</f>
        <v>0</v>
      </c>
      <c r="M50" s="1519">
        <v>33.75</v>
      </c>
      <c r="P50" s="1520"/>
      <c r="Q50" s="1632"/>
      <c r="R50" s="1633"/>
      <c r="S50" s="1633"/>
      <c r="T50" s="1633"/>
      <c r="U50" s="1633"/>
      <c r="V50" s="1634" t="s">
        <v>1484</v>
      </c>
      <c r="W50" s="1633"/>
      <c r="X50" s="1633"/>
      <c r="Y50" s="1633"/>
      <c r="Z50" s="1635"/>
      <c r="AA50" s="1636">
        <f>AA48/X2</f>
        <v>0</v>
      </c>
    </row>
    <row r="51" spans="1:27" ht="13.5" thickBot="1">
      <c r="M51" s="1519">
        <v>33.25</v>
      </c>
    </row>
    <row r="52" spans="1:27" ht="28.5">
      <c r="A52" s="1637" t="str">
        <f>B2</f>
        <v xml:space="preserve"> NIKUJYAGA (pot au feu de bœuf, Japonais)                   </v>
      </c>
      <c r="B52" s="2859"/>
      <c r="C52" s="1638"/>
      <c r="D52" s="1639"/>
      <c r="E52" s="1639"/>
      <c r="F52" s="1639"/>
      <c r="G52" s="1639"/>
      <c r="H52" s="1639"/>
      <c r="I52" s="1639"/>
      <c r="J52" s="1639"/>
      <c r="K52" s="1640" t="s">
        <v>104</v>
      </c>
      <c r="L52" s="3552">
        <v>1</v>
      </c>
      <c r="M52" s="1519">
        <v>33.75</v>
      </c>
      <c r="N52" s="1641" t="s">
        <v>1974</v>
      </c>
    </row>
    <row r="53" spans="1:27" ht="21">
      <c r="A53" s="1642" t="str">
        <f ca="1">MID(CELL("filename",A53),FIND("[",CELL("filename",A53)),300)</f>
        <v>[ff-8-restauration-Christian.Frechede.xlsx]nikujyaga (2)</v>
      </c>
      <c r="B53" s="1192"/>
      <c r="C53" s="1643"/>
      <c r="D53" s="1644"/>
      <c r="E53" s="1645"/>
      <c r="F53" s="1645"/>
      <c r="G53" s="1646"/>
      <c r="H53" s="360" t="s">
        <v>103</v>
      </c>
      <c r="I53" s="3553">
        <f ca="1">NOW()</f>
        <v>44545.461550462962</v>
      </c>
      <c r="J53" s="3553"/>
      <c r="K53" s="1647">
        <f ca="1">NOW()</f>
        <v>44545.461550462962</v>
      </c>
      <c r="L53" s="3538"/>
      <c r="M53" s="1519">
        <v>33.25</v>
      </c>
    </row>
    <row r="54" spans="1:27" ht="20.25" customHeight="1">
      <c r="A54" s="1648"/>
      <c r="B54" s="1191" t="s">
        <v>8</v>
      </c>
      <c r="C54" s="3554" t="s">
        <v>107</v>
      </c>
      <c r="D54" s="3554"/>
      <c r="E54" s="3554"/>
      <c r="F54" s="3554"/>
      <c r="G54" s="3554"/>
      <c r="H54" s="3554"/>
      <c r="I54" s="3554"/>
      <c r="J54" s="3554"/>
      <c r="K54" s="3555"/>
      <c r="L54" s="3556" t="str">
        <f>A52</f>
        <v xml:space="preserve"> NIKUJYAGA (pot au feu de bœuf, Japonais)                   </v>
      </c>
      <c r="M54" s="1519">
        <v>27.75</v>
      </c>
    </row>
    <row r="55" spans="1:27" ht="23.25">
      <c r="A55" s="1384"/>
      <c r="B55" s="1385"/>
      <c r="C55" s="1385"/>
      <c r="D55" s="1385"/>
      <c r="E55" s="1385"/>
      <c r="F55" s="1385"/>
      <c r="G55" s="1385"/>
      <c r="H55" s="1385"/>
      <c r="I55" s="1385"/>
      <c r="J55" s="1385"/>
      <c r="K55" s="1385"/>
      <c r="L55" s="3557"/>
      <c r="M55" s="1519">
        <v>23</v>
      </c>
    </row>
    <row r="56" spans="1:27" ht="23.25">
      <c r="A56" s="3559" t="s">
        <v>137</v>
      </c>
      <c r="B56" s="3560"/>
      <c r="C56" s="3560"/>
      <c r="D56" s="3560"/>
      <c r="E56" s="3560"/>
      <c r="F56" s="3560"/>
      <c r="G56" s="3560"/>
      <c r="H56" s="3560"/>
      <c r="I56" s="3560"/>
      <c r="J56" s="3560"/>
      <c r="K56" s="3561"/>
      <c r="L56" s="3557"/>
      <c r="M56" s="1519">
        <v>23</v>
      </c>
    </row>
    <row r="57" spans="1:27" ht="18.75">
      <c r="A57" s="358">
        <v>1</v>
      </c>
      <c r="B57" s="1649"/>
      <c r="C57" s="1649"/>
      <c r="D57" s="1649"/>
      <c r="E57" s="358">
        <v>1</v>
      </c>
      <c r="F57" s="1649"/>
      <c r="G57" s="1649"/>
      <c r="H57" s="1649"/>
      <c r="I57" s="1649"/>
      <c r="J57" s="1649"/>
      <c r="K57" s="1650"/>
      <c r="L57" s="3557"/>
      <c r="M57" s="1519">
        <v>23</v>
      </c>
    </row>
    <row r="58" spans="1:27" ht="18.75">
      <c r="A58" s="358">
        <v>2</v>
      </c>
      <c r="B58" s="1649"/>
      <c r="C58" s="1649"/>
      <c r="D58" s="1649"/>
      <c r="E58" s="358">
        <v>2</v>
      </c>
      <c r="F58" s="1649"/>
      <c r="G58" s="1649"/>
      <c r="H58" s="1649"/>
      <c r="I58" s="1649"/>
      <c r="J58" s="1649"/>
      <c r="K58" s="1650"/>
      <c r="L58" s="3557"/>
      <c r="M58" s="1519">
        <v>23</v>
      </c>
    </row>
    <row r="59" spans="1:27" ht="18.75">
      <c r="A59" s="358">
        <v>3</v>
      </c>
      <c r="B59" s="1649"/>
      <c r="C59" s="1649"/>
      <c r="D59" s="1649"/>
      <c r="E59" s="358">
        <v>3</v>
      </c>
      <c r="F59" s="1649"/>
      <c r="G59" s="1649"/>
      <c r="H59" s="1649"/>
      <c r="I59" s="1649"/>
      <c r="J59" s="1649"/>
      <c r="K59" s="1649"/>
      <c r="L59" s="3557"/>
      <c r="M59" s="1519">
        <v>23</v>
      </c>
    </row>
    <row r="60" spans="1:27" ht="18.75">
      <c r="A60" s="358">
        <v>4</v>
      </c>
      <c r="B60" s="1649"/>
      <c r="C60" s="1649"/>
      <c r="D60" s="1649"/>
      <c r="E60" s="358">
        <v>4</v>
      </c>
      <c r="F60" s="1649"/>
      <c r="G60" s="1649"/>
      <c r="H60" s="1649"/>
      <c r="I60" s="1649"/>
      <c r="J60" s="1649"/>
      <c r="K60" s="1649"/>
      <c r="L60" s="3557"/>
      <c r="M60" s="1519">
        <v>23</v>
      </c>
    </row>
    <row r="61" spans="1:27" ht="18.75">
      <c r="A61" s="358">
        <v>5</v>
      </c>
      <c r="B61" s="1649"/>
      <c r="C61" s="1649"/>
      <c r="D61" s="1649"/>
      <c r="E61" s="358">
        <v>5</v>
      </c>
      <c r="F61" s="1649"/>
      <c r="G61" s="1649"/>
      <c r="H61" s="1649"/>
      <c r="I61" s="1649"/>
      <c r="J61" s="1649"/>
      <c r="K61" s="1649"/>
      <c r="L61" s="3557"/>
      <c r="M61" s="1519">
        <v>23</v>
      </c>
    </row>
    <row r="62" spans="1:27" ht="18.75">
      <c r="A62" s="358">
        <v>6</v>
      </c>
      <c r="B62" s="1649"/>
      <c r="C62" s="1649"/>
      <c r="D62" s="1649"/>
      <c r="E62" s="358">
        <v>6</v>
      </c>
      <c r="F62" s="1649"/>
      <c r="G62" s="1649"/>
      <c r="H62" s="1649"/>
      <c r="I62" s="1649"/>
      <c r="J62" s="1649"/>
      <c r="K62" s="1649"/>
      <c r="L62" s="3557"/>
      <c r="M62" s="1519">
        <v>23</v>
      </c>
    </row>
    <row r="63" spans="1:27" ht="18.75">
      <c r="A63" s="358">
        <v>7</v>
      </c>
      <c r="B63" s="1649"/>
      <c r="C63" s="1649"/>
      <c r="D63" s="1649"/>
      <c r="E63" s="358">
        <v>7</v>
      </c>
      <c r="F63" s="1649"/>
      <c r="G63" s="1649"/>
      <c r="H63" s="1649"/>
      <c r="I63" s="1649"/>
      <c r="J63" s="1649"/>
      <c r="K63" s="1649"/>
      <c r="L63" s="3557"/>
      <c r="M63" s="1519">
        <v>23</v>
      </c>
    </row>
    <row r="64" spans="1:27" ht="18.75">
      <c r="A64" s="358">
        <v>8</v>
      </c>
      <c r="B64" s="1649"/>
      <c r="C64" s="1649"/>
      <c r="D64" s="1649"/>
      <c r="E64" s="358">
        <v>8</v>
      </c>
      <c r="F64" s="1649"/>
      <c r="G64" s="1649"/>
      <c r="H64" s="1649"/>
      <c r="I64" s="1649"/>
      <c r="J64" s="1649"/>
      <c r="K64" s="1649"/>
      <c r="L64" s="3557"/>
      <c r="M64" s="1519">
        <v>23</v>
      </c>
    </row>
    <row r="65" spans="1:13" ht="18.75">
      <c r="A65" s="358">
        <v>9</v>
      </c>
      <c r="B65" s="1649"/>
      <c r="C65" s="1649"/>
      <c r="D65" s="1649"/>
      <c r="E65" s="358">
        <v>9</v>
      </c>
      <c r="F65" s="1649"/>
      <c r="G65" s="1649"/>
      <c r="H65" s="1649"/>
      <c r="I65" s="1649"/>
      <c r="J65" s="1649"/>
      <c r="K65" s="1649"/>
      <c r="L65" s="3557"/>
      <c r="M65" s="1519">
        <v>23</v>
      </c>
    </row>
    <row r="66" spans="1:13" ht="18.75">
      <c r="A66" s="358">
        <v>10</v>
      </c>
      <c r="B66" s="1649"/>
      <c r="C66" s="1649"/>
      <c r="D66" s="1649"/>
      <c r="E66" s="358">
        <v>10</v>
      </c>
      <c r="F66" s="1649"/>
      <c r="G66" s="1649"/>
      <c r="H66" s="1649"/>
      <c r="I66" s="1649"/>
      <c r="J66" s="1649"/>
      <c r="K66" s="1649"/>
      <c r="L66" s="3557"/>
      <c r="M66" s="1519">
        <v>23</v>
      </c>
    </row>
    <row r="67" spans="1:13" ht="18.75">
      <c r="A67" s="358">
        <v>11</v>
      </c>
      <c r="B67" s="1649"/>
      <c r="C67" s="1649"/>
      <c r="D67" s="1649"/>
      <c r="E67" s="358">
        <v>11</v>
      </c>
      <c r="F67" s="1649"/>
      <c r="G67" s="1649"/>
      <c r="H67" s="1649"/>
      <c r="I67" s="1649"/>
      <c r="J67" s="1649"/>
      <c r="K67" s="1649"/>
      <c r="L67" s="3557"/>
      <c r="M67" s="1519">
        <v>23</v>
      </c>
    </row>
    <row r="68" spans="1:13" ht="18.75">
      <c r="A68" s="358">
        <v>12</v>
      </c>
      <c r="B68" s="1649"/>
      <c r="C68" s="1649"/>
      <c r="D68" s="1649"/>
      <c r="E68" s="358">
        <v>12</v>
      </c>
      <c r="F68" s="1649"/>
      <c r="G68" s="1649"/>
      <c r="H68" s="1649"/>
      <c r="I68" s="1649"/>
      <c r="J68" s="1649"/>
      <c r="K68" s="1649"/>
      <c r="L68" s="3557"/>
      <c r="M68" s="1519">
        <v>23</v>
      </c>
    </row>
    <row r="69" spans="1:13" ht="18.75">
      <c r="A69" s="358">
        <v>13</v>
      </c>
      <c r="B69" s="1649"/>
      <c r="C69" s="1649"/>
      <c r="D69" s="1649"/>
      <c r="E69" s="358">
        <v>13</v>
      </c>
      <c r="F69" s="1649"/>
      <c r="G69" s="1649"/>
      <c r="H69" s="1649"/>
      <c r="I69" s="1649"/>
      <c r="J69" s="1649"/>
      <c r="K69" s="1649"/>
      <c r="L69" s="3557"/>
      <c r="M69" s="1519">
        <v>23</v>
      </c>
    </row>
    <row r="70" spans="1:13" ht="18.75">
      <c r="A70" s="358">
        <v>14</v>
      </c>
      <c r="B70" s="1649"/>
      <c r="C70" s="1649"/>
      <c r="D70" s="1649"/>
      <c r="E70" s="358">
        <v>14</v>
      </c>
      <c r="F70" s="1649"/>
      <c r="G70" s="1649"/>
      <c r="H70" s="1649"/>
      <c r="I70" s="1649"/>
      <c r="J70" s="1649"/>
      <c r="K70" s="1649"/>
      <c r="L70" s="3557"/>
      <c r="M70" s="1519">
        <v>23</v>
      </c>
    </row>
    <row r="71" spans="1:13" ht="18.75">
      <c r="A71" s="358">
        <v>15</v>
      </c>
      <c r="B71" s="1649"/>
      <c r="C71" s="1649"/>
      <c r="D71" s="1649"/>
      <c r="E71" s="358">
        <v>15</v>
      </c>
      <c r="F71" s="1649"/>
      <c r="G71" s="1649"/>
      <c r="H71" s="1649"/>
      <c r="I71" s="1649"/>
      <c r="J71" s="1649"/>
      <c r="K71" s="1649"/>
      <c r="L71" s="3557"/>
      <c r="M71" s="1519">
        <v>23</v>
      </c>
    </row>
    <row r="72" spans="1:13" ht="18.75">
      <c r="A72" s="358">
        <v>16</v>
      </c>
      <c r="B72" s="1649"/>
      <c r="C72" s="1649"/>
      <c r="D72" s="1649"/>
      <c r="E72" s="358">
        <v>16</v>
      </c>
      <c r="F72" s="1649"/>
      <c r="G72" s="1649"/>
      <c r="H72" s="1649"/>
      <c r="I72" s="1649"/>
      <c r="J72" s="1649"/>
      <c r="K72" s="1649"/>
      <c r="L72" s="3557"/>
      <c r="M72" s="1519">
        <v>23</v>
      </c>
    </row>
    <row r="73" spans="1:13" ht="18.75">
      <c r="A73" s="358">
        <v>17</v>
      </c>
      <c r="B73" s="1649"/>
      <c r="C73" s="1649"/>
      <c r="D73" s="1649"/>
      <c r="E73" s="358">
        <v>17</v>
      </c>
      <c r="F73" s="1649"/>
      <c r="G73" s="1649"/>
      <c r="H73" s="1649"/>
      <c r="I73" s="1649"/>
      <c r="J73" s="1649"/>
      <c r="K73" s="1649"/>
      <c r="L73" s="3557"/>
      <c r="M73" s="1519">
        <v>23</v>
      </c>
    </row>
    <row r="74" spans="1:13" ht="18.75">
      <c r="A74" s="358">
        <v>18</v>
      </c>
      <c r="B74" s="1649"/>
      <c r="C74" s="1649"/>
      <c r="D74" s="1649"/>
      <c r="E74" s="358">
        <v>18</v>
      </c>
      <c r="F74" s="1649"/>
      <c r="G74" s="1649"/>
      <c r="H74" s="1649"/>
      <c r="I74" s="1649"/>
      <c r="J74" s="1649"/>
      <c r="K74" s="1649"/>
      <c r="L74" s="3557"/>
      <c r="M74" s="1519">
        <v>23</v>
      </c>
    </row>
    <row r="75" spans="1:13" ht="18.75">
      <c r="A75" s="359">
        <v>19</v>
      </c>
      <c r="B75" s="1649"/>
      <c r="C75" s="1649"/>
      <c r="D75" s="1649"/>
      <c r="E75" s="358">
        <v>19</v>
      </c>
      <c r="F75" s="1649"/>
      <c r="G75" s="1649"/>
      <c r="H75" s="1649"/>
      <c r="I75" s="1649"/>
      <c r="J75" s="1649"/>
      <c r="K75" s="1649"/>
      <c r="L75" s="3557"/>
      <c r="M75" s="1519">
        <v>23</v>
      </c>
    </row>
    <row r="76" spans="1:13" ht="21">
      <c r="A76" s="1651"/>
      <c r="B76" s="3562" t="s">
        <v>94</v>
      </c>
      <c r="C76" s="3562"/>
      <c r="D76" s="3563"/>
      <c r="E76" s="3564" t="s">
        <v>95</v>
      </c>
      <c r="F76" s="3565"/>
      <c r="G76" s="3565"/>
      <c r="H76" s="3565"/>
      <c r="I76" s="3565"/>
      <c r="J76" s="3565"/>
      <c r="K76" s="3566"/>
      <c r="L76" s="3557"/>
      <c r="M76" s="1519">
        <v>23</v>
      </c>
    </row>
    <row r="77" spans="1:13" ht="18.75">
      <c r="A77" s="357">
        <v>1</v>
      </c>
      <c r="B77" s="1652"/>
      <c r="C77" s="1653"/>
      <c r="D77" s="1653"/>
      <c r="E77" s="357">
        <v>1</v>
      </c>
      <c r="F77" s="1653"/>
      <c r="G77" s="1653"/>
      <c r="H77" s="1653"/>
      <c r="I77" s="1653"/>
      <c r="J77" s="1653"/>
      <c r="K77" s="1653"/>
      <c r="L77" s="3557"/>
      <c r="M77" s="1519">
        <v>23</v>
      </c>
    </row>
    <row r="78" spans="1:13" ht="18.75">
      <c r="A78" s="358">
        <v>2</v>
      </c>
      <c r="B78" s="1653"/>
      <c r="C78" s="1653"/>
      <c r="D78" s="1653"/>
      <c r="E78" s="358">
        <v>2</v>
      </c>
      <c r="F78" s="1653"/>
      <c r="G78" s="1653"/>
      <c r="H78" s="1653"/>
      <c r="I78" s="1653"/>
      <c r="J78" s="1653"/>
      <c r="K78" s="1653"/>
      <c r="L78" s="3557"/>
      <c r="M78" s="1519">
        <v>23</v>
      </c>
    </row>
    <row r="79" spans="1:13" ht="18.75">
      <c r="A79" s="358">
        <v>3</v>
      </c>
      <c r="B79" s="1653"/>
      <c r="C79" s="1653"/>
      <c r="D79" s="1653"/>
      <c r="E79" s="358">
        <v>3</v>
      </c>
      <c r="F79" s="1653"/>
      <c r="G79" s="1653"/>
      <c r="H79" s="1653"/>
      <c r="I79" s="1653"/>
      <c r="J79" s="1653"/>
      <c r="K79" s="1653"/>
      <c r="L79" s="3557"/>
      <c r="M79" s="1519">
        <v>23</v>
      </c>
    </row>
    <row r="80" spans="1:13" ht="18.75">
      <c r="A80" s="358">
        <v>4</v>
      </c>
      <c r="B80" s="1653"/>
      <c r="C80" s="1653"/>
      <c r="D80" s="1653"/>
      <c r="E80" s="358">
        <v>4</v>
      </c>
      <c r="F80" s="1653"/>
      <c r="G80" s="1653"/>
      <c r="H80" s="1653"/>
      <c r="I80" s="1653"/>
      <c r="J80" s="1653"/>
      <c r="K80" s="1653"/>
      <c r="L80" s="3557"/>
      <c r="M80" s="1519">
        <v>23</v>
      </c>
    </row>
    <row r="81" spans="1:13" ht="18.75">
      <c r="A81" s="358">
        <v>5</v>
      </c>
      <c r="B81" s="1653"/>
      <c r="C81" s="1653"/>
      <c r="D81" s="1653"/>
      <c r="E81" s="358">
        <v>5</v>
      </c>
      <c r="F81" s="1653"/>
      <c r="G81" s="1653"/>
      <c r="H81" s="1653"/>
      <c r="I81" s="1653"/>
      <c r="J81" s="1653"/>
      <c r="K81" s="1653"/>
      <c r="L81" s="3557"/>
      <c r="M81" s="1519">
        <v>23</v>
      </c>
    </row>
    <row r="82" spans="1:13" ht="18.75">
      <c r="A82" s="358">
        <v>6</v>
      </c>
      <c r="B82" s="1653"/>
      <c r="C82" s="1653"/>
      <c r="D82" s="1653"/>
      <c r="E82" s="358">
        <v>6</v>
      </c>
      <c r="F82" s="1653"/>
      <c r="G82" s="1653"/>
      <c r="H82" s="1653"/>
      <c r="I82" s="1653"/>
      <c r="J82" s="1653"/>
      <c r="K82" s="1653"/>
      <c r="L82" s="3557"/>
      <c r="M82" s="1519">
        <v>23</v>
      </c>
    </row>
    <row r="83" spans="1:13" ht="18.75">
      <c r="A83" s="358">
        <v>7</v>
      </c>
      <c r="B83" s="1653"/>
      <c r="C83" s="1653"/>
      <c r="D83" s="1653"/>
      <c r="E83" s="358">
        <v>7</v>
      </c>
      <c r="F83" s="1653"/>
      <c r="G83" s="1653"/>
      <c r="H83" s="1653"/>
      <c r="I83" s="1653"/>
      <c r="J83" s="1653"/>
      <c r="K83" s="1653"/>
      <c r="L83" s="3557"/>
      <c r="M83" s="1519">
        <v>23</v>
      </c>
    </row>
    <row r="84" spans="1:13" ht="15">
      <c r="A84" s="1654"/>
      <c r="B84" s="1399" t="e">
        <f>A88*P88</f>
        <v>#VALUE!</v>
      </c>
      <c r="C84" s="1399" t="e">
        <f>B84*A88</f>
        <v>#VALUE!</v>
      </c>
      <c r="D84" s="1399" t="e">
        <f>C84*B84</f>
        <v>#VALUE!</v>
      </c>
      <c r="E84" s="1399" t="e">
        <f>D84*C84</f>
        <v>#VALUE!</v>
      </c>
      <c r="F84" s="1399" t="e">
        <f>E84*D84</f>
        <v>#VALUE!</v>
      </c>
      <c r="G84" s="1399" t="e">
        <f>D84*C84</f>
        <v>#VALUE!</v>
      </c>
      <c r="H84" s="1399" t="e">
        <f t="shared" ref="H84:K84" si="37">G84*F84</f>
        <v>#VALUE!</v>
      </c>
      <c r="I84" s="1399" t="e">
        <f t="shared" si="37"/>
        <v>#VALUE!</v>
      </c>
      <c r="J84" s="1399" t="e">
        <f t="shared" si="37"/>
        <v>#VALUE!</v>
      </c>
      <c r="K84" s="1655" t="e">
        <f t="shared" si="37"/>
        <v>#VALUE!</v>
      </c>
      <c r="L84" s="3557"/>
      <c r="M84" s="1519">
        <v>23</v>
      </c>
    </row>
    <row r="85" spans="1:13" ht="21">
      <c r="A85" s="1656"/>
      <c r="B85" s="3351" t="s">
        <v>96</v>
      </c>
      <c r="C85" s="3351"/>
      <c r="D85" s="3351"/>
      <c r="E85" s="3351"/>
      <c r="F85" s="3351"/>
      <c r="G85" s="3351"/>
      <c r="H85" s="3351"/>
      <c r="I85" s="3351"/>
      <c r="J85" s="3351"/>
      <c r="K85" s="3519"/>
      <c r="L85" s="3556"/>
      <c r="M85" s="1519">
        <v>23</v>
      </c>
    </row>
    <row r="86" spans="1:13" ht="21">
      <c r="A86" s="1656"/>
      <c r="B86" s="3354" t="s">
        <v>97</v>
      </c>
      <c r="C86" s="3354"/>
      <c r="D86" s="3354"/>
      <c r="E86" s="3536" t="s">
        <v>98</v>
      </c>
      <c r="F86" s="3355"/>
      <c r="G86" s="3355"/>
      <c r="H86" s="3355"/>
      <c r="I86" s="3355"/>
      <c r="J86" s="3355"/>
      <c r="K86" s="3537"/>
      <c r="L86" s="3556"/>
      <c r="M86" s="1519">
        <v>23</v>
      </c>
    </row>
    <row r="87" spans="1:13" ht="15.75">
      <c r="A87" s="1657" t="s">
        <v>99</v>
      </c>
      <c r="B87" s="1658"/>
      <c r="C87" s="1658"/>
      <c r="D87" s="1658"/>
      <c r="E87" s="1659"/>
      <c r="F87" s="1660"/>
      <c r="G87" s="1660"/>
      <c r="H87" s="1660"/>
      <c r="I87" s="1660"/>
      <c r="J87" s="1660"/>
      <c r="K87" s="1661"/>
      <c r="L87" s="3556"/>
      <c r="M87" s="1519">
        <v>23</v>
      </c>
    </row>
    <row r="88" spans="1:13" ht="15.75">
      <c r="A88" s="1657" t="s">
        <v>100</v>
      </c>
      <c r="B88" s="1658"/>
      <c r="C88" s="1658"/>
      <c r="D88" s="1658"/>
      <c r="E88" s="1659"/>
      <c r="F88" s="1660"/>
      <c r="G88" s="1660"/>
      <c r="H88" s="1660"/>
      <c r="I88" s="1660"/>
      <c r="J88" s="1660"/>
      <c r="K88" s="1661"/>
      <c r="L88" s="3556"/>
      <c r="M88" s="1519">
        <v>23</v>
      </c>
    </row>
    <row r="89" spans="1:13" ht="15.75">
      <c r="A89" s="1657" t="s">
        <v>101</v>
      </c>
      <c r="B89" s="1658"/>
      <c r="C89" s="1658"/>
      <c r="D89" s="1658"/>
      <c r="E89" s="1659"/>
      <c r="F89" s="1660"/>
      <c r="G89" s="1660"/>
      <c r="H89" s="1660"/>
      <c r="I89" s="1660"/>
      <c r="J89" s="1660"/>
      <c r="K89" s="1661"/>
      <c r="L89" s="3556"/>
      <c r="M89" s="1519">
        <v>23</v>
      </c>
    </row>
    <row r="90" spans="1:13" ht="15.75">
      <c r="A90" s="1657" t="s">
        <v>111</v>
      </c>
      <c r="B90" s="1658"/>
      <c r="C90" s="1658"/>
      <c r="D90" s="1658"/>
      <c r="E90" s="1659"/>
      <c r="F90" s="1660"/>
      <c r="G90" s="1660"/>
      <c r="H90" s="1660"/>
      <c r="I90" s="1660"/>
      <c r="J90" s="1660"/>
      <c r="K90" s="1661"/>
      <c r="L90" s="3556"/>
      <c r="M90" s="1519">
        <v>23</v>
      </c>
    </row>
    <row r="91" spans="1:13" ht="15.75">
      <c r="A91" s="1657" t="s">
        <v>112</v>
      </c>
      <c r="B91" s="1658"/>
      <c r="C91" s="1658"/>
      <c r="D91" s="1658"/>
      <c r="E91" s="1659"/>
      <c r="F91" s="1660"/>
      <c r="G91" s="1660"/>
      <c r="H91" s="1660"/>
      <c r="I91" s="1660"/>
      <c r="J91" s="1660"/>
      <c r="K91" s="1661"/>
      <c r="L91" s="3556"/>
      <c r="M91" s="1519">
        <v>23</v>
      </c>
    </row>
    <row r="92" spans="1:13" ht="15.75">
      <c r="A92" s="1657" t="s">
        <v>142</v>
      </c>
      <c r="B92" s="1658"/>
      <c r="C92" s="1658"/>
      <c r="D92" s="1658"/>
      <c r="E92" s="1659"/>
      <c r="F92" s="1660"/>
      <c r="G92" s="1660"/>
      <c r="H92" s="1660"/>
      <c r="I92" s="1660"/>
      <c r="J92" s="1660"/>
      <c r="K92" s="1661"/>
      <c r="L92" s="3556"/>
      <c r="M92" s="1519">
        <v>23</v>
      </c>
    </row>
    <row r="93" spans="1:13" ht="15.75">
      <c r="A93" s="1657" t="s">
        <v>143</v>
      </c>
      <c r="B93" s="1658"/>
      <c r="C93" s="1658"/>
      <c r="D93" s="1658"/>
      <c r="E93" s="1659"/>
      <c r="F93" s="1660"/>
      <c r="G93" s="1660"/>
      <c r="H93" s="1660"/>
      <c r="I93" s="1660"/>
      <c r="J93" s="1660"/>
      <c r="K93" s="1661"/>
      <c r="L93" s="3556"/>
      <c r="M93" s="1519">
        <v>23</v>
      </c>
    </row>
    <row r="94" spans="1:13" ht="15.75">
      <c r="A94" s="1657" t="s">
        <v>144</v>
      </c>
      <c r="B94" s="1658"/>
      <c r="C94" s="1658"/>
      <c r="D94" s="1658"/>
      <c r="E94" s="1659"/>
      <c r="F94" s="1660"/>
      <c r="G94" s="1660"/>
      <c r="H94" s="1660"/>
      <c r="I94" s="1660"/>
      <c r="J94" s="1660"/>
      <c r="K94" s="1661"/>
      <c r="L94" s="3556"/>
      <c r="M94" s="1519">
        <v>23</v>
      </c>
    </row>
    <row r="95" spans="1:13" ht="15.75">
      <c r="A95" s="1657" t="s">
        <v>145</v>
      </c>
      <c r="B95" s="1658"/>
      <c r="C95" s="1658"/>
      <c r="D95" s="1658"/>
      <c r="E95" s="1659"/>
      <c r="F95" s="1660"/>
      <c r="G95" s="1660"/>
      <c r="H95" s="1660"/>
      <c r="I95" s="1660"/>
      <c r="J95" s="1660"/>
      <c r="K95" s="1661"/>
      <c r="L95" s="3558"/>
      <c r="M95" s="1519">
        <v>23</v>
      </c>
    </row>
    <row r="96" spans="1:13" ht="15.75" customHeight="1">
      <c r="A96" s="1657" t="s">
        <v>146</v>
      </c>
      <c r="B96" s="1658"/>
      <c r="C96" s="1658"/>
      <c r="D96" s="1658"/>
      <c r="E96" s="1659"/>
      <c r="F96" s="1660"/>
      <c r="G96" s="1660"/>
      <c r="H96" s="1660"/>
      <c r="I96" s="1660"/>
      <c r="J96" s="1660"/>
      <c r="K96" s="1661"/>
      <c r="L96" s="3412">
        <f>L52</f>
        <v>1</v>
      </c>
      <c r="M96" s="1519">
        <v>23</v>
      </c>
    </row>
    <row r="97" spans="1:13" ht="15.75">
      <c r="A97" s="1657" t="s">
        <v>147</v>
      </c>
      <c r="B97" s="1658"/>
      <c r="C97" s="1658"/>
      <c r="D97" s="1658"/>
      <c r="E97" s="1659"/>
      <c r="F97" s="1660"/>
      <c r="G97" s="1660"/>
      <c r="H97" s="1660"/>
      <c r="I97" s="1660"/>
      <c r="J97" s="1660"/>
      <c r="K97" s="1661"/>
      <c r="L97" s="3538"/>
      <c r="M97" s="1519">
        <v>23</v>
      </c>
    </row>
    <row r="98" spans="1:13" ht="16.5" thickBot="1">
      <c r="A98" s="1662" t="s">
        <v>224</v>
      </c>
      <c r="B98" s="1663"/>
      <c r="C98" s="1663"/>
      <c r="D98" s="1663"/>
      <c r="E98" s="1664"/>
      <c r="F98" s="1665"/>
      <c r="G98" s="1665"/>
      <c r="H98" s="1665"/>
      <c r="I98" s="1665"/>
      <c r="J98" s="1665"/>
      <c r="K98" s="1666"/>
      <c r="L98" s="3539"/>
      <c r="M98" s="1519">
        <v>23</v>
      </c>
    </row>
    <row r="100" spans="1:13">
      <c r="A100" s="1512">
        <v>5</v>
      </c>
      <c r="B100" s="1512">
        <v>33</v>
      </c>
      <c r="C100" s="1512">
        <v>39</v>
      </c>
      <c r="D100" s="1512">
        <v>12</v>
      </c>
      <c r="E100" s="1512">
        <v>12</v>
      </c>
      <c r="F100" s="1512">
        <v>12</v>
      </c>
      <c r="G100" s="1512">
        <v>12</v>
      </c>
      <c r="H100" s="1512">
        <v>12</v>
      </c>
      <c r="I100" s="1512">
        <v>12</v>
      </c>
      <c r="J100" s="1512">
        <v>12</v>
      </c>
      <c r="K100" s="1512">
        <v>12</v>
      </c>
      <c r="L100" s="1512">
        <v>12</v>
      </c>
      <c r="M100" s="1513" t="s">
        <v>1958</v>
      </c>
    </row>
  </sheetData>
  <mergeCells count="19">
    <mergeCell ref="G48:H48"/>
    <mergeCell ref="P1:AA1"/>
    <mergeCell ref="B2:G2"/>
    <mergeCell ref="Q2:V2"/>
    <mergeCell ref="B4:E4"/>
    <mergeCell ref="Q4:T4"/>
    <mergeCell ref="B86:D86"/>
    <mergeCell ref="E86:K86"/>
    <mergeCell ref="L96:L98"/>
    <mergeCell ref="G49:J49"/>
    <mergeCell ref="G50:J50"/>
    <mergeCell ref="L52:L53"/>
    <mergeCell ref="I53:J53"/>
    <mergeCell ref="C54:K54"/>
    <mergeCell ref="L54:L95"/>
    <mergeCell ref="A56:K56"/>
    <mergeCell ref="B76:D76"/>
    <mergeCell ref="E76:K76"/>
    <mergeCell ref="B85:K85"/>
  </mergeCells>
  <hyperlinks>
    <hyperlink ref="C54" r:id="rId1" display="http://etab.ac-poitiers.fr/lycee-hotelier-la-rochelle/spip.php?auteur10" xr:uid="{78CA4B4C-B58F-4290-85D3-56ECB09B9EFC}"/>
  </hyperlinks>
  <printOptions horizontalCentered="1" verticalCentered="1"/>
  <pageMargins left="0" right="0" top="0.15748031496062992" bottom="0" header="0" footer="0"/>
  <pageSetup paperSize="9" orientation="portrait" horizontalDpi="300" verticalDpi="300" r:id="rId2"/>
  <headerFooter alignWithMargins="0">
    <oddHeader>&amp;L&amp;"Copperplate Gothic Light,Normal"&amp;8fiche technique &amp;C&amp;D &amp;T&amp;R2TSB</oddHeader>
    <oddFooter>&amp;L&amp;F</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5A761-ADFC-4450-B79F-C951EAC0D1F6}">
  <dimension ref="A1:AA98"/>
  <sheetViews>
    <sheetView showZeros="0" workbookViewId="0">
      <selection activeCell="E1" sqref="E1"/>
    </sheetView>
  </sheetViews>
  <sheetFormatPr baseColWidth="10" defaultRowHeight="12.75"/>
  <cols>
    <col min="1" max="1" width="5.42578125" style="1281" customWidth="1"/>
    <col min="2" max="2" width="33.42578125" style="1281" customWidth="1"/>
    <col min="3" max="3" width="39.7109375" style="1281" customWidth="1"/>
    <col min="4" max="12" width="12.7109375" style="1281" customWidth="1"/>
    <col min="13" max="14" width="11.42578125" style="1513"/>
    <col min="15" max="15" width="23.42578125" style="1281" customWidth="1"/>
    <col min="16" max="239" width="11.42578125" style="1281"/>
    <col min="240" max="240" width="11.42578125" style="1281" customWidth="1"/>
    <col min="241" max="241" width="33.42578125" style="1281" customWidth="1"/>
    <col min="242" max="242" width="16.28515625" style="1281" customWidth="1"/>
    <col min="243" max="243" width="3.42578125" style="1281" customWidth="1"/>
    <col min="244" max="244" width="5.7109375" style="1281" customWidth="1"/>
    <col min="245" max="245" width="5.85546875" style="1281" customWidth="1"/>
    <col min="246" max="246" width="6.7109375" style="1281" customWidth="1"/>
    <col min="247" max="247" width="5.7109375" style="1281" customWidth="1"/>
    <col min="248" max="248" width="4.42578125" style="1281" customWidth="1"/>
    <col min="249" max="249" width="4.85546875" style="1281" customWidth="1"/>
    <col min="250" max="250" width="4.7109375" style="1281" customWidth="1"/>
    <col min="251" max="251" width="4.42578125" style="1281" customWidth="1"/>
    <col min="252" max="495" width="11.42578125" style="1281"/>
    <col min="496" max="496" width="11.42578125" style="1281" customWidth="1"/>
    <col min="497" max="497" width="33.42578125" style="1281" customWidth="1"/>
    <col min="498" max="498" width="16.28515625" style="1281" customWidth="1"/>
    <col min="499" max="499" width="3.42578125" style="1281" customWidth="1"/>
    <col min="500" max="500" width="5.7109375" style="1281" customWidth="1"/>
    <col min="501" max="501" width="5.85546875" style="1281" customWidth="1"/>
    <col min="502" max="502" width="6.7109375" style="1281" customWidth="1"/>
    <col min="503" max="503" width="5.7109375" style="1281" customWidth="1"/>
    <col min="504" max="504" width="4.42578125" style="1281" customWidth="1"/>
    <col min="505" max="505" width="4.85546875" style="1281" customWidth="1"/>
    <col min="506" max="506" width="4.7109375" style="1281" customWidth="1"/>
    <col min="507" max="507" width="4.42578125" style="1281" customWidth="1"/>
    <col min="508" max="751" width="11.42578125" style="1281"/>
    <col min="752" max="752" width="11.42578125" style="1281" customWidth="1"/>
    <col min="753" max="753" width="33.42578125" style="1281" customWidth="1"/>
    <col min="754" max="754" width="16.28515625" style="1281" customWidth="1"/>
    <col min="755" max="755" width="3.42578125" style="1281" customWidth="1"/>
    <col min="756" max="756" width="5.7109375" style="1281" customWidth="1"/>
    <col min="757" max="757" width="5.85546875" style="1281" customWidth="1"/>
    <col min="758" max="758" width="6.7109375" style="1281" customWidth="1"/>
    <col min="759" max="759" width="5.7109375" style="1281" customWidth="1"/>
    <col min="760" max="760" width="4.42578125" style="1281" customWidth="1"/>
    <col min="761" max="761" width="4.85546875" style="1281" customWidth="1"/>
    <col min="762" max="762" width="4.7109375" style="1281" customWidth="1"/>
    <col min="763" max="763" width="4.42578125" style="1281" customWidth="1"/>
    <col min="764" max="1007" width="11.42578125" style="1281"/>
    <col min="1008" max="1008" width="11.42578125" style="1281" customWidth="1"/>
    <col min="1009" max="1009" width="33.42578125" style="1281" customWidth="1"/>
    <col min="1010" max="1010" width="16.28515625" style="1281" customWidth="1"/>
    <col min="1011" max="1011" width="3.42578125" style="1281" customWidth="1"/>
    <col min="1012" max="1012" width="5.7109375" style="1281" customWidth="1"/>
    <col min="1013" max="1013" width="5.85546875" style="1281" customWidth="1"/>
    <col min="1014" max="1014" width="6.7109375" style="1281" customWidth="1"/>
    <col min="1015" max="1015" width="5.7109375" style="1281" customWidth="1"/>
    <col min="1016" max="1016" width="4.42578125" style="1281" customWidth="1"/>
    <col min="1017" max="1017" width="4.85546875" style="1281" customWidth="1"/>
    <col min="1018" max="1018" width="4.7109375" style="1281" customWidth="1"/>
    <col min="1019" max="1019" width="4.42578125" style="1281" customWidth="1"/>
    <col min="1020" max="1263" width="11.42578125" style="1281"/>
    <col min="1264" max="1264" width="11.42578125" style="1281" customWidth="1"/>
    <col min="1265" max="1265" width="33.42578125" style="1281" customWidth="1"/>
    <col min="1266" max="1266" width="16.28515625" style="1281" customWidth="1"/>
    <col min="1267" max="1267" width="3.42578125" style="1281" customWidth="1"/>
    <col min="1268" max="1268" width="5.7109375" style="1281" customWidth="1"/>
    <col min="1269" max="1269" width="5.85546875" style="1281" customWidth="1"/>
    <col min="1270" max="1270" width="6.7109375" style="1281" customWidth="1"/>
    <col min="1271" max="1271" width="5.7109375" style="1281" customWidth="1"/>
    <col min="1272" max="1272" width="4.42578125" style="1281" customWidth="1"/>
    <col min="1273" max="1273" width="4.85546875" style="1281" customWidth="1"/>
    <col min="1274" max="1274" width="4.7109375" style="1281" customWidth="1"/>
    <col min="1275" max="1275" width="4.42578125" style="1281" customWidth="1"/>
    <col min="1276" max="1519" width="11.42578125" style="1281"/>
    <col min="1520" max="1520" width="11.42578125" style="1281" customWidth="1"/>
    <col min="1521" max="1521" width="33.42578125" style="1281" customWidth="1"/>
    <col min="1522" max="1522" width="16.28515625" style="1281" customWidth="1"/>
    <col min="1523" max="1523" width="3.42578125" style="1281" customWidth="1"/>
    <col min="1524" max="1524" width="5.7109375" style="1281" customWidth="1"/>
    <col min="1525" max="1525" width="5.85546875" style="1281" customWidth="1"/>
    <col min="1526" max="1526" width="6.7109375" style="1281" customWidth="1"/>
    <col min="1527" max="1527" width="5.7109375" style="1281" customWidth="1"/>
    <col min="1528" max="1528" width="4.42578125" style="1281" customWidth="1"/>
    <col min="1529" max="1529" width="4.85546875" style="1281" customWidth="1"/>
    <col min="1530" max="1530" width="4.7109375" style="1281" customWidth="1"/>
    <col min="1531" max="1531" width="4.42578125" style="1281" customWidth="1"/>
    <col min="1532" max="1775" width="11.42578125" style="1281"/>
    <col min="1776" max="1776" width="11.42578125" style="1281" customWidth="1"/>
    <col min="1777" max="1777" width="33.42578125" style="1281" customWidth="1"/>
    <col min="1778" max="1778" width="16.28515625" style="1281" customWidth="1"/>
    <col min="1779" max="1779" width="3.42578125" style="1281" customWidth="1"/>
    <col min="1780" max="1780" width="5.7109375" style="1281" customWidth="1"/>
    <col min="1781" max="1781" width="5.85546875" style="1281" customWidth="1"/>
    <col min="1782" max="1782" width="6.7109375" style="1281" customWidth="1"/>
    <col min="1783" max="1783" width="5.7109375" style="1281" customWidth="1"/>
    <col min="1784" max="1784" width="4.42578125" style="1281" customWidth="1"/>
    <col min="1785" max="1785" width="4.85546875" style="1281" customWidth="1"/>
    <col min="1786" max="1786" width="4.7109375" style="1281" customWidth="1"/>
    <col min="1787" max="1787" width="4.42578125" style="1281" customWidth="1"/>
    <col min="1788" max="2031" width="11.42578125" style="1281"/>
    <col min="2032" max="2032" width="11.42578125" style="1281" customWidth="1"/>
    <col min="2033" max="2033" width="33.42578125" style="1281" customWidth="1"/>
    <col min="2034" max="2034" width="16.28515625" style="1281" customWidth="1"/>
    <col min="2035" max="2035" width="3.42578125" style="1281" customWidth="1"/>
    <col min="2036" max="2036" width="5.7109375" style="1281" customWidth="1"/>
    <col min="2037" max="2037" width="5.85546875" style="1281" customWidth="1"/>
    <col min="2038" max="2038" width="6.7109375" style="1281" customWidth="1"/>
    <col min="2039" max="2039" width="5.7109375" style="1281" customWidth="1"/>
    <col min="2040" max="2040" width="4.42578125" style="1281" customWidth="1"/>
    <col min="2041" max="2041" width="4.85546875" style="1281" customWidth="1"/>
    <col min="2042" max="2042" width="4.7109375" style="1281" customWidth="1"/>
    <col min="2043" max="2043" width="4.42578125" style="1281" customWidth="1"/>
    <col min="2044" max="2287" width="11.42578125" style="1281"/>
    <col min="2288" max="2288" width="11.42578125" style="1281" customWidth="1"/>
    <col min="2289" max="2289" width="33.42578125" style="1281" customWidth="1"/>
    <col min="2290" max="2290" width="16.28515625" style="1281" customWidth="1"/>
    <col min="2291" max="2291" width="3.42578125" style="1281" customWidth="1"/>
    <col min="2292" max="2292" width="5.7109375" style="1281" customWidth="1"/>
    <col min="2293" max="2293" width="5.85546875" style="1281" customWidth="1"/>
    <col min="2294" max="2294" width="6.7109375" style="1281" customWidth="1"/>
    <col min="2295" max="2295" width="5.7109375" style="1281" customWidth="1"/>
    <col min="2296" max="2296" width="4.42578125" style="1281" customWidth="1"/>
    <col min="2297" max="2297" width="4.85546875" style="1281" customWidth="1"/>
    <col min="2298" max="2298" width="4.7109375" style="1281" customWidth="1"/>
    <col min="2299" max="2299" width="4.42578125" style="1281" customWidth="1"/>
    <col min="2300" max="2543" width="11.42578125" style="1281"/>
    <col min="2544" max="2544" width="11.42578125" style="1281" customWidth="1"/>
    <col min="2545" max="2545" width="33.42578125" style="1281" customWidth="1"/>
    <col min="2546" max="2546" width="16.28515625" style="1281" customWidth="1"/>
    <col min="2547" max="2547" width="3.42578125" style="1281" customWidth="1"/>
    <col min="2548" max="2548" width="5.7109375" style="1281" customWidth="1"/>
    <col min="2549" max="2549" width="5.85546875" style="1281" customWidth="1"/>
    <col min="2550" max="2550" width="6.7109375" style="1281" customWidth="1"/>
    <col min="2551" max="2551" width="5.7109375" style="1281" customWidth="1"/>
    <col min="2552" max="2552" width="4.42578125" style="1281" customWidth="1"/>
    <col min="2553" max="2553" width="4.85546875" style="1281" customWidth="1"/>
    <col min="2554" max="2554" width="4.7109375" style="1281" customWidth="1"/>
    <col min="2555" max="2555" width="4.42578125" style="1281" customWidth="1"/>
    <col min="2556" max="2799" width="11.42578125" style="1281"/>
    <col min="2800" max="2800" width="11.42578125" style="1281" customWidth="1"/>
    <col min="2801" max="2801" width="33.42578125" style="1281" customWidth="1"/>
    <col min="2802" max="2802" width="16.28515625" style="1281" customWidth="1"/>
    <col min="2803" max="2803" width="3.42578125" style="1281" customWidth="1"/>
    <col min="2804" max="2804" width="5.7109375" style="1281" customWidth="1"/>
    <col min="2805" max="2805" width="5.85546875" style="1281" customWidth="1"/>
    <col min="2806" max="2806" width="6.7109375" style="1281" customWidth="1"/>
    <col min="2807" max="2807" width="5.7109375" style="1281" customWidth="1"/>
    <col min="2808" max="2808" width="4.42578125" style="1281" customWidth="1"/>
    <col min="2809" max="2809" width="4.85546875" style="1281" customWidth="1"/>
    <col min="2810" max="2810" width="4.7109375" style="1281" customWidth="1"/>
    <col min="2811" max="2811" width="4.42578125" style="1281" customWidth="1"/>
    <col min="2812" max="3055" width="11.42578125" style="1281"/>
    <col min="3056" max="3056" width="11.42578125" style="1281" customWidth="1"/>
    <col min="3057" max="3057" width="33.42578125" style="1281" customWidth="1"/>
    <col min="3058" max="3058" width="16.28515625" style="1281" customWidth="1"/>
    <col min="3059" max="3059" width="3.42578125" style="1281" customWidth="1"/>
    <col min="3060" max="3060" width="5.7109375" style="1281" customWidth="1"/>
    <col min="3061" max="3061" width="5.85546875" style="1281" customWidth="1"/>
    <col min="3062" max="3062" width="6.7109375" style="1281" customWidth="1"/>
    <col min="3063" max="3063" width="5.7109375" style="1281" customWidth="1"/>
    <col min="3064" max="3064" width="4.42578125" style="1281" customWidth="1"/>
    <col min="3065" max="3065" width="4.85546875" style="1281" customWidth="1"/>
    <col min="3066" max="3066" width="4.7109375" style="1281" customWidth="1"/>
    <col min="3067" max="3067" width="4.42578125" style="1281" customWidth="1"/>
    <col min="3068" max="3311" width="11.42578125" style="1281"/>
    <col min="3312" max="3312" width="11.42578125" style="1281" customWidth="1"/>
    <col min="3313" max="3313" width="33.42578125" style="1281" customWidth="1"/>
    <col min="3314" max="3314" width="16.28515625" style="1281" customWidth="1"/>
    <col min="3315" max="3315" width="3.42578125" style="1281" customWidth="1"/>
    <col min="3316" max="3316" width="5.7109375" style="1281" customWidth="1"/>
    <col min="3317" max="3317" width="5.85546875" style="1281" customWidth="1"/>
    <col min="3318" max="3318" width="6.7109375" style="1281" customWidth="1"/>
    <col min="3319" max="3319" width="5.7109375" style="1281" customWidth="1"/>
    <col min="3320" max="3320" width="4.42578125" style="1281" customWidth="1"/>
    <col min="3321" max="3321" width="4.85546875" style="1281" customWidth="1"/>
    <col min="3322" max="3322" width="4.7109375" style="1281" customWidth="1"/>
    <col min="3323" max="3323" width="4.42578125" style="1281" customWidth="1"/>
    <col min="3324" max="3567" width="11.42578125" style="1281"/>
    <col min="3568" max="3568" width="11.42578125" style="1281" customWidth="1"/>
    <col min="3569" max="3569" width="33.42578125" style="1281" customWidth="1"/>
    <col min="3570" max="3570" width="16.28515625" style="1281" customWidth="1"/>
    <col min="3571" max="3571" width="3.42578125" style="1281" customWidth="1"/>
    <col min="3572" max="3572" width="5.7109375" style="1281" customWidth="1"/>
    <col min="3573" max="3573" width="5.85546875" style="1281" customWidth="1"/>
    <col min="3574" max="3574" width="6.7109375" style="1281" customWidth="1"/>
    <col min="3575" max="3575" width="5.7109375" style="1281" customWidth="1"/>
    <col min="3576" max="3576" width="4.42578125" style="1281" customWidth="1"/>
    <col min="3577" max="3577" width="4.85546875" style="1281" customWidth="1"/>
    <col min="3578" max="3578" width="4.7109375" style="1281" customWidth="1"/>
    <col min="3579" max="3579" width="4.42578125" style="1281" customWidth="1"/>
    <col min="3580" max="3823" width="11.42578125" style="1281"/>
    <col min="3824" max="3824" width="11.42578125" style="1281" customWidth="1"/>
    <col min="3825" max="3825" width="33.42578125" style="1281" customWidth="1"/>
    <col min="3826" max="3826" width="16.28515625" style="1281" customWidth="1"/>
    <col min="3827" max="3827" width="3.42578125" style="1281" customWidth="1"/>
    <col min="3828" max="3828" width="5.7109375" style="1281" customWidth="1"/>
    <col min="3829" max="3829" width="5.85546875" style="1281" customWidth="1"/>
    <col min="3830" max="3830" width="6.7109375" style="1281" customWidth="1"/>
    <col min="3831" max="3831" width="5.7109375" style="1281" customWidth="1"/>
    <col min="3832" max="3832" width="4.42578125" style="1281" customWidth="1"/>
    <col min="3833" max="3833" width="4.85546875" style="1281" customWidth="1"/>
    <col min="3834" max="3834" width="4.7109375" style="1281" customWidth="1"/>
    <col min="3835" max="3835" width="4.42578125" style="1281" customWidth="1"/>
    <col min="3836" max="4079" width="11.42578125" style="1281"/>
    <col min="4080" max="4080" width="11.42578125" style="1281" customWidth="1"/>
    <col min="4081" max="4081" width="33.42578125" style="1281" customWidth="1"/>
    <col min="4082" max="4082" width="16.28515625" style="1281" customWidth="1"/>
    <col min="4083" max="4083" width="3.42578125" style="1281" customWidth="1"/>
    <col min="4084" max="4084" width="5.7109375" style="1281" customWidth="1"/>
    <col min="4085" max="4085" width="5.85546875" style="1281" customWidth="1"/>
    <col min="4086" max="4086" width="6.7109375" style="1281" customWidth="1"/>
    <col min="4087" max="4087" width="5.7109375" style="1281" customWidth="1"/>
    <col min="4088" max="4088" width="4.42578125" style="1281" customWidth="1"/>
    <col min="4089" max="4089" width="4.85546875" style="1281" customWidth="1"/>
    <col min="4090" max="4090" width="4.7109375" style="1281" customWidth="1"/>
    <col min="4091" max="4091" width="4.42578125" style="1281" customWidth="1"/>
    <col min="4092" max="4335" width="11.42578125" style="1281"/>
    <col min="4336" max="4336" width="11.42578125" style="1281" customWidth="1"/>
    <col min="4337" max="4337" width="33.42578125" style="1281" customWidth="1"/>
    <col min="4338" max="4338" width="16.28515625" style="1281" customWidth="1"/>
    <col min="4339" max="4339" width="3.42578125" style="1281" customWidth="1"/>
    <col min="4340" max="4340" width="5.7109375" style="1281" customWidth="1"/>
    <col min="4341" max="4341" width="5.85546875" style="1281" customWidth="1"/>
    <col min="4342" max="4342" width="6.7109375" style="1281" customWidth="1"/>
    <col min="4343" max="4343" width="5.7109375" style="1281" customWidth="1"/>
    <col min="4344" max="4344" width="4.42578125" style="1281" customWidth="1"/>
    <col min="4345" max="4345" width="4.85546875" style="1281" customWidth="1"/>
    <col min="4346" max="4346" width="4.7109375" style="1281" customWidth="1"/>
    <col min="4347" max="4347" width="4.42578125" style="1281" customWidth="1"/>
    <col min="4348" max="4591" width="11.42578125" style="1281"/>
    <col min="4592" max="4592" width="11.42578125" style="1281" customWidth="1"/>
    <col min="4593" max="4593" width="33.42578125" style="1281" customWidth="1"/>
    <col min="4594" max="4594" width="16.28515625" style="1281" customWidth="1"/>
    <col min="4595" max="4595" width="3.42578125" style="1281" customWidth="1"/>
    <col min="4596" max="4596" width="5.7109375" style="1281" customWidth="1"/>
    <col min="4597" max="4597" width="5.85546875" style="1281" customWidth="1"/>
    <col min="4598" max="4598" width="6.7109375" style="1281" customWidth="1"/>
    <col min="4599" max="4599" width="5.7109375" style="1281" customWidth="1"/>
    <col min="4600" max="4600" width="4.42578125" style="1281" customWidth="1"/>
    <col min="4601" max="4601" width="4.85546875" style="1281" customWidth="1"/>
    <col min="4602" max="4602" width="4.7109375" style="1281" customWidth="1"/>
    <col min="4603" max="4603" width="4.42578125" style="1281" customWidth="1"/>
    <col min="4604" max="4847" width="11.42578125" style="1281"/>
    <col min="4848" max="4848" width="11.42578125" style="1281" customWidth="1"/>
    <col min="4849" max="4849" width="33.42578125" style="1281" customWidth="1"/>
    <col min="4850" max="4850" width="16.28515625" style="1281" customWidth="1"/>
    <col min="4851" max="4851" width="3.42578125" style="1281" customWidth="1"/>
    <col min="4852" max="4852" width="5.7109375" style="1281" customWidth="1"/>
    <col min="4853" max="4853" width="5.85546875" style="1281" customWidth="1"/>
    <col min="4854" max="4854" width="6.7109375" style="1281" customWidth="1"/>
    <col min="4855" max="4855" width="5.7109375" style="1281" customWidth="1"/>
    <col min="4856" max="4856" width="4.42578125" style="1281" customWidth="1"/>
    <col min="4857" max="4857" width="4.85546875" style="1281" customWidth="1"/>
    <col min="4858" max="4858" width="4.7109375" style="1281" customWidth="1"/>
    <col min="4859" max="4859" width="4.42578125" style="1281" customWidth="1"/>
    <col min="4860" max="5103" width="11.42578125" style="1281"/>
    <col min="5104" max="5104" width="11.42578125" style="1281" customWidth="1"/>
    <col min="5105" max="5105" width="33.42578125" style="1281" customWidth="1"/>
    <col min="5106" max="5106" width="16.28515625" style="1281" customWidth="1"/>
    <col min="5107" max="5107" width="3.42578125" style="1281" customWidth="1"/>
    <col min="5108" max="5108" width="5.7109375" style="1281" customWidth="1"/>
    <col min="5109" max="5109" width="5.85546875" style="1281" customWidth="1"/>
    <col min="5110" max="5110" width="6.7109375" style="1281" customWidth="1"/>
    <col min="5111" max="5111" width="5.7109375" style="1281" customWidth="1"/>
    <col min="5112" max="5112" width="4.42578125" style="1281" customWidth="1"/>
    <col min="5113" max="5113" width="4.85546875" style="1281" customWidth="1"/>
    <col min="5114" max="5114" width="4.7109375" style="1281" customWidth="1"/>
    <col min="5115" max="5115" width="4.42578125" style="1281" customWidth="1"/>
    <col min="5116" max="5359" width="11.42578125" style="1281"/>
    <col min="5360" max="5360" width="11.42578125" style="1281" customWidth="1"/>
    <col min="5361" max="5361" width="33.42578125" style="1281" customWidth="1"/>
    <col min="5362" max="5362" width="16.28515625" style="1281" customWidth="1"/>
    <col min="5363" max="5363" width="3.42578125" style="1281" customWidth="1"/>
    <col min="5364" max="5364" width="5.7109375" style="1281" customWidth="1"/>
    <col min="5365" max="5365" width="5.85546875" style="1281" customWidth="1"/>
    <col min="5366" max="5366" width="6.7109375" style="1281" customWidth="1"/>
    <col min="5367" max="5367" width="5.7109375" style="1281" customWidth="1"/>
    <col min="5368" max="5368" width="4.42578125" style="1281" customWidth="1"/>
    <col min="5369" max="5369" width="4.85546875" style="1281" customWidth="1"/>
    <col min="5370" max="5370" width="4.7109375" style="1281" customWidth="1"/>
    <col min="5371" max="5371" width="4.42578125" style="1281" customWidth="1"/>
    <col min="5372" max="5615" width="11.42578125" style="1281"/>
    <col min="5616" max="5616" width="11.42578125" style="1281" customWidth="1"/>
    <col min="5617" max="5617" width="33.42578125" style="1281" customWidth="1"/>
    <col min="5618" max="5618" width="16.28515625" style="1281" customWidth="1"/>
    <col min="5619" max="5619" width="3.42578125" style="1281" customWidth="1"/>
    <col min="5620" max="5620" width="5.7109375" style="1281" customWidth="1"/>
    <col min="5621" max="5621" width="5.85546875" style="1281" customWidth="1"/>
    <col min="5622" max="5622" width="6.7109375" style="1281" customWidth="1"/>
    <col min="5623" max="5623" width="5.7109375" style="1281" customWidth="1"/>
    <col min="5624" max="5624" width="4.42578125" style="1281" customWidth="1"/>
    <col min="5625" max="5625" width="4.85546875" style="1281" customWidth="1"/>
    <col min="5626" max="5626" width="4.7109375" style="1281" customWidth="1"/>
    <col min="5627" max="5627" width="4.42578125" style="1281" customWidth="1"/>
    <col min="5628" max="5871" width="11.42578125" style="1281"/>
    <col min="5872" max="5872" width="11.42578125" style="1281" customWidth="1"/>
    <col min="5873" max="5873" width="33.42578125" style="1281" customWidth="1"/>
    <col min="5874" max="5874" width="16.28515625" style="1281" customWidth="1"/>
    <col min="5875" max="5875" width="3.42578125" style="1281" customWidth="1"/>
    <col min="5876" max="5876" width="5.7109375" style="1281" customWidth="1"/>
    <col min="5877" max="5877" width="5.85546875" style="1281" customWidth="1"/>
    <col min="5878" max="5878" width="6.7109375" style="1281" customWidth="1"/>
    <col min="5879" max="5879" width="5.7109375" style="1281" customWidth="1"/>
    <col min="5880" max="5880" width="4.42578125" style="1281" customWidth="1"/>
    <col min="5881" max="5881" width="4.85546875" style="1281" customWidth="1"/>
    <col min="5882" max="5882" width="4.7109375" style="1281" customWidth="1"/>
    <col min="5883" max="5883" width="4.42578125" style="1281" customWidth="1"/>
    <col min="5884" max="6127" width="11.42578125" style="1281"/>
    <col min="6128" max="6128" width="11.42578125" style="1281" customWidth="1"/>
    <col min="6129" max="6129" width="33.42578125" style="1281" customWidth="1"/>
    <col min="6130" max="6130" width="16.28515625" style="1281" customWidth="1"/>
    <col min="6131" max="6131" width="3.42578125" style="1281" customWidth="1"/>
    <col min="6132" max="6132" width="5.7109375" style="1281" customWidth="1"/>
    <col min="6133" max="6133" width="5.85546875" style="1281" customWidth="1"/>
    <col min="6134" max="6134" width="6.7109375" style="1281" customWidth="1"/>
    <col min="6135" max="6135" width="5.7109375" style="1281" customWidth="1"/>
    <col min="6136" max="6136" width="4.42578125" style="1281" customWidth="1"/>
    <col min="6137" max="6137" width="4.85546875" style="1281" customWidth="1"/>
    <col min="6138" max="6138" width="4.7109375" style="1281" customWidth="1"/>
    <col min="6139" max="6139" width="4.42578125" style="1281" customWidth="1"/>
    <col min="6140" max="6383" width="11.42578125" style="1281"/>
    <col min="6384" max="6384" width="11.42578125" style="1281" customWidth="1"/>
    <col min="6385" max="6385" width="33.42578125" style="1281" customWidth="1"/>
    <col min="6386" max="6386" width="16.28515625" style="1281" customWidth="1"/>
    <col min="6387" max="6387" width="3.42578125" style="1281" customWidth="1"/>
    <col min="6388" max="6388" width="5.7109375" style="1281" customWidth="1"/>
    <col min="6389" max="6389" width="5.85546875" style="1281" customWidth="1"/>
    <col min="6390" max="6390" width="6.7109375" style="1281" customWidth="1"/>
    <col min="6391" max="6391" width="5.7109375" style="1281" customWidth="1"/>
    <col min="6392" max="6392" width="4.42578125" style="1281" customWidth="1"/>
    <col min="6393" max="6393" width="4.85546875" style="1281" customWidth="1"/>
    <col min="6394" max="6394" width="4.7109375" style="1281" customWidth="1"/>
    <col min="6395" max="6395" width="4.42578125" style="1281" customWidth="1"/>
    <col min="6396" max="6639" width="11.42578125" style="1281"/>
    <col min="6640" max="6640" width="11.42578125" style="1281" customWidth="1"/>
    <col min="6641" max="6641" width="33.42578125" style="1281" customWidth="1"/>
    <col min="6642" max="6642" width="16.28515625" style="1281" customWidth="1"/>
    <col min="6643" max="6643" width="3.42578125" style="1281" customWidth="1"/>
    <col min="6644" max="6644" width="5.7109375" style="1281" customWidth="1"/>
    <col min="6645" max="6645" width="5.85546875" style="1281" customWidth="1"/>
    <col min="6646" max="6646" width="6.7109375" style="1281" customWidth="1"/>
    <col min="6647" max="6647" width="5.7109375" style="1281" customWidth="1"/>
    <col min="6648" max="6648" width="4.42578125" style="1281" customWidth="1"/>
    <col min="6649" max="6649" width="4.85546875" style="1281" customWidth="1"/>
    <col min="6650" max="6650" width="4.7109375" style="1281" customWidth="1"/>
    <col min="6651" max="6651" width="4.42578125" style="1281" customWidth="1"/>
    <col min="6652" max="6895" width="11.42578125" style="1281"/>
    <col min="6896" max="6896" width="11.42578125" style="1281" customWidth="1"/>
    <col min="6897" max="6897" width="33.42578125" style="1281" customWidth="1"/>
    <col min="6898" max="6898" width="16.28515625" style="1281" customWidth="1"/>
    <col min="6899" max="6899" width="3.42578125" style="1281" customWidth="1"/>
    <col min="6900" max="6900" width="5.7109375" style="1281" customWidth="1"/>
    <col min="6901" max="6901" width="5.85546875" style="1281" customWidth="1"/>
    <col min="6902" max="6902" width="6.7109375" style="1281" customWidth="1"/>
    <col min="6903" max="6903" width="5.7109375" style="1281" customWidth="1"/>
    <col min="6904" max="6904" width="4.42578125" style="1281" customWidth="1"/>
    <col min="6905" max="6905" width="4.85546875" style="1281" customWidth="1"/>
    <col min="6906" max="6906" width="4.7109375" style="1281" customWidth="1"/>
    <col min="6907" max="6907" width="4.42578125" style="1281" customWidth="1"/>
    <col min="6908" max="7151" width="11.42578125" style="1281"/>
    <col min="7152" max="7152" width="11.42578125" style="1281" customWidth="1"/>
    <col min="7153" max="7153" width="33.42578125" style="1281" customWidth="1"/>
    <col min="7154" max="7154" width="16.28515625" style="1281" customWidth="1"/>
    <col min="7155" max="7155" width="3.42578125" style="1281" customWidth="1"/>
    <col min="7156" max="7156" width="5.7109375" style="1281" customWidth="1"/>
    <col min="7157" max="7157" width="5.85546875" style="1281" customWidth="1"/>
    <col min="7158" max="7158" width="6.7109375" style="1281" customWidth="1"/>
    <col min="7159" max="7159" width="5.7109375" style="1281" customWidth="1"/>
    <col min="7160" max="7160" width="4.42578125" style="1281" customWidth="1"/>
    <col min="7161" max="7161" width="4.85546875" style="1281" customWidth="1"/>
    <col min="7162" max="7162" width="4.7109375" style="1281" customWidth="1"/>
    <col min="7163" max="7163" width="4.42578125" style="1281" customWidth="1"/>
    <col min="7164" max="7407" width="11.42578125" style="1281"/>
    <col min="7408" max="7408" width="11.42578125" style="1281" customWidth="1"/>
    <col min="7409" max="7409" width="33.42578125" style="1281" customWidth="1"/>
    <col min="7410" max="7410" width="16.28515625" style="1281" customWidth="1"/>
    <col min="7411" max="7411" width="3.42578125" style="1281" customWidth="1"/>
    <col min="7412" max="7412" width="5.7109375" style="1281" customWidth="1"/>
    <col min="7413" max="7413" width="5.85546875" style="1281" customWidth="1"/>
    <col min="7414" max="7414" width="6.7109375" style="1281" customWidth="1"/>
    <col min="7415" max="7415" width="5.7109375" style="1281" customWidth="1"/>
    <col min="7416" max="7416" width="4.42578125" style="1281" customWidth="1"/>
    <col min="7417" max="7417" width="4.85546875" style="1281" customWidth="1"/>
    <col min="7418" max="7418" width="4.7109375" style="1281" customWidth="1"/>
    <col min="7419" max="7419" width="4.42578125" style="1281" customWidth="1"/>
    <col min="7420" max="7663" width="11.42578125" style="1281"/>
    <col min="7664" max="7664" width="11.42578125" style="1281" customWidth="1"/>
    <col min="7665" max="7665" width="33.42578125" style="1281" customWidth="1"/>
    <col min="7666" max="7666" width="16.28515625" style="1281" customWidth="1"/>
    <col min="7667" max="7667" width="3.42578125" style="1281" customWidth="1"/>
    <col min="7668" max="7668" width="5.7109375" style="1281" customWidth="1"/>
    <col min="7669" max="7669" width="5.85546875" style="1281" customWidth="1"/>
    <col min="7670" max="7670" width="6.7109375" style="1281" customWidth="1"/>
    <col min="7671" max="7671" width="5.7109375" style="1281" customWidth="1"/>
    <col min="7672" max="7672" width="4.42578125" style="1281" customWidth="1"/>
    <col min="7673" max="7673" width="4.85546875" style="1281" customWidth="1"/>
    <col min="7674" max="7674" width="4.7109375" style="1281" customWidth="1"/>
    <col min="7675" max="7675" width="4.42578125" style="1281" customWidth="1"/>
    <col min="7676" max="7919" width="11.42578125" style="1281"/>
    <col min="7920" max="7920" width="11.42578125" style="1281" customWidth="1"/>
    <col min="7921" max="7921" width="33.42578125" style="1281" customWidth="1"/>
    <col min="7922" max="7922" width="16.28515625" style="1281" customWidth="1"/>
    <col min="7923" max="7923" width="3.42578125" style="1281" customWidth="1"/>
    <col min="7924" max="7924" width="5.7109375" style="1281" customWidth="1"/>
    <col min="7925" max="7925" width="5.85546875" style="1281" customWidth="1"/>
    <col min="7926" max="7926" width="6.7109375" style="1281" customWidth="1"/>
    <col min="7927" max="7927" width="5.7109375" style="1281" customWidth="1"/>
    <col min="7928" max="7928" width="4.42578125" style="1281" customWidth="1"/>
    <col min="7929" max="7929" width="4.85546875" style="1281" customWidth="1"/>
    <col min="7930" max="7930" width="4.7109375" style="1281" customWidth="1"/>
    <col min="7931" max="7931" width="4.42578125" style="1281" customWidth="1"/>
    <col min="7932" max="8175" width="11.42578125" style="1281"/>
    <col min="8176" max="8176" width="11.42578125" style="1281" customWidth="1"/>
    <col min="8177" max="8177" width="33.42578125" style="1281" customWidth="1"/>
    <col min="8178" max="8178" width="16.28515625" style="1281" customWidth="1"/>
    <col min="8179" max="8179" width="3.42578125" style="1281" customWidth="1"/>
    <col min="8180" max="8180" width="5.7109375" style="1281" customWidth="1"/>
    <col min="8181" max="8181" width="5.85546875" style="1281" customWidth="1"/>
    <col min="8182" max="8182" width="6.7109375" style="1281" customWidth="1"/>
    <col min="8183" max="8183" width="5.7109375" style="1281" customWidth="1"/>
    <col min="8184" max="8184" width="4.42578125" style="1281" customWidth="1"/>
    <col min="8185" max="8185" width="4.85546875" style="1281" customWidth="1"/>
    <col min="8186" max="8186" width="4.7109375" style="1281" customWidth="1"/>
    <col min="8187" max="8187" width="4.42578125" style="1281" customWidth="1"/>
    <col min="8188" max="8431" width="11.42578125" style="1281"/>
    <col min="8432" max="8432" width="11.42578125" style="1281" customWidth="1"/>
    <col min="8433" max="8433" width="33.42578125" style="1281" customWidth="1"/>
    <col min="8434" max="8434" width="16.28515625" style="1281" customWidth="1"/>
    <col min="8435" max="8435" width="3.42578125" style="1281" customWidth="1"/>
    <col min="8436" max="8436" width="5.7109375" style="1281" customWidth="1"/>
    <col min="8437" max="8437" width="5.85546875" style="1281" customWidth="1"/>
    <col min="8438" max="8438" width="6.7109375" style="1281" customWidth="1"/>
    <col min="8439" max="8439" width="5.7109375" style="1281" customWidth="1"/>
    <col min="8440" max="8440" width="4.42578125" style="1281" customWidth="1"/>
    <col min="8441" max="8441" width="4.85546875" style="1281" customWidth="1"/>
    <col min="8442" max="8442" width="4.7109375" style="1281" customWidth="1"/>
    <col min="8443" max="8443" width="4.42578125" style="1281" customWidth="1"/>
    <col min="8444" max="8687" width="11.42578125" style="1281"/>
    <col min="8688" max="8688" width="11.42578125" style="1281" customWidth="1"/>
    <col min="8689" max="8689" width="33.42578125" style="1281" customWidth="1"/>
    <col min="8690" max="8690" width="16.28515625" style="1281" customWidth="1"/>
    <col min="8691" max="8691" width="3.42578125" style="1281" customWidth="1"/>
    <col min="8692" max="8692" width="5.7109375" style="1281" customWidth="1"/>
    <col min="8693" max="8693" width="5.85546875" style="1281" customWidth="1"/>
    <col min="8694" max="8694" width="6.7109375" style="1281" customWidth="1"/>
    <col min="8695" max="8695" width="5.7109375" style="1281" customWidth="1"/>
    <col min="8696" max="8696" width="4.42578125" style="1281" customWidth="1"/>
    <col min="8697" max="8697" width="4.85546875" style="1281" customWidth="1"/>
    <col min="8698" max="8698" width="4.7109375" style="1281" customWidth="1"/>
    <col min="8699" max="8699" width="4.42578125" style="1281" customWidth="1"/>
    <col min="8700" max="8943" width="11.42578125" style="1281"/>
    <col min="8944" max="8944" width="11.42578125" style="1281" customWidth="1"/>
    <col min="8945" max="8945" width="33.42578125" style="1281" customWidth="1"/>
    <col min="8946" max="8946" width="16.28515625" style="1281" customWidth="1"/>
    <col min="8947" max="8947" width="3.42578125" style="1281" customWidth="1"/>
    <col min="8948" max="8948" width="5.7109375" style="1281" customWidth="1"/>
    <col min="8949" max="8949" width="5.85546875" style="1281" customWidth="1"/>
    <col min="8950" max="8950" width="6.7109375" style="1281" customWidth="1"/>
    <col min="8951" max="8951" width="5.7109375" style="1281" customWidth="1"/>
    <col min="8952" max="8952" width="4.42578125" style="1281" customWidth="1"/>
    <col min="8953" max="8953" width="4.85546875" style="1281" customWidth="1"/>
    <col min="8954" max="8954" width="4.7109375" style="1281" customWidth="1"/>
    <col min="8955" max="8955" width="4.42578125" style="1281" customWidth="1"/>
    <col min="8956" max="9199" width="11.42578125" style="1281"/>
    <col min="9200" max="9200" width="11.42578125" style="1281" customWidth="1"/>
    <col min="9201" max="9201" width="33.42578125" style="1281" customWidth="1"/>
    <col min="9202" max="9202" width="16.28515625" style="1281" customWidth="1"/>
    <col min="9203" max="9203" width="3.42578125" style="1281" customWidth="1"/>
    <col min="9204" max="9204" width="5.7109375" style="1281" customWidth="1"/>
    <col min="9205" max="9205" width="5.85546875" style="1281" customWidth="1"/>
    <col min="9206" max="9206" width="6.7109375" style="1281" customWidth="1"/>
    <col min="9207" max="9207" width="5.7109375" style="1281" customWidth="1"/>
    <col min="9208" max="9208" width="4.42578125" style="1281" customWidth="1"/>
    <col min="9209" max="9209" width="4.85546875" style="1281" customWidth="1"/>
    <col min="9210" max="9210" width="4.7109375" style="1281" customWidth="1"/>
    <col min="9211" max="9211" width="4.42578125" style="1281" customWidth="1"/>
    <col min="9212" max="9455" width="11.42578125" style="1281"/>
    <col min="9456" max="9456" width="11.42578125" style="1281" customWidth="1"/>
    <col min="9457" max="9457" width="33.42578125" style="1281" customWidth="1"/>
    <col min="9458" max="9458" width="16.28515625" style="1281" customWidth="1"/>
    <col min="9459" max="9459" width="3.42578125" style="1281" customWidth="1"/>
    <col min="9460" max="9460" width="5.7109375" style="1281" customWidth="1"/>
    <col min="9461" max="9461" width="5.85546875" style="1281" customWidth="1"/>
    <col min="9462" max="9462" width="6.7109375" style="1281" customWidth="1"/>
    <col min="9463" max="9463" width="5.7109375" style="1281" customWidth="1"/>
    <col min="9464" max="9464" width="4.42578125" style="1281" customWidth="1"/>
    <col min="9465" max="9465" width="4.85546875" style="1281" customWidth="1"/>
    <col min="9466" max="9466" width="4.7109375" style="1281" customWidth="1"/>
    <col min="9467" max="9467" width="4.42578125" style="1281" customWidth="1"/>
    <col min="9468" max="9711" width="11.42578125" style="1281"/>
    <col min="9712" max="9712" width="11.42578125" style="1281" customWidth="1"/>
    <col min="9713" max="9713" width="33.42578125" style="1281" customWidth="1"/>
    <col min="9714" max="9714" width="16.28515625" style="1281" customWidth="1"/>
    <col min="9715" max="9715" width="3.42578125" style="1281" customWidth="1"/>
    <col min="9716" max="9716" width="5.7109375" style="1281" customWidth="1"/>
    <col min="9717" max="9717" width="5.85546875" style="1281" customWidth="1"/>
    <col min="9718" max="9718" width="6.7109375" style="1281" customWidth="1"/>
    <col min="9719" max="9719" width="5.7109375" style="1281" customWidth="1"/>
    <col min="9720" max="9720" width="4.42578125" style="1281" customWidth="1"/>
    <col min="9721" max="9721" width="4.85546875" style="1281" customWidth="1"/>
    <col min="9722" max="9722" width="4.7109375" style="1281" customWidth="1"/>
    <col min="9723" max="9723" width="4.42578125" style="1281" customWidth="1"/>
    <col min="9724" max="9967" width="11.42578125" style="1281"/>
    <col min="9968" max="9968" width="11.42578125" style="1281" customWidth="1"/>
    <col min="9969" max="9969" width="33.42578125" style="1281" customWidth="1"/>
    <col min="9970" max="9970" width="16.28515625" style="1281" customWidth="1"/>
    <col min="9971" max="9971" width="3.42578125" style="1281" customWidth="1"/>
    <col min="9972" max="9972" width="5.7109375" style="1281" customWidth="1"/>
    <col min="9973" max="9973" width="5.85546875" style="1281" customWidth="1"/>
    <col min="9974" max="9974" width="6.7109375" style="1281" customWidth="1"/>
    <col min="9975" max="9975" width="5.7109375" style="1281" customWidth="1"/>
    <col min="9976" max="9976" width="4.42578125" style="1281" customWidth="1"/>
    <col min="9977" max="9977" width="4.85546875" style="1281" customWidth="1"/>
    <col min="9978" max="9978" width="4.7109375" style="1281" customWidth="1"/>
    <col min="9979" max="9979" width="4.42578125" style="1281" customWidth="1"/>
    <col min="9980" max="10223" width="11.42578125" style="1281"/>
    <col min="10224" max="10224" width="11.42578125" style="1281" customWidth="1"/>
    <col min="10225" max="10225" width="33.42578125" style="1281" customWidth="1"/>
    <col min="10226" max="10226" width="16.28515625" style="1281" customWidth="1"/>
    <col min="10227" max="10227" width="3.42578125" style="1281" customWidth="1"/>
    <col min="10228" max="10228" width="5.7109375" style="1281" customWidth="1"/>
    <col min="10229" max="10229" width="5.85546875" style="1281" customWidth="1"/>
    <col min="10230" max="10230" width="6.7109375" style="1281" customWidth="1"/>
    <col min="10231" max="10231" width="5.7109375" style="1281" customWidth="1"/>
    <col min="10232" max="10232" width="4.42578125" style="1281" customWidth="1"/>
    <col min="10233" max="10233" width="4.85546875" style="1281" customWidth="1"/>
    <col min="10234" max="10234" width="4.7109375" style="1281" customWidth="1"/>
    <col min="10235" max="10235" width="4.42578125" style="1281" customWidth="1"/>
    <col min="10236" max="10479" width="11.42578125" style="1281"/>
    <col min="10480" max="10480" width="11.42578125" style="1281" customWidth="1"/>
    <col min="10481" max="10481" width="33.42578125" style="1281" customWidth="1"/>
    <col min="10482" max="10482" width="16.28515625" style="1281" customWidth="1"/>
    <col min="10483" max="10483" width="3.42578125" style="1281" customWidth="1"/>
    <col min="10484" max="10484" width="5.7109375" style="1281" customWidth="1"/>
    <col min="10485" max="10485" width="5.85546875" style="1281" customWidth="1"/>
    <col min="10486" max="10486" width="6.7109375" style="1281" customWidth="1"/>
    <col min="10487" max="10487" width="5.7109375" style="1281" customWidth="1"/>
    <col min="10488" max="10488" width="4.42578125" style="1281" customWidth="1"/>
    <col min="10489" max="10489" width="4.85546875" style="1281" customWidth="1"/>
    <col min="10490" max="10490" width="4.7109375" style="1281" customWidth="1"/>
    <col min="10491" max="10491" width="4.42578125" style="1281" customWidth="1"/>
    <col min="10492" max="10735" width="11.42578125" style="1281"/>
    <col min="10736" max="10736" width="11.42578125" style="1281" customWidth="1"/>
    <col min="10737" max="10737" width="33.42578125" style="1281" customWidth="1"/>
    <col min="10738" max="10738" width="16.28515625" style="1281" customWidth="1"/>
    <col min="10739" max="10739" width="3.42578125" style="1281" customWidth="1"/>
    <col min="10740" max="10740" width="5.7109375" style="1281" customWidth="1"/>
    <col min="10741" max="10741" width="5.85546875" style="1281" customWidth="1"/>
    <col min="10742" max="10742" width="6.7109375" style="1281" customWidth="1"/>
    <col min="10743" max="10743" width="5.7109375" style="1281" customWidth="1"/>
    <col min="10744" max="10744" width="4.42578125" style="1281" customWidth="1"/>
    <col min="10745" max="10745" width="4.85546875" style="1281" customWidth="1"/>
    <col min="10746" max="10746" width="4.7109375" style="1281" customWidth="1"/>
    <col min="10747" max="10747" width="4.42578125" style="1281" customWidth="1"/>
    <col min="10748" max="10991" width="11.42578125" style="1281"/>
    <col min="10992" max="10992" width="11.42578125" style="1281" customWidth="1"/>
    <col min="10993" max="10993" width="33.42578125" style="1281" customWidth="1"/>
    <col min="10994" max="10994" width="16.28515625" style="1281" customWidth="1"/>
    <col min="10995" max="10995" width="3.42578125" style="1281" customWidth="1"/>
    <col min="10996" max="10996" width="5.7109375" style="1281" customWidth="1"/>
    <col min="10997" max="10997" width="5.85546875" style="1281" customWidth="1"/>
    <col min="10998" max="10998" width="6.7109375" style="1281" customWidth="1"/>
    <col min="10999" max="10999" width="5.7109375" style="1281" customWidth="1"/>
    <col min="11000" max="11000" width="4.42578125" style="1281" customWidth="1"/>
    <col min="11001" max="11001" width="4.85546875" style="1281" customWidth="1"/>
    <col min="11002" max="11002" width="4.7109375" style="1281" customWidth="1"/>
    <col min="11003" max="11003" width="4.42578125" style="1281" customWidth="1"/>
    <col min="11004" max="11247" width="11.42578125" style="1281"/>
    <col min="11248" max="11248" width="11.42578125" style="1281" customWidth="1"/>
    <col min="11249" max="11249" width="33.42578125" style="1281" customWidth="1"/>
    <col min="11250" max="11250" width="16.28515625" style="1281" customWidth="1"/>
    <col min="11251" max="11251" width="3.42578125" style="1281" customWidth="1"/>
    <col min="11252" max="11252" width="5.7109375" style="1281" customWidth="1"/>
    <col min="11253" max="11253" width="5.85546875" style="1281" customWidth="1"/>
    <col min="11254" max="11254" width="6.7109375" style="1281" customWidth="1"/>
    <col min="11255" max="11255" width="5.7109375" style="1281" customWidth="1"/>
    <col min="11256" max="11256" width="4.42578125" style="1281" customWidth="1"/>
    <col min="11257" max="11257" width="4.85546875" style="1281" customWidth="1"/>
    <col min="11258" max="11258" width="4.7109375" style="1281" customWidth="1"/>
    <col min="11259" max="11259" width="4.42578125" style="1281" customWidth="1"/>
    <col min="11260" max="11503" width="11.42578125" style="1281"/>
    <col min="11504" max="11504" width="11.42578125" style="1281" customWidth="1"/>
    <col min="11505" max="11505" width="33.42578125" style="1281" customWidth="1"/>
    <col min="11506" max="11506" width="16.28515625" style="1281" customWidth="1"/>
    <col min="11507" max="11507" width="3.42578125" style="1281" customWidth="1"/>
    <col min="11508" max="11508" width="5.7109375" style="1281" customWidth="1"/>
    <col min="11509" max="11509" width="5.85546875" style="1281" customWidth="1"/>
    <col min="11510" max="11510" width="6.7109375" style="1281" customWidth="1"/>
    <col min="11511" max="11511" width="5.7109375" style="1281" customWidth="1"/>
    <col min="11512" max="11512" width="4.42578125" style="1281" customWidth="1"/>
    <col min="11513" max="11513" width="4.85546875" style="1281" customWidth="1"/>
    <col min="11514" max="11514" width="4.7109375" style="1281" customWidth="1"/>
    <col min="11515" max="11515" width="4.42578125" style="1281" customWidth="1"/>
    <col min="11516" max="11759" width="11.42578125" style="1281"/>
    <col min="11760" max="11760" width="11.42578125" style="1281" customWidth="1"/>
    <col min="11761" max="11761" width="33.42578125" style="1281" customWidth="1"/>
    <col min="11762" max="11762" width="16.28515625" style="1281" customWidth="1"/>
    <col min="11763" max="11763" width="3.42578125" style="1281" customWidth="1"/>
    <col min="11764" max="11764" width="5.7109375" style="1281" customWidth="1"/>
    <col min="11765" max="11765" width="5.85546875" style="1281" customWidth="1"/>
    <col min="11766" max="11766" width="6.7109375" style="1281" customWidth="1"/>
    <col min="11767" max="11767" width="5.7109375" style="1281" customWidth="1"/>
    <col min="11768" max="11768" width="4.42578125" style="1281" customWidth="1"/>
    <col min="11769" max="11769" width="4.85546875" style="1281" customWidth="1"/>
    <col min="11770" max="11770" width="4.7109375" style="1281" customWidth="1"/>
    <col min="11771" max="11771" width="4.42578125" style="1281" customWidth="1"/>
    <col min="11772" max="12015" width="11.42578125" style="1281"/>
    <col min="12016" max="12016" width="11.42578125" style="1281" customWidth="1"/>
    <col min="12017" max="12017" width="33.42578125" style="1281" customWidth="1"/>
    <col min="12018" max="12018" width="16.28515625" style="1281" customWidth="1"/>
    <col min="12019" max="12019" width="3.42578125" style="1281" customWidth="1"/>
    <col min="12020" max="12020" width="5.7109375" style="1281" customWidth="1"/>
    <col min="12021" max="12021" width="5.85546875" style="1281" customWidth="1"/>
    <col min="12022" max="12022" width="6.7109375" style="1281" customWidth="1"/>
    <col min="12023" max="12023" width="5.7109375" style="1281" customWidth="1"/>
    <col min="12024" max="12024" width="4.42578125" style="1281" customWidth="1"/>
    <col min="12025" max="12025" width="4.85546875" style="1281" customWidth="1"/>
    <col min="12026" max="12026" width="4.7109375" style="1281" customWidth="1"/>
    <col min="12027" max="12027" width="4.42578125" style="1281" customWidth="1"/>
    <col min="12028" max="12271" width="11.42578125" style="1281"/>
    <col min="12272" max="12272" width="11.42578125" style="1281" customWidth="1"/>
    <col min="12273" max="12273" width="33.42578125" style="1281" customWidth="1"/>
    <col min="12274" max="12274" width="16.28515625" style="1281" customWidth="1"/>
    <col min="12275" max="12275" width="3.42578125" style="1281" customWidth="1"/>
    <col min="12276" max="12276" width="5.7109375" style="1281" customWidth="1"/>
    <col min="12277" max="12277" width="5.85546875" style="1281" customWidth="1"/>
    <col min="12278" max="12278" width="6.7109375" style="1281" customWidth="1"/>
    <col min="12279" max="12279" width="5.7109375" style="1281" customWidth="1"/>
    <col min="12280" max="12280" width="4.42578125" style="1281" customWidth="1"/>
    <col min="12281" max="12281" width="4.85546875" style="1281" customWidth="1"/>
    <col min="12282" max="12282" width="4.7109375" style="1281" customWidth="1"/>
    <col min="12283" max="12283" width="4.42578125" style="1281" customWidth="1"/>
    <col min="12284" max="12527" width="11.42578125" style="1281"/>
    <col min="12528" max="12528" width="11.42578125" style="1281" customWidth="1"/>
    <col min="12529" max="12529" width="33.42578125" style="1281" customWidth="1"/>
    <col min="12530" max="12530" width="16.28515625" style="1281" customWidth="1"/>
    <col min="12531" max="12531" width="3.42578125" style="1281" customWidth="1"/>
    <col min="12532" max="12532" width="5.7109375" style="1281" customWidth="1"/>
    <col min="12533" max="12533" width="5.85546875" style="1281" customWidth="1"/>
    <col min="12534" max="12534" width="6.7109375" style="1281" customWidth="1"/>
    <col min="12535" max="12535" width="5.7109375" style="1281" customWidth="1"/>
    <col min="12536" max="12536" width="4.42578125" style="1281" customWidth="1"/>
    <col min="12537" max="12537" width="4.85546875" style="1281" customWidth="1"/>
    <col min="12538" max="12538" width="4.7109375" style="1281" customWidth="1"/>
    <col min="12539" max="12539" width="4.42578125" style="1281" customWidth="1"/>
    <col min="12540" max="12783" width="11.42578125" style="1281"/>
    <col min="12784" max="12784" width="11.42578125" style="1281" customWidth="1"/>
    <col min="12785" max="12785" width="33.42578125" style="1281" customWidth="1"/>
    <col min="12786" max="12786" width="16.28515625" style="1281" customWidth="1"/>
    <col min="12787" max="12787" width="3.42578125" style="1281" customWidth="1"/>
    <col min="12788" max="12788" width="5.7109375" style="1281" customWidth="1"/>
    <col min="12789" max="12789" width="5.85546875" style="1281" customWidth="1"/>
    <col min="12790" max="12790" width="6.7109375" style="1281" customWidth="1"/>
    <col min="12791" max="12791" width="5.7109375" style="1281" customWidth="1"/>
    <col min="12792" max="12792" width="4.42578125" style="1281" customWidth="1"/>
    <col min="12793" max="12793" width="4.85546875" style="1281" customWidth="1"/>
    <col min="12794" max="12794" width="4.7109375" style="1281" customWidth="1"/>
    <col min="12795" max="12795" width="4.42578125" style="1281" customWidth="1"/>
    <col min="12796" max="13039" width="11.42578125" style="1281"/>
    <col min="13040" max="13040" width="11.42578125" style="1281" customWidth="1"/>
    <col min="13041" max="13041" width="33.42578125" style="1281" customWidth="1"/>
    <col min="13042" max="13042" width="16.28515625" style="1281" customWidth="1"/>
    <col min="13043" max="13043" width="3.42578125" style="1281" customWidth="1"/>
    <col min="13044" max="13044" width="5.7109375" style="1281" customWidth="1"/>
    <col min="13045" max="13045" width="5.85546875" style="1281" customWidth="1"/>
    <col min="13046" max="13046" width="6.7109375" style="1281" customWidth="1"/>
    <col min="13047" max="13047" width="5.7109375" style="1281" customWidth="1"/>
    <col min="13048" max="13048" width="4.42578125" style="1281" customWidth="1"/>
    <col min="13049" max="13049" width="4.85546875" style="1281" customWidth="1"/>
    <col min="13050" max="13050" width="4.7109375" style="1281" customWidth="1"/>
    <col min="13051" max="13051" width="4.42578125" style="1281" customWidth="1"/>
    <col min="13052" max="13295" width="11.42578125" style="1281"/>
    <col min="13296" max="13296" width="11.42578125" style="1281" customWidth="1"/>
    <col min="13297" max="13297" width="33.42578125" style="1281" customWidth="1"/>
    <col min="13298" max="13298" width="16.28515625" style="1281" customWidth="1"/>
    <col min="13299" max="13299" width="3.42578125" style="1281" customWidth="1"/>
    <col min="13300" max="13300" width="5.7109375" style="1281" customWidth="1"/>
    <col min="13301" max="13301" width="5.85546875" style="1281" customWidth="1"/>
    <col min="13302" max="13302" width="6.7109375" style="1281" customWidth="1"/>
    <col min="13303" max="13303" width="5.7109375" style="1281" customWidth="1"/>
    <col min="13304" max="13304" width="4.42578125" style="1281" customWidth="1"/>
    <col min="13305" max="13305" width="4.85546875" style="1281" customWidth="1"/>
    <col min="13306" max="13306" width="4.7109375" style="1281" customWidth="1"/>
    <col min="13307" max="13307" width="4.42578125" style="1281" customWidth="1"/>
    <col min="13308" max="13551" width="11.42578125" style="1281"/>
    <col min="13552" max="13552" width="11.42578125" style="1281" customWidth="1"/>
    <col min="13553" max="13553" width="33.42578125" style="1281" customWidth="1"/>
    <col min="13554" max="13554" width="16.28515625" style="1281" customWidth="1"/>
    <col min="13555" max="13555" width="3.42578125" style="1281" customWidth="1"/>
    <col min="13556" max="13556" width="5.7109375" style="1281" customWidth="1"/>
    <col min="13557" max="13557" width="5.85546875" style="1281" customWidth="1"/>
    <col min="13558" max="13558" width="6.7109375" style="1281" customWidth="1"/>
    <col min="13559" max="13559" width="5.7109375" style="1281" customWidth="1"/>
    <col min="13560" max="13560" width="4.42578125" style="1281" customWidth="1"/>
    <col min="13561" max="13561" width="4.85546875" style="1281" customWidth="1"/>
    <col min="13562" max="13562" width="4.7109375" style="1281" customWidth="1"/>
    <col min="13563" max="13563" width="4.42578125" style="1281" customWidth="1"/>
    <col min="13564" max="13807" width="11.42578125" style="1281"/>
    <col min="13808" max="13808" width="11.42578125" style="1281" customWidth="1"/>
    <col min="13809" max="13809" width="33.42578125" style="1281" customWidth="1"/>
    <col min="13810" max="13810" width="16.28515625" style="1281" customWidth="1"/>
    <col min="13811" max="13811" width="3.42578125" style="1281" customWidth="1"/>
    <col min="13812" max="13812" width="5.7109375" style="1281" customWidth="1"/>
    <col min="13813" max="13813" width="5.85546875" style="1281" customWidth="1"/>
    <col min="13814" max="13814" width="6.7109375" style="1281" customWidth="1"/>
    <col min="13815" max="13815" width="5.7109375" style="1281" customWidth="1"/>
    <col min="13816" max="13816" width="4.42578125" style="1281" customWidth="1"/>
    <col min="13817" max="13817" width="4.85546875" style="1281" customWidth="1"/>
    <col min="13818" max="13818" width="4.7109375" style="1281" customWidth="1"/>
    <col min="13819" max="13819" width="4.42578125" style="1281" customWidth="1"/>
    <col min="13820" max="14063" width="11.42578125" style="1281"/>
    <col min="14064" max="14064" width="11.42578125" style="1281" customWidth="1"/>
    <col min="14065" max="14065" width="33.42578125" style="1281" customWidth="1"/>
    <col min="14066" max="14066" width="16.28515625" style="1281" customWidth="1"/>
    <col min="14067" max="14067" width="3.42578125" style="1281" customWidth="1"/>
    <col min="14068" max="14068" width="5.7109375" style="1281" customWidth="1"/>
    <col min="14069" max="14069" width="5.85546875" style="1281" customWidth="1"/>
    <col min="14070" max="14070" width="6.7109375" style="1281" customWidth="1"/>
    <col min="14071" max="14071" width="5.7109375" style="1281" customWidth="1"/>
    <col min="14072" max="14072" width="4.42578125" style="1281" customWidth="1"/>
    <col min="14073" max="14073" width="4.85546875" style="1281" customWidth="1"/>
    <col min="14074" max="14074" width="4.7109375" style="1281" customWidth="1"/>
    <col min="14075" max="14075" width="4.42578125" style="1281" customWidth="1"/>
    <col min="14076" max="14319" width="11.42578125" style="1281"/>
    <col min="14320" max="14320" width="11.42578125" style="1281" customWidth="1"/>
    <col min="14321" max="14321" width="33.42578125" style="1281" customWidth="1"/>
    <col min="14322" max="14322" width="16.28515625" style="1281" customWidth="1"/>
    <col min="14323" max="14323" width="3.42578125" style="1281" customWidth="1"/>
    <col min="14324" max="14324" width="5.7109375" style="1281" customWidth="1"/>
    <col min="14325" max="14325" width="5.85546875" style="1281" customWidth="1"/>
    <col min="14326" max="14326" width="6.7109375" style="1281" customWidth="1"/>
    <col min="14327" max="14327" width="5.7109375" style="1281" customWidth="1"/>
    <col min="14328" max="14328" width="4.42578125" style="1281" customWidth="1"/>
    <col min="14329" max="14329" width="4.85546875" style="1281" customWidth="1"/>
    <col min="14330" max="14330" width="4.7109375" style="1281" customWidth="1"/>
    <col min="14331" max="14331" width="4.42578125" style="1281" customWidth="1"/>
    <col min="14332" max="14575" width="11.42578125" style="1281"/>
    <col min="14576" max="14576" width="11.42578125" style="1281" customWidth="1"/>
    <col min="14577" max="14577" width="33.42578125" style="1281" customWidth="1"/>
    <col min="14578" max="14578" width="16.28515625" style="1281" customWidth="1"/>
    <col min="14579" max="14579" width="3.42578125" style="1281" customWidth="1"/>
    <col min="14580" max="14580" width="5.7109375" style="1281" customWidth="1"/>
    <col min="14581" max="14581" width="5.85546875" style="1281" customWidth="1"/>
    <col min="14582" max="14582" width="6.7109375" style="1281" customWidth="1"/>
    <col min="14583" max="14583" width="5.7109375" style="1281" customWidth="1"/>
    <col min="14584" max="14584" width="4.42578125" style="1281" customWidth="1"/>
    <col min="14585" max="14585" width="4.85546875" style="1281" customWidth="1"/>
    <col min="14586" max="14586" width="4.7109375" style="1281" customWidth="1"/>
    <col min="14587" max="14587" width="4.42578125" style="1281" customWidth="1"/>
    <col min="14588" max="14831" width="11.42578125" style="1281"/>
    <col min="14832" max="14832" width="11.42578125" style="1281" customWidth="1"/>
    <col min="14833" max="14833" width="33.42578125" style="1281" customWidth="1"/>
    <col min="14834" max="14834" width="16.28515625" style="1281" customWidth="1"/>
    <col min="14835" max="14835" width="3.42578125" style="1281" customWidth="1"/>
    <col min="14836" max="14836" width="5.7109375" style="1281" customWidth="1"/>
    <col min="14837" max="14837" width="5.85546875" style="1281" customWidth="1"/>
    <col min="14838" max="14838" width="6.7109375" style="1281" customWidth="1"/>
    <col min="14839" max="14839" width="5.7109375" style="1281" customWidth="1"/>
    <col min="14840" max="14840" width="4.42578125" style="1281" customWidth="1"/>
    <col min="14841" max="14841" width="4.85546875" style="1281" customWidth="1"/>
    <col min="14842" max="14842" width="4.7109375" style="1281" customWidth="1"/>
    <col min="14843" max="14843" width="4.42578125" style="1281" customWidth="1"/>
    <col min="14844" max="15087" width="11.42578125" style="1281"/>
    <col min="15088" max="15088" width="11.42578125" style="1281" customWidth="1"/>
    <col min="15089" max="15089" width="33.42578125" style="1281" customWidth="1"/>
    <col min="15090" max="15090" width="16.28515625" style="1281" customWidth="1"/>
    <col min="15091" max="15091" width="3.42578125" style="1281" customWidth="1"/>
    <col min="15092" max="15092" width="5.7109375" style="1281" customWidth="1"/>
    <col min="15093" max="15093" width="5.85546875" style="1281" customWidth="1"/>
    <col min="15094" max="15094" width="6.7109375" style="1281" customWidth="1"/>
    <col min="15095" max="15095" width="5.7109375" style="1281" customWidth="1"/>
    <col min="15096" max="15096" width="4.42578125" style="1281" customWidth="1"/>
    <col min="15097" max="15097" width="4.85546875" style="1281" customWidth="1"/>
    <col min="15098" max="15098" width="4.7109375" style="1281" customWidth="1"/>
    <col min="15099" max="15099" width="4.42578125" style="1281" customWidth="1"/>
    <col min="15100" max="15343" width="11.42578125" style="1281"/>
    <col min="15344" max="15344" width="11.42578125" style="1281" customWidth="1"/>
    <col min="15345" max="15345" width="33.42578125" style="1281" customWidth="1"/>
    <col min="15346" max="15346" width="16.28515625" style="1281" customWidth="1"/>
    <col min="15347" max="15347" width="3.42578125" style="1281" customWidth="1"/>
    <col min="15348" max="15348" width="5.7109375" style="1281" customWidth="1"/>
    <col min="15349" max="15349" width="5.85546875" style="1281" customWidth="1"/>
    <col min="15350" max="15350" width="6.7109375" style="1281" customWidth="1"/>
    <col min="15351" max="15351" width="5.7109375" style="1281" customWidth="1"/>
    <col min="15352" max="15352" width="4.42578125" style="1281" customWidth="1"/>
    <col min="15353" max="15353" width="4.85546875" style="1281" customWidth="1"/>
    <col min="15354" max="15354" width="4.7109375" style="1281" customWidth="1"/>
    <col min="15355" max="15355" width="4.42578125" style="1281" customWidth="1"/>
    <col min="15356" max="15599" width="11.42578125" style="1281"/>
    <col min="15600" max="15600" width="11.42578125" style="1281" customWidth="1"/>
    <col min="15601" max="15601" width="33.42578125" style="1281" customWidth="1"/>
    <col min="15602" max="15602" width="16.28515625" style="1281" customWidth="1"/>
    <col min="15603" max="15603" width="3.42578125" style="1281" customWidth="1"/>
    <col min="15604" max="15604" width="5.7109375" style="1281" customWidth="1"/>
    <col min="15605" max="15605" width="5.85546875" style="1281" customWidth="1"/>
    <col min="15606" max="15606" width="6.7109375" style="1281" customWidth="1"/>
    <col min="15607" max="15607" width="5.7109375" style="1281" customWidth="1"/>
    <col min="15608" max="15608" width="4.42578125" style="1281" customWidth="1"/>
    <col min="15609" max="15609" width="4.85546875" style="1281" customWidth="1"/>
    <col min="15610" max="15610" width="4.7109375" style="1281" customWidth="1"/>
    <col min="15611" max="15611" width="4.42578125" style="1281" customWidth="1"/>
    <col min="15612" max="15855" width="11.42578125" style="1281"/>
    <col min="15856" max="15856" width="11.42578125" style="1281" customWidth="1"/>
    <col min="15857" max="15857" width="33.42578125" style="1281" customWidth="1"/>
    <col min="15858" max="15858" width="16.28515625" style="1281" customWidth="1"/>
    <col min="15859" max="15859" width="3.42578125" style="1281" customWidth="1"/>
    <col min="15860" max="15860" width="5.7109375" style="1281" customWidth="1"/>
    <col min="15861" max="15861" width="5.85546875" style="1281" customWidth="1"/>
    <col min="15862" max="15862" width="6.7109375" style="1281" customWidth="1"/>
    <col min="15863" max="15863" width="5.7109375" style="1281" customWidth="1"/>
    <col min="15864" max="15864" width="4.42578125" style="1281" customWidth="1"/>
    <col min="15865" max="15865" width="4.85546875" style="1281" customWidth="1"/>
    <col min="15866" max="15866" width="4.7109375" style="1281" customWidth="1"/>
    <col min="15867" max="15867" width="4.42578125" style="1281" customWidth="1"/>
    <col min="15868" max="16111" width="11.42578125" style="1281"/>
    <col min="16112" max="16112" width="11.42578125" style="1281" customWidth="1"/>
    <col min="16113" max="16113" width="33.42578125" style="1281" customWidth="1"/>
    <col min="16114" max="16114" width="16.28515625" style="1281" customWidth="1"/>
    <col min="16115" max="16115" width="3.42578125" style="1281" customWidth="1"/>
    <col min="16116" max="16116" width="5.7109375" style="1281" customWidth="1"/>
    <col min="16117" max="16117" width="5.85546875" style="1281" customWidth="1"/>
    <col min="16118" max="16118" width="6.7109375" style="1281" customWidth="1"/>
    <col min="16119" max="16119" width="5.7109375" style="1281" customWidth="1"/>
    <col min="16120" max="16120" width="4.42578125" style="1281" customWidth="1"/>
    <col min="16121" max="16121" width="4.85546875" style="1281" customWidth="1"/>
    <col min="16122" max="16122" width="4.7109375" style="1281" customWidth="1"/>
    <col min="16123" max="16123" width="4.42578125" style="1281" customWidth="1"/>
    <col min="16124" max="16384" width="11.42578125" style="1281"/>
  </cols>
  <sheetData>
    <row r="1" spans="1:27" ht="18"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1443</v>
      </c>
      <c r="C2" s="3629"/>
      <c r="D2" s="3629"/>
      <c r="E2" s="3629"/>
      <c r="F2" s="3629"/>
      <c r="G2" s="3629"/>
      <c r="H2" s="2844" t="s">
        <v>1444</v>
      </c>
      <c r="I2" s="2845">
        <f>X2</f>
        <v>10</v>
      </c>
      <c r="J2" s="2841"/>
      <c r="K2" s="2843" t="s">
        <v>2873</v>
      </c>
      <c r="L2" s="2842">
        <v>5</v>
      </c>
      <c r="M2" s="1519">
        <v>42.75</v>
      </c>
      <c r="N2" s="1519"/>
      <c r="P2" s="1520"/>
      <c r="Q2" s="3630" t="s">
        <v>1443</v>
      </c>
      <c r="R2" s="3631"/>
      <c r="S2" s="3631"/>
      <c r="T2" s="3631"/>
      <c r="U2" s="3631"/>
      <c r="V2" s="3632"/>
      <c r="W2" s="1521" t="s">
        <v>1444</v>
      </c>
      <c r="X2" s="1522">
        <v>10</v>
      </c>
      <c r="Y2" s="1523"/>
      <c r="Z2" s="1523"/>
      <c r="AA2" s="1524"/>
    </row>
    <row r="3" spans="1:27" ht="24.75" customHeight="1">
      <c r="A3" s="1525"/>
      <c r="B3" s="1526" t="s">
        <v>1391</v>
      </c>
      <c r="C3" s="1527"/>
      <c r="D3" s="1527"/>
      <c r="E3" s="1528"/>
      <c r="F3" s="1529" t="s">
        <v>1445</v>
      </c>
      <c r="G3" s="1530"/>
      <c r="H3" s="1531"/>
      <c r="I3" s="1531"/>
      <c r="J3" s="1530"/>
      <c r="K3" s="1530"/>
      <c r="L3" s="1532"/>
      <c r="M3" s="1519">
        <v>24.75</v>
      </c>
      <c r="N3" s="1519"/>
      <c r="P3" s="1533"/>
      <c r="Q3" s="1534" t="s">
        <v>1391</v>
      </c>
      <c r="R3" s="1527"/>
      <c r="S3" s="1527"/>
      <c r="T3" s="1528"/>
      <c r="U3" s="1535" t="s">
        <v>1445</v>
      </c>
      <c r="V3" s="1536"/>
      <c r="W3" s="1192"/>
      <c r="X3" s="1192"/>
      <c r="Y3" s="1536"/>
      <c r="Z3" s="1536"/>
      <c r="AA3" s="1537"/>
    </row>
    <row r="4" spans="1:27" ht="112.5" customHeight="1">
      <c r="A4" s="1538"/>
      <c r="B4" s="3633"/>
      <c r="C4" s="3633"/>
      <c r="D4" s="3633"/>
      <c r="E4" s="3634"/>
      <c r="F4" s="1539"/>
      <c r="G4" s="1540"/>
      <c r="H4" s="1540"/>
      <c r="I4" s="1540"/>
      <c r="J4" s="1531"/>
      <c r="K4" s="1531"/>
      <c r="L4" s="1532"/>
      <c r="M4" s="1519">
        <v>112.5</v>
      </c>
      <c r="N4" s="1519"/>
      <c r="P4" s="1520"/>
      <c r="Q4" s="3635"/>
      <c r="R4" s="3633"/>
      <c r="S4" s="3633"/>
      <c r="T4" s="3634"/>
      <c r="U4" s="1520"/>
      <c r="V4" s="1426"/>
      <c r="W4" s="1426"/>
      <c r="X4" s="1426"/>
      <c r="Y4" s="1192"/>
      <c r="Z4" s="1192"/>
      <c r="AA4" s="1537"/>
    </row>
    <row r="5" spans="1:27" ht="63.75">
      <c r="A5" s="1541"/>
      <c r="B5" s="1542" t="s">
        <v>151</v>
      </c>
      <c r="C5" s="1543" t="s">
        <v>1446</v>
      </c>
      <c r="D5" s="1544"/>
      <c r="E5" s="1545" t="s">
        <v>1447</v>
      </c>
      <c r="F5" s="1546"/>
      <c r="G5" s="1546"/>
      <c r="H5" s="1546"/>
      <c r="I5" s="1547"/>
      <c r="J5" s="1543" t="s">
        <v>1448</v>
      </c>
      <c r="K5" s="1548"/>
      <c r="L5" s="1549"/>
      <c r="M5" s="1519">
        <v>63.75</v>
      </c>
      <c r="N5" s="1519"/>
      <c r="P5" s="1550"/>
      <c r="Q5" s="1551" t="s">
        <v>151</v>
      </c>
      <c r="R5" s="1552" t="s">
        <v>1446</v>
      </c>
      <c r="S5" s="1553"/>
      <c r="T5" s="1554" t="s">
        <v>1447</v>
      </c>
      <c r="U5" s="1555"/>
      <c r="V5" s="1555"/>
      <c r="W5" s="1555"/>
      <c r="X5" s="1556"/>
      <c r="Y5" s="1552" t="s">
        <v>1448</v>
      </c>
      <c r="Z5" s="1557"/>
      <c r="AA5" s="1558"/>
    </row>
    <row r="6" spans="1:27" ht="57.75">
      <c r="A6" s="1525"/>
      <c r="B6" s="1559"/>
      <c r="C6" s="1560" t="str">
        <f t="shared" ref="C6:I8" si="0">R6</f>
        <v>NATURE</v>
      </c>
      <c r="D6" s="1561" t="str">
        <f t="shared" si="0"/>
        <v>unite</v>
      </c>
      <c r="E6" s="1561" t="str">
        <f t="shared" si="0"/>
        <v>NIGIRI</v>
      </c>
      <c r="F6" s="1561" t="str">
        <f t="shared" si="0"/>
        <v>MAKI CALIFORNIA ROLL</v>
      </c>
      <c r="G6" s="1561" t="str">
        <f t="shared" si="0"/>
        <v>RAINBOW</v>
      </c>
      <c r="H6" s="1561" t="str">
        <f t="shared" si="0"/>
        <v>Sauce</v>
      </c>
      <c r="I6" s="1562" t="str">
        <f t="shared" si="0"/>
        <v>finitio</v>
      </c>
      <c r="J6" s="1563" t="s">
        <v>110</v>
      </c>
      <c r="K6" s="1564" t="s">
        <v>117</v>
      </c>
      <c r="L6" s="1565" t="s">
        <v>118</v>
      </c>
      <c r="M6" s="1519">
        <v>57.75</v>
      </c>
      <c r="N6" s="1519"/>
      <c r="P6" s="1533"/>
      <c r="Q6" s="1566"/>
      <c r="R6" s="1567" t="s">
        <v>1449</v>
      </c>
      <c r="S6" s="1568" t="s">
        <v>1450</v>
      </c>
      <c r="T6" s="1569" t="s">
        <v>1451</v>
      </c>
      <c r="U6" s="1569" t="s">
        <v>1452</v>
      </c>
      <c r="V6" s="1569" t="s">
        <v>1453</v>
      </c>
      <c r="W6" s="1570" t="s">
        <v>1454</v>
      </c>
      <c r="X6" s="1571" t="s">
        <v>1455</v>
      </c>
      <c r="Y6" s="1572" t="s">
        <v>110</v>
      </c>
      <c r="Z6" s="1572" t="s">
        <v>117</v>
      </c>
      <c r="AA6" s="1573" t="s">
        <v>118</v>
      </c>
    </row>
    <row r="7" spans="1:27" ht="26.1" customHeight="1">
      <c r="A7" s="1574"/>
      <c r="B7" s="1575"/>
      <c r="C7" s="1576" t="str">
        <f t="shared" si="0"/>
        <v>Viandes/Poissons</v>
      </c>
      <c r="D7" s="2850" t="str">
        <f t="shared" si="0"/>
        <v xml:space="preserve"> </v>
      </c>
      <c r="E7" s="2850">
        <f t="shared" ref="E7:I8" si="1">IF(ISTEXT(T7),T7,(T7/$I$2)*$L$2)</f>
        <v>0</v>
      </c>
      <c r="F7" s="2850">
        <f t="shared" si="1"/>
        <v>0</v>
      </c>
      <c r="G7" s="2850">
        <f t="shared" si="1"/>
        <v>0</v>
      </c>
      <c r="H7" s="2850">
        <f t="shared" si="1"/>
        <v>0</v>
      </c>
      <c r="I7" s="2850">
        <f t="shared" si="1"/>
        <v>0</v>
      </c>
      <c r="J7" s="1577"/>
      <c r="K7" s="1579"/>
      <c r="L7" s="1580"/>
      <c r="M7" s="1519">
        <v>25.5</v>
      </c>
      <c r="N7" s="1519"/>
      <c r="P7" s="1581"/>
      <c r="Q7" s="1582"/>
      <c r="R7" s="1583" t="s">
        <v>120</v>
      </c>
      <c r="S7" s="1584" t="s">
        <v>1456</v>
      </c>
      <c r="T7" s="1585"/>
      <c r="U7" s="1585"/>
      <c r="V7" s="1585"/>
      <c r="W7" s="1585"/>
      <c r="X7" s="1585"/>
      <c r="Y7" s="1585"/>
      <c r="Z7" s="1585"/>
      <c r="AA7" s="1586">
        <f t="shared" ref="AA7:AA44" si="2">IF(ISBLANK(Z7),0,Z7*Y7)</f>
        <v>0</v>
      </c>
    </row>
    <row r="8" spans="1:27" ht="26.1" customHeight="1">
      <c r="A8" s="1574"/>
      <c r="B8" s="1575"/>
      <c r="C8" s="2853" t="str">
        <f t="shared" si="0"/>
        <v>Saumon label</v>
      </c>
      <c r="D8" s="2851" t="str">
        <f t="shared" si="0"/>
        <v>kg</v>
      </c>
      <c r="E8" s="2852">
        <f t="shared" si="1"/>
        <v>0.1</v>
      </c>
      <c r="F8" s="2852">
        <f t="shared" si="1"/>
        <v>7.4999999999999997E-2</v>
      </c>
      <c r="G8" s="2852">
        <f t="shared" si="1"/>
        <v>0</v>
      </c>
      <c r="H8" s="2852">
        <f t="shared" si="1"/>
        <v>0</v>
      </c>
      <c r="I8" s="2852">
        <f t="shared" si="1"/>
        <v>0</v>
      </c>
      <c r="J8" s="2857">
        <f>IF(SUM(E8:I8)=0,"",SUM(E8:I8))</f>
        <v>0.17499999999999999</v>
      </c>
      <c r="K8" s="1590">
        <v>0.56406136377841842</v>
      </c>
      <c r="L8" s="1591">
        <f t="shared" ref="L8:L44" si="3">IF(ISBLANK(K8),"",K8*J8)</f>
        <v>9.8710738661223221E-2</v>
      </c>
      <c r="M8" s="1519">
        <v>25.5</v>
      </c>
      <c r="N8" s="1519"/>
      <c r="P8" s="1581"/>
      <c r="Q8" s="1582"/>
      <c r="R8" s="1592" t="s">
        <v>1457</v>
      </c>
      <c r="S8" s="1550" t="s">
        <v>166</v>
      </c>
      <c r="T8" s="1592">
        <v>0.2</v>
      </c>
      <c r="U8" s="1592">
        <v>0.15</v>
      </c>
      <c r="V8" s="1592"/>
      <c r="W8" s="1592"/>
      <c r="X8" s="1592"/>
      <c r="Y8" s="1592">
        <f>IF(SUM(T8:X8)=0,"",SUM(T8:X8))</f>
        <v>0.35</v>
      </c>
      <c r="Z8" s="1592"/>
      <c r="AA8" s="1593">
        <f t="shared" si="2"/>
        <v>0</v>
      </c>
    </row>
    <row r="9" spans="1:27" ht="26.1" customHeight="1">
      <c r="A9" s="1574"/>
      <c r="B9" s="1575"/>
      <c r="C9" s="2853" t="str">
        <f t="shared" ref="C9:C13" si="4">R9</f>
        <v>Maquereau 0,2 kg</v>
      </c>
      <c r="D9" s="2851" t="str">
        <f t="shared" ref="D9:D13" si="5">S9</f>
        <v>P</v>
      </c>
      <c r="E9" s="2852">
        <f t="shared" ref="E9:E13" si="6">IF(ISTEXT(T9),T9,(T9/$I$2)*$L$2)</f>
        <v>0</v>
      </c>
      <c r="F9" s="2852" t="str">
        <f t="shared" ref="F9:F13" si="7">IF(ISTEXT(U9),U9,(U9/$I$2)*$L$2)</f>
        <v xml:space="preserve"> </v>
      </c>
      <c r="G9" s="2852">
        <f t="shared" ref="G9:G13" si="8">IF(ISTEXT(V9),V9,(V9/$I$2)*$L$2)</f>
        <v>0.5</v>
      </c>
      <c r="H9" s="2852">
        <f t="shared" ref="H9:H13" si="9">IF(ISTEXT(W9),W9,(W9/$I$2)*$L$2)</f>
        <v>0</v>
      </c>
      <c r="I9" s="2852">
        <f t="shared" ref="I9:I13" si="10">IF(ISTEXT(X9),X9,(X9/$I$2)*$L$2)</f>
        <v>0</v>
      </c>
      <c r="J9" s="2857">
        <f t="shared" ref="J9:J45" si="11">IF(SUM(E9:I9)=0,"",SUM(E9:I9))</f>
        <v>0.5</v>
      </c>
      <c r="K9" s="1590"/>
      <c r="L9" s="1591" t="str">
        <f t="shared" si="3"/>
        <v/>
      </c>
      <c r="M9" s="1519">
        <v>25.5</v>
      </c>
      <c r="N9" s="1519"/>
      <c r="P9" s="1581"/>
      <c r="Q9" s="1582"/>
      <c r="R9" s="1592" t="s">
        <v>1458</v>
      </c>
      <c r="S9" s="1550" t="s">
        <v>318</v>
      </c>
      <c r="T9" s="1592"/>
      <c r="U9" s="1592" t="s">
        <v>1456</v>
      </c>
      <c r="V9" s="1592">
        <v>1</v>
      </c>
      <c r="W9" s="1592"/>
      <c r="X9" s="1592"/>
      <c r="Y9" s="1592">
        <f t="shared" ref="Y9:Y45" si="12">IF(SUM(T9:X9)=0,"",SUM(T9:X9))</f>
        <v>1</v>
      </c>
      <c r="Z9" s="1592"/>
      <c r="AA9" s="1593">
        <f t="shared" si="2"/>
        <v>0</v>
      </c>
    </row>
    <row r="10" spans="1:27" ht="26.1" customHeight="1">
      <c r="A10" s="1574"/>
      <c r="B10" s="1575"/>
      <c r="C10" s="2853" t="str">
        <f t="shared" si="4"/>
        <v>Daurade royale</v>
      </c>
      <c r="D10" s="2851" t="str">
        <f t="shared" si="5"/>
        <v>Kg</v>
      </c>
      <c r="E10" s="2852">
        <f t="shared" si="6"/>
        <v>4.4999999999999998E-2</v>
      </c>
      <c r="F10" s="2852" t="str">
        <f t="shared" si="7"/>
        <v xml:space="preserve"> </v>
      </c>
      <c r="G10" s="2852">
        <f t="shared" si="8"/>
        <v>0</v>
      </c>
      <c r="H10" s="2852">
        <f t="shared" si="9"/>
        <v>0</v>
      </c>
      <c r="I10" s="2852">
        <f t="shared" si="10"/>
        <v>0</v>
      </c>
      <c r="J10" s="2857">
        <f>IF(SUM(E10:I10)=0,"",SUM(E10:I10))</f>
        <v>4.4999999999999998E-2</v>
      </c>
      <c r="K10" s="1590"/>
      <c r="L10" s="1591" t="str">
        <f t="shared" si="3"/>
        <v/>
      </c>
      <c r="M10" s="1519">
        <v>25.5</v>
      </c>
      <c r="N10" s="1519"/>
      <c r="P10" s="1581"/>
      <c r="Q10" s="1582"/>
      <c r="R10" s="1592" t="s">
        <v>1459</v>
      </c>
      <c r="S10" s="1550" t="s">
        <v>122</v>
      </c>
      <c r="T10" s="1592">
        <v>0.09</v>
      </c>
      <c r="U10" s="1592" t="s">
        <v>1456</v>
      </c>
      <c r="V10" s="1592"/>
      <c r="W10" s="1592"/>
      <c r="X10" s="1592"/>
      <c r="Y10" s="1592">
        <f>IF(SUM(T10:X10)=0,"",SUM(T10:X10))</f>
        <v>0.09</v>
      </c>
      <c r="Z10" s="1592"/>
      <c r="AA10" s="1593">
        <f t="shared" si="2"/>
        <v>0</v>
      </c>
    </row>
    <row r="11" spans="1:27" ht="26.1" customHeight="1">
      <c r="A11" s="1574"/>
      <c r="B11" s="1575"/>
      <c r="C11" s="2853" t="str">
        <f t="shared" si="4"/>
        <v xml:space="preserve"> </v>
      </c>
      <c r="D11" s="2851">
        <f t="shared" si="5"/>
        <v>0</v>
      </c>
      <c r="E11" s="2852">
        <f t="shared" si="6"/>
        <v>0</v>
      </c>
      <c r="F11" s="2852" t="str">
        <f t="shared" si="7"/>
        <v xml:space="preserve"> </v>
      </c>
      <c r="G11" s="2852">
        <f t="shared" si="8"/>
        <v>0</v>
      </c>
      <c r="H11" s="2852">
        <f t="shared" si="9"/>
        <v>0</v>
      </c>
      <c r="I11" s="2852">
        <f t="shared" si="10"/>
        <v>0</v>
      </c>
      <c r="J11" s="2857" t="str">
        <f t="shared" si="11"/>
        <v/>
      </c>
      <c r="K11" s="1590"/>
      <c r="L11" s="1591" t="str">
        <f t="shared" si="3"/>
        <v/>
      </c>
      <c r="M11" s="1519">
        <v>25.5</v>
      </c>
      <c r="N11" s="1519"/>
      <c r="P11" s="1581"/>
      <c r="Q11" s="1582"/>
      <c r="R11" s="1594" t="s">
        <v>1456</v>
      </c>
      <c r="S11" s="1550"/>
      <c r="T11" s="1592"/>
      <c r="U11" s="1592" t="s">
        <v>1456</v>
      </c>
      <c r="V11" s="1592"/>
      <c r="W11" s="1592"/>
      <c r="X11" s="1592"/>
      <c r="Y11" s="1592" t="str">
        <f t="shared" si="12"/>
        <v/>
      </c>
      <c r="Z11" s="1592"/>
      <c r="AA11" s="1593">
        <f t="shared" si="2"/>
        <v>0</v>
      </c>
    </row>
    <row r="12" spans="1:27" ht="26.1" customHeight="1">
      <c r="A12" s="1574"/>
      <c r="B12" s="1575"/>
      <c r="C12" s="1576" t="str">
        <f t="shared" si="4"/>
        <v>LEGUMERIE</v>
      </c>
      <c r="D12" s="2850" t="str">
        <f t="shared" si="5"/>
        <v xml:space="preserve"> </v>
      </c>
      <c r="E12" s="2850">
        <f t="shared" si="6"/>
        <v>0</v>
      </c>
      <c r="F12" s="2850" t="str">
        <f t="shared" si="7"/>
        <v xml:space="preserve"> </v>
      </c>
      <c r="G12" s="2850">
        <f t="shared" si="8"/>
        <v>0</v>
      </c>
      <c r="H12" s="2850">
        <f t="shared" si="9"/>
        <v>0</v>
      </c>
      <c r="I12" s="2850">
        <f t="shared" si="10"/>
        <v>0</v>
      </c>
      <c r="J12" s="1595" t="str">
        <f t="shared" si="11"/>
        <v/>
      </c>
      <c r="K12" s="1596"/>
      <c r="L12" s="1597" t="str">
        <f t="shared" si="3"/>
        <v/>
      </c>
      <c r="M12" s="1519">
        <v>25.5</v>
      </c>
      <c r="N12" s="1519"/>
      <c r="P12" s="1581"/>
      <c r="Q12" s="1582"/>
      <c r="R12" s="1598" t="s">
        <v>1460</v>
      </c>
      <c r="S12" s="1584" t="s">
        <v>1456</v>
      </c>
      <c r="T12" s="1599"/>
      <c r="U12" s="1599" t="s">
        <v>1456</v>
      </c>
      <c r="V12" s="1599"/>
      <c r="W12" s="1599"/>
      <c r="X12" s="1599"/>
      <c r="Y12" s="1599" t="str">
        <f t="shared" si="12"/>
        <v/>
      </c>
      <c r="Z12" s="1599"/>
      <c r="AA12" s="1600">
        <f t="shared" si="2"/>
        <v>0</v>
      </c>
    </row>
    <row r="13" spans="1:27" ht="26.1" customHeight="1">
      <c r="A13" s="1574"/>
      <c r="B13" s="1575"/>
      <c r="C13" s="2853" t="str">
        <f t="shared" si="4"/>
        <v>laitue</v>
      </c>
      <c r="D13" s="2851" t="str">
        <f t="shared" si="5"/>
        <v xml:space="preserve">p </v>
      </c>
      <c r="E13" s="2852">
        <f t="shared" si="6"/>
        <v>0</v>
      </c>
      <c r="F13" s="2852">
        <f t="shared" si="7"/>
        <v>0.05</v>
      </c>
      <c r="G13" s="2852">
        <f t="shared" si="8"/>
        <v>0</v>
      </c>
      <c r="H13" s="2852">
        <f t="shared" si="9"/>
        <v>0</v>
      </c>
      <c r="I13" s="2852">
        <f t="shared" si="10"/>
        <v>0</v>
      </c>
      <c r="J13" s="2857">
        <f t="shared" si="11"/>
        <v>0.05</v>
      </c>
      <c r="K13" s="1590"/>
      <c r="L13" s="1591" t="str">
        <f t="shared" si="3"/>
        <v/>
      </c>
      <c r="M13" s="1519">
        <v>25.5</v>
      </c>
      <c r="N13" s="1519"/>
      <c r="P13" s="1581"/>
      <c r="Q13" s="1582"/>
      <c r="R13" s="1592" t="s">
        <v>1461</v>
      </c>
      <c r="S13" s="1550" t="s">
        <v>1462</v>
      </c>
      <c r="T13" s="1592"/>
      <c r="U13" s="1592">
        <v>0.1</v>
      </c>
      <c r="V13" s="1592"/>
      <c r="W13" s="1592"/>
      <c r="X13" s="1592"/>
      <c r="Y13" s="1592">
        <f t="shared" si="12"/>
        <v>0.1</v>
      </c>
      <c r="Z13" s="1592"/>
      <c r="AA13" s="1593">
        <f t="shared" si="2"/>
        <v>0</v>
      </c>
    </row>
    <row r="14" spans="1:27" ht="26.1" customHeight="1">
      <c r="A14" s="1574"/>
      <c r="B14" s="1601"/>
      <c r="C14" s="2853" t="str">
        <f t="shared" ref="C14:C26" si="13">R14</f>
        <v>avocat vert</v>
      </c>
      <c r="D14" s="2851" t="str">
        <f t="shared" ref="D14:D26" si="14">S14</f>
        <v>p</v>
      </c>
      <c r="E14" s="2852">
        <f t="shared" ref="E14:E26" si="15">IF(ISTEXT(T14),T14,(T14/$I$2)*$L$2)</f>
        <v>0</v>
      </c>
      <c r="F14" s="2852">
        <f t="shared" ref="F14:F26" si="16">IF(ISTEXT(U14),U14,(U14/$I$2)*$L$2)</f>
        <v>0.05</v>
      </c>
      <c r="G14" s="2852">
        <f t="shared" ref="G14:G26" si="17">IF(ISTEXT(V14),V14,(V14/$I$2)*$L$2)</f>
        <v>0.25</v>
      </c>
      <c r="H14" s="2852">
        <f t="shared" ref="H14:H26" si="18">IF(ISTEXT(W14),W14,(W14/$I$2)*$L$2)</f>
        <v>0</v>
      </c>
      <c r="I14" s="2852">
        <f t="shared" ref="I14:I26" si="19">IF(ISTEXT(X14),X14,(X14/$I$2)*$L$2)</f>
        <v>0</v>
      </c>
      <c r="J14" s="2857">
        <f t="shared" si="11"/>
        <v>0.3</v>
      </c>
      <c r="K14" s="1590"/>
      <c r="L14" s="1591" t="str">
        <f t="shared" si="3"/>
        <v/>
      </c>
      <c r="M14" s="1519">
        <v>25.5</v>
      </c>
      <c r="N14" s="1519"/>
      <c r="P14" s="1581"/>
      <c r="Q14" s="1602"/>
      <c r="R14" s="1603" t="s">
        <v>1463</v>
      </c>
      <c r="S14" s="1550" t="s">
        <v>788</v>
      </c>
      <c r="T14" s="1604"/>
      <c r="U14" s="1592">
        <v>0.1</v>
      </c>
      <c r="V14" s="1592">
        <v>0.5</v>
      </c>
      <c r="W14" s="1592"/>
      <c r="X14" s="1592"/>
      <c r="Y14" s="1592">
        <f t="shared" si="12"/>
        <v>0.6</v>
      </c>
      <c r="Z14" s="1592"/>
      <c r="AA14" s="1593">
        <f t="shared" si="2"/>
        <v>0</v>
      </c>
    </row>
    <row r="15" spans="1:27" ht="26.1" customHeight="1">
      <c r="A15" s="1574"/>
      <c r="B15" s="1575"/>
      <c r="C15" s="2853" t="str">
        <f t="shared" si="13"/>
        <v xml:space="preserve"> </v>
      </c>
      <c r="D15" s="2851" t="str">
        <f t="shared" si="14"/>
        <v xml:space="preserve"> </v>
      </c>
      <c r="E15" s="2852">
        <f t="shared" si="15"/>
        <v>0</v>
      </c>
      <c r="F15" s="2852">
        <f t="shared" si="16"/>
        <v>0</v>
      </c>
      <c r="G15" s="2852" t="str">
        <f t="shared" si="17"/>
        <v xml:space="preserve"> </v>
      </c>
      <c r="H15" s="2852">
        <f t="shared" si="18"/>
        <v>0</v>
      </c>
      <c r="I15" s="2852">
        <f t="shared" si="19"/>
        <v>0</v>
      </c>
      <c r="J15" s="2857" t="str">
        <f t="shared" si="11"/>
        <v/>
      </c>
      <c r="K15" s="1590"/>
      <c r="L15" s="1591" t="str">
        <f t="shared" si="3"/>
        <v/>
      </c>
      <c r="M15" s="1519">
        <v>25.5</v>
      </c>
      <c r="N15" s="1519"/>
      <c r="P15" s="1581"/>
      <c r="Q15" s="1582"/>
      <c r="R15" s="1592" t="s">
        <v>1456</v>
      </c>
      <c r="S15" s="1550" t="s">
        <v>1456</v>
      </c>
      <c r="T15" s="1592"/>
      <c r="U15" s="1592"/>
      <c r="V15" s="1592" t="s">
        <v>1456</v>
      </c>
      <c r="W15" s="1592"/>
      <c r="X15" s="1592"/>
      <c r="Y15" s="1592" t="str">
        <f t="shared" si="12"/>
        <v/>
      </c>
      <c r="Z15" s="1592"/>
      <c r="AA15" s="1593">
        <f t="shared" si="2"/>
        <v>0</v>
      </c>
    </row>
    <row r="16" spans="1:27" ht="26.1" customHeight="1">
      <c r="A16" s="1574"/>
      <c r="B16" s="1575"/>
      <c r="C16" s="2853" t="str">
        <f t="shared" si="13"/>
        <v xml:space="preserve"> </v>
      </c>
      <c r="D16" s="2851" t="str">
        <f t="shared" si="14"/>
        <v xml:space="preserve"> </v>
      </c>
      <c r="E16" s="2852">
        <f t="shared" si="15"/>
        <v>0</v>
      </c>
      <c r="F16" s="2852">
        <f t="shared" si="16"/>
        <v>0</v>
      </c>
      <c r="G16" s="2852" t="str">
        <f t="shared" si="17"/>
        <v xml:space="preserve"> </v>
      </c>
      <c r="H16" s="2852">
        <f t="shared" si="18"/>
        <v>0</v>
      </c>
      <c r="I16" s="2852">
        <f t="shared" si="19"/>
        <v>0</v>
      </c>
      <c r="J16" s="2857" t="str">
        <f t="shared" si="11"/>
        <v/>
      </c>
      <c r="K16" s="1590"/>
      <c r="L16" s="1591" t="str">
        <f t="shared" si="3"/>
        <v/>
      </c>
      <c r="M16" s="1519">
        <v>25.5</v>
      </c>
      <c r="N16" s="1519"/>
      <c r="P16" s="1581"/>
      <c r="Q16" s="1582"/>
      <c r="R16" s="1592" t="s">
        <v>1456</v>
      </c>
      <c r="S16" s="1550" t="s">
        <v>1456</v>
      </c>
      <c r="T16" s="1592"/>
      <c r="U16" s="1592"/>
      <c r="V16" s="1592" t="s">
        <v>1456</v>
      </c>
      <c r="W16" s="1592"/>
      <c r="X16" s="1592"/>
      <c r="Y16" s="1592" t="str">
        <f t="shared" si="12"/>
        <v/>
      </c>
      <c r="Z16" s="1592"/>
      <c r="AA16" s="1593">
        <f t="shared" si="2"/>
        <v>0</v>
      </c>
    </row>
    <row r="17" spans="1:27" ht="26.1" customHeight="1">
      <c r="A17" s="1574"/>
      <c r="B17" s="1575"/>
      <c r="C17" s="2853" t="str">
        <f t="shared" si="13"/>
        <v xml:space="preserve"> </v>
      </c>
      <c r="D17" s="2851" t="str">
        <f t="shared" si="14"/>
        <v xml:space="preserve"> </v>
      </c>
      <c r="E17" s="2852">
        <f t="shared" si="15"/>
        <v>0</v>
      </c>
      <c r="F17" s="2852">
        <f t="shared" si="16"/>
        <v>0</v>
      </c>
      <c r="G17" s="2852" t="str">
        <f t="shared" si="17"/>
        <v xml:space="preserve"> </v>
      </c>
      <c r="H17" s="2852">
        <f t="shared" si="18"/>
        <v>0</v>
      </c>
      <c r="I17" s="2852">
        <f t="shared" si="19"/>
        <v>0</v>
      </c>
      <c r="J17" s="2857" t="str">
        <f t="shared" si="11"/>
        <v/>
      </c>
      <c r="K17" s="1590"/>
      <c r="L17" s="1591" t="str">
        <f t="shared" si="3"/>
        <v/>
      </c>
      <c r="M17" s="1519">
        <v>25.5</v>
      </c>
      <c r="N17" s="1519"/>
      <c r="P17" s="1581"/>
      <c r="Q17" s="1582"/>
      <c r="R17" s="1592" t="s">
        <v>1456</v>
      </c>
      <c r="S17" s="1550" t="s">
        <v>1456</v>
      </c>
      <c r="T17" s="1592"/>
      <c r="U17" s="1592"/>
      <c r="V17" s="1592" t="s">
        <v>1456</v>
      </c>
      <c r="W17" s="1592"/>
      <c r="X17" s="1592"/>
      <c r="Y17" s="1592" t="str">
        <f t="shared" si="12"/>
        <v/>
      </c>
      <c r="Z17" s="1592"/>
      <c r="AA17" s="1593">
        <f t="shared" si="2"/>
        <v>0</v>
      </c>
    </row>
    <row r="18" spans="1:27" ht="26.1" customHeight="1">
      <c r="A18" s="1574"/>
      <c r="B18" s="1575"/>
      <c r="C18" s="2853" t="str">
        <f t="shared" si="13"/>
        <v xml:space="preserve"> </v>
      </c>
      <c r="D18" s="2851" t="str">
        <f t="shared" si="14"/>
        <v xml:space="preserve"> </v>
      </c>
      <c r="E18" s="2852" t="str">
        <f t="shared" si="15"/>
        <v xml:space="preserve"> </v>
      </c>
      <c r="F18" s="2852" t="str">
        <f t="shared" si="16"/>
        <v xml:space="preserve"> </v>
      </c>
      <c r="G18" s="2852" t="str">
        <f t="shared" si="17"/>
        <v xml:space="preserve"> </v>
      </c>
      <c r="H18" s="2852" t="str">
        <f t="shared" si="18"/>
        <v xml:space="preserve"> </v>
      </c>
      <c r="I18" s="2852">
        <f t="shared" si="19"/>
        <v>0</v>
      </c>
      <c r="J18" s="2857" t="str">
        <f t="shared" si="11"/>
        <v/>
      </c>
      <c r="K18" s="1590"/>
      <c r="L18" s="1591" t="str">
        <f t="shared" si="3"/>
        <v/>
      </c>
      <c r="M18" s="1519">
        <v>25.5</v>
      </c>
      <c r="N18" s="1519"/>
      <c r="P18" s="1581"/>
      <c r="Q18" s="1582"/>
      <c r="R18" s="1592" t="s">
        <v>1456</v>
      </c>
      <c r="S18" s="1550" t="s">
        <v>1456</v>
      </c>
      <c r="T18" s="1592" t="s">
        <v>1456</v>
      </c>
      <c r="U18" s="1592" t="s">
        <v>1456</v>
      </c>
      <c r="V18" s="1592" t="s">
        <v>1456</v>
      </c>
      <c r="W18" s="1592" t="s">
        <v>1456</v>
      </c>
      <c r="X18" s="1592"/>
      <c r="Y18" s="1592" t="str">
        <f t="shared" si="12"/>
        <v/>
      </c>
      <c r="Z18" s="1592"/>
      <c r="AA18" s="1593">
        <f t="shared" si="2"/>
        <v>0</v>
      </c>
    </row>
    <row r="19" spans="1:27" ht="26.1" customHeight="1">
      <c r="A19" s="1574"/>
      <c r="B19" s="1575"/>
      <c r="C19" s="2853" t="str">
        <f t="shared" si="13"/>
        <v xml:space="preserve"> </v>
      </c>
      <c r="D19" s="2851" t="str">
        <f t="shared" si="14"/>
        <v xml:space="preserve"> </v>
      </c>
      <c r="E19" s="2852">
        <f t="shared" si="15"/>
        <v>0</v>
      </c>
      <c r="F19" s="2852">
        <f t="shared" si="16"/>
        <v>0</v>
      </c>
      <c r="G19" s="2852" t="str">
        <f t="shared" si="17"/>
        <v xml:space="preserve"> </v>
      </c>
      <c r="H19" s="2852">
        <f t="shared" si="18"/>
        <v>0</v>
      </c>
      <c r="I19" s="2852">
        <f t="shared" si="19"/>
        <v>0</v>
      </c>
      <c r="J19" s="2857" t="str">
        <f t="shared" si="11"/>
        <v/>
      </c>
      <c r="K19" s="1590"/>
      <c r="L19" s="1591" t="str">
        <f t="shared" si="3"/>
        <v/>
      </c>
      <c r="M19" s="1519">
        <v>25.5</v>
      </c>
      <c r="N19" s="1519"/>
      <c r="P19" s="1581"/>
      <c r="Q19" s="1582"/>
      <c r="R19" s="1592" t="s">
        <v>1456</v>
      </c>
      <c r="S19" s="1550" t="s">
        <v>1456</v>
      </c>
      <c r="T19" s="1592"/>
      <c r="U19" s="1592"/>
      <c r="V19" s="1592" t="s">
        <v>1456</v>
      </c>
      <c r="W19" s="1592"/>
      <c r="X19" s="1592"/>
      <c r="Y19" s="1592" t="str">
        <f t="shared" si="12"/>
        <v/>
      </c>
      <c r="Z19" s="1592"/>
      <c r="AA19" s="1593">
        <f t="shared" si="2"/>
        <v>0</v>
      </c>
    </row>
    <row r="20" spans="1:27" ht="26.1" customHeight="1">
      <c r="A20" s="1574"/>
      <c r="B20" s="1575"/>
      <c r="C20" s="2853" t="str">
        <f t="shared" si="13"/>
        <v>concombre</v>
      </c>
      <c r="D20" s="2851" t="str">
        <f t="shared" si="14"/>
        <v>kg</v>
      </c>
      <c r="E20" s="2852">
        <f t="shared" si="15"/>
        <v>0</v>
      </c>
      <c r="F20" s="2852">
        <f t="shared" si="16"/>
        <v>0.01</v>
      </c>
      <c r="G20" s="2852">
        <f t="shared" si="17"/>
        <v>0</v>
      </c>
      <c r="H20" s="2852">
        <f t="shared" si="18"/>
        <v>0</v>
      </c>
      <c r="I20" s="2852">
        <f t="shared" si="19"/>
        <v>0</v>
      </c>
      <c r="J20" s="2857">
        <f t="shared" si="11"/>
        <v>0.01</v>
      </c>
      <c r="K20" s="1590"/>
      <c r="L20" s="1591" t="str">
        <f t="shared" si="3"/>
        <v/>
      </c>
      <c r="M20" s="1519">
        <v>25.5</v>
      </c>
      <c r="N20" s="1519"/>
      <c r="P20" s="1581"/>
      <c r="Q20" s="1582"/>
      <c r="R20" s="1592" t="s">
        <v>1464</v>
      </c>
      <c r="S20" s="1550" t="s">
        <v>166</v>
      </c>
      <c r="T20" s="1592"/>
      <c r="U20" s="1592">
        <v>0.02</v>
      </c>
      <c r="V20" s="1592"/>
      <c r="W20" s="1592"/>
      <c r="X20" s="1592"/>
      <c r="Y20" s="1592">
        <f t="shared" si="12"/>
        <v>0.02</v>
      </c>
      <c r="Z20" s="1592"/>
      <c r="AA20" s="1593">
        <f t="shared" si="2"/>
        <v>0</v>
      </c>
    </row>
    <row r="21" spans="1:27" ht="26.1" customHeight="1">
      <c r="A21" s="1574"/>
      <c r="B21" s="1575"/>
      <c r="C21" s="2853">
        <f t="shared" si="13"/>
        <v>0</v>
      </c>
      <c r="D21" s="2851">
        <f t="shared" si="14"/>
        <v>0</v>
      </c>
      <c r="E21" s="2852">
        <f t="shared" si="15"/>
        <v>0</v>
      </c>
      <c r="F21" s="2852">
        <f t="shared" si="16"/>
        <v>0</v>
      </c>
      <c r="G21" s="2852">
        <f t="shared" si="17"/>
        <v>0</v>
      </c>
      <c r="H21" s="2852">
        <f t="shared" si="18"/>
        <v>0</v>
      </c>
      <c r="I21" s="2852">
        <f t="shared" si="19"/>
        <v>0</v>
      </c>
      <c r="J21" s="2857" t="str">
        <f t="shared" si="11"/>
        <v/>
      </c>
      <c r="K21" s="1590"/>
      <c r="L21" s="1591" t="str">
        <f t="shared" si="3"/>
        <v/>
      </c>
      <c r="M21" s="1519">
        <v>25.5</v>
      </c>
      <c r="N21" s="1519"/>
      <c r="P21" s="1581"/>
      <c r="Q21" s="1582"/>
      <c r="R21" s="1592"/>
      <c r="S21" s="1550"/>
      <c r="T21" s="1592"/>
      <c r="U21" s="1592"/>
      <c r="V21" s="1592"/>
      <c r="W21" s="1592"/>
      <c r="X21" s="1592"/>
      <c r="Y21" s="1592" t="str">
        <f t="shared" si="12"/>
        <v/>
      </c>
      <c r="Z21" s="1592"/>
      <c r="AA21" s="1593">
        <f t="shared" si="2"/>
        <v>0</v>
      </c>
    </row>
    <row r="22" spans="1:27" ht="26.1" customHeight="1">
      <c r="A22" s="1574"/>
      <c r="B22" s="1575"/>
      <c r="C22" s="2853">
        <f t="shared" si="13"/>
        <v>0</v>
      </c>
      <c r="D22" s="2851">
        <f t="shared" si="14"/>
        <v>0</v>
      </c>
      <c r="E22" s="2852">
        <f t="shared" si="15"/>
        <v>0</v>
      </c>
      <c r="F22" s="2852">
        <f t="shared" si="16"/>
        <v>0</v>
      </c>
      <c r="G22" s="2852">
        <f t="shared" si="17"/>
        <v>0</v>
      </c>
      <c r="H22" s="2852">
        <f t="shared" si="18"/>
        <v>0</v>
      </c>
      <c r="I22" s="2852">
        <f t="shared" si="19"/>
        <v>0</v>
      </c>
      <c r="J22" s="2857" t="str">
        <f t="shared" si="11"/>
        <v/>
      </c>
      <c r="K22" s="1590"/>
      <c r="L22" s="1591" t="str">
        <f t="shared" si="3"/>
        <v/>
      </c>
      <c r="M22" s="1519">
        <v>25.5</v>
      </c>
      <c r="N22" s="1519"/>
      <c r="P22" s="1581"/>
      <c r="Q22" s="1582"/>
      <c r="R22" s="1592"/>
      <c r="S22" s="1550"/>
      <c r="T22" s="1592"/>
      <c r="U22" s="1592"/>
      <c r="V22" s="1592"/>
      <c r="W22" s="1592"/>
      <c r="X22" s="1592"/>
      <c r="Y22" s="1592" t="str">
        <f t="shared" si="12"/>
        <v/>
      </c>
      <c r="Z22" s="1592"/>
      <c r="AA22" s="1593">
        <f t="shared" si="2"/>
        <v>0</v>
      </c>
    </row>
    <row r="23" spans="1:27" ht="26.1" customHeight="1">
      <c r="A23" s="1574"/>
      <c r="B23" s="1575"/>
      <c r="C23" s="2853">
        <f t="shared" si="13"/>
        <v>0</v>
      </c>
      <c r="D23" s="2851">
        <f t="shared" si="14"/>
        <v>0</v>
      </c>
      <c r="E23" s="2852">
        <f t="shared" si="15"/>
        <v>0</v>
      </c>
      <c r="F23" s="2852">
        <f t="shared" si="16"/>
        <v>0</v>
      </c>
      <c r="G23" s="2852">
        <f t="shared" si="17"/>
        <v>0</v>
      </c>
      <c r="H23" s="2852">
        <f t="shared" si="18"/>
        <v>0</v>
      </c>
      <c r="I23" s="2852">
        <f t="shared" si="19"/>
        <v>0</v>
      </c>
      <c r="J23" s="2857" t="str">
        <f t="shared" si="11"/>
        <v/>
      </c>
      <c r="K23" s="1590"/>
      <c r="L23" s="1591" t="str">
        <f t="shared" si="3"/>
        <v/>
      </c>
      <c r="M23" s="1519">
        <v>25.5</v>
      </c>
      <c r="N23" s="1519"/>
      <c r="P23" s="1581"/>
      <c r="Q23" s="1582"/>
      <c r="R23" s="1592"/>
      <c r="S23" s="1550"/>
      <c r="T23" s="1592"/>
      <c r="U23" s="1592"/>
      <c r="V23" s="1592"/>
      <c r="W23" s="1592"/>
      <c r="X23" s="1592"/>
      <c r="Y23" s="1592" t="str">
        <f t="shared" si="12"/>
        <v/>
      </c>
      <c r="Z23" s="1592"/>
      <c r="AA23" s="1593">
        <f t="shared" si="2"/>
        <v>0</v>
      </c>
    </row>
    <row r="24" spans="1:27" ht="26.1" customHeight="1">
      <c r="A24" s="1574"/>
      <c r="B24" s="1575"/>
      <c r="C24" s="2853">
        <f t="shared" si="13"/>
        <v>0</v>
      </c>
      <c r="D24" s="2851">
        <f t="shared" si="14"/>
        <v>0</v>
      </c>
      <c r="E24" s="2852">
        <f t="shared" si="15"/>
        <v>0</v>
      </c>
      <c r="F24" s="2852">
        <f t="shared" si="16"/>
        <v>0</v>
      </c>
      <c r="G24" s="2852">
        <f t="shared" si="17"/>
        <v>0</v>
      </c>
      <c r="H24" s="2852">
        <f t="shared" si="18"/>
        <v>0</v>
      </c>
      <c r="I24" s="2852">
        <f t="shared" si="19"/>
        <v>0</v>
      </c>
      <c r="J24" s="2857" t="str">
        <f t="shared" si="11"/>
        <v/>
      </c>
      <c r="K24" s="1590"/>
      <c r="L24" s="1591" t="str">
        <f t="shared" si="3"/>
        <v/>
      </c>
      <c r="M24" s="1519">
        <v>25.5</v>
      </c>
      <c r="N24" s="1519"/>
      <c r="P24" s="1581"/>
      <c r="Q24" s="1582"/>
      <c r="R24" s="1592"/>
      <c r="S24" s="1550"/>
      <c r="T24" s="1592"/>
      <c r="U24" s="1592"/>
      <c r="V24" s="1592"/>
      <c r="W24" s="1592"/>
      <c r="X24" s="1592"/>
      <c r="Y24" s="1592" t="str">
        <f t="shared" si="12"/>
        <v/>
      </c>
      <c r="Z24" s="1592"/>
      <c r="AA24" s="1593">
        <f t="shared" si="2"/>
        <v>0</v>
      </c>
    </row>
    <row r="25" spans="1:27" ht="26.1" customHeight="1">
      <c r="A25" s="1574"/>
      <c r="B25" s="1575"/>
      <c r="C25" s="1576" t="str">
        <f t="shared" si="13"/>
        <v>B.O.F</v>
      </c>
      <c r="D25" s="2850" t="str">
        <f t="shared" si="14"/>
        <v xml:space="preserve"> </v>
      </c>
      <c r="E25" s="2850">
        <f t="shared" si="15"/>
        <v>0</v>
      </c>
      <c r="F25" s="2850">
        <f t="shared" si="16"/>
        <v>0</v>
      </c>
      <c r="G25" s="2850">
        <f t="shared" si="17"/>
        <v>0</v>
      </c>
      <c r="H25" s="2850">
        <f t="shared" si="18"/>
        <v>0</v>
      </c>
      <c r="I25" s="2850">
        <f t="shared" si="19"/>
        <v>0</v>
      </c>
      <c r="J25" s="1595" t="s">
        <v>1456</v>
      </c>
      <c r="K25" s="1596"/>
      <c r="L25" s="1597" t="str">
        <f t="shared" si="3"/>
        <v/>
      </c>
      <c r="M25" s="1519">
        <v>25.5</v>
      </c>
      <c r="N25" s="1519"/>
      <c r="P25" s="1581"/>
      <c r="Q25" s="1582"/>
      <c r="R25" s="1598" t="s">
        <v>1465</v>
      </c>
      <c r="S25" s="1584" t="s">
        <v>1456</v>
      </c>
      <c r="T25" s="1599"/>
      <c r="U25" s="1599"/>
      <c r="V25" s="1599"/>
      <c r="W25" s="1599"/>
      <c r="X25" s="1599"/>
      <c r="Y25" s="1599" t="s">
        <v>1456</v>
      </c>
      <c r="Z25" s="1599"/>
      <c r="AA25" s="1600">
        <f t="shared" si="2"/>
        <v>0</v>
      </c>
    </row>
    <row r="26" spans="1:27" ht="26.1" customHeight="1">
      <c r="A26" s="1574"/>
      <c r="B26" s="1575"/>
      <c r="C26" s="2853" t="str">
        <f t="shared" si="13"/>
        <v>œuf</v>
      </c>
      <c r="D26" s="2851" t="str">
        <f t="shared" si="14"/>
        <v>P</v>
      </c>
      <c r="E26" s="2852">
        <f t="shared" si="15"/>
        <v>0</v>
      </c>
      <c r="F26" s="2852">
        <f t="shared" si="16"/>
        <v>0.5</v>
      </c>
      <c r="G26" s="2852">
        <f t="shared" si="17"/>
        <v>0</v>
      </c>
      <c r="H26" s="2852">
        <f t="shared" si="18"/>
        <v>0</v>
      </c>
      <c r="I26" s="2852">
        <f t="shared" si="19"/>
        <v>0</v>
      </c>
      <c r="J26" s="2857">
        <f t="shared" si="11"/>
        <v>0.5</v>
      </c>
      <c r="K26" s="1590"/>
      <c r="L26" s="1591" t="str">
        <f t="shared" si="3"/>
        <v/>
      </c>
      <c r="M26" s="1519">
        <v>25.5</v>
      </c>
      <c r="N26" s="1519"/>
      <c r="P26" s="1581"/>
      <c r="Q26" s="1582"/>
      <c r="R26" s="1592" t="s">
        <v>1466</v>
      </c>
      <c r="S26" s="1550" t="s">
        <v>318</v>
      </c>
      <c r="T26" s="1592"/>
      <c r="U26" s="1592">
        <v>1</v>
      </c>
      <c r="V26" s="1592"/>
      <c r="W26" s="1592"/>
      <c r="X26" s="1592"/>
      <c r="Y26" s="1592">
        <f t="shared" si="12"/>
        <v>1</v>
      </c>
      <c r="Z26" s="1592"/>
      <c r="AA26" s="1593">
        <f t="shared" si="2"/>
        <v>0</v>
      </c>
    </row>
    <row r="27" spans="1:27" ht="26.1" customHeight="1">
      <c r="A27" s="1574"/>
      <c r="B27" s="1575"/>
      <c r="C27" s="2853">
        <f t="shared" ref="C27:C30" si="20">R27</f>
        <v>0</v>
      </c>
      <c r="D27" s="2851">
        <f t="shared" ref="D27:D30" si="21">S27</f>
        <v>0</v>
      </c>
      <c r="E27" s="2852">
        <f t="shared" ref="E27:E30" si="22">IF(ISTEXT(T27),T27,(T27/$I$2)*$L$2)</f>
        <v>0</v>
      </c>
      <c r="F27" s="2852">
        <f t="shared" ref="F27:F30" si="23">IF(ISTEXT(U27),U27,(U27/$I$2)*$L$2)</f>
        <v>0</v>
      </c>
      <c r="G27" s="2852">
        <f t="shared" ref="G27:G30" si="24">IF(ISTEXT(V27),V27,(V27/$I$2)*$L$2)</f>
        <v>0</v>
      </c>
      <c r="H27" s="2852">
        <f t="shared" ref="H27:H30" si="25">IF(ISTEXT(W27),W27,(W27/$I$2)*$L$2)</f>
        <v>0</v>
      </c>
      <c r="I27" s="2852">
        <f t="shared" ref="I27:I30" si="26">IF(ISTEXT(X27),X27,(X27/$I$2)*$L$2)</f>
        <v>0</v>
      </c>
      <c r="J27" s="2857" t="str">
        <f t="shared" si="11"/>
        <v/>
      </c>
      <c r="K27" s="1590"/>
      <c r="L27" s="1591" t="str">
        <f t="shared" si="3"/>
        <v/>
      </c>
      <c r="M27" s="1519">
        <v>25.5</v>
      </c>
      <c r="N27" s="1519"/>
      <c r="P27" s="1581"/>
      <c r="Q27" s="1582"/>
      <c r="R27" s="1592"/>
      <c r="S27" s="1550"/>
      <c r="T27" s="1592"/>
      <c r="U27" s="1592"/>
      <c r="V27" s="1592"/>
      <c r="W27" s="1592"/>
      <c r="X27" s="1592"/>
      <c r="Y27" s="1592" t="str">
        <f t="shared" si="12"/>
        <v/>
      </c>
      <c r="Z27" s="1592"/>
      <c r="AA27" s="1593">
        <f t="shared" si="2"/>
        <v>0</v>
      </c>
    </row>
    <row r="28" spans="1:27" ht="26.1" customHeight="1">
      <c r="A28" s="1574"/>
      <c r="B28" s="1575"/>
      <c r="C28" s="2853">
        <f t="shared" si="20"/>
        <v>0</v>
      </c>
      <c r="D28" s="2851">
        <f t="shared" si="21"/>
        <v>0</v>
      </c>
      <c r="E28" s="2852">
        <f t="shared" si="22"/>
        <v>0</v>
      </c>
      <c r="F28" s="2852">
        <f t="shared" si="23"/>
        <v>0</v>
      </c>
      <c r="G28" s="2852">
        <f t="shared" si="24"/>
        <v>0</v>
      </c>
      <c r="H28" s="2852">
        <f t="shared" si="25"/>
        <v>0</v>
      </c>
      <c r="I28" s="2852">
        <f t="shared" si="26"/>
        <v>0</v>
      </c>
      <c r="J28" s="2857" t="str">
        <f t="shared" si="11"/>
        <v/>
      </c>
      <c r="K28" s="1590"/>
      <c r="L28" s="1591" t="str">
        <f t="shared" si="3"/>
        <v/>
      </c>
      <c r="M28" s="1519">
        <v>25.5</v>
      </c>
      <c r="N28" s="1519"/>
      <c r="P28" s="1581"/>
      <c r="Q28" s="1582"/>
      <c r="R28" s="1592"/>
      <c r="S28" s="1550"/>
      <c r="T28" s="1592"/>
      <c r="U28" s="1592"/>
      <c r="V28" s="1592"/>
      <c r="W28" s="1592"/>
      <c r="X28" s="1592"/>
      <c r="Y28" s="1592" t="str">
        <f t="shared" si="12"/>
        <v/>
      </c>
      <c r="Z28" s="1592"/>
      <c r="AA28" s="1593">
        <f t="shared" si="2"/>
        <v>0</v>
      </c>
    </row>
    <row r="29" spans="1:27" ht="26.1" customHeight="1">
      <c r="A29" s="1574"/>
      <c r="B29" s="1575"/>
      <c r="C29" s="1576" t="str">
        <f t="shared" si="20"/>
        <v>ECONOMAT</v>
      </c>
      <c r="D29" s="2850">
        <f t="shared" si="21"/>
        <v>0</v>
      </c>
      <c r="E29" s="2850">
        <f t="shared" si="22"/>
        <v>0</v>
      </c>
      <c r="F29" s="2850">
        <f t="shared" si="23"/>
        <v>0</v>
      </c>
      <c r="G29" s="2850">
        <f t="shared" si="24"/>
        <v>0</v>
      </c>
      <c r="H29" s="2850">
        <f t="shared" si="25"/>
        <v>0</v>
      </c>
      <c r="I29" s="2850">
        <f t="shared" si="26"/>
        <v>0</v>
      </c>
      <c r="J29" s="1595" t="str">
        <f t="shared" si="11"/>
        <v/>
      </c>
      <c r="K29" s="1596"/>
      <c r="L29" s="1597" t="str">
        <f t="shared" si="3"/>
        <v/>
      </c>
      <c r="M29" s="1519">
        <v>25.5</v>
      </c>
      <c r="N29" s="1519"/>
      <c r="P29" s="1581"/>
      <c r="Q29" s="1582"/>
      <c r="R29" s="1605" t="s">
        <v>133</v>
      </c>
      <c r="S29" s="1584"/>
      <c r="T29" s="1599"/>
      <c r="U29" s="1599"/>
      <c r="V29" s="1599"/>
      <c r="W29" s="1599"/>
      <c r="X29" s="1599"/>
      <c r="Y29" s="1599" t="str">
        <f t="shared" si="12"/>
        <v/>
      </c>
      <c r="Z29" s="1599"/>
      <c r="AA29" s="1600">
        <f t="shared" si="2"/>
        <v>0</v>
      </c>
    </row>
    <row r="30" spans="1:27" ht="26.1" customHeight="1">
      <c r="A30" s="1574"/>
      <c r="B30" s="1575"/>
      <c r="C30" s="2853" t="str">
        <f t="shared" si="20"/>
        <v>Miso blond</v>
      </c>
      <c r="D30" s="2851" t="str">
        <f t="shared" si="21"/>
        <v>kg</v>
      </c>
      <c r="E30" s="2852">
        <f t="shared" si="22"/>
        <v>0</v>
      </c>
      <c r="F30" s="2852">
        <f t="shared" si="23"/>
        <v>0</v>
      </c>
      <c r="G30" s="2852">
        <f t="shared" si="24"/>
        <v>0</v>
      </c>
      <c r="H30" s="2852">
        <f t="shared" si="25"/>
        <v>2.5000000000000001E-2</v>
      </c>
      <c r="I30" s="2852">
        <f t="shared" si="26"/>
        <v>0</v>
      </c>
      <c r="J30" s="2857">
        <f t="shared" si="11"/>
        <v>2.5000000000000001E-2</v>
      </c>
      <c r="K30" s="1590"/>
      <c r="L30" s="1591" t="str">
        <f t="shared" si="3"/>
        <v/>
      </c>
      <c r="M30" s="1519">
        <v>25.5</v>
      </c>
      <c r="N30" s="1519"/>
      <c r="P30" s="1581"/>
      <c r="Q30" s="1582"/>
      <c r="R30" s="1592" t="s">
        <v>1467</v>
      </c>
      <c r="S30" s="1550" t="s">
        <v>166</v>
      </c>
      <c r="T30" s="1592"/>
      <c r="U30" s="1592"/>
      <c r="V30" s="1592"/>
      <c r="W30" s="1592">
        <v>0.05</v>
      </c>
      <c r="X30" s="1592"/>
      <c r="Y30" s="1592">
        <f t="shared" si="12"/>
        <v>0.05</v>
      </c>
      <c r="Z30" s="1592"/>
      <c r="AA30" s="1593">
        <f t="shared" si="2"/>
        <v>0</v>
      </c>
    </row>
    <row r="31" spans="1:27" ht="26.1" customHeight="1">
      <c r="A31" s="1574"/>
      <c r="B31" s="1575"/>
      <c r="C31" s="2853" t="str">
        <f t="shared" ref="C31:C44" si="27">R31</f>
        <v>Miso rouge</v>
      </c>
      <c r="D31" s="2851" t="str">
        <f t="shared" ref="D31:D44" si="28">S31</f>
        <v>kg</v>
      </c>
      <c r="E31" s="2852">
        <f t="shared" ref="E31:E44" si="29">IF(ISTEXT(T31),T31,(T31/$I$2)*$L$2)</f>
        <v>0</v>
      </c>
      <c r="F31" s="2852">
        <f t="shared" ref="F31:F44" si="30">IF(ISTEXT(U31),U31,(U31/$I$2)*$L$2)</f>
        <v>0</v>
      </c>
      <c r="G31" s="2852">
        <f t="shared" ref="G31:G44" si="31">IF(ISTEXT(V31),V31,(V31/$I$2)*$L$2)</f>
        <v>0</v>
      </c>
      <c r="H31" s="2852">
        <f t="shared" ref="H31:H44" si="32">IF(ISTEXT(W31),W31,(W31/$I$2)*$L$2)</f>
        <v>2.5000000000000001E-2</v>
      </c>
      <c r="I31" s="2852">
        <f t="shared" ref="I31:I44" si="33">IF(ISTEXT(X31),X31,(X31/$I$2)*$L$2)</f>
        <v>0</v>
      </c>
      <c r="J31" s="2857">
        <f t="shared" si="11"/>
        <v>2.5000000000000001E-2</v>
      </c>
      <c r="K31" s="1590"/>
      <c r="L31" s="1591" t="str">
        <f t="shared" si="3"/>
        <v/>
      </c>
      <c r="M31" s="1519">
        <v>25.5</v>
      </c>
      <c r="N31" s="1519"/>
      <c r="P31" s="1581"/>
      <c r="Q31" s="1582"/>
      <c r="R31" s="1606" t="s">
        <v>1468</v>
      </c>
      <c r="S31" s="1607" t="s">
        <v>166</v>
      </c>
      <c r="T31" s="1608"/>
      <c r="U31" s="1608"/>
      <c r="V31" s="1608"/>
      <c r="W31" s="1608">
        <v>0.05</v>
      </c>
      <c r="X31" s="1608"/>
      <c r="Y31" s="1592">
        <f t="shared" si="12"/>
        <v>0.05</v>
      </c>
      <c r="Z31" s="1608"/>
      <c r="AA31" s="1609">
        <f t="shared" si="2"/>
        <v>0</v>
      </c>
    </row>
    <row r="32" spans="1:27" ht="26.1" customHeight="1">
      <c r="A32" s="1574"/>
      <c r="B32" s="1575"/>
      <c r="C32" s="2853" t="str">
        <f t="shared" si="27"/>
        <v>riz sushi</v>
      </c>
      <c r="D32" s="2851" t="str">
        <f t="shared" si="28"/>
        <v>kg</v>
      </c>
      <c r="E32" s="2852">
        <f t="shared" si="29"/>
        <v>0.05</v>
      </c>
      <c r="F32" s="2852">
        <f t="shared" si="30"/>
        <v>0.05</v>
      </c>
      <c r="G32" s="2852">
        <f t="shared" si="31"/>
        <v>0.05</v>
      </c>
      <c r="H32" s="2852">
        <f t="shared" si="32"/>
        <v>0</v>
      </c>
      <c r="I32" s="2852">
        <f t="shared" si="33"/>
        <v>0</v>
      </c>
      <c r="J32" s="2857">
        <f t="shared" si="11"/>
        <v>0.15000000000000002</v>
      </c>
      <c r="K32" s="1590"/>
      <c r="L32" s="1591" t="str">
        <f t="shared" si="3"/>
        <v/>
      </c>
      <c r="M32" s="1519">
        <v>25.5</v>
      </c>
      <c r="N32" s="1519"/>
      <c r="P32" s="1581"/>
      <c r="Q32" s="1582"/>
      <c r="R32" s="1592" t="s">
        <v>1469</v>
      </c>
      <c r="S32" s="1550" t="s">
        <v>166</v>
      </c>
      <c r="T32" s="1592">
        <v>0.1</v>
      </c>
      <c r="U32" s="1592">
        <v>0.1</v>
      </c>
      <c r="V32" s="1592">
        <v>0.1</v>
      </c>
      <c r="W32" s="1592"/>
      <c r="X32" s="1592"/>
      <c r="Y32" s="1592">
        <f t="shared" si="12"/>
        <v>0.30000000000000004</v>
      </c>
      <c r="Z32" s="1592"/>
      <c r="AA32" s="1593">
        <f t="shared" si="2"/>
        <v>0</v>
      </c>
    </row>
    <row r="33" spans="1:27" ht="26.1" customHeight="1">
      <c r="A33" s="1574"/>
      <c r="B33" s="1575"/>
      <c r="C33" s="2853" t="str">
        <f t="shared" si="27"/>
        <v>saké</v>
      </c>
      <c r="D33" s="2851" t="str">
        <f t="shared" si="28"/>
        <v>L</v>
      </c>
      <c r="E33" s="2852">
        <f t="shared" si="29"/>
        <v>2.5000000000000001E-2</v>
      </c>
      <c r="F33" s="2852" t="str">
        <f t="shared" si="30"/>
        <v>pm</v>
      </c>
      <c r="G33" s="2852">
        <f t="shared" si="31"/>
        <v>2.5000000000000001E-2</v>
      </c>
      <c r="H33" s="2852">
        <f t="shared" si="32"/>
        <v>7.4999999999999997E-2</v>
      </c>
      <c r="I33" s="2852">
        <f t="shared" si="33"/>
        <v>0</v>
      </c>
      <c r="J33" s="2857">
        <f t="shared" si="11"/>
        <v>0.125</v>
      </c>
      <c r="K33" s="1590"/>
      <c r="L33" s="1591" t="str">
        <f t="shared" si="3"/>
        <v/>
      </c>
      <c r="M33" s="1519">
        <v>25.5</v>
      </c>
      <c r="N33" s="1519"/>
      <c r="P33" s="1581"/>
      <c r="Q33" s="1582"/>
      <c r="R33" s="1592" t="s">
        <v>1470</v>
      </c>
      <c r="S33" s="1550" t="s">
        <v>224</v>
      </c>
      <c r="T33" s="1592">
        <v>0.05</v>
      </c>
      <c r="U33" s="1592" t="s">
        <v>214</v>
      </c>
      <c r="V33" s="1592">
        <v>0.05</v>
      </c>
      <c r="W33" s="1592">
        <v>0.15</v>
      </c>
      <c r="X33" s="1592"/>
      <c r="Y33" s="1592">
        <f t="shared" si="12"/>
        <v>0.25</v>
      </c>
      <c r="Z33" s="1592"/>
      <c r="AA33" s="1593">
        <f t="shared" si="2"/>
        <v>0</v>
      </c>
    </row>
    <row r="34" spans="1:27" ht="26.1" customHeight="1">
      <c r="A34" s="1574"/>
      <c r="B34" s="1575"/>
      <c r="C34" s="2853" t="str">
        <f t="shared" si="27"/>
        <v>sésame graine</v>
      </c>
      <c r="D34" s="2851" t="str">
        <f t="shared" si="28"/>
        <v>Pm</v>
      </c>
      <c r="E34" s="2852">
        <f t="shared" si="29"/>
        <v>0</v>
      </c>
      <c r="F34" s="2852" t="str">
        <f t="shared" si="30"/>
        <v>pm</v>
      </c>
      <c r="G34" s="2852">
        <f t="shared" si="31"/>
        <v>0</v>
      </c>
      <c r="H34" s="2852">
        <f t="shared" si="32"/>
        <v>0</v>
      </c>
      <c r="I34" s="2852">
        <f t="shared" si="33"/>
        <v>0</v>
      </c>
      <c r="J34" s="2857"/>
      <c r="K34" s="1590"/>
      <c r="L34" s="1591" t="str">
        <f t="shared" si="3"/>
        <v/>
      </c>
      <c r="M34" s="1519">
        <v>25.5</v>
      </c>
      <c r="N34" s="1519"/>
      <c r="P34" s="1581"/>
      <c r="Q34" s="1582"/>
      <c r="R34" s="1592" t="s">
        <v>1471</v>
      </c>
      <c r="S34" s="1550" t="s">
        <v>1472</v>
      </c>
      <c r="T34" s="1592"/>
      <c r="U34" s="1592" t="s">
        <v>214</v>
      </c>
      <c r="V34" s="1592"/>
      <c r="W34" s="1592"/>
      <c r="X34" s="1592"/>
      <c r="Y34" s="1592"/>
      <c r="Z34" s="1592"/>
      <c r="AA34" s="1593">
        <f t="shared" si="2"/>
        <v>0</v>
      </c>
    </row>
    <row r="35" spans="1:27" ht="26.1" customHeight="1">
      <c r="A35" s="1574"/>
      <c r="B35" s="1575"/>
      <c r="C35" s="2853" t="str">
        <f t="shared" si="27"/>
        <v>vinaigre de riz</v>
      </c>
      <c r="D35" s="2851" t="str">
        <f t="shared" si="28"/>
        <v>L</v>
      </c>
      <c r="E35" s="2852">
        <f t="shared" si="29"/>
        <v>0.01</v>
      </c>
      <c r="F35" s="2852" t="str">
        <f t="shared" si="30"/>
        <v>pm</v>
      </c>
      <c r="G35" s="2852">
        <f t="shared" si="31"/>
        <v>0</v>
      </c>
      <c r="H35" s="2852">
        <f t="shared" si="32"/>
        <v>0</v>
      </c>
      <c r="I35" s="2852">
        <f t="shared" si="33"/>
        <v>0</v>
      </c>
      <c r="J35" s="2857">
        <f t="shared" si="11"/>
        <v>0.01</v>
      </c>
      <c r="K35" s="1590"/>
      <c r="L35" s="1591" t="str">
        <f t="shared" si="3"/>
        <v/>
      </c>
      <c r="M35" s="1519">
        <v>25.5</v>
      </c>
      <c r="N35" s="1519"/>
      <c r="P35" s="1581"/>
      <c r="Q35" s="1582"/>
      <c r="R35" s="1592" t="s">
        <v>1473</v>
      </c>
      <c r="S35" s="1550" t="s">
        <v>224</v>
      </c>
      <c r="T35" s="1592">
        <v>0.02</v>
      </c>
      <c r="U35" s="1592" t="s">
        <v>214</v>
      </c>
      <c r="V35" s="1592"/>
      <c r="W35" s="1592"/>
      <c r="X35" s="1592"/>
      <c r="Y35" s="1592">
        <f t="shared" si="12"/>
        <v>0.02</v>
      </c>
      <c r="Z35" s="1592"/>
      <c r="AA35" s="1593">
        <f t="shared" si="2"/>
        <v>0</v>
      </c>
    </row>
    <row r="36" spans="1:27" ht="26.1" customHeight="1">
      <c r="A36" s="1574"/>
      <c r="B36" s="1575"/>
      <c r="C36" s="2853" t="str">
        <f t="shared" si="27"/>
        <v>wasabi</v>
      </c>
      <c r="D36" s="2851" t="str">
        <f t="shared" si="28"/>
        <v>pm</v>
      </c>
      <c r="E36" s="2852" t="str">
        <f t="shared" si="29"/>
        <v>pm</v>
      </c>
      <c r="F36" s="2852" t="str">
        <f t="shared" si="30"/>
        <v>pm</v>
      </c>
      <c r="G36" s="2852">
        <f t="shared" si="31"/>
        <v>0</v>
      </c>
      <c r="H36" s="2852">
        <f t="shared" si="32"/>
        <v>0</v>
      </c>
      <c r="I36" s="2852">
        <f t="shared" si="33"/>
        <v>0</v>
      </c>
      <c r="J36" s="2857" t="str">
        <f t="shared" si="11"/>
        <v/>
      </c>
      <c r="K36" s="1590"/>
      <c r="L36" s="1591" t="str">
        <f t="shared" si="3"/>
        <v/>
      </c>
      <c r="M36" s="1519">
        <v>25.5</v>
      </c>
      <c r="N36" s="1519"/>
      <c r="P36" s="1581"/>
      <c r="Q36" s="1582"/>
      <c r="R36" s="1592" t="s">
        <v>1474</v>
      </c>
      <c r="S36" s="1550" t="s">
        <v>214</v>
      </c>
      <c r="T36" s="1592" t="s">
        <v>214</v>
      </c>
      <c r="U36" s="1592" t="s">
        <v>214</v>
      </c>
      <c r="V36" s="1592"/>
      <c r="W36" s="1592"/>
      <c r="X36" s="1592"/>
      <c r="Y36" s="1592" t="str">
        <f t="shared" si="12"/>
        <v/>
      </c>
      <c r="Z36" s="1592"/>
      <c r="AA36" s="1593">
        <f t="shared" si="2"/>
        <v>0</v>
      </c>
    </row>
    <row r="37" spans="1:27" ht="26.1" customHeight="1">
      <c r="A37" s="1574"/>
      <c r="B37" s="1575"/>
      <c r="C37" s="2853" t="str">
        <f t="shared" si="27"/>
        <v>nori noir</v>
      </c>
      <c r="D37" s="2851" t="str">
        <f t="shared" si="28"/>
        <v>feui</v>
      </c>
      <c r="E37" s="2852">
        <f t="shared" si="29"/>
        <v>0</v>
      </c>
      <c r="F37" s="2852">
        <f t="shared" si="30"/>
        <v>2.5</v>
      </c>
      <c r="G37" s="2852">
        <f t="shared" si="31"/>
        <v>0</v>
      </c>
      <c r="H37" s="2852">
        <f t="shared" si="32"/>
        <v>0</v>
      </c>
      <c r="I37" s="2852">
        <f t="shared" si="33"/>
        <v>0</v>
      </c>
      <c r="J37" s="2857">
        <f t="shared" si="11"/>
        <v>2.5</v>
      </c>
      <c r="K37" s="1590"/>
      <c r="L37" s="1591" t="str">
        <f t="shared" si="3"/>
        <v/>
      </c>
      <c r="M37" s="1519">
        <v>25.5</v>
      </c>
      <c r="N37" s="1519"/>
      <c r="P37" s="1581"/>
      <c r="Q37" s="1582"/>
      <c r="R37" s="1592" t="s">
        <v>1475</v>
      </c>
      <c r="S37" s="1550" t="s">
        <v>1476</v>
      </c>
      <c r="T37" s="1592"/>
      <c r="U37" s="1592">
        <v>5</v>
      </c>
      <c r="V37" s="1592"/>
      <c r="W37" s="1592"/>
      <c r="X37" s="1592"/>
      <c r="Y37" s="1592">
        <f t="shared" si="12"/>
        <v>5</v>
      </c>
      <c r="Z37" s="1592"/>
      <c r="AA37" s="1593">
        <f t="shared" si="2"/>
        <v>0</v>
      </c>
    </row>
    <row r="38" spans="1:27" ht="26.1" customHeight="1">
      <c r="A38" s="1574"/>
      <c r="B38" s="1575"/>
      <c r="C38" s="2853" t="str">
        <f t="shared" si="27"/>
        <v>gingembre pickled</v>
      </c>
      <c r="D38" s="2851" t="str">
        <f t="shared" si="28"/>
        <v>kg</v>
      </c>
      <c r="E38" s="2852">
        <f t="shared" si="29"/>
        <v>0</v>
      </c>
      <c r="F38" s="2852">
        <f t="shared" si="30"/>
        <v>1E-3</v>
      </c>
      <c r="G38" s="2852">
        <f t="shared" si="31"/>
        <v>0</v>
      </c>
      <c r="H38" s="2852">
        <f t="shared" si="32"/>
        <v>0</v>
      </c>
      <c r="I38" s="2852">
        <f t="shared" si="33"/>
        <v>0</v>
      </c>
      <c r="J38" s="2857">
        <f t="shared" si="11"/>
        <v>1E-3</v>
      </c>
      <c r="K38" s="1590"/>
      <c r="L38" s="1591" t="str">
        <f t="shared" si="3"/>
        <v/>
      </c>
      <c r="M38" s="1519">
        <v>25.5</v>
      </c>
      <c r="N38" s="1519"/>
      <c r="P38" s="1581"/>
      <c r="Q38" s="1582"/>
      <c r="R38" s="1592" t="s">
        <v>1477</v>
      </c>
      <c r="S38" s="1550" t="s">
        <v>166</v>
      </c>
      <c r="T38" s="1592"/>
      <c r="U38" s="1592">
        <v>2E-3</v>
      </c>
      <c r="V38" s="1592"/>
      <c r="W38" s="1592"/>
      <c r="X38" s="1592"/>
      <c r="Y38" s="1592">
        <f t="shared" si="12"/>
        <v>2E-3</v>
      </c>
      <c r="Z38" s="1592"/>
      <c r="AA38" s="1593">
        <f t="shared" si="2"/>
        <v>0</v>
      </c>
    </row>
    <row r="39" spans="1:27" ht="26.1" customHeight="1">
      <c r="A39" s="1574"/>
      <c r="B39" s="1575"/>
      <c r="C39" s="2853" t="str">
        <f t="shared" si="27"/>
        <v xml:space="preserve"> </v>
      </c>
      <c r="D39" s="2851" t="str">
        <f t="shared" si="28"/>
        <v xml:space="preserve"> </v>
      </c>
      <c r="E39" s="2852">
        <f t="shared" si="29"/>
        <v>0</v>
      </c>
      <c r="F39" s="2852">
        <f t="shared" si="30"/>
        <v>0</v>
      </c>
      <c r="G39" s="2852" t="str">
        <f t="shared" si="31"/>
        <v xml:space="preserve"> </v>
      </c>
      <c r="H39" s="2852">
        <f t="shared" si="32"/>
        <v>0</v>
      </c>
      <c r="I39" s="2852">
        <f t="shared" si="33"/>
        <v>0</v>
      </c>
      <c r="J39" s="2857" t="str">
        <f t="shared" si="11"/>
        <v/>
      </c>
      <c r="K39" s="1590"/>
      <c r="L39" s="1591" t="str">
        <f t="shared" si="3"/>
        <v/>
      </c>
      <c r="M39" s="1519">
        <v>25.5</v>
      </c>
      <c r="N39" s="1519"/>
      <c r="P39" s="1581"/>
      <c r="Q39" s="1582"/>
      <c r="R39" s="1592" t="s">
        <v>1456</v>
      </c>
      <c r="S39" s="1550" t="s">
        <v>1456</v>
      </c>
      <c r="T39" s="1592"/>
      <c r="U39" s="1592"/>
      <c r="V39" s="1592" t="s">
        <v>1456</v>
      </c>
      <c r="W39" s="1592"/>
      <c r="X39" s="1592"/>
      <c r="Y39" s="1592" t="str">
        <f t="shared" si="12"/>
        <v/>
      </c>
      <c r="Z39" s="1592"/>
      <c r="AA39" s="1593">
        <f t="shared" si="2"/>
        <v>0</v>
      </c>
    </row>
    <row r="40" spans="1:27" ht="26.1" customHeight="1">
      <c r="A40" s="1574"/>
      <c r="B40" s="1575"/>
      <c r="C40" s="2853" t="str">
        <f t="shared" si="27"/>
        <v xml:space="preserve"> </v>
      </c>
      <c r="D40" s="2851" t="str">
        <f t="shared" si="28"/>
        <v xml:space="preserve"> </v>
      </c>
      <c r="E40" s="2852">
        <f t="shared" si="29"/>
        <v>0</v>
      </c>
      <c r="F40" s="2852">
        <f t="shared" si="30"/>
        <v>0</v>
      </c>
      <c r="G40" s="2852" t="str">
        <f t="shared" si="31"/>
        <v xml:space="preserve"> </v>
      </c>
      <c r="H40" s="2852">
        <f t="shared" si="32"/>
        <v>0</v>
      </c>
      <c r="I40" s="2852">
        <f t="shared" si="33"/>
        <v>0</v>
      </c>
      <c r="J40" s="2857" t="str">
        <f t="shared" si="11"/>
        <v/>
      </c>
      <c r="K40" s="1590"/>
      <c r="L40" s="1591" t="str">
        <f t="shared" si="3"/>
        <v/>
      </c>
      <c r="M40" s="1519">
        <v>25.5</v>
      </c>
      <c r="N40" s="1519"/>
      <c r="P40" s="1581"/>
      <c r="Q40" s="1582"/>
      <c r="R40" s="1592" t="s">
        <v>1456</v>
      </c>
      <c r="S40" s="1550" t="s">
        <v>1456</v>
      </c>
      <c r="T40" s="1592"/>
      <c r="U40" s="1592"/>
      <c r="V40" s="1592" t="s">
        <v>1456</v>
      </c>
      <c r="W40" s="1592"/>
      <c r="X40" s="1592"/>
      <c r="Y40" s="1592" t="str">
        <f t="shared" si="12"/>
        <v/>
      </c>
      <c r="Z40" s="1592"/>
      <c r="AA40" s="1593">
        <f t="shared" si="2"/>
        <v>0</v>
      </c>
    </row>
    <row r="41" spans="1:27" ht="26.1" customHeight="1">
      <c r="A41" s="1574"/>
      <c r="B41" s="1575"/>
      <c r="C41" s="2853" t="str">
        <f t="shared" si="27"/>
        <v>huile arachides</v>
      </c>
      <c r="D41" s="2851" t="str">
        <f t="shared" si="28"/>
        <v>L</v>
      </c>
      <c r="E41" s="2852">
        <f t="shared" si="29"/>
        <v>0</v>
      </c>
      <c r="F41" s="2852">
        <f t="shared" si="30"/>
        <v>0</v>
      </c>
      <c r="G41" s="2852">
        <f t="shared" si="31"/>
        <v>2.5000000000000001E-2</v>
      </c>
      <c r="H41" s="2852">
        <f t="shared" si="32"/>
        <v>0</v>
      </c>
      <c r="I41" s="2852">
        <f t="shared" si="33"/>
        <v>0</v>
      </c>
      <c r="J41" s="2857">
        <f t="shared" si="11"/>
        <v>2.5000000000000001E-2</v>
      </c>
      <c r="K41" s="1590"/>
      <c r="L41" s="1591" t="str">
        <f t="shared" si="3"/>
        <v/>
      </c>
      <c r="M41" s="1519">
        <v>25.5</v>
      </c>
      <c r="N41" s="1519"/>
      <c r="P41" s="1581"/>
      <c r="Q41" s="1582"/>
      <c r="R41" s="1592" t="s">
        <v>1478</v>
      </c>
      <c r="S41" s="1550" t="s">
        <v>224</v>
      </c>
      <c r="T41" s="1592"/>
      <c r="U41" s="1592"/>
      <c r="V41" s="1592">
        <v>0.05</v>
      </c>
      <c r="W41" s="1592"/>
      <c r="X41" s="1592"/>
      <c r="Y41" s="1592">
        <f t="shared" si="12"/>
        <v>0.05</v>
      </c>
      <c r="Z41" s="1592"/>
      <c r="AA41" s="1593">
        <f t="shared" si="2"/>
        <v>0</v>
      </c>
    </row>
    <row r="42" spans="1:27" ht="26.1" customHeight="1">
      <c r="A42" s="1574"/>
      <c r="B42" s="1575"/>
      <c r="C42" s="2853" t="str">
        <f t="shared" si="27"/>
        <v>soja KOYKUJI</v>
      </c>
      <c r="D42" s="2851" t="str">
        <f t="shared" si="28"/>
        <v>L</v>
      </c>
      <c r="E42" s="2852">
        <f t="shared" si="29"/>
        <v>0</v>
      </c>
      <c r="F42" s="2852">
        <f t="shared" si="30"/>
        <v>0</v>
      </c>
      <c r="G42" s="2852">
        <f t="shared" si="31"/>
        <v>2.5000000000000001E-2</v>
      </c>
      <c r="H42" s="2852">
        <f t="shared" si="32"/>
        <v>0.03</v>
      </c>
      <c r="I42" s="2852">
        <f t="shared" si="33"/>
        <v>0</v>
      </c>
      <c r="J42" s="2857">
        <f t="shared" si="11"/>
        <v>5.5E-2</v>
      </c>
      <c r="K42" s="1590"/>
      <c r="L42" s="1591" t="str">
        <f t="shared" si="3"/>
        <v/>
      </c>
      <c r="M42" s="1519">
        <v>25.5</v>
      </c>
      <c r="N42" s="1519"/>
      <c r="P42" s="1581"/>
      <c r="Q42" s="1582"/>
      <c r="R42" s="1592" t="s">
        <v>1479</v>
      </c>
      <c r="S42" s="1550" t="s">
        <v>224</v>
      </c>
      <c r="T42" s="1592"/>
      <c r="U42" s="1592"/>
      <c r="V42" s="1592">
        <v>0.05</v>
      </c>
      <c r="W42" s="1592">
        <v>0.06</v>
      </c>
      <c r="X42" s="1592"/>
      <c r="Y42" s="1592">
        <f t="shared" si="12"/>
        <v>0.11</v>
      </c>
      <c r="Z42" s="1592"/>
      <c r="AA42" s="1593">
        <f t="shared" si="2"/>
        <v>0</v>
      </c>
    </row>
    <row r="43" spans="1:27" ht="26.1" customHeight="1">
      <c r="A43" s="1574"/>
      <c r="B43" s="1575"/>
      <c r="C43" s="2853" t="str">
        <f t="shared" si="27"/>
        <v xml:space="preserve"> </v>
      </c>
      <c r="D43" s="2851" t="str">
        <f t="shared" si="28"/>
        <v xml:space="preserve"> </v>
      </c>
      <c r="E43" s="2852">
        <f t="shared" si="29"/>
        <v>0</v>
      </c>
      <c r="F43" s="2852">
        <f t="shared" si="30"/>
        <v>0</v>
      </c>
      <c r="G43" s="2852" t="str">
        <f t="shared" si="31"/>
        <v xml:space="preserve"> </v>
      </c>
      <c r="H43" s="2852">
        <f t="shared" si="32"/>
        <v>0</v>
      </c>
      <c r="I43" s="2852">
        <f t="shared" si="33"/>
        <v>0</v>
      </c>
      <c r="J43" s="2857" t="str">
        <f t="shared" si="11"/>
        <v/>
      </c>
      <c r="K43" s="1590"/>
      <c r="L43" s="1591" t="str">
        <f t="shared" si="3"/>
        <v/>
      </c>
      <c r="M43" s="1519">
        <v>25.5</v>
      </c>
      <c r="N43" s="1519"/>
      <c r="P43" s="1581"/>
      <c r="Q43" s="1582"/>
      <c r="R43" s="1592" t="s">
        <v>1456</v>
      </c>
      <c r="S43" s="1550" t="s">
        <v>1456</v>
      </c>
      <c r="T43" s="1592"/>
      <c r="U43" s="1592"/>
      <c r="V43" s="1592" t="s">
        <v>1456</v>
      </c>
      <c r="W43" s="1592"/>
      <c r="X43" s="1592"/>
      <c r="Y43" s="1592" t="str">
        <f t="shared" si="12"/>
        <v/>
      </c>
      <c r="Z43" s="1592"/>
      <c r="AA43" s="1593">
        <f t="shared" si="2"/>
        <v>0</v>
      </c>
    </row>
    <row r="44" spans="1:27" ht="26.1" customHeight="1">
      <c r="A44" s="1538"/>
      <c r="B44" s="1575"/>
      <c r="C44" s="2853" t="str">
        <f t="shared" si="27"/>
        <v>sucre</v>
      </c>
      <c r="D44" s="2851" t="str">
        <f t="shared" si="28"/>
        <v>kg</v>
      </c>
      <c r="E44" s="2852">
        <f t="shared" si="29"/>
        <v>0</v>
      </c>
      <c r="F44" s="2852">
        <f t="shared" si="30"/>
        <v>0</v>
      </c>
      <c r="G44" s="2852">
        <f t="shared" si="31"/>
        <v>0.05</v>
      </c>
      <c r="H44" s="2852" t="str">
        <f t="shared" si="32"/>
        <v xml:space="preserve"> </v>
      </c>
      <c r="I44" s="2852">
        <f t="shared" si="33"/>
        <v>0</v>
      </c>
      <c r="J44" s="2857">
        <f t="shared" si="11"/>
        <v>0.05</v>
      </c>
      <c r="K44" s="1590"/>
      <c r="L44" s="1591" t="str">
        <f t="shared" si="3"/>
        <v/>
      </c>
      <c r="M44" s="1519">
        <v>25.5</v>
      </c>
      <c r="N44" s="1519"/>
      <c r="P44" s="1520"/>
      <c r="Q44" s="1582"/>
      <c r="R44" s="1592" t="s">
        <v>216</v>
      </c>
      <c r="S44" s="1550" t="s">
        <v>166</v>
      </c>
      <c r="T44" s="1610"/>
      <c r="U44" s="1610"/>
      <c r="V44" s="1610">
        <v>0.1</v>
      </c>
      <c r="W44" s="1610" t="s">
        <v>1456</v>
      </c>
      <c r="X44" s="1610"/>
      <c r="Y44" s="1610">
        <f t="shared" si="12"/>
        <v>0.1</v>
      </c>
      <c r="Z44" s="1592"/>
      <c r="AA44" s="1611">
        <f t="shared" si="2"/>
        <v>0</v>
      </c>
    </row>
    <row r="45" spans="1:27" ht="26.1" customHeight="1">
      <c r="A45" s="1525"/>
      <c r="B45" s="1612" t="s">
        <v>1480</v>
      </c>
      <c r="C45" s="1613"/>
      <c r="D45" s="1613"/>
      <c r="E45" s="1613"/>
      <c r="F45" s="1613"/>
      <c r="G45" s="1614"/>
      <c r="H45" s="1615"/>
      <c r="I45" s="1615"/>
      <c r="J45" s="1615" t="str">
        <f t="shared" si="11"/>
        <v/>
      </c>
      <c r="K45" s="1615" t="s">
        <v>2411</v>
      </c>
      <c r="L45" s="1616" t="str">
        <f>IF(J45="","",(J45*K45))</f>
        <v/>
      </c>
      <c r="M45" s="1519">
        <v>25.5</v>
      </c>
      <c r="N45" s="1519"/>
      <c r="P45" s="1533"/>
      <c r="Q45" s="1617" t="s">
        <v>1480</v>
      </c>
      <c r="R45" s="1536"/>
      <c r="S45" s="1536"/>
      <c r="T45" s="1192"/>
      <c r="U45" s="1192"/>
      <c r="V45" s="1533"/>
      <c r="W45" s="1536"/>
      <c r="X45" s="1536"/>
      <c r="Y45" s="1536" t="str">
        <f t="shared" si="12"/>
        <v/>
      </c>
      <c r="Z45" s="1536" t="s">
        <v>2411</v>
      </c>
      <c r="AA45" s="1616" t="str">
        <f>IF(Y45="","",(Y45*Z45))</f>
        <v/>
      </c>
    </row>
    <row r="46" spans="1:27" ht="26.1" customHeight="1">
      <c r="A46" s="1574"/>
      <c r="B46" s="1618" t="s">
        <v>1481</v>
      </c>
      <c r="C46" s="1619"/>
      <c r="D46" s="1618"/>
      <c r="E46" s="1619"/>
      <c r="F46" s="1619"/>
      <c r="G46" s="3522" t="s">
        <v>2288</v>
      </c>
      <c r="H46" s="3523"/>
      <c r="I46" s="1620">
        <f>L2</f>
        <v>5</v>
      </c>
      <c r="J46" s="1621"/>
      <c r="K46" s="1621"/>
      <c r="L46" s="1622">
        <f>SUM(L6:L44)</f>
        <v>9.8710738661223221E-2</v>
      </c>
      <c r="M46" s="1519">
        <v>25.5</v>
      </c>
      <c r="N46" s="1519"/>
      <c r="P46" s="1581"/>
      <c r="Q46" s="1352" t="s">
        <v>1481</v>
      </c>
      <c r="R46" s="1623"/>
      <c r="S46" s="1192"/>
      <c r="T46" s="1623"/>
      <c r="U46" s="1623"/>
      <c r="V46" s="1624" t="s">
        <v>1482</v>
      </c>
      <c r="W46" s="1625"/>
      <c r="X46" s="1625"/>
      <c r="Y46" s="1625"/>
      <c r="Z46" s="1625"/>
      <c r="AA46" s="1626">
        <f>SUM(AA8:AA45)</f>
        <v>0</v>
      </c>
    </row>
    <row r="47" spans="1:27" ht="26.1" customHeight="1">
      <c r="A47" s="1574"/>
      <c r="B47" s="1618"/>
      <c r="C47" s="1618"/>
      <c r="D47" s="1618"/>
      <c r="E47" s="1618"/>
      <c r="F47" s="1618"/>
      <c r="G47" s="3548" t="s">
        <v>1483</v>
      </c>
      <c r="H47" s="3549"/>
      <c r="I47" s="3549"/>
      <c r="J47" s="3549"/>
      <c r="K47" s="1627">
        <v>0.02</v>
      </c>
      <c r="L47" s="1622">
        <f>L46*K47</f>
        <v>1.9742147732244647E-3</v>
      </c>
      <c r="M47" s="1519">
        <v>25.5</v>
      </c>
      <c r="N47" s="1519"/>
      <c r="P47" s="1581"/>
      <c r="Q47" s="1352"/>
      <c r="R47" s="1192"/>
      <c r="S47" s="1192"/>
      <c r="T47" s="1192"/>
      <c r="U47" s="1192"/>
      <c r="V47" s="1628" t="s">
        <v>1483</v>
      </c>
      <c r="W47" s="1192"/>
      <c r="X47" s="1192"/>
      <c r="Y47" s="1192"/>
      <c r="Z47" s="1192"/>
      <c r="AA47" s="1537"/>
    </row>
    <row r="48" spans="1:27" ht="26.1" customHeight="1" thickBot="1">
      <c r="A48" s="1538"/>
      <c r="B48" s="1629"/>
      <c r="C48" s="1629"/>
      <c r="D48" s="1629"/>
      <c r="E48" s="1629"/>
      <c r="F48" s="1629"/>
      <c r="G48" s="3614" t="s">
        <v>2289</v>
      </c>
      <c r="H48" s="3615"/>
      <c r="I48" s="3615"/>
      <c r="J48" s="3615"/>
      <c r="K48" s="1630"/>
      <c r="L48" s="1631">
        <f>(L46+L47)/I46</f>
        <v>2.0136990686889535E-2</v>
      </c>
      <c r="M48" s="1519">
        <v>25.5</v>
      </c>
      <c r="N48" s="1519"/>
      <c r="P48" s="1520"/>
      <c r="Q48" s="1632"/>
      <c r="R48" s="1633"/>
      <c r="S48" s="1633"/>
      <c r="T48" s="1633"/>
      <c r="U48" s="1633"/>
      <c r="V48" s="1634" t="s">
        <v>1484</v>
      </c>
      <c r="W48" s="1633"/>
      <c r="X48" s="1633"/>
      <c r="Y48" s="1633"/>
      <c r="Z48" s="1635"/>
      <c r="AA48" s="1636">
        <f>AA46/X2</f>
        <v>0</v>
      </c>
    </row>
    <row r="49" spans="1:15" ht="13.5" thickBot="1">
      <c r="M49" s="1519"/>
      <c r="N49" s="1519"/>
    </row>
    <row r="50" spans="1:15" ht="33.75" customHeight="1">
      <c r="A50" s="1637" t="str">
        <f>B2</f>
        <v>NIGIRI SUSHI, MAKI SUSHI ,California roll, rainbow sushi</v>
      </c>
      <c r="B50" s="2858"/>
      <c r="C50" s="1638"/>
      <c r="D50" s="1639"/>
      <c r="E50" s="1639"/>
      <c r="F50" s="1639"/>
      <c r="G50" s="1639"/>
      <c r="H50" s="1639"/>
      <c r="I50" s="1639"/>
      <c r="J50" s="1639"/>
      <c r="K50" s="1640" t="s">
        <v>104</v>
      </c>
      <c r="L50" s="3552">
        <v>1</v>
      </c>
      <c r="M50" s="1519">
        <v>33.75</v>
      </c>
      <c r="N50" s="1519"/>
      <c r="O50" s="1641" t="s">
        <v>1974</v>
      </c>
    </row>
    <row r="51" spans="1:15" ht="35.25" customHeight="1">
      <c r="A51" s="1642" t="str">
        <f ca="1">MID(CELL("filename",A51),FIND("[",CELL("filename",A51)),300)</f>
        <v>[ff-8-restauration-Christian.Frechede.xlsx]nigri-sushi-maki (2)</v>
      </c>
      <c r="B51" s="1192"/>
      <c r="C51" s="1643"/>
      <c r="D51" s="1644"/>
      <c r="E51" s="1645"/>
      <c r="F51" s="1645"/>
      <c r="G51" s="1646"/>
      <c r="H51" s="360" t="s">
        <v>103</v>
      </c>
      <c r="I51" s="3553">
        <f ca="1">NOW()</f>
        <v>44545.461550462962</v>
      </c>
      <c r="J51" s="3553"/>
      <c r="K51" s="1647">
        <f ca="1">NOW()</f>
        <v>44545.461550462962</v>
      </c>
      <c r="L51" s="3538"/>
      <c r="M51" s="1519">
        <v>33.25</v>
      </c>
      <c r="N51" s="1519"/>
    </row>
    <row r="52" spans="1:15" ht="27.75" customHeight="1">
      <c r="A52" s="1648"/>
      <c r="B52" s="1191" t="s">
        <v>8</v>
      </c>
      <c r="C52" s="3554" t="s">
        <v>107</v>
      </c>
      <c r="D52" s="3554"/>
      <c r="E52" s="3554"/>
      <c r="F52" s="3554"/>
      <c r="G52" s="3554"/>
      <c r="H52" s="3554"/>
      <c r="I52" s="3554"/>
      <c r="J52" s="3554"/>
      <c r="K52" s="3555"/>
      <c r="L52" s="3556" t="str">
        <f>A50</f>
        <v>NIGIRI SUSHI, MAKI SUSHI ,California roll, rainbow sushi</v>
      </c>
      <c r="M52" s="1519">
        <v>27.75</v>
      </c>
      <c r="N52" s="1519"/>
    </row>
    <row r="53" spans="1:15" ht="23.1" customHeight="1">
      <c r="A53" s="1384"/>
      <c r="B53" s="1385"/>
      <c r="C53" s="1385"/>
      <c r="D53" s="1385"/>
      <c r="E53" s="1385"/>
      <c r="F53" s="1385"/>
      <c r="G53" s="1385"/>
      <c r="H53" s="1385"/>
      <c r="I53" s="1385"/>
      <c r="J53" s="1385"/>
      <c r="K53" s="1385"/>
      <c r="L53" s="3557"/>
      <c r="M53" s="1519">
        <v>23</v>
      </c>
      <c r="N53" s="1519"/>
    </row>
    <row r="54" spans="1:15" ht="23.1" customHeight="1">
      <c r="A54" s="3559" t="s">
        <v>137</v>
      </c>
      <c r="B54" s="3560"/>
      <c r="C54" s="3560"/>
      <c r="D54" s="3560"/>
      <c r="E54" s="3560"/>
      <c r="F54" s="3560"/>
      <c r="G54" s="3560"/>
      <c r="H54" s="3560"/>
      <c r="I54" s="3560"/>
      <c r="J54" s="3560"/>
      <c r="K54" s="3561"/>
      <c r="L54" s="3557"/>
      <c r="M54" s="1519">
        <v>23</v>
      </c>
      <c r="N54" s="1519"/>
    </row>
    <row r="55" spans="1:15" ht="23.1" customHeight="1">
      <c r="A55" s="358">
        <v>1</v>
      </c>
      <c r="B55" s="1649"/>
      <c r="C55" s="1649"/>
      <c r="D55" s="1649"/>
      <c r="E55" s="358">
        <v>1</v>
      </c>
      <c r="F55" s="1649"/>
      <c r="G55" s="1649"/>
      <c r="H55" s="1649"/>
      <c r="I55" s="1649"/>
      <c r="J55" s="1649"/>
      <c r="K55" s="1650"/>
      <c r="L55" s="3557"/>
      <c r="M55" s="1519">
        <v>23</v>
      </c>
      <c r="N55" s="1519"/>
    </row>
    <row r="56" spans="1:15" ht="23.1" customHeight="1">
      <c r="A56" s="358">
        <v>2</v>
      </c>
      <c r="B56" s="1649"/>
      <c r="C56" s="1649"/>
      <c r="D56" s="1649"/>
      <c r="E56" s="358">
        <v>2</v>
      </c>
      <c r="F56" s="1649"/>
      <c r="G56" s="1649"/>
      <c r="H56" s="1649"/>
      <c r="I56" s="1649"/>
      <c r="J56" s="1649"/>
      <c r="K56" s="1650"/>
      <c r="L56" s="3557"/>
      <c r="M56" s="1519">
        <v>23</v>
      </c>
      <c r="N56" s="1519"/>
    </row>
    <row r="57" spans="1:15" ht="23.1" customHeight="1">
      <c r="A57" s="358">
        <v>3</v>
      </c>
      <c r="B57" s="1649"/>
      <c r="C57" s="1649"/>
      <c r="D57" s="1649"/>
      <c r="E57" s="358">
        <v>3</v>
      </c>
      <c r="F57" s="1649"/>
      <c r="G57" s="1649"/>
      <c r="H57" s="1649"/>
      <c r="I57" s="1649"/>
      <c r="J57" s="1649"/>
      <c r="K57" s="1649"/>
      <c r="L57" s="3557"/>
      <c r="M57" s="1519">
        <v>23</v>
      </c>
      <c r="N57" s="1519"/>
    </row>
    <row r="58" spans="1:15" ht="23.1" customHeight="1">
      <c r="A58" s="358">
        <v>4</v>
      </c>
      <c r="B58" s="1649"/>
      <c r="C58" s="1649"/>
      <c r="D58" s="1649"/>
      <c r="E58" s="358">
        <v>4</v>
      </c>
      <c r="F58" s="1649"/>
      <c r="G58" s="1649"/>
      <c r="H58" s="1649"/>
      <c r="I58" s="1649"/>
      <c r="J58" s="1649"/>
      <c r="K58" s="1649"/>
      <c r="L58" s="3557"/>
      <c r="M58" s="1519">
        <v>23</v>
      </c>
      <c r="N58" s="1519"/>
    </row>
    <row r="59" spans="1:15" ht="23.1" customHeight="1">
      <c r="A59" s="358">
        <v>5</v>
      </c>
      <c r="B59" s="1649"/>
      <c r="C59" s="1649"/>
      <c r="D59" s="1649"/>
      <c r="E59" s="358">
        <v>5</v>
      </c>
      <c r="F59" s="1649"/>
      <c r="G59" s="1649"/>
      <c r="H59" s="1649"/>
      <c r="I59" s="1649"/>
      <c r="J59" s="1649"/>
      <c r="K59" s="1649"/>
      <c r="L59" s="3557"/>
      <c r="M59" s="1519">
        <v>23</v>
      </c>
      <c r="N59" s="1519"/>
    </row>
    <row r="60" spans="1:15" ht="23.1" customHeight="1">
      <c r="A60" s="358">
        <v>6</v>
      </c>
      <c r="B60" s="1649"/>
      <c r="C60" s="1649"/>
      <c r="D60" s="1649"/>
      <c r="E60" s="358">
        <v>6</v>
      </c>
      <c r="F60" s="1649"/>
      <c r="G60" s="1649"/>
      <c r="H60" s="1649"/>
      <c r="I60" s="1649"/>
      <c r="J60" s="1649"/>
      <c r="K60" s="1649"/>
      <c r="L60" s="3557"/>
      <c r="M60" s="1519">
        <v>23</v>
      </c>
      <c r="N60" s="1519"/>
    </row>
    <row r="61" spans="1:15" ht="23.1" customHeight="1">
      <c r="A61" s="358">
        <v>7</v>
      </c>
      <c r="B61" s="1649"/>
      <c r="C61" s="1649"/>
      <c r="D61" s="1649"/>
      <c r="E61" s="358">
        <v>7</v>
      </c>
      <c r="F61" s="1649"/>
      <c r="G61" s="1649"/>
      <c r="H61" s="1649"/>
      <c r="I61" s="1649"/>
      <c r="J61" s="1649"/>
      <c r="K61" s="1649"/>
      <c r="L61" s="3557"/>
      <c r="M61" s="1519">
        <v>23</v>
      </c>
      <c r="N61" s="1519"/>
    </row>
    <row r="62" spans="1:15" ht="23.1" customHeight="1">
      <c r="A62" s="358">
        <v>8</v>
      </c>
      <c r="B62" s="1649"/>
      <c r="C62" s="1649"/>
      <c r="D62" s="1649"/>
      <c r="E62" s="358">
        <v>8</v>
      </c>
      <c r="F62" s="1649"/>
      <c r="G62" s="1649"/>
      <c r="H62" s="1649"/>
      <c r="I62" s="1649"/>
      <c r="J62" s="1649"/>
      <c r="K62" s="1649"/>
      <c r="L62" s="3557"/>
      <c r="M62" s="1519">
        <v>23</v>
      </c>
      <c r="N62" s="1519"/>
    </row>
    <row r="63" spans="1:15" ht="23.1" customHeight="1">
      <c r="A63" s="358">
        <v>9</v>
      </c>
      <c r="B63" s="1649"/>
      <c r="C63" s="1649"/>
      <c r="D63" s="1649"/>
      <c r="E63" s="358">
        <v>9</v>
      </c>
      <c r="F63" s="1649"/>
      <c r="G63" s="1649"/>
      <c r="H63" s="1649"/>
      <c r="I63" s="1649"/>
      <c r="J63" s="1649"/>
      <c r="K63" s="1649"/>
      <c r="L63" s="3557"/>
      <c r="M63" s="1519">
        <v>23</v>
      </c>
      <c r="N63" s="1519"/>
    </row>
    <row r="64" spans="1:15" ht="23.1" customHeight="1">
      <c r="A64" s="358">
        <v>10</v>
      </c>
      <c r="B64" s="1649"/>
      <c r="C64" s="1649"/>
      <c r="D64" s="1649"/>
      <c r="E64" s="358">
        <v>10</v>
      </c>
      <c r="F64" s="1649"/>
      <c r="G64" s="1649"/>
      <c r="H64" s="1649"/>
      <c r="I64" s="1649"/>
      <c r="J64" s="1649"/>
      <c r="K64" s="1649"/>
      <c r="L64" s="3557"/>
      <c r="M64" s="1519">
        <v>23</v>
      </c>
      <c r="N64" s="1519"/>
    </row>
    <row r="65" spans="1:14" ht="23.1" customHeight="1">
      <c r="A65" s="358">
        <v>11</v>
      </c>
      <c r="B65" s="1649"/>
      <c r="C65" s="1649"/>
      <c r="D65" s="1649"/>
      <c r="E65" s="358">
        <v>11</v>
      </c>
      <c r="F65" s="1649"/>
      <c r="G65" s="1649"/>
      <c r="H65" s="1649"/>
      <c r="I65" s="1649"/>
      <c r="J65" s="1649"/>
      <c r="K65" s="1649"/>
      <c r="L65" s="3557"/>
      <c r="M65" s="1519">
        <v>23</v>
      </c>
      <c r="N65" s="1519"/>
    </row>
    <row r="66" spans="1:14" ht="23.1" customHeight="1">
      <c r="A66" s="358">
        <v>12</v>
      </c>
      <c r="B66" s="1649"/>
      <c r="C66" s="1649"/>
      <c r="D66" s="1649"/>
      <c r="E66" s="358">
        <v>12</v>
      </c>
      <c r="F66" s="1649"/>
      <c r="G66" s="1649"/>
      <c r="H66" s="1649"/>
      <c r="I66" s="1649"/>
      <c r="J66" s="1649"/>
      <c r="K66" s="1649"/>
      <c r="L66" s="3557"/>
      <c r="M66" s="1519">
        <v>23</v>
      </c>
      <c r="N66" s="1519"/>
    </row>
    <row r="67" spans="1:14" ht="23.1" customHeight="1">
      <c r="A67" s="358">
        <v>13</v>
      </c>
      <c r="B67" s="1649"/>
      <c r="C67" s="1649"/>
      <c r="D67" s="1649"/>
      <c r="E67" s="358">
        <v>13</v>
      </c>
      <c r="F67" s="1649"/>
      <c r="G67" s="1649"/>
      <c r="H67" s="1649"/>
      <c r="I67" s="1649"/>
      <c r="J67" s="1649"/>
      <c r="K67" s="1649"/>
      <c r="L67" s="3557"/>
      <c r="M67" s="1519">
        <v>23</v>
      </c>
      <c r="N67" s="1519"/>
    </row>
    <row r="68" spans="1:14" ht="23.1" customHeight="1">
      <c r="A68" s="358">
        <v>14</v>
      </c>
      <c r="B68" s="1649"/>
      <c r="C68" s="1649"/>
      <c r="D68" s="1649"/>
      <c r="E68" s="358">
        <v>14</v>
      </c>
      <c r="F68" s="1649"/>
      <c r="G68" s="1649"/>
      <c r="H68" s="1649"/>
      <c r="I68" s="1649"/>
      <c r="J68" s="1649"/>
      <c r="K68" s="1649"/>
      <c r="L68" s="3557"/>
      <c r="M68" s="1519">
        <v>23</v>
      </c>
      <c r="N68" s="1519"/>
    </row>
    <row r="69" spans="1:14" ht="23.1" customHeight="1">
      <c r="A69" s="358">
        <v>15</v>
      </c>
      <c r="B69" s="1649"/>
      <c r="C69" s="1649"/>
      <c r="D69" s="1649"/>
      <c r="E69" s="358">
        <v>15</v>
      </c>
      <c r="F69" s="1649"/>
      <c r="G69" s="1649"/>
      <c r="H69" s="1649"/>
      <c r="I69" s="1649"/>
      <c r="J69" s="1649"/>
      <c r="K69" s="1649"/>
      <c r="L69" s="3557"/>
      <c r="M69" s="1519">
        <v>23</v>
      </c>
      <c r="N69" s="1519"/>
    </row>
    <row r="70" spans="1:14" ht="23.1" customHeight="1">
      <c r="A70" s="358">
        <v>16</v>
      </c>
      <c r="B70" s="1649"/>
      <c r="C70" s="1649"/>
      <c r="D70" s="1649"/>
      <c r="E70" s="358">
        <v>16</v>
      </c>
      <c r="F70" s="1649"/>
      <c r="G70" s="1649"/>
      <c r="H70" s="1649"/>
      <c r="I70" s="1649"/>
      <c r="J70" s="1649"/>
      <c r="K70" s="1649"/>
      <c r="L70" s="3557"/>
      <c r="M70" s="1519">
        <v>23</v>
      </c>
      <c r="N70" s="1519"/>
    </row>
    <row r="71" spans="1:14" ht="23.1" customHeight="1">
      <c r="A71" s="358">
        <v>17</v>
      </c>
      <c r="B71" s="1649"/>
      <c r="C71" s="1649"/>
      <c r="D71" s="1649"/>
      <c r="E71" s="358">
        <v>17</v>
      </c>
      <c r="F71" s="1649"/>
      <c r="G71" s="1649"/>
      <c r="H71" s="1649"/>
      <c r="I71" s="1649"/>
      <c r="J71" s="1649"/>
      <c r="K71" s="1649"/>
      <c r="L71" s="3557"/>
      <c r="M71" s="1519">
        <v>23</v>
      </c>
      <c r="N71" s="1519"/>
    </row>
    <row r="72" spans="1:14" ht="23.1" customHeight="1">
      <c r="A72" s="358">
        <v>18</v>
      </c>
      <c r="B72" s="1649"/>
      <c r="C72" s="1649"/>
      <c r="D72" s="1649"/>
      <c r="E72" s="358">
        <v>18</v>
      </c>
      <c r="F72" s="1649"/>
      <c r="G72" s="1649"/>
      <c r="H72" s="1649"/>
      <c r="I72" s="1649"/>
      <c r="J72" s="1649"/>
      <c r="K72" s="1649"/>
      <c r="L72" s="3557"/>
      <c r="M72" s="1519">
        <v>23</v>
      </c>
      <c r="N72" s="1519"/>
    </row>
    <row r="73" spans="1:14" ht="23.1" customHeight="1">
      <c r="A73" s="359">
        <v>19</v>
      </c>
      <c r="B73" s="1649"/>
      <c r="C73" s="1649"/>
      <c r="D73" s="1649"/>
      <c r="E73" s="358">
        <v>19</v>
      </c>
      <c r="F73" s="1649"/>
      <c r="G73" s="1649"/>
      <c r="H73" s="1649"/>
      <c r="I73" s="1649"/>
      <c r="J73" s="1649"/>
      <c r="K73" s="1649"/>
      <c r="L73" s="3557"/>
      <c r="M73" s="1519">
        <v>23</v>
      </c>
      <c r="N73" s="1519"/>
    </row>
    <row r="74" spans="1:14" ht="23.1" customHeight="1">
      <c r="A74" s="1651"/>
      <c r="B74" s="3562" t="s">
        <v>94</v>
      </c>
      <c r="C74" s="3562"/>
      <c r="D74" s="3563"/>
      <c r="E74" s="3564" t="s">
        <v>95</v>
      </c>
      <c r="F74" s="3565"/>
      <c r="G74" s="3565"/>
      <c r="H74" s="3565"/>
      <c r="I74" s="3565"/>
      <c r="J74" s="3565"/>
      <c r="K74" s="3566"/>
      <c r="L74" s="3557"/>
      <c r="M74" s="1519">
        <v>23</v>
      </c>
      <c r="N74" s="1519"/>
    </row>
    <row r="75" spans="1:14" ht="23.1" customHeight="1">
      <c r="A75" s="357">
        <v>1</v>
      </c>
      <c r="B75" s="1652"/>
      <c r="C75" s="1653"/>
      <c r="D75" s="1653"/>
      <c r="E75" s="357">
        <v>1</v>
      </c>
      <c r="F75" s="1653"/>
      <c r="G75" s="1653"/>
      <c r="H75" s="1653"/>
      <c r="I75" s="1653"/>
      <c r="J75" s="1653"/>
      <c r="K75" s="1653"/>
      <c r="L75" s="3557"/>
      <c r="M75" s="1519">
        <v>23</v>
      </c>
      <c r="N75" s="1519"/>
    </row>
    <row r="76" spans="1:14" ht="23.1" customHeight="1">
      <c r="A76" s="358">
        <v>2</v>
      </c>
      <c r="B76" s="1653"/>
      <c r="C76" s="1653"/>
      <c r="D76" s="1653"/>
      <c r="E76" s="358">
        <v>2</v>
      </c>
      <c r="F76" s="1653"/>
      <c r="G76" s="1653"/>
      <c r="H76" s="1653"/>
      <c r="I76" s="1653"/>
      <c r="J76" s="1653"/>
      <c r="K76" s="1653"/>
      <c r="L76" s="3557"/>
      <c r="M76" s="1519">
        <v>23</v>
      </c>
      <c r="N76" s="1519"/>
    </row>
    <row r="77" spans="1:14" ht="23.1" customHeight="1">
      <c r="A77" s="358">
        <v>3</v>
      </c>
      <c r="B77" s="1653"/>
      <c r="C77" s="1653"/>
      <c r="D77" s="1653"/>
      <c r="E77" s="358">
        <v>3</v>
      </c>
      <c r="F77" s="1653"/>
      <c r="G77" s="1653"/>
      <c r="H77" s="1653"/>
      <c r="I77" s="1653"/>
      <c r="J77" s="1653"/>
      <c r="K77" s="1653"/>
      <c r="L77" s="3557"/>
      <c r="M77" s="1519">
        <v>23</v>
      </c>
      <c r="N77" s="1519"/>
    </row>
    <row r="78" spans="1:14" ht="23.1" customHeight="1">
      <c r="A78" s="358">
        <v>4</v>
      </c>
      <c r="B78" s="1653"/>
      <c r="C78" s="1653"/>
      <c r="D78" s="1653"/>
      <c r="E78" s="358">
        <v>4</v>
      </c>
      <c r="F78" s="1653"/>
      <c r="G78" s="1653"/>
      <c r="H78" s="1653"/>
      <c r="I78" s="1653"/>
      <c r="J78" s="1653"/>
      <c r="K78" s="1653"/>
      <c r="L78" s="3557"/>
      <c r="M78" s="1519">
        <v>23</v>
      </c>
      <c r="N78" s="1519"/>
    </row>
    <row r="79" spans="1:14" ht="23.1" customHeight="1">
      <c r="A79" s="358">
        <v>5</v>
      </c>
      <c r="B79" s="1653"/>
      <c r="C79" s="1653"/>
      <c r="D79" s="1653"/>
      <c r="E79" s="358">
        <v>5</v>
      </c>
      <c r="F79" s="1653"/>
      <c r="G79" s="1653"/>
      <c r="H79" s="1653"/>
      <c r="I79" s="1653"/>
      <c r="J79" s="1653"/>
      <c r="K79" s="1653"/>
      <c r="L79" s="3557"/>
      <c r="M79" s="1519">
        <v>23</v>
      </c>
      <c r="N79" s="1519"/>
    </row>
    <row r="80" spans="1:14" ht="23.1" customHeight="1">
      <c r="A80" s="358">
        <v>6</v>
      </c>
      <c r="B80" s="1653"/>
      <c r="C80" s="1653"/>
      <c r="D80" s="1653"/>
      <c r="E80" s="358">
        <v>6</v>
      </c>
      <c r="F80" s="1653"/>
      <c r="G80" s="1653"/>
      <c r="H80" s="1653"/>
      <c r="I80" s="1653"/>
      <c r="J80" s="1653"/>
      <c r="K80" s="1653"/>
      <c r="L80" s="3557"/>
      <c r="M80" s="1519">
        <v>23</v>
      </c>
      <c r="N80" s="1519"/>
    </row>
    <row r="81" spans="1:14" ht="23.1" customHeight="1">
      <c r="A81" s="358">
        <v>7</v>
      </c>
      <c r="B81" s="1653"/>
      <c r="C81" s="1653"/>
      <c r="D81" s="1653"/>
      <c r="E81" s="358">
        <v>7</v>
      </c>
      <c r="F81" s="1653"/>
      <c r="G81" s="1653"/>
      <c r="H81" s="1653"/>
      <c r="I81" s="1653"/>
      <c r="J81" s="1653"/>
      <c r="K81" s="1653"/>
      <c r="L81" s="3557"/>
      <c r="M81" s="1519">
        <v>23</v>
      </c>
      <c r="N81" s="1519"/>
    </row>
    <row r="82" spans="1:14" ht="23.1" customHeight="1">
      <c r="A82" s="1654"/>
      <c r="B82" s="1399" t="e">
        <f>A86*R86</f>
        <v>#VALUE!</v>
      </c>
      <c r="C82" s="1399" t="e">
        <f>B82*A86</f>
        <v>#VALUE!</v>
      </c>
      <c r="D82" s="1399" t="e">
        <f>C82*B82</f>
        <v>#VALUE!</v>
      </c>
      <c r="E82" s="1399" t="e">
        <f>D82*C82</f>
        <v>#VALUE!</v>
      </c>
      <c r="F82" s="1399" t="e">
        <f>E82*D82</f>
        <v>#VALUE!</v>
      </c>
      <c r="G82" s="1399" t="e">
        <f>D82*C82</f>
        <v>#VALUE!</v>
      </c>
      <c r="H82" s="1399" t="e">
        <f t="shared" ref="H82:K82" si="34">G82*F82</f>
        <v>#VALUE!</v>
      </c>
      <c r="I82" s="1399" t="e">
        <f t="shared" si="34"/>
        <v>#VALUE!</v>
      </c>
      <c r="J82" s="1399" t="e">
        <f t="shared" si="34"/>
        <v>#VALUE!</v>
      </c>
      <c r="K82" s="1655" t="e">
        <f t="shared" si="34"/>
        <v>#VALUE!</v>
      </c>
      <c r="L82" s="3557"/>
      <c r="M82" s="1519">
        <v>23</v>
      </c>
      <c r="N82" s="1519"/>
    </row>
    <row r="83" spans="1:14" ht="23.1" customHeight="1">
      <c r="A83" s="1656"/>
      <c r="B83" s="3351" t="s">
        <v>96</v>
      </c>
      <c r="C83" s="3351"/>
      <c r="D83" s="3351"/>
      <c r="E83" s="3351"/>
      <c r="F83" s="3351"/>
      <c r="G83" s="3351"/>
      <c r="H83" s="3351"/>
      <c r="I83" s="3351"/>
      <c r="J83" s="3351"/>
      <c r="K83" s="3519"/>
      <c r="L83" s="3556"/>
      <c r="M83" s="1519">
        <v>23</v>
      </c>
      <c r="N83" s="1519"/>
    </row>
    <row r="84" spans="1:14" ht="23.1" customHeight="1">
      <c r="A84" s="1656"/>
      <c r="B84" s="3354" t="s">
        <v>97</v>
      </c>
      <c r="C84" s="3354"/>
      <c r="D84" s="3354"/>
      <c r="E84" s="3536" t="s">
        <v>98</v>
      </c>
      <c r="F84" s="3355"/>
      <c r="G84" s="3355"/>
      <c r="H84" s="3355"/>
      <c r="I84" s="3355"/>
      <c r="J84" s="3355"/>
      <c r="K84" s="3537"/>
      <c r="L84" s="3556"/>
      <c r="M84" s="1519">
        <v>23</v>
      </c>
      <c r="N84" s="1519"/>
    </row>
    <row r="85" spans="1:14" ht="23.1" customHeight="1">
      <c r="A85" s="1657" t="s">
        <v>99</v>
      </c>
      <c r="B85" s="1658"/>
      <c r="C85" s="1658"/>
      <c r="D85" s="1658"/>
      <c r="E85" s="1659"/>
      <c r="F85" s="1660"/>
      <c r="G85" s="1660"/>
      <c r="H85" s="1660"/>
      <c r="I85" s="1660"/>
      <c r="J85" s="1660"/>
      <c r="K85" s="1661"/>
      <c r="L85" s="3556"/>
      <c r="M85" s="1519">
        <v>23</v>
      </c>
      <c r="N85" s="1519"/>
    </row>
    <row r="86" spans="1:14" ht="23.1" customHeight="1">
      <c r="A86" s="1657" t="s">
        <v>100</v>
      </c>
      <c r="B86" s="1658"/>
      <c r="C86" s="1658"/>
      <c r="D86" s="1658"/>
      <c r="E86" s="1659"/>
      <c r="F86" s="1660"/>
      <c r="G86" s="1660"/>
      <c r="H86" s="1660"/>
      <c r="I86" s="1660"/>
      <c r="J86" s="1660"/>
      <c r="K86" s="1661"/>
      <c r="L86" s="3556"/>
      <c r="M86" s="1519">
        <v>23</v>
      </c>
      <c r="N86" s="1519"/>
    </row>
    <row r="87" spans="1:14" ht="23.1" customHeight="1">
      <c r="A87" s="1657" t="s">
        <v>101</v>
      </c>
      <c r="B87" s="1658"/>
      <c r="C87" s="1658"/>
      <c r="D87" s="1658"/>
      <c r="E87" s="1659"/>
      <c r="F87" s="1660"/>
      <c r="G87" s="1660"/>
      <c r="H87" s="1660"/>
      <c r="I87" s="1660"/>
      <c r="J87" s="1660"/>
      <c r="K87" s="1661"/>
      <c r="L87" s="3556"/>
      <c r="M87" s="1519">
        <v>23</v>
      </c>
      <c r="N87" s="1519"/>
    </row>
    <row r="88" spans="1:14" ht="23.1" customHeight="1">
      <c r="A88" s="1657" t="s">
        <v>111</v>
      </c>
      <c r="B88" s="1658"/>
      <c r="C88" s="1658"/>
      <c r="D88" s="1658"/>
      <c r="E88" s="1659"/>
      <c r="F88" s="1660"/>
      <c r="G88" s="1660"/>
      <c r="H88" s="1660"/>
      <c r="I88" s="1660"/>
      <c r="J88" s="1660"/>
      <c r="K88" s="1661"/>
      <c r="L88" s="3556"/>
      <c r="M88" s="1519">
        <v>23</v>
      </c>
      <c r="N88" s="1519"/>
    </row>
    <row r="89" spans="1:14" ht="23.1" customHeight="1">
      <c r="A89" s="1657" t="s">
        <v>112</v>
      </c>
      <c r="B89" s="1658"/>
      <c r="C89" s="1658"/>
      <c r="D89" s="1658"/>
      <c r="E89" s="1659"/>
      <c r="F89" s="1660"/>
      <c r="G89" s="1660"/>
      <c r="H89" s="1660"/>
      <c r="I89" s="1660"/>
      <c r="J89" s="1660"/>
      <c r="K89" s="1661"/>
      <c r="L89" s="3556"/>
      <c r="M89" s="1519">
        <v>23</v>
      </c>
      <c r="N89" s="1519"/>
    </row>
    <row r="90" spans="1:14" ht="23.1" customHeight="1">
      <c r="A90" s="1657" t="s">
        <v>142</v>
      </c>
      <c r="B90" s="1658"/>
      <c r="C90" s="1658"/>
      <c r="D90" s="1658"/>
      <c r="E90" s="1659"/>
      <c r="F90" s="1660"/>
      <c r="G90" s="1660"/>
      <c r="H90" s="1660"/>
      <c r="I90" s="1660"/>
      <c r="J90" s="1660"/>
      <c r="K90" s="1661"/>
      <c r="L90" s="3556"/>
      <c r="M90" s="1519">
        <v>23</v>
      </c>
      <c r="N90" s="1519"/>
    </row>
    <row r="91" spans="1:14" ht="23.1" customHeight="1">
      <c r="A91" s="1657" t="s">
        <v>143</v>
      </c>
      <c r="B91" s="1658"/>
      <c r="C91" s="1658"/>
      <c r="D91" s="1658"/>
      <c r="E91" s="1659"/>
      <c r="F91" s="1660"/>
      <c r="G91" s="1660"/>
      <c r="H91" s="1660"/>
      <c r="I91" s="1660"/>
      <c r="J91" s="1660"/>
      <c r="K91" s="1661"/>
      <c r="L91" s="3556"/>
      <c r="M91" s="1519">
        <v>23</v>
      </c>
      <c r="N91" s="1519"/>
    </row>
    <row r="92" spans="1:14" ht="23.1" customHeight="1">
      <c r="A92" s="1657" t="s">
        <v>144</v>
      </c>
      <c r="B92" s="1658"/>
      <c r="C92" s="1658"/>
      <c r="D92" s="1658"/>
      <c r="E92" s="1659"/>
      <c r="F92" s="1660"/>
      <c r="G92" s="1660"/>
      <c r="H92" s="1660"/>
      <c r="I92" s="1660"/>
      <c r="J92" s="1660"/>
      <c r="K92" s="1661"/>
      <c r="L92" s="3556"/>
      <c r="M92" s="1519">
        <v>23</v>
      </c>
      <c r="N92" s="1519"/>
    </row>
    <row r="93" spans="1:14" ht="23.1" customHeight="1">
      <c r="A93" s="1657" t="s">
        <v>145</v>
      </c>
      <c r="B93" s="1658"/>
      <c r="C93" s="1658"/>
      <c r="D93" s="1658"/>
      <c r="E93" s="1659"/>
      <c r="F93" s="1660"/>
      <c r="G93" s="1660"/>
      <c r="H93" s="1660"/>
      <c r="I93" s="1660"/>
      <c r="J93" s="1660"/>
      <c r="K93" s="1661"/>
      <c r="L93" s="3558"/>
      <c r="M93" s="1519">
        <v>23</v>
      </c>
      <c r="N93" s="1519"/>
    </row>
    <row r="94" spans="1:14" ht="23.1" customHeight="1">
      <c r="A94" s="1657" t="s">
        <v>146</v>
      </c>
      <c r="B94" s="1658"/>
      <c r="C94" s="1658"/>
      <c r="D94" s="1658"/>
      <c r="E94" s="1659"/>
      <c r="F94" s="1660"/>
      <c r="G94" s="1660"/>
      <c r="H94" s="1660"/>
      <c r="I94" s="1660"/>
      <c r="J94" s="1660"/>
      <c r="K94" s="1661"/>
      <c r="L94" s="3412">
        <f>L50</f>
        <v>1</v>
      </c>
      <c r="M94" s="1519">
        <v>23</v>
      </c>
      <c r="N94" s="1519"/>
    </row>
    <row r="95" spans="1:14" ht="23.1" customHeight="1">
      <c r="A95" s="1657" t="s">
        <v>147</v>
      </c>
      <c r="B95" s="1658"/>
      <c r="C95" s="1658"/>
      <c r="D95" s="1658"/>
      <c r="E95" s="1659"/>
      <c r="F95" s="1660"/>
      <c r="G95" s="1660"/>
      <c r="H95" s="1660"/>
      <c r="I95" s="1660"/>
      <c r="J95" s="1660"/>
      <c r="K95" s="1661"/>
      <c r="L95" s="3538"/>
      <c r="M95" s="1519">
        <v>23</v>
      </c>
      <c r="N95" s="1519"/>
    </row>
    <row r="96" spans="1:14" ht="23.1" customHeight="1" thickBot="1">
      <c r="A96" s="1662" t="s">
        <v>224</v>
      </c>
      <c r="B96" s="1663"/>
      <c r="C96" s="1663"/>
      <c r="D96" s="1663"/>
      <c r="E96" s="1664"/>
      <c r="F96" s="1665"/>
      <c r="G96" s="1665"/>
      <c r="H96" s="1665"/>
      <c r="I96" s="1665"/>
      <c r="J96" s="1665"/>
      <c r="K96" s="1666"/>
      <c r="L96" s="3539"/>
      <c r="M96" s="1519">
        <v>23</v>
      </c>
      <c r="N96" s="1519"/>
    </row>
    <row r="98" spans="1:13">
      <c r="A98" s="1512">
        <v>5</v>
      </c>
      <c r="B98" s="1512">
        <v>33</v>
      </c>
      <c r="C98" s="1512">
        <v>39</v>
      </c>
      <c r="D98" s="1512">
        <v>12</v>
      </c>
      <c r="E98" s="1512">
        <v>12</v>
      </c>
      <c r="F98" s="1512">
        <v>12</v>
      </c>
      <c r="G98" s="1512">
        <v>12</v>
      </c>
      <c r="H98" s="1512">
        <v>12</v>
      </c>
      <c r="I98" s="1512">
        <v>12</v>
      </c>
      <c r="J98" s="1512">
        <v>12</v>
      </c>
      <c r="K98" s="1512">
        <v>12</v>
      </c>
      <c r="L98" s="1512">
        <v>12</v>
      </c>
      <c r="M98" s="1513" t="s">
        <v>1958</v>
      </c>
    </row>
  </sheetData>
  <mergeCells count="19">
    <mergeCell ref="B84:D84"/>
    <mergeCell ref="E84:K84"/>
    <mergeCell ref="L94:L96"/>
    <mergeCell ref="G47:J47"/>
    <mergeCell ref="G48:J48"/>
    <mergeCell ref="L50:L51"/>
    <mergeCell ref="I51:J51"/>
    <mergeCell ref="C52:K52"/>
    <mergeCell ref="L52:L93"/>
    <mergeCell ref="A54:K54"/>
    <mergeCell ref="B74:D74"/>
    <mergeCell ref="E74:K74"/>
    <mergeCell ref="B83:K83"/>
    <mergeCell ref="P1:AA1"/>
    <mergeCell ref="G46:H46"/>
    <mergeCell ref="B2:G2"/>
    <mergeCell ref="Q2:V2"/>
    <mergeCell ref="B4:E4"/>
    <mergeCell ref="Q4:T4"/>
  </mergeCells>
  <hyperlinks>
    <hyperlink ref="C52" r:id="rId1" display="http://etab.ac-poitiers.fr/lycee-hotelier-la-rochelle/spip.php?auteur10" xr:uid="{ADB0DEEE-2EF3-4E0C-A517-B23F89E82335}"/>
  </hyperlink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&amp;C&amp;D &amp;T&amp;R2TSB</oddHeader>
    <oddFooter>&amp;L&amp;F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53BA-42DA-4B0B-B4C6-4DD9CCCF0429}">
  <dimension ref="A1:AA100"/>
  <sheetViews>
    <sheetView showZeros="0" workbookViewId="0">
      <selection activeCell="B2" sqref="B2:G2"/>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3.7109375" style="1281" customWidth="1"/>
    <col min="18" max="18" width="16.28515625" style="1281" customWidth="1"/>
    <col min="19" max="19" width="3.42578125" style="1281" customWidth="1"/>
    <col min="20" max="20" width="6.140625" style="1281" customWidth="1"/>
    <col min="21" max="21" width="5.85546875" style="1281" customWidth="1"/>
    <col min="22" max="22" width="6.7109375" style="1281" customWidth="1"/>
    <col min="23" max="23" width="6.28515625" style="1281" customWidth="1"/>
    <col min="24" max="24" width="5.42578125" style="1281" customWidth="1"/>
    <col min="25" max="25" width="6" style="1281" customWidth="1"/>
    <col min="26" max="26" width="6.28515625" style="1281" customWidth="1"/>
    <col min="27" max="27" width="5.7109375" style="1281" customWidth="1"/>
    <col min="28" max="253" width="11.42578125" style="1281"/>
    <col min="254" max="254" width="0" style="1281" hidden="1" customWidth="1"/>
    <col min="255" max="255" width="33.42578125" style="1281" customWidth="1"/>
    <col min="256" max="256" width="16.28515625" style="1281" customWidth="1"/>
    <col min="257" max="257" width="3.42578125" style="1281" customWidth="1"/>
    <col min="258" max="258" width="6.140625" style="1281" customWidth="1"/>
    <col min="259" max="259" width="5.85546875" style="1281" customWidth="1"/>
    <col min="260" max="260" width="6.7109375" style="1281" customWidth="1"/>
    <col min="261" max="261" width="6.28515625" style="1281" customWidth="1"/>
    <col min="262" max="262" width="5.42578125" style="1281" customWidth="1"/>
    <col min="263" max="263" width="6" style="1281" customWidth="1"/>
    <col min="264" max="264" width="6.28515625" style="1281" customWidth="1"/>
    <col min="265" max="265" width="5.7109375" style="1281" customWidth="1"/>
    <col min="266" max="509" width="11.42578125" style="1281"/>
    <col min="510" max="510" width="0" style="1281" hidden="1" customWidth="1"/>
    <col min="511" max="511" width="33.42578125" style="1281" customWidth="1"/>
    <col min="512" max="512" width="16.28515625" style="1281" customWidth="1"/>
    <col min="513" max="513" width="3.42578125" style="1281" customWidth="1"/>
    <col min="514" max="514" width="6.140625" style="1281" customWidth="1"/>
    <col min="515" max="515" width="5.85546875" style="1281" customWidth="1"/>
    <col min="516" max="516" width="6.7109375" style="1281" customWidth="1"/>
    <col min="517" max="517" width="6.28515625" style="1281" customWidth="1"/>
    <col min="518" max="518" width="5.42578125" style="1281" customWidth="1"/>
    <col min="519" max="519" width="6" style="1281" customWidth="1"/>
    <col min="520" max="520" width="6.28515625" style="1281" customWidth="1"/>
    <col min="521" max="521" width="5.7109375" style="1281" customWidth="1"/>
    <col min="522" max="765" width="11.42578125" style="1281"/>
    <col min="766" max="766" width="0" style="1281" hidden="1" customWidth="1"/>
    <col min="767" max="767" width="33.42578125" style="1281" customWidth="1"/>
    <col min="768" max="768" width="16.28515625" style="1281" customWidth="1"/>
    <col min="769" max="769" width="3.42578125" style="1281" customWidth="1"/>
    <col min="770" max="770" width="6.140625" style="1281" customWidth="1"/>
    <col min="771" max="771" width="5.85546875" style="1281" customWidth="1"/>
    <col min="772" max="772" width="6.7109375" style="1281" customWidth="1"/>
    <col min="773" max="773" width="6.28515625" style="1281" customWidth="1"/>
    <col min="774" max="774" width="5.42578125" style="1281" customWidth="1"/>
    <col min="775" max="775" width="6" style="1281" customWidth="1"/>
    <col min="776" max="776" width="6.28515625" style="1281" customWidth="1"/>
    <col min="777" max="777" width="5.7109375" style="1281" customWidth="1"/>
    <col min="778" max="1021" width="11.42578125" style="1281"/>
    <col min="1022" max="1022" width="0" style="1281" hidden="1" customWidth="1"/>
    <col min="1023" max="1023" width="33.42578125" style="1281" customWidth="1"/>
    <col min="1024" max="1024" width="16.28515625" style="1281" customWidth="1"/>
    <col min="1025" max="1025" width="3.42578125" style="1281" customWidth="1"/>
    <col min="1026" max="1026" width="6.140625" style="1281" customWidth="1"/>
    <col min="1027" max="1027" width="5.85546875" style="1281" customWidth="1"/>
    <col min="1028" max="1028" width="6.7109375" style="1281" customWidth="1"/>
    <col min="1029" max="1029" width="6.28515625" style="1281" customWidth="1"/>
    <col min="1030" max="1030" width="5.42578125" style="1281" customWidth="1"/>
    <col min="1031" max="1031" width="6" style="1281" customWidth="1"/>
    <col min="1032" max="1032" width="6.28515625" style="1281" customWidth="1"/>
    <col min="1033" max="1033" width="5.7109375" style="1281" customWidth="1"/>
    <col min="1034" max="1277" width="11.42578125" style="1281"/>
    <col min="1278" max="1278" width="0" style="1281" hidden="1" customWidth="1"/>
    <col min="1279" max="1279" width="33.42578125" style="1281" customWidth="1"/>
    <col min="1280" max="1280" width="16.28515625" style="1281" customWidth="1"/>
    <col min="1281" max="1281" width="3.42578125" style="1281" customWidth="1"/>
    <col min="1282" max="1282" width="6.140625" style="1281" customWidth="1"/>
    <col min="1283" max="1283" width="5.85546875" style="1281" customWidth="1"/>
    <col min="1284" max="1284" width="6.7109375" style="1281" customWidth="1"/>
    <col min="1285" max="1285" width="6.28515625" style="1281" customWidth="1"/>
    <col min="1286" max="1286" width="5.42578125" style="1281" customWidth="1"/>
    <col min="1287" max="1287" width="6" style="1281" customWidth="1"/>
    <col min="1288" max="1288" width="6.28515625" style="1281" customWidth="1"/>
    <col min="1289" max="1289" width="5.7109375" style="1281" customWidth="1"/>
    <col min="1290" max="1533" width="11.42578125" style="1281"/>
    <col min="1534" max="1534" width="0" style="1281" hidden="1" customWidth="1"/>
    <col min="1535" max="1535" width="33.42578125" style="1281" customWidth="1"/>
    <col min="1536" max="1536" width="16.28515625" style="1281" customWidth="1"/>
    <col min="1537" max="1537" width="3.42578125" style="1281" customWidth="1"/>
    <col min="1538" max="1538" width="6.140625" style="1281" customWidth="1"/>
    <col min="1539" max="1539" width="5.85546875" style="1281" customWidth="1"/>
    <col min="1540" max="1540" width="6.7109375" style="1281" customWidth="1"/>
    <col min="1541" max="1541" width="6.28515625" style="1281" customWidth="1"/>
    <col min="1542" max="1542" width="5.42578125" style="1281" customWidth="1"/>
    <col min="1543" max="1543" width="6" style="1281" customWidth="1"/>
    <col min="1544" max="1544" width="6.28515625" style="1281" customWidth="1"/>
    <col min="1545" max="1545" width="5.7109375" style="1281" customWidth="1"/>
    <col min="1546" max="1789" width="11.42578125" style="1281"/>
    <col min="1790" max="1790" width="0" style="1281" hidden="1" customWidth="1"/>
    <col min="1791" max="1791" width="33.42578125" style="1281" customWidth="1"/>
    <col min="1792" max="1792" width="16.28515625" style="1281" customWidth="1"/>
    <col min="1793" max="1793" width="3.42578125" style="1281" customWidth="1"/>
    <col min="1794" max="1794" width="6.140625" style="1281" customWidth="1"/>
    <col min="1795" max="1795" width="5.85546875" style="1281" customWidth="1"/>
    <col min="1796" max="1796" width="6.7109375" style="1281" customWidth="1"/>
    <col min="1797" max="1797" width="6.28515625" style="1281" customWidth="1"/>
    <col min="1798" max="1798" width="5.42578125" style="1281" customWidth="1"/>
    <col min="1799" max="1799" width="6" style="1281" customWidth="1"/>
    <col min="1800" max="1800" width="6.28515625" style="1281" customWidth="1"/>
    <col min="1801" max="1801" width="5.7109375" style="1281" customWidth="1"/>
    <col min="1802" max="2045" width="11.42578125" style="1281"/>
    <col min="2046" max="2046" width="0" style="1281" hidden="1" customWidth="1"/>
    <col min="2047" max="2047" width="33.42578125" style="1281" customWidth="1"/>
    <col min="2048" max="2048" width="16.28515625" style="1281" customWidth="1"/>
    <col min="2049" max="2049" width="3.42578125" style="1281" customWidth="1"/>
    <col min="2050" max="2050" width="6.140625" style="1281" customWidth="1"/>
    <col min="2051" max="2051" width="5.85546875" style="1281" customWidth="1"/>
    <col min="2052" max="2052" width="6.7109375" style="1281" customWidth="1"/>
    <col min="2053" max="2053" width="6.28515625" style="1281" customWidth="1"/>
    <col min="2054" max="2054" width="5.42578125" style="1281" customWidth="1"/>
    <col min="2055" max="2055" width="6" style="1281" customWidth="1"/>
    <col min="2056" max="2056" width="6.28515625" style="1281" customWidth="1"/>
    <col min="2057" max="2057" width="5.7109375" style="1281" customWidth="1"/>
    <col min="2058" max="2301" width="11.42578125" style="1281"/>
    <col min="2302" max="2302" width="0" style="1281" hidden="1" customWidth="1"/>
    <col min="2303" max="2303" width="33.42578125" style="1281" customWidth="1"/>
    <col min="2304" max="2304" width="16.28515625" style="1281" customWidth="1"/>
    <col min="2305" max="2305" width="3.42578125" style="1281" customWidth="1"/>
    <col min="2306" max="2306" width="6.140625" style="1281" customWidth="1"/>
    <col min="2307" max="2307" width="5.85546875" style="1281" customWidth="1"/>
    <col min="2308" max="2308" width="6.7109375" style="1281" customWidth="1"/>
    <col min="2309" max="2309" width="6.28515625" style="1281" customWidth="1"/>
    <col min="2310" max="2310" width="5.42578125" style="1281" customWidth="1"/>
    <col min="2311" max="2311" width="6" style="1281" customWidth="1"/>
    <col min="2312" max="2312" width="6.28515625" style="1281" customWidth="1"/>
    <col min="2313" max="2313" width="5.7109375" style="1281" customWidth="1"/>
    <col min="2314" max="2557" width="11.42578125" style="1281"/>
    <col min="2558" max="2558" width="0" style="1281" hidden="1" customWidth="1"/>
    <col min="2559" max="2559" width="33.42578125" style="1281" customWidth="1"/>
    <col min="2560" max="2560" width="16.28515625" style="1281" customWidth="1"/>
    <col min="2561" max="2561" width="3.42578125" style="1281" customWidth="1"/>
    <col min="2562" max="2562" width="6.140625" style="1281" customWidth="1"/>
    <col min="2563" max="2563" width="5.85546875" style="1281" customWidth="1"/>
    <col min="2564" max="2564" width="6.7109375" style="1281" customWidth="1"/>
    <col min="2565" max="2565" width="6.28515625" style="1281" customWidth="1"/>
    <col min="2566" max="2566" width="5.42578125" style="1281" customWidth="1"/>
    <col min="2567" max="2567" width="6" style="1281" customWidth="1"/>
    <col min="2568" max="2568" width="6.28515625" style="1281" customWidth="1"/>
    <col min="2569" max="2569" width="5.7109375" style="1281" customWidth="1"/>
    <col min="2570" max="2813" width="11.42578125" style="1281"/>
    <col min="2814" max="2814" width="0" style="1281" hidden="1" customWidth="1"/>
    <col min="2815" max="2815" width="33.42578125" style="1281" customWidth="1"/>
    <col min="2816" max="2816" width="16.28515625" style="1281" customWidth="1"/>
    <col min="2817" max="2817" width="3.42578125" style="1281" customWidth="1"/>
    <col min="2818" max="2818" width="6.140625" style="1281" customWidth="1"/>
    <col min="2819" max="2819" width="5.85546875" style="1281" customWidth="1"/>
    <col min="2820" max="2820" width="6.7109375" style="1281" customWidth="1"/>
    <col min="2821" max="2821" width="6.28515625" style="1281" customWidth="1"/>
    <col min="2822" max="2822" width="5.42578125" style="1281" customWidth="1"/>
    <col min="2823" max="2823" width="6" style="1281" customWidth="1"/>
    <col min="2824" max="2824" width="6.28515625" style="1281" customWidth="1"/>
    <col min="2825" max="2825" width="5.7109375" style="1281" customWidth="1"/>
    <col min="2826" max="3069" width="11.42578125" style="1281"/>
    <col min="3070" max="3070" width="0" style="1281" hidden="1" customWidth="1"/>
    <col min="3071" max="3071" width="33.42578125" style="1281" customWidth="1"/>
    <col min="3072" max="3072" width="16.28515625" style="1281" customWidth="1"/>
    <col min="3073" max="3073" width="3.42578125" style="1281" customWidth="1"/>
    <col min="3074" max="3074" width="6.140625" style="1281" customWidth="1"/>
    <col min="3075" max="3075" width="5.85546875" style="1281" customWidth="1"/>
    <col min="3076" max="3076" width="6.7109375" style="1281" customWidth="1"/>
    <col min="3077" max="3077" width="6.28515625" style="1281" customWidth="1"/>
    <col min="3078" max="3078" width="5.42578125" style="1281" customWidth="1"/>
    <col min="3079" max="3079" width="6" style="1281" customWidth="1"/>
    <col min="3080" max="3080" width="6.28515625" style="1281" customWidth="1"/>
    <col min="3081" max="3081" width="5.7109375" style="1281" customWidth="1"/>
    <col min="3082" max="3325" width="11.42578125" style="1281"/>
    <col min="3326" max="3326" width="0" style="1281" hidden="1" customWidth="1"/>
    <col min="3327" max="3327" width="33.42578125" style="1281" customWidth="1"/>
    <col min="3328" max="3328" width="16.28515625" style="1281" customWidth="1"/>
    <col min="3329" max="3329" width="3.42578125" style="1281" customWidth="1"/>
    <col min="3330" max="3330" width="6.140625" style="1281" customWidth="1"/>
    <col min="3331" max="3331" width="5.85546875" style="1281" customWidth="1"/>
    <col min="3332" max="3332" width="6.7109375" style="1281" customWidth="1"/>
    <col min="3333" max="3333" width="6.28515625" style="1281" customWidth="1"/>
    <col min="3334" max="3334" width="5.42578125" style="1281" customWidth="1"/>
    <col min="3335" max="3335" width="6" style="1281" customWidth="1"/>
    <col min="3336" max="3336" width="6.28515625" style="1281" customWidth="1"/>
    <col min="3337" max="3337" width="5.7109375" style="1281" customWidth="1"/>
    <col min="3338" max="3581" width="11.42578125" style="1281"/>
    <col min="3582" max="3582" width="0" style="1281" hidden="1" customWidth="1"/>
    <col min="3583" max="3583" width="33.42578125" style="1281" customWidth="1"/>
    <col min="3584" max="3584" width="16.28515625" style="1281" customWidth="1"/>
    <col min="3585" max="3585" width="3.42578125" style="1281" customWidth="1"/>
    <col min="3586" max="3586" width="6.140625" style="1281" customWidth="1"/>
    <col min="3587" max="3587" width="5.85546875" style="1281" customWidth="1"/>
    <col min="3588" max="3588" width="6.7109375" style="1281" customWidth="1"/>
    <col min="3589" max="3589" width="6.28515625" style="1281" customWidth="1"/>
    <col min="3590" max="3590" width="5.42578125" style="1281" customWidth="1"/>
    <col min="3591" max="3591" width="6" style="1281" customWidth="1"/>
    <col min="3592" max="3592" width="6.28515625" style="1281" customWidth="1"/>
    <col min="3593" max="3593" width="5.7109375" style="1281" customWidth="1"/>
    <col min="3594" max="3837" width="11.42578125" style="1281"/>
    <col min="3838" max="3838" width="0" style="1281" hidden="1" customWidth="1"/>
    <col min="3839" max="3839" width="33.42578125" style="1281" customWidth="1"/>
    <col min="3840" max="3840" width="16.28515625" style="1281" customWidth="1"/>
    <col min="3841" max="3841" width="3.42578125" style="1281" customWidth="1"/>
    <col min="3842" max="3842" width="6.140625" style="1281" customWidth="1"/>
    <col min="3843" max="3843" width="5.85546875" style="1281" customWidth="1"/>
    <col min="3844" max="3844" width="6.7109375" style="1281" customWidth="1"/>
    <col min="3845" max="3845" width="6.28515625" style="1281" customWidth="1"/>
    <col min="3846" max="3846" width="5.42578125" style="1281" customWidth="1"/>
    <col min="3847" max="3847" width="6" style="1281" customWidth="1"/>
    <col min="3848" max="3848" width="6.28515625" style="1281" customWidth="1"/>
    <col min="3849" max="3849" width="5.7109375" style="1281" customWidth="1"/>
    <col min="3850" max="4093" width="11.42578125" style="1281"/>
    <col min="4094" max="4094" width="0" style="1281" hidden="1" customWidth="1"/>
    <col min="4095" max="4095" width="33.42578125" style="1281" customWidth="1"/>
    <col min="4096" max="4096" width="16.28515625" style="1281" customWidth="1"/>
    <col min="4097" max="4097" width="3.42578125" style="1281" customWidth="1"/>
    <col min="4098" max="4098" width="6.140625" style="1281" customWidth="1"/>
    <col min="4099" max="4099" width="5.85546875" style="1281" customWidth="1"/>
    <col min="4100" max="4100" width="6.7109375" style="1281" customWidth="1"/>
    <col min="4101" max="4101" width="6.28515625" style="1281" customWidth="1"/>
    <col min="4102" max="4102" width="5.42578125" style="1281" customWidth="1"/>
    <col min="4103" max="4103" width="6" style="1281" customWidth="1"/>
    <col min="4104" max="4104" width="6.28515625" style="1281" customWidth="1"/>
    <col min="4105" max="4105" width="5.7109375" style="1281" customWidth="1"/>
    <col min="4106" max="4349" width="11.42578125" style="1281"/>
    <col min="4350" max="4350" width="0" style="1281" hidden="1" customWidth="1"/>
    <col min="4351" max="4351" width="33.42578125" style="1281" customWidth="1"/>
    <col min="4352" max="4352" width="16.28515625" style="1281" customWidth="1"/>
    <col min="4353" max="4353" width="3.42578125" style="1281" customWidth="1"/>
    <col min="4354" max="4354" width="6.140625" style="1281" customWidth="1"/>
    <col min="4355" max="4355" width="5.85546875" style="1281" customWidth="1"/>
    <col min="4356" max="4356" width="6.7109375" style="1281" customWidth="1"/>
    <col min="4357" max="4357" width="6.28515625" style="1281" customWidth="1"/>
    <col min="4358" max="4358" width="5.42578125" style="1281" customWidth="1"/>
    <col min="4359" max="4359" width="6" style="1281" customWidth="1"/>
    <col min="4360" max="4360" width="6.28515625" style="1281" customWidth="1"/>
    <col min="4361" max="4361" width="5.7109375" style="1281" customWidth="1"/>
    <col min="4362" max="4605" width="11.42578125" style="1281"/>
    <col min="4606" max="4606" width="0" style="1281" hidden="1" customWidth="1"/>
    <col min="4607" max="4607" width="33.42578125" style="1281" customWidth="1"/>
    <col min="4608" max="4608" width="16.28515625" style="1281" customWidth="1"/>
    <col min="4609" max="4609" width="3.42578125" style="1281" customWidth="1"/>
    <col min="4610" max="4610" width="6.140625" style="1281" customWidth="1"/>
    <col min="4611" max="4611" width="5.85546875" style="1281" customWidth="1"/>
    <col min="4612" max="4612" width="6.7109375" style="1281" customWidth="1"/>
    <col min="4613" max="4613" width="6.28515625" style="1281" customWidth="1"/>
    <col min="4614" max="4614" width="5.42578125" style="1281" customWidth="1"/>
    <col min="4615" max="4615" width="6" style="1281" customWidth="1"/>
    <col min="4616" max="4616" width="6.28515625" style="1281" customWidth="1"/>
    <col min="4617" max="4617" width="5.7109375" style="1281" customWidth="1"/>
    <col min="4618" max="4861" width="11.42578125" style="1281"/>
    <col min="4862" max="4862" width="0" style="1281" hidden="1" customWidth="1"/>
    <col min="4863" max="4863" width="33.42578125" style="1281" customWidth="1"/>
    <col min="4864" max="4864" width="16.28515625" style="1281" customWidth="1"/>
    <col min="4865" max="4865" width="3.42578125" style="1281" customWidth="1"/>
    <col min="4866" max="4866" width="6.140625" style="1281" customWidth="1"/>
    <col min="4867" max="4867" width="5.85546875" style="1281" customWidth="1"/>
    <col min="4868" max="4868" width="6.7109375" style="1281" customWidth="1"/>
    <col min="4869" max="4869" width="6.28515625" style="1281" customWidth="1"/>
    <col min="4870" max="4870" width="5.42578125" style="1281" customWidth="1"/>
    <col min="4871" max="4871" width="6" style="1281" customWidth="1"/>
    <col min="4872" max="4872" width="6.28515625" style="1281" customWidth="1"/>
    <col min="4873" max="4873" width="5.7109375" style="1281" customWidth="1"/>
    <col min="4874" max="5117" width="11.42578125" style="1281"/>
    <col min="5118" max="5118" width="0" style="1281" hidden="1" customWidth="1"/>
    <col min="5119" max="5119" width="33.42578125" style="1281" customWidth="1"/>
    <col min="5120" max="5120" width="16.28515625" style="1281" customWidth="1"/>
    <col min="5121" max="5121" width="3.42578125" style="1281" customWidth="1"/>
    <col min="5122" max="5122" width="6.140625" style="1281" customWidth="1"/>
    <col min="5123" max="5123" width="5.85546875" style="1281" customWidth="1"/>
    <col min="5124" max="5124" width="6.7109375" style="1281" customWidth="1"/>
    <col min="5125" max="5125" width="6.28515625" style="1281" customWidth="1"/>
    <col min="5126" max="5126" width="5.42578125" style="1281" customWidth="1"/>
    <col min="5127" max="5127" width="6" style="1281" customWidth="1"/>
    <col min="5128" max="5128" width="6.28515625" style="1281" customWidth="1"/>
    <col min="5129" max="5129" width="5.7109375" style="1281" customWidth="1"/>
    <col min="5130" max="5373" width="11.42578125" style="1281"/>
    <col min="5374" max="5374" width="0" style="1281" hidden="1" customWidth="1"/>
    <col min="5375" max="5375" width="33.42578125" style="1281" customWidth="1"/>
    <col min="5376" max="5376" width="16.28515625" style="1281" customWidth="1"/>
    <col min="5377" max="5377" width="3.42578125" style="1281" customWidth="1"/>
    <col min="5378" max="5378" width="6.140625" style="1281" customWidth="1"/>
    <col min="5379" max="5379" width="5.85546875" style="1281" customWidth="1"/>
    <col min="5380" max="5380" width="6.7109375" style="1281" customWidth="1"/>
    <col min="5381" max="5381" width="6.28515625" style="1281" customWidth="1"/>
    <col min="5382" max="5382" width="5.42578125" style="1281" customWidth="1"/>
    <col min="5383" max="5383" width="6" style="1281" customWidth="1"/>
    <col min="5384" max="5384" width="6.28515625" style="1281" customWidth="1"/>
    <col min="5385" max="5385" width="5.7109375" style="1281" customWidth="1"/>
    <col min="5386" max="5629" width="11.42578125" style="1281"/>
    <col min="5630" max="5630" width="0" style="1281" hidden="1" customWidth="1"/>
    <col min="5631" max="5631" width="33.42578125" style="1281" customWidth="1"/>
    <col min="5632" max="5632" width="16.28515625" style="1281" customWidth="1"/>
    <col min="5633" max="5633" width="3.42578125" style="1281" customWidth="1"/>
    <col min="5634" max="5634" width="6.140625" style="1281" customWidth="1"/>
    <col min="5635" max="5635" width="5.85546875" style="1281" customWidth="1"/>
    <col min="5636" max="5636" width="6.7109375" style="1281" customWidth="1"/>
    <col min="5637" max="5637" width="6.28515625" style="1281" customWidth="1"/>
    <col min="5638" max="5638" width="5.42578125" style="1281" customWidth="1"/>
    <col min="5639" max="5639" width="6" style="1281" customWidth="1"/>
    <col min="5640" max="5640" width="6.28515625" style="1281" customWidth="1"/>
    <col min="5641" max="5641" width="5.7109375" style="1281" customWidth="1"/>
    <col min="5642" max="5885" width="11.42578125" style="1281"/>
    <col min="5886" max="5886" width="0" style="1281" hidden="1" customWidth="1"/>
    <col min="5887" max="5887" width="33.42578125" style="1281" customWidth="1"/>
    <col min="5888" max="5888" width="16.28515625" style="1281" customWidth="1"/>
    <col min="5889" max="5889" width="3.42578125" style="1281" customWidth="1"/>
    <col min="5890" max="5890" width="6.140625" style="1281" customWidth="1"/>
    <col min="5891" max="5891" width="5.85546875" style="1281" customWidth="1"/>
    <col min="5892" max="5892" width="6.7109375" style="1281" customWidth="1"/>
    <col min="5893" max="5893" width="6.28515625" style="1281" customWidth="1"/>
    <col min="5894" max="5894" width="5.42578125" style="1281" customWidth="1"/>
    <col min="5895" max="5895" width="6" style="1281" customWidth="1"/>
    <col min="5896" max="5896" width="6.28515625" style="1281" customWidth="1"/>
    <col min="5897" max="5897" width="5.7109375" style="1281" customWidth="1"/>
    <col min="5898" max="6141" width="11.42578125" style="1281"/>
    <col min="6142" max="6142" width="0" style="1281" hidden="1" customWidth="1"/>
    <col min="6143" max="6143" width="33.42578125" style="1281" customWidth="1"/>
    <col min="6144" max="6144" width="16.28515625" style="1281" customWidth="1"/>
    <col min="6145" max="6145" width="3.42578125" style="1281" customWidth="1"/>
    <col min="6146" max="6146" width="6.140625" style="1281" customWidth="1"/>
    <col min="6147" max="6147" width="5.85546875" style="1281" customWidth="1"/>
    <col min="6148" max="6148" width="6.7109375" style="1281" customWidth="1"/>
    <col min="6149" max="6149" width="6.28515625" style="1281" customWidth="1"/>
    <col min="6150" max="6150" width="5.42578125" style="1281" customWidth="1"/>
    <col min="6151" max="6151" width="6" style="1281" customWidth="1"/>
    <col min="6152" max="6152" width="6.28515625" style="1281" customWidth="1"/>
    <col min="6153" max="6153" width="5.7109375" style="1281" customWidth="1"/>
    <col min="6154" max="6397" width="11.42578125" style="1281"/>
    <col min="6398" max="6398" width="0" style="1281" hidden="1" customWidth="1"/>
    <col min="6399" max="6399" width="33.42578125" style="1281" customWidth="1"/>
    <col min="6400" max="6400" width="16.28515625" style="1281" customWidth="1"/>
    <col min="6401" max="6401" width="3.42578125" style="1281" customWidth="1"/>
    <col min="6402" max="6402" width="6.140625" style="1281" customWidth="1"/>
    <col min="6403" max="6403" width="5.85546875" style="1281" customWidth="1"/>
    <col min="6404" max="6404" width="6.7109375" style="1281" customWidth="1"/>
    <col min="6405" max="6405" width="6.28515625" style="1281" customWidth="1"/>
    <col min="6406" max="6406" width="5.42578125" style="1281" customWidth="1"/>
    <col min="6407" max="6407" width="6" style="1281" customWidth="1"/>
    <col min="6408" max="6408" width="6.28515625" style="1281" customWidth="1"/>
    <col min="6409" max="6409" width="5.7109375" style="1281" customWidth="1"/>
    <col min="6410" max="6653" width="11.42578125" style="1281"/>
    <col min="6654" max="6654" width="0" style="1281" hidden="1" customWidth="1"/>
    <col min="6655" max="6655" width="33.42578125" style="1281" customWidth="1"/>
    <col min="6656" max="6656" width="16.28515625" style="1281" customWidth="1"/>
    <col min="6657" max="6657" width="3.42578125" style="1281" customWidth="1"/>
    <col min="6658" max="6658" width="6.140625" style="1281" customWidth="1"/>
    <col min="6659" max="6659" width="5.85546875" style="1281" customWidth="1"/>
    <col min="6660" max="6660" width="6.7109375" style="1281" customWidth="1"/>
    <col min="6661" max="6661" width="6.28515625" style="1281" customWidth="1"/>
    <col min="6662" max="6662" width="5.42578125" style="1281" customWidth="1"/>
    <col min="6663" max="6663" width="6" style="1281" customWidth="1"/>
    <col min="6664" max="6664" width="6.28515625" style="1281" customWidth="1"/>
    <col min="6665" max="6665" width="5.7109375" style="1281" customWidth="1"/>
    <col min="6666" max="6909" width="11.42578125" style="1281"/>
    <col min="6910" max="6910" width="0" style="1281" hidden="1" customWidth="1"/>
    <col min="6911" max="6911" width="33.42578125" style="1281" customWidth="1"/>
    <col min="6912" max="6912" width="16.28515625" style="1281" customWidth="1"/>
    <col min="6913" max="6913" width="3.42578125" style="1281" customWidth="1"/>
    <col min="6914" max="6914" width="6.140625" style="1281" customWidth="1"/>
    <col min="6915" max="6915" width="5.85546875" style="1281" customWidth="1"/>
    <col min="6916" max="6916" width="6.7109375" style="1281" customWidth="1"/>
    <col min="6917" max="6917" width="6.28515625" style="1281" customWidth="1"/>
    <col min="6918" max="6918" width="5.42578125" style="1281" customWidth="1"/>
    <col min="6919" max="6919" width="6" style="1281" customWidth="1"/>
    <col min="6920" max="6920" width="6.28515625" style="1281" customWidth="1"/>
    <col min="6921" max="6921" width="5.7109375" style="1281" customWidth="1"/>
    <col min="6922" max="7165" width="11.42578125" style="1281"/>
    <col min="7166" max="7166" width="0" style="1281" hidden="1" customWidth="1"/>
    <col min="7167" max="7167" width="33.42578125" style="1281" customWidth="1"/>
    <col min="7168" max="7168" width="16.28515625" style="1281" customWidth="1"/>
    <col min="7169" max="7169" width="3.42578125" style="1281" customWidth="1"/>
    <col min="7170" max="7170" width="6.140625" style="1281" customWidth="1"/>
    <col min="7171" max="7171" width="5.85546875" style="1281" customWidth="1"/>
    <col min="7172" max="7172" width="6.7109375" style="1281" customWidth="1"/>
    <col min="7173" max="7173" width="6.28515625" style="1281" customWidth="1"/>
    <col min="7174" max="7174" width="5.42578125" style="1281" customWidth="1"/>
    <col min="7175" max="7175" width="6" style="1281" customWidth="1"/>
    <col min="7176" max="7176" width="6.28515625" style="1281" customWidth="1"/>
    <col min="7177" max="7177" width="5.7109375" style="1281" customWidth="1"/>
    <col min="7178" max="7421" width="11.42578125" style="1281"/>
    <col min="7422" max="7422" width="0" style="1281" hidden="1" customWidth="1"/>
    <col min="7423" max="7423" width="33.42578125" style="1281" customWidth="1"/>
    <col min="7424" max="7424" width="16.28515625" style="1281" customWidth="1"/>
    <col min="7425" max="7425" width="3.42578125" style="1281" customWidth="1"/>
    <col min="7426" max="7426" width="6.140625" style="1281" customWidth="1"/>
    <col min="7427" max="7427" width="5.85546875" style="1281" customWidth="1"/>
    <col min="7428" max="7428" width="6.7109375" style="1281" customWidth="1"/>
    <col min="7429" max="7429" width="6.28515625" style="1281" customWidth="1"/>
    <col min="7430" max="7430" width="5.42578125" style="1281" customWidth="1"/>
    <col min="7431" max="7431" width="6" style="1281" customWidth="1"/>
    <col min="7432" max="7432" width="6.28515625" style="1281" customWidth="1"/>
    <col min="7433" max="7433" width="5.7109375" style="1281" customWidth="1"/>
    <col min="7434" max="7677" width="11.42578125" style="1281"/>
    <col min="7678" max="7678" width="0" style="1281" hidden="1" customWidth="1"/>
    <col min="7679" max="7679" width="33.42578125" style="1281" customWidth="1"/>
    <col min="7680" max="7680" width="16.28515625" style="1281" customWidth="1"/>
    <col min="7681" max="7681" width="3.42578125" style="1281" customWidth="1"/>
    <col min="7682" max="7682" width="6.140625" style="1281" customWidth="1"/>
    <col min="7683" max="7683" width="5.85546875" style="1281" customWidth="1"/>
    <col min="7684" max="7684" width="6.7109375" style="1281" customWidth="1"/>
    <col min="7685" max="7685" width="6.28515625" style="1281" customWidth="1"/>
    <col min="7686" max="7686" width="5.42578125" style="1281" customWidth="1"/>
    <col min="7687" max="7687" width="6" style="1281" customWidth="1"/>
    <col min="7688" max="7688" width="6.28515625" style="1281" customWidth="1"/>
    <col min="7689" max="7689" width="5.7109375" style="1281" customWidth="1"/>
    <col min="7690" max="7933" width="11.42578125" style="1281"/>
    <col min="7934" max="7934" width="0" style="1281" hidden="1" customWidth="1"/>
    <col min="7935" max="7935" width="33.42578125" style="1281" customWidth="1"/>
    <col min="7936" max="7936" width="16.28515625" style="1281" customWidth="1"/>
    <col min="7937" max="7937" width="3.42578125" style="1281" customWidth="1"/>
    <col min="7938" max="7938" width="6.140625" style="1281" customWidth="1"/>
    <col min="7939" max="7939" width="5.85546875" style="1281" customWidth="1"/>
    <col min="7940" max="7940" width="6.7109375" style="1281" customWidth="1"/>
    <col min="7941" max="7941" width="6.28515625" style="1281" customWidth="1"/>
    <col min="7942" max="7942" width="5.42578125" style="1281" customWidth="1"/>
    <col min="7943" max="7943" width="6" style="1281" customWidth="1"/>
    <col min="7944" max="7944" width="6.28515625" style="1281" customWidth="1"/>
    <col min="7945" max="7945" width="5.7109375" style="1281" customWidth="1"/>
    <col min="7946" max="8189" width="11.42578125" style="1281"/>
    <col min="8190" max="8190" width="0" style="1281" hidden="1" customWidth="1"/>
    <col min="8191" max="8191" width="33.42578125" style="1281" customWidth="1"/>
    <col min="8192" max="8192" width="16.28515625" style="1281" customWidth="1"/>
    <col min="8193" max="8193" width="3.42578125" style="1281" customWidth="1"/>
    <col min="8194" max="8194" width="6.140625" style="1281" customWidth="1"/>
    <col min="8195" max="8195" width="5.85546875" style="1281" customWidth="1"/>
    <col min="8196" max="8196" width="6.7109375" style="1281" customWidth="1"/>
    <col min="8197" max="8197" width="6.28515625" style="1281" customWidth="1"/>
    <col min="8198" max="8198" width="5.42578125" style="1281" customWidth="1"/>
    <col min="8199" max="8199" width="6" style="1281" customWidth="1"/>
    <col min="8200" max="8200" width="6.28515625" style="1281" customWidth="1"/>
    <col min="8201" max="8201" width="5.7109375" style="1281" customWidth="1"/>
    <col min="8202" max="8445" width="11.42578125" style="1281"/>
    <col min="8446" max="8446" width="0" style="1281" hidden="1" customWidth="1"/>
    <col min="8447" max="8447" width="33.42578125" style="1281" customWidth="1"/>
    <col min="8448" max="8448" width="16.28515625" style="1281" customWidth="1"/>
    <col min="8449" max="8449" width="3.42578125" style="1281" customWidth="1"/>
    <col min="8450" max="8450" width="6.140625" style="1281" customWidth="1"/>
    <col min="8451" max="8451" width="5.85546875" style="1281" customWidth="1"/>
    <col min="8452" max="8452" width="6.7109375" style="1281" customWidth="1"/>
    <col min="8453" max="8453" width="6.28515625" style="1281" customWidth="1"/>
    <col min="8454" max="8454" width="5.42578125" style="1281" customWidth="1"/>
    <col min="8455" max="8455" width="6" style="1281" customWidth="1"/>
    <col min="8456" max="8456" width="6.28515625" style="1281" customWidth="1"/>
    <col min="8457" max="8457" width="5.7109375" style="1281" customWidth="1"/>
    <col min="8458" max="8701" width="11.42578125" style="1281"/>
    <col min="8702" max="8702" width="0" style="1281" hidden="1" customWidth="1"/>
    <col min="8703" max="8703" width="33.42578125" style="1281" customWidth="1"/>
    <col min="8704" max="8704" width="16.28515625" style="1281" customWidth="1"/>
    <col min="8705" max="8705" width="3.42578125" style="1281" customWidth="1"/>
    <col min="8706" max="8706" width="6.140625" style="1281" customWidth="1"/>
    <col min="8707" max="8707" width="5.85546875" style="1281" customWidth="1"/>
    <col min="8708" max="8708" width="6.7109375" style="1281" customWidth="1"/>
    <col min="8709" max="8709" width="6.28515625" style="1281" customWidth="1"/>
    <col min="8710" max="8710" width="5.42578125" style="1281" customWidth="1"/>
    <col min="8711" max="8711" width="6" style="1281" customWidth="1"/>
    <col min="8712" max="8712" width="6.28515625" style="1281" customWidth="1"/>
    <col min="8713" max="8713" width="5.7109375" style="1281" customWidth="1"/>
    <col min="8714" max="8957" width="11.42578125" style="1281"/>
    <col min="8958" max="8958" width="0" style="1281" hidden="1" customWidth="1"/>
    <col min="8959" max="8959" width="33.42578125" style="1281" customWidth="1"/>
    <col min="8960" max="8960" width="16.28515625" style="1281" customWidth="1"/>
    <col min="8961" max="8961" width="3.42578125" style="1281" customWidth="1"/>
    <col min="8962" max="8962" width="6.140625" style="1281" customWidth="1"/>
    <col min="8963" max="8963" width="5.85546875" style="1281" customWidth="1"/>
    <col min="8964" max="8964" width="6.7109375" style="1281" customWidth="1"/>
    <col min="8965" max="8965" width="6.28515625" style="1281" customWidth="1"/>
    <col min="8966" max="8966" width="5.42578125" style="1281" customWidth="1"/>
    <col min="8967" max="8967" width="6" style="1281" customWidth="1"/>
    <col min="8968" max="8968" width="6.28515625" style="1281" customWidth="1"/>
    <col min="8969" max="8969" width="5.7109375" style="1281" customWidth="1"/>
    <col min="8970" max="9213" width="11.42578125" style="1281"/>
    <col min="9214" max="9214" width="0" style="1281" hidden="1" customWidth="1"/>
    <col min="9215" max="9215" width="33.42578125" style="1281" customWidth="1"/>
    <col min="9216" max="9216" width="16.28515625" style="1281" customWidth="1"/>
    <col min="9217" max="9217" width="3.42578125" style="1281" customWidth="1"/>
    <col min="9218" max="9218" width="6.140625" style="1281" customWidth="1"/>
    <col min="9219" max="9219" width="5.85546875" style="1281" customWidth="1"/>
    <col min="9220" max="9220" width="6.7109375" style="1281" customWidth="1"/>
    <col min="9221" max="9221" width="6.28515625" style="1281" customWidth="1"/>
    <col min="9222" max="9222" width="5.42578125" style="1281" customWidth="1"/>
    <col min="9223" max="9223" width="6" style="1281" customWidth="1"/>
    <col min="9224" max="9224" width="6.28515625" style="1281" customWidth="1"/>
    <col min="9225" max="9225" width="5.7109375" style="1281" customWidth="1"/>
    <col min="9226" max="9469" width="11.42578125" style="1281"/>
    <col min="9470" max="9470" width="0" style="1281" hidden="1" customWidth="1"/>
    <col min="9471" max="9471" width="33.42578125" style="1281" customWidth="1"/>
    <col min="9472" max="9472" width="16.28515625" style="1281" customWidth="1"/>
    <col min="9473" max="9473" width="3.42578125" style="1281" customWidth="1"/>
    <col min="9474" max="9474" width="6.140625" style="1281" customWidth="1"/>
    <col min="9475" max="9475" width="5.85546875" style="1281" customWidth="1"/>
    <col min="9476" max="9476" width="6.7109375" style="1281" customWidth="1"/>
    <col min="9477" max="9477" width="6.28515625" style="1281" customWidth="1"/>
    <col min="9478" max="9478" width="5.42578125" style="1281" customWidth="1"/>
    <col min="9479" max="9479" width="6" style="1281" customWidth="1"/>
    <col min="9480" max="9480" width="6.28515625" style="1281" customWidth="1"/>
    <col min="9481" max="9481" width="5.7109375" style="1281" customWidth="1"/>
    <col min="9482" max="9725" width="11.42578125" style="1281"/>
    <col min="9726" max="9726" width="0" style="1281" hidden="1" customWidth="1"/>
    <col min="9727" max="9727" width="33.42578125" style="1281" customWidth="1"/>
    <col min="9728" max="9728" width="16.28515625" style="1281" customWidth="1"/>
    <col min="9729" max="9729" width="3.42578125" style="1281" customWidth="1"/>
    <col min="9730" max="9730" width="6.140625" style="1281" customWidth="1"/>
    <col min="9731" max="9731" width="5.85546875" style="1281" customWidth="1"/>
    <col min="9732" max="9732" width="6.7109375" style="1281" customWidth="1"/>
    <col min="9733" max="9733" width="6.28515625" style="1281" customWidth="1"/>
    <col min="9734" max="9734" width="5.42578125" style="1281" customWidth="1"/>
    <col min="9735" max="9735" width="6" style="1281" customWidth="1"/>
    <col min="9736" max="9736" width="6.28515625" style="1281" customWidth="1"/>
    <col min="9737" max="9737" width="5.7109375" style="1281" customWidth="1"/>
    <col min="9738" max="9981" width="11.42578125" style="1281"/>
    <col min="9982" max="9982" width="0" style="1281" hidden="1" customWidth="1"/>
    <col min="9983" max="9983" width="33.42578125" style="1281" customWidth="1"/>
    <col min="9984" max="9984" width="16.28515625" style="1281" customWidth="1"/>
    <col min="9985" max="9985" width="3.42578125" style="1281" customWidth="1"/>
    <col min="9986" max="9986" width="6.140625" style="1281" customWidth="1"/>
    <col min="9987" max="9987" width="5.85546875" style="1281" customWidth="1"/>
    <col min="9988" max="9988" width="6.7109375" style="1281" customWidth="1"/>
    <col min="9989" max="9989" width="6.28515625" style="1281" customWidth="1"/>
    <col min="9990" max="9990" width="5.42578125" style="1281" customWidth="1"/>
    <col min="9991" max="9991" width="6" style="1281" customWidth="1"/>
    <col min="9992" max="9992" width="6.28515625" style="1281" customWidth="1"/>
    <col min="9993" max="9993" width="5.7109375" style="1281" customWidth="1"/>
    <col min="9994" max="10237" width="11.42578125" style="1281"/>
    <col min="10238" max="10238" width="0" style="1281" hidden="1" customWidth="1"/>
    <col min="10239" max="10239" width="33.42578125" style="1281" customWidth="1"/>
    <col min="10240" max="10240" width="16.28515625" style="1281" customWidth="1"/>
    <col min="10241" max="10241" width="3.42578125" style="1281" customWidth="1"/>
    <col min="10242" max="10242" width="6.140625" style="1281" customWidth="1"/>
    <col min="10243" max="10243" width="5.85546875" style="1281" customWidth="1"/>
    <col min="10244" max="10244" width="6.7109375" style="1281" customWidth="1"/>
    <col min="10245" max="10245" width="6.28515625" style="1281" customWidth="1"/>
    <col min="10246" max="10246" width="5.42578125" style="1281" customWidth="1"/>
    <col min="10247" max="10247" width="6" style="1281" customWidth="1"/>
    <col min="10248" max="10248" width="6.28515625" style="1281" customWidth="1"/>
    <col min="10249" max="10249" width="5.7109375" style="1281" customWidth="1"/>
    <col min="10250" max="10493" width="11.42578125" style="1281"/>
    <col min="10494" max="10494" width="0" style="1281" hidden="1" customWidth="1"/>
    <col min="10495" max="10495" width="33.42578125" style="1281" customWidth="1"/>
    <col min="10496" max="10496" width="16.28515625" style="1281" customWidth="1"/>
    <col min="10497" max="10497" width="3.42578125" style="1281" customWidth="1"/>
    <col min="10498" max="10498" width="6.140625" style="1281" customWidth="1"/>
    <col min="10499" max="10499" width="5.85546875" style="1281" customWidth="1"/>
    <col min="10500" max="10500" width="6.7109375" style="1281" customWidth="1"/>
    <col min="10501" max="10501" width="6.28515625" style="1281" customWidth="1"/>
    <col min="10502" max="10502" width="5.42578125" style="1281" customWidth="1"/>
    <col min="10503" max="10503" width="6" style="1281" customWidth="1"/>
    <col min="10504" max="10504" width="6.28515625" style="1281" customWidth="1"/>
    <col min="10505" max="10505" width="5.7109375" style="1281" customWidth="1"/>
    <col min="10506" max="10749" width="11.42578125" style="1281"/>
    <col min="10750" max="10750" width="0" style="1281" hidden="1" customWidth="1"/>
    <col min="10751" max="10751" width="33.42578125" style="1281" customWidth="1"/>
    <col min="10752" max="10752" width="16.28515625" style="1281" customWidth="1"/>
    <col min="10753" max="10753" width="3.42578125" style="1281" customWidth="1"/>
    <col min="10754" max="10754" width="6.140625" style="1281" customWidth="1"/>
    <col min="10755" max="10755" width="5.85546875" style="1281" customWidth="1"/>
    <col min="10756" max="10756" width="6.7109375" style="1281" customWidth="1"/>
    <col min="10757" max="10757" width="6.28515625" style="1281" customWidth="1"/>
    <col min="10758" max="10758" width="5.42578125" style="1281" customWidth="1"/>
    <col min="10759" max="10759" width="6" style="1281" customWidth="1"/>
    <col min="10760" max="10760" width="6.28515625" style="1281" customWidth="1"/>
    <col min="10761" max="10761" width="5.7109375" style="1281" customWidth="1"/>
    <col min="10762" max="11005" width="11.42578125" style="1281"/>
    <col min="11006" max="11006" width="0" style="1281" hidden="1" customWidth="1"/>
    <col min="11007" max="11007" width="33.42578125" style="1281" customWidth="1"/>
    <col min="11008" max="11008" width="16.28515625" style="1281" customWidth="1"/>
    <col min="11009" max="11009" width="3.42578125" style="1281" customWidth="1"/>
    <col min="11010" max="11010" width="6.140625" style="1281" customWidth="1"/>
    <col min="11011" max="11011" width="5.85546875" style="1281" customWidth="1"/>
    <col min="11012" max="11012" width="6.7109375" style="1281" customWidth="1"/>
    <col min="11013" max="11013" width="6.28515625" style="1281" customWidth="1"/>
    <col min="11014" max="11014" width="5.42578125" style="1281" customWidth="1"/>
    <col min="11015" max="11015" width="6" style="1281" customWidth="1"/>
    <col min="11016" max="11016" width="6.28515625" style="1281" customWidth="1"/>
    <col min="11017" max="11017" width="5.7109375" style="1281" customWidth="1"/>
    <col min="11018" max="11261" width="11.42578125" style="1281"/>
    <col min="11262" max="11262" width="0" style="1281" hidden="1" customWidth="1"/>
    <col min="11263" max="11263" width="33.42578125" style="1281" customWidth="1"/>
    <col min="11264" max="11264" width="16.28515625" style="1281" customWidth="1"/>
    <col min="11265" max="11265" width="3.42578125" style="1281" customWidth="1"/>
    <col min="11266" max="11266" width="6.140625" style="1281" customWidth="1"/>
    <col min="11267" max="11267" width="5.85546875" style="1281" customWidth="1"/>
    <col min="11268" max="11268" width="6.7109375" style="1281" customWidth="1"/>
    <col min="11269" max="11269" width="6.28515625" style="1281" customWidth="1"/>
    <col min="11270" max="11270" width="5.42578125" style="1281" customWidth="1"/>
    <col min="11271" max="11271" width="6" style="1281" customWidth="1"/>
    <col min="11272" max="11272" width="6.28515625" style="1281" customWidth="1"/>
    <col min="11273" max="11273" width="5.7109375" style="1281" customWidth="1"/>
    <col min="11274" max="11517" width="11.42578125" style="1281"/>
    <col min="11518" max="11518" width="0" style="1281" hidden="1" customWidth="1"/>
    <col min="11519" max="11519" width="33.42578125" style="1281" customWidth="1"/>
    <col min="11520" max="11520" width="16.28515625" style="1281" customWidth="1"/>
    <col min="11521" max="11521" width="3.42578125" style="1281" customWidth="1"/>
    <col min="11522" max="11522" width="6.140625" style="1281" customWidth="1"/>
    <col min="11523" max="11523" width="5.85546875" style="1281" customWidth="1"/>
    <col min="11524" max="11524" width="6.7109375" style="1281" customWidth="1"/>
    <col min="11525" max="11525" width="6.28515625" style="1281" customWidth="1"/>
    <col min="11526" max="11526" width="5.42578125" style="1281" customWidth="1"/>
    <col min="11527" max="11527" width="6" style="1281" customWidth="1"/>
    <col min="11528" max="11528" width="6.28515625" style="1281" customWidth="1"/>
    <col min="11529" max="11529" width="5.7109375" style="1281" customWidth="1"/>
    <col min="11530" max="11773" width="11.42578125" style="1281"/>
    <col min="11774" max="11774" width="0" style="1281" hidden="1" customWidth="1"/>
    <col min="11775" max="11775" width="33.42578125" style="1281" customWidth="1"/>
    <col min="11776" max="11776" width="16.28515625" style="1281" customWidth="1"/>
    <col min="11777" max="11777" width="3.42578125" style="1281" customWidth="1"/>
    <col min="11778" max="11778" width="6.140625" style="1281" customWidth="1"/>
    <col min="11779" max="11779" width="5.85546875" style="1281" customWidth="1"/>
    <col min="11780" max="11780" width="6.7109375" style="1281" customWidth="1"/>
    <col min="11781" max="11781" width="6.28515625" style="1281" customWidth="1"/>
    <col min="11782" max="11782" width="5.42578125" style="1281" customWidth="1"/>
    <col min="11783" max="11783" width="6" style="1281" customWidth="1"/>
    <col min="11784" max="11784" width="6.28515625" style="1281" customWidth="1"/>
    <col min="11785" max="11785" width="5.7109375" style="1281" customWidth="1"/>
    <col min="11786" max="12029" width="11.42578125" style="1281"/>
    <col min="12030" max="12030" width="0" style="1281" hidden="1" customWidth="1"/>
    <col min="12031" max="12031" width="33.42578125" style="1281" customWidth="1"/>
    <col min="12032" max="12032" width="16.28515625" style="1281" customWidth="1"/>
    <col min="12033" max="12033" width="3.42578125" style="1281" customWidth="1"/>
    <col min="12034" max="12034" width="6.140625" style="1281" customWidth="1"/>
    <col min="12035" max="12035" width="5.85546875" style="1281" customWidth="1"/>
    <col min="12036" max="12036" width="6.7109375" style="1281" customWidth="1"/>
    <col min="12037" max="12037" width="6.28515625" style="1281" customWidth="1"/>
    <col min="12038" max="12038" width="5.42578125" style="1281" customWidth="1"/>
    <col min="12039" max="12039" width="6" style="1281" customWidth="1"/>
    <col min="12040" max="12040" width="6.28515625" style="1281" customWidth="1"/>
    <col min="12041" max="12041" width="5.7109375" style="1281" customWidth="1"/>
    <col min="12042" max="12285" width="11.42578125" style="1281"/>
    <col min="12286" max="12286" width="0" style="1281" hidden="1" customWidth="1"/>
    <col min="12287" max="12287" width="33.42578125" style="1281" customWidth="1"/>
    <col min="12288" max="12288" width="16.28515625" style="1281" customWidth="1"/>
    <col min="12289" max="12289" width="3.42578125" style="1281" customWidth="1"/>
    <col min="12290" max="12290" width="6.140625" style="1281" customWidth="1"/>
    <col min="12291" max="12291" width="5.85546875" style="1281" customWidth="1"/>
    <col min="12292" max="12292" width="6.7109375" style="1281" customWidth="1"/>
    <col min="12293" max="12293" width="6.28515625" style="1281" customWidth="1"/>
    <col min="12294" max="12294" width="5.42578125" style="1281" customWidth="1"/>
    <col min="12295" max="12295" width="6" style="1281" customWidth="1"/>
    <col min="12296" max="12296" width="6.28515625" style="1281" customWidth="1"/>
    <col min="12297" max="12297" width="5.7109375" style="1281" customWidth="1"/>
    <col min="12298" max="12541" width="11.42578125" style="1281"/>
    <col min="12542" max="12542" width="0" style="1281" hidden="1" customWidth="1"/>
    <col min="12543" max="12543" width="33.42578125" style="1281" customWidth="1"/>
    <col min="12544" max="12544" width="16.28515625" style="1281" customWidth="1"/>
    <col min="12545" max="12545" width="3.42578125" style="1281" customWidth="1"/>
    <col min="12546" max="12546" width="6.140625" style="1281" customWidth="1"/>
    <col min="12547" max="12547" width="5.85546875" style="1281" customWidth="1"/>
    <col min="12548" max="12548" width="6.7109375" style="1281" customWidth="1"/>
    <col min="12549" max="12549" width="6.28515625" style="1281" customWidth="1"/>
    <col min="12550" max="12550" width="5.42578125" style="1281" customWidth="1"/>
    <col min="12551" max="12551" width="6" style="1281" customWidth="1"/>
    <col min="12552" max="12552" width="6.28515625" style="1281" customWidth="1"/>
    <col min="12553" max="12553" width="5.7109375" style="1281" customWidth="1"/>
    <col min="12554" max="12797" width="11.42578125" style="1281"/>
    <col min="12798" max="12798" width="0" style="1281" hidden="1" customWidth="1"/>
    <col min="12799" max="12799" width="33.42578125" style="1281" customWidth="1"/>
    <col min="12800" max="12800" width="16.28515625" style="1281" customWidth="1"/>
    <col min="12801" max="12801" width="3.42578125" style="1281" customWidth="1"/>
    <col min="12802" max="12802" width="6.140625" style="1281" customWidth="1"/>
    <col min="12803" max="12803" width="5.85546875" style="1281" customWidth="1"/>
    <col min="12804" max="12804" width="6.7109375" style="1281" customWidth="1"/>
    <col min="12805" max="12805" width="6.28515625" style="1281" customWidth="1"/>
    <col min="12806" max="12806" width="5.42578125" style="1281" customWidth="1"/>
    <col min="12807" max="12807" width="6" style="1281" customWidth="1"/>
    <col min="12808" max="12808" width="6.28515625" style="1281" customWidth="1"/>
    <col min="12809" max="12809" width="5.7109375" style="1281" customWidth="1"/>
    <col min="12810" max="13053" width="11.42578125" style="1281"/>
    <col min="13054" max="13054" width="0" style="1281" hidden="1" customWidth="1"/>
    <col min="13055" max="13055" width="33.42578125" style="1281" customWidth="1"/>
    <col min="13056" max="13056" width="16.28515625" style="1281" customWidth="1"/>
    <col min="13057" max="13057" width="3.42578125" style="1281" customWidth="1"/>
    <col min="13058" max="13058" width="6.140625" style="1281" customWidth="1"/>
    <col min="13059" max="13059" width="5.85546875" style="1281" customWidth="1"/>
    <col min="13060" max="13060" width="6.7109375" style="1281" customWidth="1"/>
    <col min="13061" max="13061" width="6.28515625" style="1281" customWidth="1"/>
    <col min="13062" max="13062" width="5.42578125" style="1281" customWidth="1"/>
    <col min="13063" max="13063" width="6" style="1281" customWidth="1"/>
    <col min="13064" max="13064" width="6.28515625" style="1281" customWidth="1"/>
    <col min="13065" max="13065" width="5.7109375" style="1281" customWidth="1"/>
    <col min="13066" max="13309" width="11.42578125" style="1281"/>
    <col min="13310" max="13310" width="0" style="1281" hidden="1" customWidth="1"/>
    <col min="13311" max="13311" width="33.42578125" style="1281" customWidth="1"/>
    <col min="13312" max="13312" width="16.28515625" style="1281" customWidth="1"/>
    <col min="13313" max="13313" width="3.42578125" style="1281" customWidth="1"/>
    <col min="13314" max="13314" width="6.140625" style="1281" customWidth="1"/>
    <col min="13315" max="13315" width="5.85546875" style="1281" customWidth="1"/>
    <col min="13316" max="13316" width="6.7109375" style="1281" customWidth="1"/>
    <col min="13317" max="13317" width="6.28515625" style="1281" customWidth="1"/>
    <col min="13318" max="13318" width="5.42578125" style="1281" customWidth="1"/>
    <col min="13319" max="13319" width="6" style="1281" customWidth="1"/>
    <col min="13320" max="13320" width="6.28515625" style="1281" customWidth="1"/>
    <col min="13321" max="13321" width="5.7109375" style="1281" customWidth="1"/>
    <col min="13322" max="13565" width="11.42578125" style="1281"/>
    <col min="13566" max="13566" width="0" style="1281" hidden="1" customWidth="1"/>
    <col min="13567" max="13567" width="33.42578125" style="1281" customWidth="1"/>
    <col min="13568" max="13568" width="16.28515625" style="1281" customWidth="1"/>
    <col min="13569" max="13569" width="3.42578125" style="1281" customWidth="1"/>
    <col min="13570" max="13570" width="6.140625" style="1281" customWidth="1"/>
    <col min="13571" max="13571" width="5.85546875" style="1281" customWidth="1"/>
    <col min="13572" max="13572" width="6.7109375" style="1281" customWidth="1"/>
    <col min="13573" max="13573" width="6.28515625" style="1281" customWidth="1"/>
    <col min="13574" max="13574" width="5.42578125" style="1281" customWidth="1"/>
    <col min="13575" max="13575" width="6" style="1281" customWidth="1"/>
    <col min="13576" max="13576" width="6.28515625" style="1281" customWidth="1"/>
    <col min="13577" max="13577" width="5.7109375" style="1281" customWidth="1"/>
    <col min="13578" max="13821" width="11.42578125" style="1281"/>
    <col min="13822" max="13822" width="0" style="1281" hidden="1" customWidth="1"/>
    <col min="13823" max="13823" width="33.42578125" style="1281" customWidth="1"/>
    <col min="13824" max="13824" width="16.28515625" style="1281" customWidth="1"/>
    <col min="13825" max="13825" width="3.42578125" style="1281" customWidth="1"/>
    <col min="13826" max="13826" width="6.140625" style="1281" customWidth="1"/>
    <col min="13827" max="13827" width="5.85546875" style="1281" customWidth="1"/>
    <col min="13828" max="13828" width="6.7109375" style="1281" customWidth="1"/>
    <col min="13829" max="13829" width="6.28515625" style="1281" customWidth="1"/>
    <col min="13830" max="13830" width="5.42578125" style="1281" customWidth="1"/>
    <col min="13831" max="13831" width="6" style="1281" customWidth="1"/>
    <col min="13832" max="13832" width="6.28515625" style="1281" customWidth="1"/>
    <col min="13833" max="13833" width="5.7109375" style="1281" customWidth="1"/>
    <col min="13834" max="14077" width="11.42578125" style="1281"/>
    <col min="14078" max="14078" width="0" style="1281" hidden="1" customWidth="1"/>
    <col min="14079" max="14079" width="33.42578125" style="1281" customWidth="1"/>
    <col min="14080" max="14080" width="16.28515625" style="1281" customWidth="1"/>
    <col min="14081" max="14081" width="3.42578125" style="1281" customWidth="1"/>
    <col min="14082" max="14082" width="6.140625" style="1281" customWidth="1"/>
    <col min="14083" max="14083" width="5.85546875" style="1281" customWidth="1"/>
    <col min="14084" max="14084" width="6.7109375" style="1281" customWidth="1"/>
    <col min="14085" max="14085" width="6.28515625" style="1281" customWidth="1"/>
    <col min="14086" max="14086" width="5.42578125" style="1281" customWidth="1"/>
    <col min="14087" max="14087" width="6" style="1281" customWidth="1"/>
    <col min="14088" max="14088" width="6.28515625" style="1281" customWidth="1"/>
    <col min="14089" max="14089" width="5.7109375" style="1281" customWidth="1"/>
    <col min="14090" max="14333" width="11.42578125" style="1281"/>
    <col min="14334" max="14334" width="0" style="1281" hidden="1" customWidth="1"/>
    <col min="14335" max="14335" width="33.42578125" style="1281" customWidth="1"/>
    <col min="14336" max="14336" width="16.28515625" style="1281" customWidth="1"/>
    <col min="14337" max="14337" width="3.42578125" style="1281" customWidth="1"/>
    <col min="14338" max="14338" width="6.140625" style="1281" customWidth="1"/>
    <col min="14339" max="14339" width="5.85546875" style="1281" customWidth="1"/>
    <col min="14340" max="14340" width="6.7109375" style="1281" customWidth="1"/>
    <col min="14341" max="14341" width="6.28515625" style="1281" customWidth="1"/>
    <col min="14342" max="14342" width="5.42578125" style="1281" customWidth="1"/>
    <col min="14343" max="14343" width="6" style="1281" customWidth="1"/>
    <col min="14344" max="14344" width="6.28515625" style="1281" customWidth="1"/>
    <col min="14345" max="14345" width="5.7109375" style="1281" customWidth="1"/>
    <col min="14346" max="14589" width="11.42578125" style="1281"/>
    <col min="14590" max="14590" width="0" style="1281" hidden="1" customWidth="1"/>
    <col min="14591" max="14591" width="33.42578125" style="1281" customWidth="1"/>
    <col min="14592" max="14592" width="16.28515625" style="1281" customWidth="1"/>
    <col min="14593" max="14593" width="3.42578125" style="1281" customWidth="1"/>
    <col min="14594" max="14594" width="6.140625" style="1281" customWidth="1"/>
    <col min="14595" max="14595" width="5.85546875" style="1281" customWidth="1"/>
    <col min="14596" max="14596" width="6.7109375" style="1281" customWidth="1"/>
    <col min="14597" max="14597" width="6.28515625" style="1281" customWidth="1"/>
    <col min="14598" max="14598" width="5.42578125" style="1281" customWidth="1"/>
    <col min="14599" max="14599" width="6" style="1281" customWidth="1"/>
    <col min="14600" max="14600" width="6.28515625" style="1281" customWidth="1"/>
    <col min="14601" max="14601" width="5.7109375" style="1281" customWidth="1"/>
    <col min="14602" max="14845" width="11.42578125" style="1281"/>
    <col min="14846" max="14846" width="0" style="1281" hidden="1" customWidth="1"/>
    <col min="14847" max="14847" width="33.42578125" style="1281" customWidth="1"/>
    <col min="14848" max="14848" width="16.28515625" style="1281" customWidth="1"/>
    <col min="14849" max="14849" width="3.42578125" style="1281" customWidth="1"/>
    <col min="14850" max="14850" width="6.140625" style="1281" customWidth="1"/>
    <col min="14851" max="14851" width="5.85546875" style="1281" customWidth="1"/>
    <col min="14852" max="14852" width="6.7109375" style="1281" customWidth="1"/>
    <col min="14853" max="14853" width="6.28515625" style="1281" customWidth="1"/>
    <col min="14854" max="14854" width="5.42578125" style="1281" customWidth="1"/>
    <col min="14855" max="14855" width="6" style="1281" customWidth="1"/>
    <col min="14856" max="14856" width="6.28515625" style="1281" customWidth="1"/>
    <col min="14857" max="14857" width="5.7109375" style="1281" customWidth="1"/>
    <col min="14858" max="15101" width="11.42578125" style="1281"/>
    <col min="15102" max="15102" width="0" style="1281" hidden="1" customWidth="1"/>
    <col min="15103" max="15103" width="33.42578125" style="1281" customWidth="1"/>
    <col min="15104" max="15104" width="16.28515625" style="1281" customWidth="1"/>
    <col min="15105" max="15105" width="3.42578125" style="1281" customWidth="1"/>
    <col min="15106" max="15106" width="6.140625" style="1281" customWidth="1"/>
    <col min="15107" max="15107" width="5.85546875" style="1281" customWidth="1"/>
    <col min="15108" max="15108" width="6.7109375" style="1281" customWidth="1"/>
    <col min="15109" max="15109" width="6.28515625" style="1281" customWidth="1"/>
    <col min="15110" max="15110" width="5.42578125" style="1281" customWidth="1"/>
    <col min="15111" max="15111" width="6" style="1281" customWidth="1"/>
    <col min="15112" max="15112" width="6.28515625" style="1281" customWidth="1"/>
    <col min="15113" max="15113" width="5.7109375" style="1281" customWidth="1"/>
    <col min="15114" max="15357" width="11.42578125" style="1281"/>
    <col min="15358" max="15358" width="0" style="1281" hidden="1" customWidth="1"/>
    <col min="15359" max="15359" width="33.42578125" style="1281" customWidth="1"/>
    <col min="15360" max="15360" width="16.28515625" style="1281" customWidth="1"/>
    <col min="15361" max="15361" width="3.42578125" style="1281" customWidth="1"/>
    <col min="15362" max="15362" width="6.140625" style="1281" customWidth="1"/>
    <col min="15363" max="15363" width="5.85546875" style="1281" customWidth="1"/>
    <col min="15364" max="15364" width="6.7109375" style="1281" customWidth="1"/>
    <col min="15365" max="15365" width="6.28515625" style="1281" customWidth="1"/>
    <col min="15366" max="15366" width="5.42578125" style="1281" customWidth="1"/>
    <col min="15367" max="15367" width="6" style="1281" customWidth="1"/>
    <col min="15368" max="15368" width="6.28515625" style="1281" customWidth="1"/>
    <col min="15369" max="15369" width="5.7109375" style="1281" customWidth="1"/>
    <col min="15370" max="15613" width="11.42578125" style="1281"/>
    <col min="15614" max="15614" width="0" style="1281" hidden="1" customWidth="1"/>
    <col min="15615" max="15615" width="33.42578125" style="1281" customWidth="1"/>
    <col min="15616" max="15616" width="16.28515625" style="1281" customWidth="1"/>
    <col min="15617" max="15617" width="3.42578125" style="1281" customWidth="1"/>
    <col min="15618" max="15618" width="6.140625" style="1281" customWidth="1"/>
    <col min="15619" max="15619" width="5.85546875" style="1281" customWidth="1"/>
    <col min="15620" max="15620" width="6.7109375" style="1281" customWidth="1"/>
    <col min="15621" max="15621" width="6.28515625" style="1281" customWidth="1"/>
    <col min="15622" max="15622" width="5.42578125" style="1281" customWidth="1"/>
    <col min="15623" max="15623" width="6" style="1281" customWidth="1"/>
    <col min="15624" max="15624" width="6.28515625" style="1281" customWidth="1"/>
    <col min="15625" max="15625" width="5.7109375" style="1281" customWidth="1"/>
    <col min="15626" max="15869" width="11.42578125" style="1281"/>
    <col min="15870" max="15870" width="0" style="1281" hidden="1" customWidth="1"/>
    <col min="15871" max="15871" width="33.42578125" style="1281" customWidth="1"/>
    <col min="15872" max="15872" width="16.28515625" style="1281" customWidth="1"/>
    <col min="15873" max="15873" width="3.42578125" style="1281" customWidth="1"/>
    <col min="15874" max="15874" width="6.140625" style="1281" customWidth="1"/>
    <col min="15875" max="15875" width="5.85546875" style="1281" customWidth="1"/>
    <col min="15876" max="15876" width="6.7109375" style="1281" customWidth="1"/>
    <col min="15877" max="15877" width="6.28515625" style="1281" customWidth="1"/>
    <col min="15878" max="15878" width="5.42578125" style="1281" customWidth="1"/>
    <col min="15879" max="15879" width="6" style="1281" customWidth="1"/>
    <col min="15880" max="15880" width="6.28515625" style="1281" customWidth="1"/>
    <col min="15881" max="15881" width="5.7109375" style="1281" customWidth="1"/>
    <col min="15882" max="16125" width="11.42578125" style="1281"/>
    <col min="16126" max="16126" width="0" style="1281" hidden="1" customWidth="1"/>
    <col min="16127" max="16127" width="33.42578125" style="1281" customWidth="1"/>
    <col min="16128" max="16128" width="16.28515625" style="1281" customWidth="1"/>
    <col min="16129" max="16129" width="3.42578125" style="1281" customWidth="1"/>
    <col min="16130" max="16130" width="6.140625" style="1281" customWidth="1"/>
    <col min="16131" max="16131" width="5.85546875" style="1281" customWidth="1"/>
    <col min="16132" max="16132" width="6.7109375" style="1281" customWidth="1"/>
    <col min="16133" max="16133" width="6.28515625" style="1281" customWidth="1"/>
    <col min="16134" max="16134" width="5.42578125" style="1281" customWidth="1"/>
    <col min="16135" max="16135" width="6" style="1281" customWidth="1"/>
    <col min="16136" max="16136" width="6.28515625" style="1281" customWidth="1"/>
    <col min="16137" max="16137" width="5.7109375" style="1281" customWidth="1"/>
    <col min="16138" max="16384" width="11.42578125" style="1281"/>
  </cols>
  <sheetData>
    <row r="1" spans="1:27" ht="15"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1975</v>
      </c>
      <c r="C2" s="3629"/>
      <c r="D2" s="3629"/>
      <c r="E2" s="3629"/>
      <c r="F2" s="3629"/>
      <c r="G2" s="3629"/>
      <c r="H2" s="2844" t="s">
        <v>1444</v>
      </c>
      <c r="I2" s="2845">
        <f>X2</f>
        <v>10</v>
      </c>
      <c r="J2" s="2841"/>
      <c r="K2" s="2843" t="s">
        <v>2873</v>
      </c>
      <c r="L2" s="2842">
        <v>5</v>
      </c>
      <c r="M2" s="1519">
        <v>42.75</v>
      </c>
      <c r="P2" s="1520"/>
      <c r="Q2" s="3630" t="s">
        <v>1975</v>
      </c>
      <c r="R2" s="3631"/>
      <c r="S2" s="3631"/>
      <c r="T2" s="3631"/>
      <c r="U2" s="3631"/>
      <c r="V2" s="3632"/>
      <c r="W2" s="1521" t="s">
        <v>1444</v>
      </c>
      <c r="X2" s="1522">
        <v>10</v>
      </c>
      <c r="Y2" s="1523"/>
      <c r="Z2" s="1523"/>
      <c r="AA2" s="1524"/>
    </row>
    <row r="3" spans="1:27" ht="24.2" customHeight="1">
      <c r="A3" s="1533"/>
      <c r="B3" s="1526" t="s">
        <v>1391</v>
      </c>
      <c r="C3" s="1527"/>
      <c r="D3" s="1527"/>
      <c r="E3" s="1528"/>
      <c r="F3" s="1529" t="s">
        <v>1445</v>
      </c>
      <c r="G3" s="1530"/>
      <c r="H3" s="1531"/>
      <c r="I3" s="1531"/>
      <c r="J3" s="1530"/>
      <c r="K3" s="1530"/>
      <c r="L3" s="1532"/>
      <c r="M3" s="1519">
        <v>24.75</v>
      </c>
      <c r="P3" s="1533"/>
      <c r="Q3" s="1534" t="s">
        <v>1391</v>
      </c>
      <c r="R3" s="1527"/>
      <c r="S3" s="1527"/>
      <c r="T3" s="1528"/>
      <c r="U3" s="1535" t="s">
        <v>1445</v>
      </c>
      <c r="V3" s="1536"/>
      <c r="W3" s="1192"/>
      <c r="X3" s="1192"/>
      <c r="Y3" s="1536"/>
      <c r="Z3" s="1536"/>
      <c r="AA3" s="1537"/>
    </row>
    <row r="4" spans="1:27" ht="88.7" customHeight="1">
      <c r="A4" s="1520"/>
      <c r="B4" s="3633"/>
      <c r="C4" s="3633"/>
      <c r="D4" s="3633"/>
      <c r="E4" s="3634"/>
      <c r="F4" s="1539"/>
      <c r="G4" s="1540"/>
      <c r="H4" s="1540"/>
      <c r="I4" s="1540"/>
      <c r="J4" s="1531"/>
      <c r="K4" s="1531"/>
      <c r="L4" s="1532"/>
      <c r="M4" s="1519">
        <v>112.5</v>
      </c>
      <c r="P4" s="1520"/>
      <c r="Q4" s="3635"/>
      <c r="R4" s="3633"/>
      <c r="S4" s="3633"/>
      <c r="T4" s="3634"/>
      <c r="U4" s="1520"/>
      <c r="V4" s="1426"/>
      <c r="W4" s="1426"/>
      <c r="X4" s="1426"/>
      <c r="Y4" s="1192"/>
      <c r="Z4" s="1192"/>
      <c r="AA4" s="1537"/>
    </row>
    <row r="5" spans="1:27" ht="25.5" customHeight="1">
      <c r="A5" s="1667"/>
      <c r="B5" s="1668" t="s">
        <v>151</v>
      </c>
      <c r="C5" s="1543" t="s">
        <v>1446</v>
      </c>
      <c r="D5" s="1544"/>
      <c r="E5" s="1545" t="s">
        <v>1447</v>
      </c>
      <c r="F5" s="1546"/>
      <c r="G5" s="1546"/>
      <c r="H5" s="1546"/>
      <c r="I5" s="1547"/>
      <c r="J5" s="1543" t="s">
        <v>1448</v>
      </c>
      <c r="K5" s="1548"/>
      <c r="L5" s="1549"/>
      <c r="M5" s="1519">
        <v>63.75</v>
      </c>
      <c r="N5" s="1192"/>
      <c r="P5" s="1550"/>
      <c r="Q5" s="1551" t="s">
        <v>151</v>
      </c>
      <c r="R5" s="1552" t="s">
        <v>1446</v>
      </c>
      <c r="S5" s="1553"/>
      <c r="T5" s="1554" t="s">
        <v>1447</v>
      </c>
      <c r="U5" s="1555"/>
      <c r="V5" s="1555"/>
      <c r="W5" s="1555"/>
      <c r="X5" s="1556"/>
      <c r="Y5" s="1552" t="s">
        <v>1448</v>
      </c>
      <c r="Z5" s="1557"/>
      <c r="AA5" s="1558"/>
    </row>
    <row r="6" spans="1:27" ht="57.75">
      <c r="A6" s="1614"/>
      <c r="B6" s="1669"/>
      <c r="C6" s="1560" t="str">
        <f t="shared" ref="C6:I8" si="0">R6</f>
        <v>NATURE</v>
      </c>
      <c r="D6" s="1561" t="str">
        <f t="shared" si="0"/>
        <v>unite</v>
      </c>
      <c r="E6" s="1561" t="str">
        <f t="shared" si="0"/>
        <v>DORAYAKI</v>
      </c>
      <c r="F6" s="1561" t="str">
        <f t="shared" si="0"/>
        <v>SORBET YUZU</v>
      </c>
      <c r="G6" s="1561" t="str">
        <f t="shared" si="0"/>
        <v>Fruits flambés</v>
      </c>
      <c r="H6" s="1561">
        <f t="shared" si="0"/>
        <v>0</v>
      </c>
      <c r="I6" s="1562" t="str">
        <f t="shared" si="0"/>
        <v>finitio</v>
      </c>
      <c r="J6" s="1563" t="s">
        <v>110</v>
      </c>
      <c r="K6" s="1564" t="s">
        <v>117</v>
      </c>
      <c r="L6" s="1565" t="s">
        <v>118</v>
      </c>
      <c r="M6" s="1519">
        <v>57.75</v>
      </c>
      <c r="P6" s="1533"/>
      <c r="Q6" s="1566"/>
      <c r="R6" s="1567" t="s">
        <v>1449</v>
      </c>
      <c r="S6" s="1568" t="s">
        <v>1450</v>
      </c>
      <c r="T6" s="1569" t="s">
        <v>1976</v>
      </c>
      <c r="U6" s="1569" t="s">
        <v>1977</v>
      </c>
      <c r="V6" s="1569" t="s">
        <v>1978</v>
      </c>
      <c r="W6" s="1570"/>
      <c r="X6" s="1571" t="s">
        <v>1455</v>
      </c>
      <c r="Y6" s="1572" t="s">
        <v>110</v>
      </c>
      <c r="Z6" s="1572" t="s">
        <v>117</v>
      </c>
      <c r="AA6" s="1573" t="s">
        <v>118</v>
      </c>
    </row>
    <row r="7" spans="1:27" ht="26.25">
      <c r="A7" s="1670"/>
      <c r="B7" s="1671"/>
      <c r="C7" s="1576" t="str">
        <f t="shared" si="0"/>
        <v>Viandes/Poissons</v>
      </c>
      <c r="D7" s="2855" t="str">
        <f t="shared" si="0"/>
        <v xml:space="preserve"> </v>
      </c>
      <c r="E7" s="2855">
        <f t="shared" ref="E7:I8" si="1">IF(ISTEXT(T7),T7,(T7/$I$2)*$L$2)</f>
        <v>0</v>
      </c>
      <c r="F7" s="2855">
        <f t="shared" si="1"/>
        <v>0</v>
      </c>
      <c r="G7" s="2855">
        <f t="shared" si="1"/>
        <v>0</v>
      </c>
      <c r="H7" s="2855">
        <f t="shared" si="1"/>
        <v>0</v>
      </c>
      <c r="I7" s="2867">
        <f t="shared" si="1"/>
        <v>0</v>
      </c>
      <c r="J7" s="1577"/>
      <c r="K7" s="1579"/>
      <c r="L7" s="1580"/>
      <c r="M7" s="1519">
        <v>25.5</v>
      </c>
      <c r="P7" s="1581"/>
      <c r="Q7" s="1582"/>
      <c r="R7" s="1583" t="s">
        <v>120</v>
      </c>
      <c r="S7" s="1584" t="s">
        <v>1456</v>
      </c>
      <c r="T7" s="1585"/>
      <c r="U7" s="1585"/>
      <c r="V7" s="1585"/>
      <c r="W7" s="1585"/>
      <c r="X7" s="1585"/>
      <c r="Y7" s="1585"/>
      <c r="Z7" s="1585"/>
      <c r="AA7" s="1586">
        <f t="shared" ref="AA7:AA46" si="2">IF(ISBLANK(Z7),0,Z7*Y7)</f>
        <v>0</v>
      </c>
    </row>
    <row r="8" spans="1:27" ht="23.25">
      <c r="A8" s="1670"/>
      <c r="B8" s="1671"/>
      <c r="C8" s="2853" t="str">
        <f t="shared" si="0"/>
        <v xml:space="preserve"> </v>
      </c>
      <c r="D8" s="2851" t="str">
        <f t="shared" si="0"/>
        <v xml:space="preserve"> </v>
      </c>
      <c r="E8" s="2852">
        <f t="shared" si="1"/>
        <v>0</v>
      </c>
      <c r="F8" s="2852" t="str">
        <f t="shared" si="1"/>
        <v xml:space="preserve"> </v>
      </c>
      <c r="G8" s="2852">
        <f t="shared" si="1"/>
        <v>0</v>
      </c>
      <c r="H8" s="2852">
        <f t="shared" si="1"/>
        <v>0</v>
      </c>
      <c r="I8" s="2852">
        <f t="shared" si="1"/>
        <v>0</v>
      </c>
      <c r="J8" s="2857" t="str">
        <f>IF(SUM(E8:I8)=0,"",SUM(E8:I8))</f>
        <v/>
      </c>
      <c r="K8" s="1590"/>
      <c r="L8" s="1591" t="str">
        <f t="shared" ref="L8:L46" si="3">IF(ISBLANK(K8),"",K8*J8)</f>
        <v/>
      </c>
      <c r="M8" s="1519">
        <v>25.5</v>
      </c>
      <c r="P8" s="1581"/>
      <c r="Q8" s="1582"/>
      <c r="R8" s="1592" t="s">
        <v>1456</v>
      </c>
      <c r="S8" s="1550" t="s">
        <v>1456</v>
      </c>
      <c r="T8" s="1592"/>
      <c r="U8" s="1592" t="s">
        <v>1456</v>
      </c>
      <c r="V8" s="1592"/>
      <c r="W8" s="1592"/>
      <c r="X8" s="1592"/>
      <c r="Y8" s="1592" t="str">
        <f>IF(SUM(T8:X8)=0,"",SUM(T8:X8))</f>
        <v/>
      </c>
      <c r="Z8" s="1592"/>
      <c r="AA8" s="1593">
        <f t="shared" si="2"/>
        <v>0</v>
      </c>
    </row>
    <row r="9" spans="1:27" ht="23.25">
      <c r="A9" s="1670"/>
      <c r="B9" s="1671"/>
      <c r="C9" s="2853" t="str">
        <f t="shared" ref="C9:C13" si="4">R9</f>
        <v xml:space="preserve"> </v>
      </c>
      <c r="D9" s="2851">
        <f t="shared" ref="D9:D13" si="5">S9</f>
        <v>0</v>
      </c>
      <c r="E9" s="2852">
        <f t="shared" ref="E9:E13" si="6">IF(ISTEXT(T9),T9,(T9/$I$2)*$L$2)</f>
        <v>0</v>
      </c>
      <c r="F9" s="2852" t="str">
        <f t="shared" ref="F9:F13" si="7">IF(ISTEXT(U9),U9,(U9/$I$2)*$L$2)</f>
        <v xml:space="preserve"> </v>
      </c>
      <c r="G9" s="2852">
        <f t="shared" ref="G9:G13" si="8">IF(ISTEXT(V9),V9,(V9/$I$2)*$L$2)</f>
        <v>0</v>
      </c>
      <c r="H9" s="2852">
        <f t="shared" ref="H9:H13" si="9">IF(ISTEXT(W9),W9,(W9/$I$2)*$L$2)</f>
        <v>0</v>
      </c>
      <c r="I9" s="2852">
        <f t="shared" ref="I9:I13" si="10">IF(ISTEXT(X9),X9,(X9/$I$2)*$L$2)</f>
        <v>0</v>
      </c>
      <c r="J9" s="2857" t="str">
        <f t="shared" ref="J9:J47" si="11">IF(SUM(E9:I9)=0,"",SUM(E9:I9))</f>
        <v/>
      </c>
      <c r="K9" s="1590"/>
      <c r="L9" s="1591" t="str">
        <f t="shared" si="3"/>
        <v/>
      </c>
      <c r="M9" s="1519">
        <v>25.5</v>
      </c>
      <c r="P9" s="1581"/>
      <c r="Q9" s="1582"/>
      <c r="R9" s="1592" t="s">
        <v>1456</v>
      </c>
      <c r="S9" s="1550"/>
      <c r="T9" s="1592"/>
      <c r="U9" s="1592" t="s">
        <v>1456</v>
      </c>
      <c r="V9" s="1592"/>
      <c r="W9" s="1592"/>
      <c r="X9" s="1592"/>
      <c r="Y9" s="1592" t="str">
        <f t="shared" ref="Y9" si="12">IF(SUM(T9:X9)=0,"",SUM(T9:X9))</f>
        <v/>
      </c>
      <c r="Z9" s="1592"/>
      <c r="AA9" s="1593">
        <f t="shared" si="2"/>
        <v>0</v>
      </c>
    </row>
    <row r="10" spans="1:27" ht="23.25">
      <c r="A10" s="1670"/>
      <c r="B10" s="1671"/>
      <c r="C10" s="2853" t="str">
        <f t="shared" si="4"/>
        <v xml:space="preserve"> </v>
      </c>
      <c r="D10" s="2851">
        <f t="shared" si="5"/>
        <v>0</v>
      </c>
      <c r="E10" s="2852">
        <f t="shared" si="6"/>
        <v>0</v>
      </c>
      <c r="F10" s="2852" t="str">
        <f t="shared" si="7"/>
        <v xml:space="preserve"> </v>
      </c>
      <c r="G10" s="2852">
        <f t="shared" si="8"/>
        <v>0</v>
      </c>
      <c r="H10" s="2852">
        <f t="shared" si="9"/>
        <v>0</v>
      </c>
      <c r="I10" s="2852">
        <f t="shared" si="10"/>
        <v>0</v>
      </c>
      <c r="J10" s="2857" t="str">
        <f>IF(SUM(E10:I10)=0,"",SUM(E10:I10))</f>
        <v/>
      </c>
      <c r="K10" s="1590"/>
      <c r="L10" s="1591" t="str">
        <f t="shared" si="3"/>
        <v/>
      </c>
      <c r="M10" s="1519">
        <v>25.5</v>
      </c>
      <c r="P10" s="1581"/>
      <c r="Q10" s="1582"/>
      <c r="R10" s="1592" t="s">
        <v>1456</v>
      </c>
      <c r="S10" s="1550"/>
      <c r="T10" s="1592"/>
      <c r="U10" s="1592" t="s">
        <v>1456</v>
      </c>
      <c r="V10" s="1592"/>
      <c r="W10" s="1592"/>
      <c r="X10" s="1592"/>
      <c r="Y10" s="1592" t="str">
        <f>IF(SUM(T10:X10)=0,"",SUM(T10:X10))</f>
        <v/>
      </c>
      <c r="Z10" s="1592"/>
      <c r="AA10" s="1593">
        <f t="shared" si="2"/>
        <v>0</v>
      </c>
    </row>
    <row r="11" spans="1:27" ht="23.25">
      <c r="A11" s="1670"/>
      <c r="B11" s="1671"/>
      <c r="C11" s="2853" t="str">
        <f t="shared" si="4"/>
        <v xml:space="preserve"> </v>
      </c>
      <c r="D11" s="2851">
        <f t="shared" si="5"/>
        <v>0</v>
      </c>
      <c r="E11" s="2852">
        <f t="shared" si="6"/>
        <v>0</v>
      </c>
      <c r="F11" s="2852" t="str">
        <f t="shared" si="7"/>
        <v xml:space="preserve"> </v>
      </c>
      <c r="G11" s="2852">
        <f t="shared" si="8"/>
        <v>0</v>
      </c>
      <c r="H11" s="2852">
        <f t="shared" si="9"/>
        <v>0</v>
      </c>
      <c r="I11" s="2852">
        <f t="shared" si="10"/>
        <v>0</v>
      </c>
      <c r="J11" s="2857" t="str">
        <f t="shared" si="11"/>
        <v/>
      </c>
      <c r="K11" s="1590"/>
      <c r="L11" s="1591" t="str">
        <f t="shared" si="3"/>
        <v/>
      </c>
      <c r="M11" s="1519">
        <v>25.5</v>
      </c>
      <c r="P11" s="1581"/>
      <c r="Q11" s="1582"/>
      <c r="R11" s="1594" t="s">
        <v>1456</v>
      </c>
      <c r="S11" s="1550"/>
      <c r="T11" s="1592"/>
      <c r="U11" s="1592" t="s">
        <v>1456</v>
      </c>
      <c r="V11" s="1592"/>
      <c r="W11" s="1592"/>
      <c r="X11" s="1592"/>
      <c r="Y11" s="1592" t="str">
        <f t="shared" ref="Y11:Y24" si="13">IF(SUM(T11:X11)=0,"",SUM(T11:X11))</f>
        <v/>
      </c>
      <c r="Z11" s="1592"/>
      <c r="AA11" s="1593">
        <f t="shared" si="2"/>
        <v>0</v>
      </c>
    </row>
    <row r="12" spans="1:27" ht="26.25">
      <c r="A12" s="1670"/>
      <c r="B12" s="1671"/>
      <c r="C12" s="1576" t="str">
        <f t="shared" si="4"/>
        <v>LEGUMERIE</v>
      </c>
      <c r="D12" s="2855" t="str">
        <f t="shared" si="5"/>
        <v xml:space="preserve"> </v>
      </c>
      <c r="E12" s="2855">
        <f t="shared" si="6"/>
        <v>0</v>
      </c>
      <c r="F12" s="2855" t="str">
        <f t="shared" si="7"/>
        <v xml:space="preserve"> </v>
      </c>
      <c r="G12" s="2855">
        <f t="shared" si="8"/>
        <v>0</v>
      </c>
      <c r="H12" s="2855">
        <f t="shared" si="9"/>
        <v>0</v>
      </c>
      <c r="I12" s="2867">
        <f t="shared" si="10"/>
        <v>0</v>
      </c>
      <c r="J12" s="1577" t="str">
        <f t="shared" si="11"/>
        <v/>
      </c>
      <c r="K12" s="1579"/>
      <c r="L12" s="1580" t="str">
        <f t="shared" si="3"/>
        <v/>
      </c>
      <c r="M12" s="1519">
        <v>25.5</v>
      </c>
      <c r="P12" s="1581"/>
      <c r="Q12" s="1582"/>
      <c r="R12" s="1598" t="s">
        <v>1460</v>
      </c>
      <c r="S12" s="1584" t="s">
        <v>1456</v>
      </c>
      <c r="T12" s="1599"/>
      <c r="U12" s="1599" t="s">
        <v>1456</v>
      </c>
      <c r="V12" s="1599"/>
      <c r="W12" s="1599"/>
      <c r="X12" s="1599"/>
      <c r="Y12" s="1599" t="str">
        <f t="shared" si="13"/>
        <v/>
      </c>
      <c r="Z12" s="1599"/>
      <c r="AA12" s="1600">
        <f t="shared" si="2"/>
        <v>0</v>
      </c>
    </row>
    <row r="13" spans="1:27" ht="23.25">
      <c r="A13" s="1670"/>
      <c r="B13" s="1671"/>
      <c r="C13" s="2853" t="str">
        <f t="shared" si="4"/>
        <v>Fraises</v>
      </c>
      <c r="D13" s="2851" t="str">
        <f t="shared" si="5"/>
        <v>Kg</v>
      </c>
      <c r="E13" s="2852">
        <f t="shared" si="6"/>
        <v>0.1</v>
      </c>
      <c r="F13" s="2852">
        <f t="shared" si="7"/>
        <v>0</v>
      </c>
      <c r="G13" s="2852">
        <f t="shared" si="8"/>
        <v>0</v>
      </c>
      <c r="H13" s="2852">
        <f t="shared" si="9"/>
        <v>0</v>
      </c>
      <c r="I13" s="2852">
        <f t="shared" si="10"/>
        <v>0</v>
      </c>
      <c r="J13" s="2857">
        <f t="shared" si="11"/>
        <v>0.1</v>
      </c>
      <c r="K13" s="1590"/>
      <c r="L13" s="1591" t="str">
        <f t="shared" si="3"/>
        <v/>
      </c>
      <c r="M13" s="1519">
        <v>25.5</v>
      </c>
      <c r="P13" s="1581"/>
      <c r="Q13" s="1582"/>
      <c r="R13" s="1592" t="s">
        <v>1979</v>
      </c>
      <c r="S13" s="1550" t="s">
        <v>122</v>
      </c>
      <c r="T13" s="1592">
        <v>0.2</v>
      </c>
      <c r="U13" s="1592"/>
      <c r="V13" s="1592"/>
      <c r="W13" s="1592"/>
      <c r="X13" s="1592"/>
      <c r="Y13" s="1592">
        <f t="shared" si="13"/>
        <v>0.2</v>
      </c>
      <c r="Z13" s="1592"/>
      <c r="AA13" s="1593">
        <f t="shared" si="2"/>
        <v>0</v>
      </c>
    </row>
    <row r="14" spans="1:27" ht="23.25">
      <c r="A14" s="1670"/>
      <c r="B14" s="1672"/>
      <c r="C14" s="2853" t="str">
        <f t="shared" ref="C14:C33" si="14">R14</f>
        <v>Litchees</v>
      </c>
      <c r="D14" s="2851" t="str">
        <f t="shared" ref="D14:D33" si="15">S14</f>
        <v>kg</v>
      </c>
      <c r="E14" s="2852">
        <f t="shared" ref="E14:E33" si="16">IF(ISTEXT(T14),T14,(T14/$I$2)*$L$2)</f>
        <v>0</v>
      </c>
      <c r="F14" s="2852">
        <f t="shared" ref="F14:F33" si="17">IF(ISTEXT(U14),U14,(U14/$I$2)*$L$2)</f>
        <v>0</v>
      </c>
      <c r="G14" s="2852">
        <f t="shared" ref="G14:G33" si="18">IF(ISTEXT(V14),V14,(V14/$I$2)*$L$2)</f>
        <v>0.125</v>
      </c>
      <c r="H14" s="2852">
        <f t="shared" ref="H14:H33" si="19">IF(ISTEXT(W14),W14,(W14/$I$2)*$L$2)</f>
        <v>0</v>
      </c>
      <c r="I14" s="2852">
        <f t="shared" ref="I14:I33" si="20">IF(ISTEXT(X14),X14,(X14/$I$2)*$L$2)</f>
        <v>0</v>
      </c>
      <c r="J14" s="2857">
        <f t="shared" si="11"/>
        <v>0.125</v>
      </c>
      <c r="K14" s="1590"/>
      <c r="L14" s="1591" t="str">
        <f t="shared" si="3"/>
        <v/>
      </c>
      <c r="M14" s="1519">
        <v>25.5</v>
      </c>
      <c r="P14" s="1581"/>
      <c r="Q14" s="1602"/>
      <c r="R14" s="1603" t="s">
        <v>1980</v>
      </c>
      <c r="S14" s="1550" t="s">
        <v>166</v>
      </c>
      <c r="T14" s="1604"/>
      <c r="U14" s="1592"/>
      <c r="V14" s="1592">
        <v>0.25</v>
      </c>
      <c r="W14" s="1592"/>
      <c r="X14" s="1592"/>
      <c r="Y14" s="1592">
        <f t="shared" si="13"/>
        <v>0.25</v>
      </c>
      <c r="Z14" s="1592"/>
      <c r="AA14" s="1593">
        <f t="shared" si="2"/>
        <v>0</v>
      </c>
    </row>
    <row r="15" spans="1:27" ht="23.25">
      <c r="A15" s="1670"/>
      <c r="B15" s="1671"/>
      <c r="C15" s="2853" t="str">
        <f t="shared" si="14"/>
        <v>menthe fraiche</v>
      </c>
      <c r="D15" s="2851" t="str">
        <f t="shared" si="15"/>
        <v>bte</v>
      </c>
      <c r="E15" s="2852">
        <f t="shared" si="16"/>
        <v>0</v>
      </c>
      <c r="F15" s="2852">
        <f t="shared" si="17"/>
        <v>0</v>
      </c>
      <c r="G15" s="2852" t="str">
        <f t="shared" si="18"/>
        <v xml:space="preserve"> </v>
      </c>
      <c r="H15" s="2852">
        <f t="shared" si="19"/>
        <v>0</v>
      </c>
      <c r="I15" s="2852">
        <f t="shared" si="20"/>
        <v>0.125</v>
      </c>
      <c r="J15" s="2857">
        <f t="shared" si="11"/>
        <v>0.125</v>
      </c>
      <c r="K15" s="1590"/>
      <c r="L15" s="1591" t="str">
        <f t="shared" si="3"/>
        <v/>
      </c>
      <c r="M15" s="1519">
        <v>25.5</v>
      </c>
      <c r="P15" s="1581"/>
      <c r="Q15" s="1582"/>
      <c r="R15" s="1592" t="s">
        <v>1981</v>
      </c>
      <c r="S15" s="1550" t="s">
        <v>218</v>
      </c>
      <c r="T15" s="1592"/>
      <c r="U15" s="1592"/>
      <c r="V15" s="1592" t="s">
        <v>1456</v>
      </c>
      <c r="W15" s="1592"/>
      <c r="X15" s="1592">
        <v>0.25</v>
      </c>
      <c r="Y15" s="1592">
        <f t="shared" si="13"/>
        <v>0.25</v>
      </c>
      <c r="Z15" s="1592"/>
      <c r="AA15" s="1593">
        <f t="shared" si="2"/>
        <v>0</v>
      </c>
    </row>
    <row r="16" spans="1:27" ht="23.25">
      <c r="A16" s="1670"/>
      <c r="B16" s="1671"/>
      <c r="C16" s="2853">
        <f t="shared" si="14"/>
        <v>0</v>
      </c>
      <c r="D16" s="2851">
        <f t="shared" si="15"/>
        <v>0</v>
      </c>
      <c r="E16" s="2852">
        <f t="shared" si="16"/>
        <v>0</v>
      </c>
      <c r="F16" s="2852">
        <f t="shared" si="17"/>
        <v>0</v>
      </c>
      <c r="G16" s="2852">
        <f t="shared" si="18"/>
        <v>0</v>
      </c>
      <c r="H16" s="2852">
        <f t="shared" si="19"/>
        <v>0</v>
      </c>
      <c r="I16" s="2852">
        <f t="shared" si="20"/>
        <v>0</v>
      </c>
      <c r="J16" s="2857" t="str">
        <f t="shared" si="11"/>
        <v/>
      </c>
      <c r="K16" s="1590"/>
      <c r="L16" s="1591" t="str">
        <f t="shared" si="3"/>
        <v/>
      </c>
      <c r="M16" s="1519">
        <v>25.5</v>
      </c>
      <c r="P16" s="1581"/>
      <c r="Q16" s="1582"/>
      <c r="R16" s="1592"/>
      <c r="S16" s="1550"/>
      <c r="T16" s="1592"/>
      <c r="U16" s="1592"/>
      <c r="V16" s="1592"/>
      <c r="W16" s="1592"/>
      <c r="X16" s="1592"/>
      <c r="Y16" s="1592" t="str">
        <f t="shared" si="13"/>
        <v/>
      </c>
      <c r="Z16" s="1592"/>
      <c r="AA16" s="1593">
        <f t="shared" si="2"/>
        <v>0</v>
      </c>
    </row>
    <row r="17" spans="1:27" ht="23.25">
      <c r="A17" s="1670"/>
      <c r="B17" s="1671"/>
      <c r="C17" s="2853">
        <f t="shared" si="14"/>
        <v>0</v>
      </c>
      <c r="D17" s="2851">
        <f t="shared" si="15"/>
        <v>0</v>
      </c>
      <c r="E17" s="2852">
        <f t="shared" si="16"/>
        <v>0</v>
      </c>
      <c r="F17" s="2852">
        <f t="shared" si="17"/>
        <v>0</v>
      </c>
      <c r="G17" s="2852">
        <f t="shared" si="18"/>
        <v>0</v>
      </c>
      <c r="H17" s="2852">
        <f t="shared" si="19"/>
        <v>0</v>
      </c>
      <c r="I17" s="2852">
        <f t="shared" si="20"/>
        <v>0</v>
      </c>
      <c r="J17" s="2857" t="str">
        <f t="shared" si="11"/>
        <v/>
      </c>
      <c r="K17" s="1590"/>
      <c r="L17" s="1591" t="str">
        <f t="shared" si="3"/>
        <v/>
      </c>
      <c r="M17" s="1519">
        <v>25.5</v>
      </c>
      <c r="P17" s="1581"/>
      <c r="Q17" s="1582"/>
      <c r="R17" s="1592"/>
      <c r="S17" s="1550"/>
      <c r="T17" s="1592"/>
      <c r="U17" s="1592"/>
      <c r="V17" s="1592"/>
      <c r="W17" s="1592"/>
      <c r="X17" s="1592"/>
      <c r="Y17" s="1592" t="str">
        <f t="shared" si="13"/>
        <v/>
      </c>
      <c r="Z17" s="1592"/>
      <c r="AA17" s="1593">
        <f t="shared" si="2"/>
        <v>0</v>
      </c>
    </row>
    <row r="18" spans="1:27" ht="23.25">
      <c r="A18" s="1670"/>
      <c r="B18" s="1671"/>
      <c r="C18" s="2853">
        <f t="shared" si="14"/>
        <v>0</v>
      </c>
      <c r="D18" s="2851">
        <f t="shared" si="15"/>
        <v>0</v>
      </c>
      <c r="E18" s="2852" t="str">
        <f t="shared" si="16"/>
        <v xml:space="preserve"> </v>
      </c>
      <c r="F18" s="2852" t="str">
        <f t="shared" si="17"/>
        <v xml:space="preserve"> </v>
      </c>
      <c r="G18" s="2852" t="str">
        <f t="shared" si="18"/>
        <v xml:space="preserve"> </v>
      </c>
      <c r="H18" s="2852" t="str">
        <f t="shared" si="19"/>
        <v xml:space="preserve"> </v>
      </c>
      <c r="I18" s="2852">
        <f t="shared" si="20"/>
        <v>0</v>
      </c>
      <c r="J18" s="2857" t="str">
        <f t="shared" si="11"/>
        <v/>
      </c>
      <c r="K18" s="1590"/>
      <c r="L18" s="1591" t="str">
        <f t="shared" si="3"/>
        <v/>
      </c>
      <c r="M18" s="1519">
        <v>25.5</v>
      </c>
      <c r="P18" s="1581"/>
      <c r="Q18" s="1582"/>
      <c r="R18" s="1592"/>
      <c r="S18" s="1550"/>
      <c r="T18" s="1592" t="s">
        <v>1456</v>
      </c>
      <c r="U18" s="1592" t="s">
        <v>1456</v>
      </c>
      <c r="V18" s="1592" t="s">
        <v>1456</v>
      </c>
      <c r="W18" s="1592" t="s">
        <v>1456</v>
      </c>
      <c r="X18" s="1592"/>
      <c r="Y18" s="1592" t="str">
        <f t="shared" si="13"/>
        <v/>
      </c>
      <c r="Z18" s="1592"/>
      <c r="AA18" s="1593">
        <f t="shared" si="2"/>
        <v>0</v>
      </c>
    </row>
    <row r="19" spans="1:27" ht="23.25">
      <c r="A19" s="1670"/>
      <c r="B19" s="1671"/>
      <c r="C19" s="2853">
        <f t="shared" si="14"/>
        <v>0</v>
      </c>
      <c r="D19" s="2851">
        <f t="shared" si="15"/>
        <v>0</v>
      </c>
      <c r="E19" s="2852">
        <f t="shared" si="16"/>
        <v>0</v>
      </c>
      <c r="F19" s="2852">
        <f t="shared" si="17"/>
        <v>0</v>
      </c>
      <c r="G19" s="2852">
        <f t="shared" si="18"/>
        <v>0</v>
      </c>
      <c r="H19" s="2852">
        <f t="shared" si="19"/>
        <v>0</v>
      </c>
      <c r="I19" s="2852">
        <f t="shared" si="20"/>
        <v>0</v>
      </c>
      <c r="J19" s="2857" t="str">
        <f t="shared" si="11"/>
        <v/>
      </c>
      <c r="K19" s="1590"/>
      <c r="L19" s="1591" t="str">
        <f t="shared" si="3"/>
        <v/>
      </c>
      <c r="M19" s="1519">
        <v>25.5</v>
      </c>
      <c r="P19" s="1581"/>
      <c r="Q19" s="1582"/>
      <c r="R19" s="1592"/>
      <c r="S19" s="1550"/>
      <c r="T19" s="1592"/>
      <c r="U19" s="1592"/>
      <c r="V19" s="1592"/>
      <c r="W19" s="1592"/>
      <c r="X19" s="1592"/>
      <c r="Y19" s="1592" t="str">
        <f t="shared" si="13"/>
        <v/>
      </c>
      <c r="Z19" s="1592"/>
      <c r="AA19" s="1593">
        <f t="shared" si="2"/>
        <v>0</v>
      </c>
    </row>
    <row r="20" spans="1:27" ht="23.25">
      <c r="A20" s="1670"/>
      <c r="B20" s="1671"/>
      <c r="C20" s="2853">
        <f t="shared" si="14"/>
        <v>0</v>
      </c>
      <c r="D20" s="2851">
        <f t="shared" si="15"/>
        <v>0</v>
      </c>
      <c r="E20" s="2852">
        <f t="shared" si="16"/>
        <v>0</v>
      </c>
      <c r="F20" s="2852">
        <f t="shared" si="17"/>
        <v>0</v>
      </c>
      <c r="G20" s="2852">
        <f t="shared" si="18"/>
        <v>0</v>
      </c>
      <c r="H20" s="2852">
        <f t="shared" si="19"/>
        <v>0</v>
      </c>
      <c r="I20" s="2852">
        <f t="shared" si="20"/>
        <v>0</v>
      </c>
      <c r="J20" s="2857" t="str">
        <f t="shared" si="11"/>
        <v/>
      </c>
      <c r="K20" s="1590"/>
      <c r="L20" s="1591" t="str">
        <f t="shared" si="3"/>
        <v/>
      </c>
      <c r="M20" s="1519">
        <v>25.5</v>
      </c>
      <c r="P20" s="1581"/>
      <c r="Q20" s="1582"/>
      <c r="R20" s="1592"/>
      <c r="S20" s="1550"/>
      <c r="T20" s="1592"/>
      <c r="U20" s="1592"/>
      <c r="V20" s="1592"/>
      <c r="W20" s="1592"/>
      <c r="X20" s="1592"/>
      <c r="Y20" s="1592" t="str">
        <f t="shared" si="13"/>
        <v/>
      </c>
      <c r="Z20" s="1592"/>
      <c r="AA20" s="1593">
        <f t="shared" si="2"/>
        <v>0</v>
      </c>
    </row>
    <row r="21" spans="1:27" ht="23.25">
      <c r="A21" s="1670"/>
      <c r="B21" s="1671"/>
      <c r="C21" s="2853">
        <f t="shared" si="14"/>
        <v>0</v>
      </c>
      <c r="D21" s="2851">
        <f t="shared" si="15"/>
        <v>0</v>
      </c>
      <c r="E21" s="2852">
        <f t="shared" si="16"/>
        <v>0</v>
      </c>
      <c r="F21" s="2852">
        <f t="shared" si="17"/>
        <v>0</v>
      </c>
      <c r="G21" s="2852">
        <f t="shared" si="18"/>
        <v>0</v>
      </c>
      <c r="H21" s="2852">
        <f t="shared" si="19"/>
        <v>0</v>
      </c>
      <c r="I21" s="2852">
        <f t="shared" si="20"/>
        <v>0</v>
      </c>
      <c r="J21" s="2857" t="str">
        <f t="shared" si="11"/>
        <v/>
      </c>
      <c r="K21" s="1590"/>
      <c r="L21" s="1591" t="str">
        <f t="shared" si="3"/>
        <v/>
      </c>
      <c r="M21" s="1519">
        <v>25.5</v>
      </c>
      <c r="P21" s="1581"/>
      <c r="Q21" s="1582"/>
      <c r="R21" s="1592"/>
      <c r="S21" s="1550"/>
      <c r="T21" s="1592"/>
      <c r="U21" s="1592"/>
      <c r="V21" s="1592"/>
      <c r="W21" s="1592"/>
      <c r="X21" s="1592"/>
      <c r="Y21" s="1592" t="str">
        <f t="shared" si="13"/>
        <v/>
      </c>
      <c r="Z21" s="1592"/>
      <c r="AA21" s="1593">
        <f t="shared" si="2"/>
        <v>0</v>
      </c>
    </row>
    <row r="22" spans="1:27" ht="23.25">
      <c r="A22" s="1670"/>
      <c r="B22" s="1671"/>
      <c r="C22" s="2853">
        <f t="shared" si="14"/>
        <v>0</v>
      </c>
      <c r="D22" s="2851">
        <f t="shared" si="15"/>
        <v>0</v>
      </c>
      <c r="E22" s="2852">
        <f t="shared" si="16"/>
        <v>0</v>
      </c>
      <c r="F22" s="2852">
        <f t="shared" si="17"/>
        <v>0</v>
      </c>
      <c r="G22" s="2852">
        <f t="shared" si="18"/>
        <v>0</v>
      </c>
      <c r="H22" s="2852">
        <f t="shared" si="19"/>
        <v>0</v>
      </c>
      <c r="I22" s="2852">
        <f t="shared" si="20"/>
        <v>0</v>
      </c>
      <c r="J22" s="2857" t="str">
        <f t="shared" si="11"/>
        <v/>
      </c>
      <c r="K22" s="1590"/>
      <c r="L22" s="1591" t="str">
        <f t="shared" si="3"/>
        <v/>
      </c>
      <c r="M22" s="1519">
        <v>25.5</v>
      </c>
      <c r="P22" s="1581"/>
      <c r="Q22" s="1582"/>
      <c r="R22" s="1592"/>
      <c r="S22" s="1550"/>
      <c r="T22" s="1592"/>
      <c r="U22" s="1592"/>
      <c r="V22" s="1592"/>
      <c r="W22" s="1592"/>
      <c r="X22" s="1592"/>
      <c r="Y22" s="1592" t="str">
        <f t="shared" si="13"/>
        <v/>
      </c>
      <c r="Z22" s="1592"/>
      <c r="AA22" s="1593">
        <f t="shared" si="2"/>
        <v>0</v>
      </c>
    </row>
    <row r="23" spans="1:27" ht="23.25">
      <c r="A23" s="1670"/>
      <c r="B23" s="1671"/>
      <c r="C23" s="2853">
        <f t="shared" si="14"/>
        <v>0</v>
      </c>
      <c r="D23" s="2851">
        <f t="shared" si="15"/>
        <v>0</v>
      </c>
      <c r="E23" s="2852">
        <f t="shared" si="16"/>
        <v>0</v>
      </c>
      <c r="F23" s="2852">
        <f t="shared" si="17"/>
        <v>0</v>
      </c>
      <c r="G23" s="2852">
        <f t="shared" si="18"/>
        <v>0</v>
      </c>
      <c r="H23" s="2852">
        <f t="shared" si="19"/>
        <v>0</v>
      </c>
      <c r="I23" s="2852">
        <f t="shared" si="20"/>
        <v>0</v>
      </c>
      <c r="J23" s="2857" t="str">
        <f t="shared" si="11"/>
        <v/>
      </c>
      <c r="K23" s="1590"/>
      <c r="L23" s="1591" t="str">
        <f t="shared" si="3"/>
        <v/>
      </c>
      <c r="M23" s="1519">
        <v>25.5</v>
      </c>
      <c r="P23" s="1581"/>
      <c r="Q23" s="1582"/>
      <c r="R23" s="1592"/>
      <c r="S23" s="1550"/>
      <c r="T23" s="1592"/>
      <c r="U23" s="1592"/>
      <c r="V23" s="1592"/>
      <c r="W23" s="1592"/>
      <c r="X23" s="1592"/>
      <c r="Y23" s="1592" t="str">
        <f t="shared" si="13"/>
        <v/>
      </c>
      <c r="Z23" s="1592"/>
      <c r="AA23" s="1593">
        <f t="shared" si="2"/>
        <v>0</v>
      </c>
    </row>
    <row r="24" spans="1:27" ht="23.25">
      <c r="A24" s="1670"/>
      <c r="B24" s="1671"/>
      <c r="C24" s="2853">
        <f t="shared" si="14"/>
        <v>0</v>
      </c>
      <c r="D24" s="2851">
        <f t="shared" si="15"/>
        <v>0</v>
      </c>
      <c r="E24" s="2852">
        <f t="shared" si="16"/>
        <v>0</v>
      </c>
      <c r="F24" s="2852">
        <f t="shared" si="17"/>
        <v>0</v>
      </c>
      <c r="G24" s="2852">
        <f t="shared" si="18"/>
        <v>0</v>
      </c>
      <c r="H24" s="2852">
        <f t="shared" si="19"/>
        <v>0</v>
      </c>
      <c r="I24" s="2852">
        <f t="shared" si="20"/>
        <v>0</v>
      </c>
      <c r="J24" s="2857" t="str">
        <f t="shared" si="11"/>
        <v/>
      </c>
      <c r="K24" s="1590"/>
      <c r="L24" s="1591" t="str">
        <f t="shared" si="3"/>
        <v/>
      </c>
      <c r="M24" s="1519">
        <v>25.5</v>
      </c>
      <c r="P24" s="1581"/>
      <c r="Q24" s="1582"/>
      <c r="R24" s="1592"/>
      <c r="S24" s="1550"/>
      <c r="T24" s="1592"/>
      <c r="U24" s="1592"/>
      <c r="V24" s="1592"/>
      <c r="W24" s="1592"/>
      <c r="X24" s="1592"/>
      <c r="Y24" s="1592" t="str">
        <f t="shared" si="13"/>
        <v/>
      </c>
      <c r="Z24" s="1592"/>
      <c r="AA24" s="1593">
        <f t="shared" si="2"/>
        <v>0</v>
      </c>
    </row>
    <row r="25" spans="1:27" ht="26.25">
      <c r="A25" s="1670"/>
      <c r="B25" s="1671"/>
      <c r="C25" s="1576" t="str">
        <f t="shared" si="14"/>
        <v>B.O.F</v>
      </c>
      <c r="D25" s="2855" t="str">
        <f t="shared" si="15"/>
        <v xml:space="preserve"> </v>
      </c>
      <c r="E25" s="2855">
        <f t="shared" si="16"/>
        <v>0</v>
      </c>
      <c r="F25" s="2855">
        <f t="shared" si="17"/>
        <v>0</v>
      </c>
      <c r="G25" s="2855">
        <f t="shared" si="18"/>
        <v>0</v>
      </c>
      <c r="H25" s="2855">
        <f t="shared" si="19"/>
        <v>0</v>
      </c>
      <c r="I25" s="2867">
        <f t="shared" si="20"/>
        <v>0</v>
      </c>
      <c r="J25" s="1577" t="s">
        <v>1456</v>
      </c>
      <c r="K25" s="1579"/>
      <c r="L25" s="1580" t="str">
        <f t="shared" si="3"/>
        <v/>
      </c>
      <c r="M25" s="1519">
        <v>25.5</v>
      </c>
      <c r="P25" s="1581"/>
      <c r="Q25" s="1582"/>
      <c r="R25" s="1598" t="s">
        <v>1465</v>
      </c>
      <c r="S25" s="1584" t="s">
        <v>1456</v>
      </c>
      <c r="T25" s="1599"/>
      <c r="U25" s="1599"/>
      <c r="V25" s="1599"/>
      <c r="W25" s="1599"/>
      <c r="X25" s="1599"/>
      <c r="Y25" s="1599" t="s">
        <v>1456</v>
      </c>
      <c r="Z25" s="1599"/>
      <c r="AA25" s="1600">
        <f t="shared" si="2"/>
        <v>0</v>
      </c>
    </row>
    <row r="26" spans="1:27" ht="23.25">
      <c r="A26" s="1670"/>
      <c r="B26" s="1671"/>
      <c r="C26" s="2853" t="str">
        <f t="shared" si="14"/>
        <v>œuf</v>
      </c>
      <c r="D26" s="2851" t="str">
        <f t="shared" si="15"/>
        <v>P</v>
      </c>
      <c r="E26" s="2852">
        <f t="shared" si="16"/>
        <v>0.5</v>
      </c>
      <c r="F26" s="2852">
        <f t="shared" si="17"/>
        <v>0</v>
      </c>
      <c r="G26" s="2852">
        <f t="shared" si="18"/>
        <v>0</v>
      </c>
      <c r="H26" s="2852">
        <f t="shared" si="19"/>
        <v>0</v>
      </c>
      <c r="I26" s="2852">
        <f t="shared" si="20"/>
        <v>0</v>
      </c>
      <c r="J26" s="2857">
        <f t="shared" si="11"/>
        <v>0.5</v>
      </c>
      <c r="K26" s="1590"/>
      <c r="L26" s="1591" t="str">
        <f t="shared" si="3"/>
        <v/>
      </c>
      <c r="M26" s="1519">
        <v>25.5</v>
      </c>
      <c r="P26" s="1581"/>
      <c r="Q26" s="1582"/>
      <c r="R26" s="1592" t="s">
        <v>1466</v>
      </c>
      <c r="S26" s="1550" t="s">
        <v>318</v>
      </c>
      <c r="T26" s="1592">
        <v>1</v>
      </c>
      <c r="U26" s="1592"/>
      <c r="V26" s="1592"/>
      <c r="W26" s="1592"/>
      <c r="X26" s="1592"/>
      <c r="Y26" s="1592">
        <f t="shared" ref="Y26:Y33" si="21">IF(SUM(T26:X26)=0,"",SUM(T26:X26))</f>
        <v>1</v>
      </c>
      <c r="Z26" s="1592"/>
      <c r="AA26" s="1593">
        <f t="shared" si="2"/>
        <v>0</v>
      </c>
    </row>
    <row r="27" spans="1:27" ht="23.25">
      <c r="A27" s="1670"/>
      <c r="B27" s="1671"/>
      <c r="C27" s="2853" t="str">
        <f t="shared" si="14"/>
        <v>crème fluide 35%</v>
      </c>
      <c r="D27" s="2851" t="str">
        <f t="shared" si="15"/>
        <v>L</v>
      </c>
      <c r="E27" s="2852">
        <f t="shared" si="16"/>
        <v>0.05</v>
      </c>
      <c r="F27" s="2852">
        <f t="shared" si="17"/>
        <v>0</v>
      </c>
      <c r="G27" s="2852">
        <f t="shared" si="18"/>
        <v>0</v>
      </c>
      <c r="H27" s="2852">
        <f t="shared" si="19"/>
        <v>0</v>
      </c>
      <c r="I27" s="2852">
        <f t="shared" si="20"/>
        <v>0</v>
      </c>
      <c r="J27" s="2857">
        <f t="shared" si="11"/>
        <v>0.05</v>
      </c>
      <c r="K27" s="1590"/>
      <c r="L27" s="1591" t="str">
        <f t="shared" si="3"/>
        <v/>
      </c>
      <c r="M27" s="1519">
        <v>25.5</v>
      </c>
      <c r="P27" s="1581"/>
      <c r="Q27" s="1582"/>
      <c r="R27" s="1592" t="s">
        <v>1982</v>
      </c>
      <c r="S27" s="1550" t="s">
        <v>224</v>
      </c>
      <c r="T27" s="1592">
        <v>0.1</v>
      </c>
      <c r="U27" s="1592"/>
      <c r="V27" s="1592"/>
      <c r="W27" s="1592"/>
      <c r="X27" s="1592"/>
      <c r="Y27" s="1592">
        <f t="shared" si="21"/>
        <v>0.1</v>
      </c>
      <c r="Z27" s="1592"/>
      <c r="AA27" s="1593">
        <f t="shared" si="2"/>
        <v>0</v>
      </c>
    </row>
    <row r="28" spans="1:27" ht="23.25">
      <c r="A28" s="1670"/>
      <c r="B28" s="1671"/>
      <c r="C28" s="2853">
        <f t="shared" si="14"/>
        <v>0</v>
      </c>
      <c r="D28" s="2851">
        <f t="shared" si="15"/>
        <v>0</v>
      </c>
      <c r="E28" s="2852">
        <f t="shared" si="16"/>
        <v>0</v>
      </c>
      <c r="F28" s="2852">
        <f t="shared" si="17"/>
        <v>0</v>
      </c>
      <c r="G28" s="2852">
        <f t="shared" si="18"/>
        <v>0</v>
      </c>
      <c r="H28" s="2852">
        <f t="shared" si="19"/>
        <v>0</v>
      </c>
      <c r="I28" s="2852">
        <f t="shared" si="20"/>
        <v>0</v>
      </c>
      <c r="J28" s="2857" t="str">
        <f t="shared" si="11"/>
        <v/>
      </c>
      <c r="K28" s="1590"/>
      <c r="L28" s="1591" t="str">
        <f t="shared" si="3"/>
        <v/>
      </c>
      <c r="M28" s="1519">
        <v>25.5</v>
      </c>
      <c r="P28" s="1581"/>
      <c r="Q28" s="1582"/>
      <c r="R28" s="1592"/>
      <c r="S28" s="1550"/>
      <c r="T28" s="1592"/>
      <c r="U28" s="1592"/>
      <c r="V28" s="1592"/>
      <c r="W28" s="1592"/>
      <c r="X28" s="1592"/>
      <c r="Y28" s="1592" t="str">
        <f t="shared" si="21"/>
        <v/>
      </c>
      <c r="Z28" s="1592"/>
      <c r="AA28" s="1593">
        <f t="shared" si="2"/>
        <v>0</v>
      </c>
    </row>
    <row r="29" spans="1:27" ht="23.25">
      <c r="A29" s="1670"/>
      <c r="B29" s="1671"/>
      <c r="C29" s="2853">
        <f t="shared" si="14"/>
        <v>0</v>
      </c>
      <c r="D29" s="2851">
        <f t="shared" si="15"/>
        <v>0</v>
      </c>
      <c r="E29" s="2852">
        <f t="shared" si="16"/>
        <v>0</v>
      </c>
      <c r="F29" s="2852">
        <f t="shared" si="17"/>
        <v>0</v>
      </c>
      <c r="G29" s="2852">
        <f t="shared" si="18"/>
        <v>0</v>
      </c>
      <c r="H29" s="2852">
        <f t="shared" si="19"/>
        <v>0</v>
      </c>
      <c r="I29" s="2852">
        <f t="shared" si="20"/>
        <v>0</v>
      </c>
      <c r="J29" s="2857" t="str">
        <f t="shared" si="11"/>
        <v/>
      </c>
      <c r="K29" s="1590"/>
      <c r="L29" s="1591" t="str">
        <f t="shared" si="3"/>
        <v/>
      </c>
      <c r="M29" s="1519">
        <v>25.5</v>
      </c>
      <c r="P29" s="1581"/>
      <c r="Q29" s="1582"/>
      <c r="R29" s="1592"/>
      <c r="S29" s="1550"/>
      <c r="T29" s="1592"/>
      <c r="U29" s="1592"/>
      <c r="V29" s="1592"/>
      <c r="W29" s="1592"/>
      <c r="X29" s="1592"/>
      <c r="Y29" s="1592" t="str">
        <f t="shared" si="21"/>
        <v/>
      </c>
      <c r="Z29" s="1592"/>
      <c r="AA29" s="1593">
        <f t="shared" si="2"/>
        <v>0</v>
      </c>
    </row>
    <row r="30" spans="1:27" ht="23.25">
      <c r="A30" s="1670"/>
      <c r="B30" s="1671"/>
      <c r="C30" s="2853">
        <f t="shared" si="14"/>
        <v>0</v>
      </c>
      <c r="D30" s="2851">
        <f t="shared" si="15"/>
        <v>0</v>
      </c>
      <c r="E30" s="2852">
        <f t="shared" si="16"/>
        <v>0</v>
      </c>
      <c r="F30" s="2852">
        <f t="shared" si="17"/>
        <v>0</v>
      </c>
      <c r="G30" s="2852">
        <f t="shared" si="18"/>
        <v>0</v>
      </c>
      <c r="H30" s="2852">
        <f t="shared" si="19"/>
        <v>0</v>
      </c>
      <c r="I30" s="2852">
        <f t="shared" si="20"/>
        <v>0</v>
      </c>
      <c r="J30" s="2857" t="str">
        <f t="shared" si="11"/>
        <v/>
      </c>
      <c r="K30" s="1590"/>
      <c r="L30" s="1591" t="str">
        <f t="shared" si="3"/>
        <v/>
      </c>
      <c r="M30" s="1519">
        <v>25.5</v>
      </c>
      <c r="P30" s="1581"/>
      <c r="Q30" s="1582"/>
      <c r="R30" s="1592"/>
      <c r="S30" s="1550"/>
      <c r="T30" s="1592"/>
      <c r="U30" s="1592"/>
      <c r="V30" s="1592"/>
      <c r="W30" s="1592"/>
      <c r="X30" s="1592"/>
      <c r="Y30" s="1592" t="str">
        <f t="shared" si="21"/>
        <v/>
      </c>
      <c r="Z30" s="1592"/>
      <c r="AA30" s="1593">
        <f t="shared" si="2"/>
        <v>0</v>
      </c>
    </row>
    <row r="31" spans="1:27" ht="23.25">
      <c r="A31" s="1670"/>
      <c r="B31" s="1671"/>
      <c r="C31" s="2853">
        <f t="shared" si="14"/>
        <v>0</v>
      </c>
      <c r="D31" s="2851">
        <f t="shared" si="15"/>
        <v>0</v>
      </c>
      <c r="E31" s="2852">
        <f t="shared" si="16"/>
        <v>0</v>
      </c>
      <c r="F31" s="2852">
        <f t="shared" si="17"/>
        <v>0</v>
      </c>
      <c r="G31" s="2852">
        <f t="shared" si="18"/>
        <v>0</v>
      </c>
      <c r="H31" s="2852">
        <f t="shared" si="19"/>
        <v>0</v>
      </c>
      <c r="I31" s="2852">
        <f t="shared" si="20"/>
        <v>0</v>
      </c>
      <c r="J31" s="2857" t="str">
        <f t="shared" si="11"/>
        <v/>
      </c>
      <c r="K31" s="1590"/>
      <c r="L31" s="1591" t="str">
        <f t="shared" si="3"/>
        <v/>
      </c>
      <c r="M31" s="1519">
        <v>25.5</v>
      </c>
      <c r="P31" s="1581"/>
      <c r="Q31" s="1582"/>
      <c r="R31" s="1592"/>
      <c r="S31" s="1550"/>
      <c r="T31" s="1592"/>
      <c r="U31" s="1592"/>
      <c r="V31" s="1592"/>
      <c r="W31" s="1592"/>
      <c r="X31" s="1592"/>
      <c r="Y31" s="1592" t="str">
        <f t="shared" si="21"/>
        <v/>
      </c>
      <c r="Z31" s="1592"/>
      <c r="AA31" s="1593">
        <f t="shared" si="2"/>
        <v>0</v>
      </c>
    </row>
    <row r="32" spans="1:27" ht="23.25">
      <c r="A32" s="1670"/>
      <c r="B32" s="1671"/>
      <c r="C32" s="2853">
        <f t="shared" si="14"/>
        <v>0</v>
      </c>
      <c r="D32" s="2851">
        <f t="shared" si="15"/>
        <v>0</v>
      </c>
      <c r="E32" s="2852">
        <f t="shared" si="16"/>
        <v>0</v>
      </c>
      <c r="F32" s="2852">
        <f t="shared" si="17"/>
        <v>0</v>
      </c>
      <c r="G32" s="2852">
        <f t="shared" si="18"/>
        <v>0</v>
      </c>
      <c r="H32" s="2852">
        <f t="shared" si="19"/>
        <v>0</v>
      </c>
      <c r="I32" s="2852">
        <f t="shared" si="20"/>
        <v>0</v>
      </c>
      <c r="J32" s="2857" t="str">
        <f t="shared" si="11"/>
        <v/>
      </c>
      <c r="K32" s="1590"/>
      <c r="L32" s="1591" t="str">
        <f t="shared" si="3"/>
        <v/>
      </c>
      <c r="M32" s="1519">
        <v>25.5</v>
      </c>
      <c r="P32" s="1581"/>
      <c r="Q32" s="1582"/>
      <c r="R32" s="1592"/>
      <c r="S32" s="1550"/>
      <c r="T32" s="1592"/>
      <c r="U32" s="1592"/>
      <c r="V32" s="1592"/>
      <c r="W32" s="1592"/>
      <c r="X32" s="1592"/>
      <c r="Y32" s="1592" t="str">
        <f t="shared" si="21"/>
        <v/>
      </c>
      <c r="Z32" s="1592"/>
      <c r="AA32" s="1593">
        <f t="shared" si="2"/>
        <v>0</v>
      </c>
    </row>
    <row r="33" spans="1:27" ht="23.25">
      <c r="A33" s="1670"/>
      <c r="B33" s="1671"/>
      <c r="C33" s="2853">
        <f t="shared" si="14"/>
        <v>0</v>
      </c>
      <c r="D33" s="2851">
        <f t="shared" si="15"/>
        <v>0</v>
      </c>
      <c r="E33" s="2852">
        <f t="shared" si="16"/>
        <v>0</v>
      </c>
      <c r="F33" s="2852">
        <f t="shared" si="17"/>
        <v>0</v>
      </c>
      <c r="G33" s="2852">
        <f t="shared" si="18"/>
        <v>0</v>
      </c>
      <c r="H33" s="2852">
        <f t="shared" si="19"/>
        <v>0</v>
      </c>
      <c r="I33" s="2852">
        <f t="shared" si="20"/>
        <v>0</v>
      </c>
      <c r="J33" s="2857" t="str">
        <f t="shared" si="11"/>
        <v/>
      </c>
      <c r="K33" s="1590"/>
      <c r="L33" s="1591" t="str">
        <f t="shared" si="3"/>
        <v/>
      </c>
      <c r="M33" s="1519">
        <v>25.5</v>
      </c>
      <c r="P33" s="1581"/>
      <c r="Q33" s="1582"/>
      <c r="R33" s="1592"/>
      <c r="S33" s="1550"/>
      <c r="T33" s="1592"/>
      <c r="U33" s="1592"/>
      <c r="V33" s="1592"/>
      <c r="W33" s="1592"/>
      <c r="X33" s="1592"/>
      <c r="Y33" s="1592" t="str">
        <f t="shared" si="21"/>
        <v/>
      </c>
      <c r="Z33" s="1592"/>
      <c r="AA33" s="1593">
        <f t="shared" si="2"/>
        <v>0</v>
      </c>
    </row>
    <row r="34" spans="1:27" ht="26.25">
      <c r="A34" s="1670"/>
      <c r="B34" s="1671"/>
      <c r="C34" s="1576" t="str">
        <f t="shared" ref="C34:C46" si="22">R34</f>
        <v>ECONOMAT/CAVE</v>
      </c>
      <c r="D34" s="2855" t="str">
        <f t="shared" ref="D34:D46" si="23">S34</f>
        <v xml:space="preserve"> </v>
      </c>
      <c r="E34" s="2855">
        <f t="shared" ref="E34:E46" si="24">IF(ISTEXT(T34),T34,(T34/$I$2)*$L$2)</f>
        <v>0</v>
      </c>
      <c r="F34" s="2855">
        <f t="shared" ref="F34:F46" si="25">IF(ISTEXT(U34),U34,(U34/$I$2)*$L$2)</f>
        <v>0</v>
      </c>
      <c r="G34" s="2855">
        <f t="shared" ref="G34:G46" si="26">IF(ISTEXT(V34),V34,(V34/$I$2)*$L$2)</f>
        <v>0</v>
      </c>
      <c r="H34" s="2855">
        <f t="shared" ref="H34:H46" si="27">IF(ISTEXT(W34),W34,(W34/$I$2)*$L$2)</f>
        <v>0</v>
      </c>
      <c r="I34" s="2867">
        <f t="shared" ref="I34:I46" si="28">IF(ISTEXT(X34),X34,(X34/$I$2)*$L$2)</f>
        <v>0</v>
      </c>
      <c r="J34" s="1577" t="s">
        <v>1456</v>
      </c>
      <c r="K34" s="1579"/>
      <c r="L34" s="1580" t="str">
        <f t="shared" si="3"/>
        <v/>
      </c>
      <c r="M34" s="1519">
        <v>25.5</v>
      </c>
      <c r="P34" s="1581"/>
      <c r="Q34" s="1582"/>
      <c r="R34" s="1598" t="s">
        <v>1967</v>
      </c>
      <c r="S34" s="1584" t="s">
        <v>1456</v>
      </c>
      <c r="T34" s="1599"/>
      <c r="U34" s="1599"/>
      <c r="V34" s="1599"/>
      <c r="W34" s="1599"/>
      <c r="X34" s="1599"/>
      <c r="Y34" s="1599" t="s">
        <v>1456</v>
      </c>
      <c r="Z34" s="1599"/>
      <c r="AA34" s="1600">
        <f t="shared" si="2"/>
        <v>0</v>
      </c>
    </row>
    <row r="35" spans="1:27" ht="23.25">
      <c r="A35" s="1670"/>
      <c r="B35" s="1671"/>
      <c r="C35" s="2853" t="str">
        <f t="shared" si="22"/>
        <v>Farine de riz gluant</v>
      </c>
      <c r="D35" s="2851" t="str">
        <f t="shared" si="23"/>
        <v>Kg</v>
      </c>
      <c r="E35" s="2852">
        <f t="shared" si="24"/>
        <v>5.0000000000000001E-3</v>
      </c>
      <c r="F35" s="2852">
        <f t="shared" si="25"/>
        <v>0</v>
      </c>
      <c r="G35" s="2852">
        <f t="shared" si="26"/>
        <v>0</v>
      </c>
      <c r="H35" s="2852">
        <f t="shared" si="27"/>
        <v>0</v>
      </c>
      <c r="I35" s="2852">
        <f t="shared" si="28"/>
        <v>0</v>
      </c>
      <c r="J35" s="2857">
        <f t="shared" si="11"/>
        <v>5.0000000000000001E-3</v>
      </c>
      <c r="K35" s="1590"/>
      <c r="L35" s="1591" t="str">
        <f t="shared" si="3"/>
        <v/>
      </c>
      <c r="M35" s="1519">
        <v>25.5</v>
      </c>
      <c r="P35" s="1581"/>
      <c r="Q35" s="1582"/>
      <c r="R35" s="1592" t="s">
        <v>1983</v>
      </c>
      <c r="S35" s="1550" t="s">
        <v>122</v>
      </c>
      <c r="T35" s="1592">
        <v>0.01</v>
      </c>
      <c r="U35" s="1592"/>
      <c r="V35" s="1592"/>
      <c r="W35" s="1592"/>
      <c r="X35" s="1592"/>
      <c r="Y35" s="1592">
        <f t="shared" ref="Y35:Y47" si="29">IF(SUM(T35:X35)=0,"",SUM(T35:X35))</f>
        <v>0.01</v>
      </c>
      <c r="Z35" s="1592"/>
      <c r="AA35" s="1593">
        <f t="shared" si="2"/>
        <v>0</v>
      </c>
    </row>
    <row r="36" spans="1:27" ht="23.25">
      <c r="A36" s="1670"/>
      <c r="B36" s="1671"/>
      <c r="C36" s="2853" t="str">
        <f t="shared" si="22"/>
        <v>Farine T 45</v>
      </c>
      <c r="D36" s="2851" t="str">
        <f t="shared" si="23"/>
        <v>Kg</v>
      </c>
      <c r="E36" s="2852">
        <f t="shared" si="24"/>
        <v>0.1</v>
      </c>
      <c r="F36" s="2852">
        <f t="shared" si="25"/>
        <v>0</v>
      </c>
      <c r="G36" s="2852">
        <f t="shared" si="26"/>
        <v>0</v>
      </c>
      <c r="H36" s="2852">
        <f t="shared" si="27"/>
        <v>0</v>
      </c>
      <c r="I36" s="2852">
        <f t="shared" si="28"/>
        <v>0</v>
      </c>
      <c r="J36" s="2857">
        <f t="shared" si="11"/>
        <v>0.1</v>
      </c>
      <c r="K36" s="1590"/>
      <c r="L36" s="1591" t="str">
        <f t="shared" si="3"/>
        <v/>
      </c>
      <c r="M36" s="1519">
        <v>25.5</v>
      </c>
      <c r="P36" s="1581"/>
      <c r="Q36" s="1582"/>
      <c r="R36" s="1592" t="s">
        <v>1984</v>
      </c>
      <c r="S36" s="1550" t="s">
        <v>122</v>
      </c>
      <c r="T36" s="1592">
        <v>0.2</v>
      </c>
      <c r="U36" s="1592"/>
      <c r="V36" s="1592"/>
      <c r="W36" s="1592"/>
      <c r="X36" s="1592"/>
      <c r="Y36" s="1592">
        <f t="shared" si="29"/>
        <v>0.2</v>
      </c>
      <c r="Z36" s="1592"/>
      <c r="AA36" s="1593">
        <f t="shared" si="2"/>
        <v>0</v>
      </c>
    </row>
    <row r="37" spans="1:27" ht="23.25">
      <c r="A37" s="1670"/>
      <c r="B37" s="1671"/>
      <c r="C37" s="2853" t="str">
        <f t="shared" si="22"/>
        <v>bicarbonate de soude</v>
      </c>
      <c r="D37" s="2851" t="str">
        <f t="shared" si="23"/>
        <v>Kg</v>
      </c>
      <c r="E37" s="2852">
        <f t="shared" si="24"/>
        <v>2.5000000000000001E-3</v>
      </c>
      <c r="F37" s="2852">
        <f t="shared" si="25"/>
        <v>0</v>
      </c>
      <c r="G37" s="2852">
        <f t="shared" si="26"/>
        <v>0</v>
      </c>
      <c r="H37" s="2852">
        <f t="shared" si="27"/>
        <v>0</v>
      </c>
      <c r="I37" s="2852">
        <f t="shared" si="28"/>
        <v>0</v>
      </c>
      <c r="J37" s="2857">
        <f t="shared" si="11"/>
        <v>2.5000000000000001E-3</v>
      </c>
      <c r="K37" s="1590"/>
      <c r="L37" s="1591" t="str">
        <f t="shared" si="3"/>
        <v/>
      </c>
      <c r="M37" s="1519">
        <v>25.5</v>
      </c>
      <c r="P37" s="1581"/>
      <c r="Q37" s="1582"/>
      <c r="R37" s="1592" t="s">
        <v>1985</v>
      </c>
      <c r="S37" s="1550" t="s">
        <v>122</v>
      </c>
      <c r="T37" s="1592">
        <v>5.0000000000000001E-3</v>
      </c>
      <c r="U37" s="1592"/>
      <c r="V37" s="1592"/>
      <c r="W37" s="1592"/>
      <c r="X37" s="1592"/>
      <c r="Y37" s="1592">
        <f t="shared" si="29"/>
        <v>5.0000000000000001E-3</v>
      </c>
      <c r="Z37" s="1592"/>
      <c r="AA37" s="1593">
        <f t="shared" si="2"/>
        <v>0</v>
      </c>
    </row>
    <row r="38" spans="1:27" ht="23.25">
      <c r="A38" s="1670"/>
      <c r="B38" s="1671"/>
      <c r="C38" s="2853" t="str">
        <f t="shared" si="22"/>
        <v xml:space="preserve">miel </v>
      </c>
      <c r="D38" s="2851" t="str">
        <f t="shared" si="23"/>
        <v>Kg</v>
      </c>
      <c r="E38" s="2852">
        <f t="shared" si="24"/>
        <v>5.0000000000000001E-3</v>
      </c>
      <c r="F38" s="2852">
        <f t="shared" si="25"/>
        <v>0</v>
      </c>
      <c r="G38" s="2852">
        <f t="shared" si="26"/>
        <v>0</v>
      </c>
      <c r="H38" s="2852">
        <f t="shared" si="27"/>
        <v>0</v>
      </c>
      <c r="I38" s="2852">
        <f t="shared" si="28"/>
        <v>0</v>
      </c>
      <c r="J38" s="2857">
        <f t="shared" si="11"/>
        <v>5.0000000000000001E-3</v>
      </c>
      <c r="K38" s="1590"/>
      <c r="L38" s="1591" t="str">
        <f t="shared" si="3"/>
        <v/>
      </c>
      <c r="M38" s="1519">
        <v>25.5</v>
      </c>
      <c r="P38" s="1581"/>
      <c r="Q38" s="1582"/>
      <c r="R38" s="1592" t="s">
        <v>1986</v>
      </c>
      <c r="S38" s="1550" t="s">
        <v>122</v>
      </c>
      <c r="T38" s="1592">
        <v>0.01</v>
      </c>
      <c r="U38" s="1592"/>
      <c r="V38" s="1592"/>
      <c r="W38" s="1592"/>
      <c r="X38" s="1592"/>
      <c r="Y38" s="1592">
        <f t="shared" si="29"/>
        <v>0.01</v>
      </c>
      <c r="Z38" s="1592"/>
      <c r="AA38" s="1593">
        <f t="shared" si="2"/>
        <v>0</v>
      </c>
    </row>
    <row r="39" spans="1:27" ht="23.25">
      <c r="A39" s="1670"/>
      <c r="B39" s="1671"/>
      <c r="C39" s="2853" t="str">
        <f t="shared" si="22"/>
        <v>Milin</v>
      </c>
      <c r="D39" s="2851" t="str">
        <f t="shared" si="23"/>
        <v>Kg</v>
      </c>
      <c r="E39" s="2852">
        <f t="shared" si="24"/>
        <v>5.0000000000000001E-3</v>
      </c>
      <c r="F39" s="2852">
        <f t="shared" si="25"/>
        <v>0</v>
      </c>
      <c r="G39" s="2852">
        <f t="shared" si="26"/>
        <v>0</v>
      </c>
      <c r="H39" s="2852">
        <f t="shared" si="27"/>
        <v>0</v>
      </c>
      <c r="I39" s="2852">
        <f t="shared" si="28"/>
        <v>0</v>
      </c>
      <c r="J39" s="2857">
        <f t="shared" si="11"/>
        <v>5.0000000000000001E-3</v>
      </c>
      <c r="K39" s="1590"/>
      <c r="L39" s="1591" t="str">
        <f t="shared" si="3"/>
        <v/>
      </c>
      <c r="M39" s="1519">
        <v>25.5</v>
      </c>
      <c r="P39" s="1581"/>
      <c r="Q39" s="1582"/>
      <c r="R39" s="1592" t="s">
        <v>1987</v>
      </c>
      <c r="S39" s="1550" t="s">
        <v>122</v>
      </c>
      <c r="T39" s="1592">
        <v>0.01</v>
      </c>
      <c r="U39" s="1592"/>
      <c r="V39" s="1592"/>
      <c r="W39" s="1592"/>
      <c r="X39" s="1592"/>
      <c r="Y39" s="1592">
        <f t="shared" si="29"/>
        <v>0.01</v>
      </c>
      <c r="Z39" s="1592"/>
      <c r="AA39" s="1593">
        <f t="shared" si="2"/>
        <v>0</v>
      </c>
    </row>
    <row r="40" spans="1:27" ht="23.25">
      <c r="A40" s="1670"/>
      <c r="B40" s="1671"/>
      <c r="C40" s="2853" t="str">
        <f t="shared" si="22"/>
        <v>thé matcha</v>
      </c>
      <c r="D40" s="2851" t="str">
        <f t="shared" si="23"/>
        <v>Kg</v>
      </c>
      <c r="E40" s="2852">
        <f t="shared" si="24"/>
        <v>2.5000000000000001E-3</v>
      </c>
      <c r="F40" s="2852">
        <f t="shared" si="25"/>
        <v>0</v>
      </c>
      <c r="G40" s="2852">
        <f t="shared" si="26"/>
        <v>0</v>
      </c>
      <c r="H40" s="2852">
        <f t="shared" si="27"/>
        <v>0</v>
      </c>
      <c r="I40" s="2852">
        <f t="shared" si="28"/>
        <v>0</v>
      </c>
      <c r="J40" s="2857">
        <f t="shared" si="11"/>
        <v>2.5000000000000001E-3</v>
      </c>
      <c r="K40" s="1590"/>
      <c r="L40" s="1591" t="str">
        <f t="shared" si="3"/>
        <v/>
      </c>
      <c r="M40" s="1519">
        <v>25.5</v>
      </c>
      <c r="P40" s="1581"/>
      <c r="Q40" s="1582"/>
      <c r="R40" s="1592" t="s">
        <v>1988</v>
      </c>
      <c r="S40" s="1550" t="s">
        <v>122</v>
      </c>
      <c r="T40" s="1592">
        <v>5.0000000000000001E-3</v>
      </c>
      <c r="U40" s="1592"/>
      <c r="V40" s="1592"/>
      <c r="W40" s="1592"/>
      <c r="X40" s="1592"/>
      <c r="Y40" s="1592">
        <f t="shared" si="29"/>
        <v>5.0000000000000001E-3</v>
      </c>
      <c r="Z40" s="1592"/>
      <c r="AA40" s="1593">
        <f t="shared" si="2"/>
        <v>0</v>
      </c>
    </row>
    <row r="41" spans="1:27" ht="23.25">
      <c r="A41" s="1670"/>
      <c r="B41" s="1671"/>
      <c r="C41" s="2853" t="str">
        <f t="shared" si="22"/>
        <v>Pâte d'azukis</v>
      </c>
      <c r="D41" s="2851" t="str">
        <f t="shared" si="23"/>
        <v>Kg</v>
      </c>
      <c r="E41" s="2852">
        <f t="shared" si="24"/>
        <v>0.1</v>
      </c>
      <c r="F41" s="2852">
        <f t="shared" si="25"/>
        <v>0</v>
      </c>
      <c r="G41" s="2852">
        <f t="shared" si="26"/>
        <v>0</v>
      </c>
      <c r="H41" s="2852">
        <f t="shared" si="27"/>
        <v>0</v>
      </c>
      <c r="I41" s="2852">
        <f t="shared" si="28"/>
        <v>0</v>
      </c>
      <c r="J41" s="2857">
        <f t="shared" si="11"/>
        <v>0.1</v>
      </c>
      <c r="K41" s="1590"/>
      <c r="L41" s="1591" t="str">
        <f t="shared" si="3"/>
        <v/>
      </c>
      <c r="M41" s="1519">
        <v>25.5</v>
      </c>
      <c r="P41" s="1581"/>
      <c r="Q41" s="1582"/>
      <c r="R41" s="1592" t="s">
        <v>1989</v>
      </c>
      <c r="S41" s="1550" t="s">
        <v>122</v>
      </c>
      <c r="T41" s="1592">
        <v>0.2</v>
      </c>
      <c r="U41" s="1592"/>
      <c r="V41" s="1592"/>
      <c r="W41" s="1592"/>
      <c r="X41" s="1592"/>
      <c r="Y41" s="1592">
        <f t="shared" si="29"/>
        <v>0.2</v>
      </c>
      <c r="Z41" s="1592"/>
      <c r="AA41" s="1593">
        <f t="shared" si="2"/>
        <v>0</v>
      </c>
    </row>
    <row r="42" spans="1:27" ht="23.25">
      <c r="A42" s="1670"/>
      <c r="B42" s="1671"/>
      <c r="C42" s="2853" t="str">
        <f t="shared" si="22"/>
        <v>Jus de YUZU BOIRON</v>
      </c>
      <c r="D42" s="2851" t="str">
        <f t="shared" si="23"/>
        <v>L</v>
      </c>
      <c r="E42" s="2852">
        <f t="shared" si="24"/>
        <v>0</v>
      </c>
      <c r="F42" s="2852">
        <f t="shared" si="25"/>
        <v>0.1</v>
      </c>
      <c r="G42" s="2852">
        <f t="shared" si="26"/>
        <v>0</v>
      </c>
      <c r="H42" s="2852">
        <f t="shared" si="27"/>
        <v>0</v>
      </c>
      <c r="I42" s="2852">
        <f t="shared" si="28"/>
        <v>0</v>
      </c>
      <c r="J42" s="2857">
        <f t="shared" si="11"/>
        <v>0.1</v>
      </c>
      <c r="K42" s="1590"/>
      <c r="L42" s="1591" t="str">
        <f t="shared" si="3"/>
        <v/>
      </c>
      <c r="M42" s="1519">
        <v>25.5</v>
      </c>
      <c r="P42" s="1581"/>
      <c r="Q42" s="1582"/>
      <c r="R42" s="1592" t="s">
        <v>1990</v>
      </c>
      <c r="S42" s="1550" t="s">
        <v>224</v>
      </c>
      <c r="T42" s="1592"/>
      <c r="U42" s="1592">
        <v>0.2</v>
      </c>
      <c r="V42" s="1592"/>
      <c r="W42" s="1592"/>
      <c r="X42" s="1592"/>
      <c r="Y42" s="1592">
        <f t="shared" si="29"/>
        <v>0.2</v>
      </c>
      <c r="Z42" s="1592"/>
      <c r="AA42" s="1593">
        <f t="shared" si="2"/>
        <v>0</v>
      </c>
    </row>
    <row r="43" spans="1:27" ht="23.25">
      <c r="A43" s="1670"/>
      <c r="B43" s="1671"/>
      <c r="C43" s="2853" t="str">
        <f t="shared" si="22"/>
        <v>sucre</v>
      </c>
      <c r="D43" s="2851" t="str">
        <f t="shared" si="23"/>
        <v>Kg</v>
      </c>
      <c r="E43" s="2852">
        <f t="shared" si="24"/>
        <v>0</v>
      </c>
      <c r="F43" s="2852">
        <f t="shared" si="25"/>
        <v>0.22499999999999998</v>
      </c>
      <c r="G43" s="2852">
        <f t="shared" si="26"/>
        <v>0.2</v>
      </c>
      <c r="H43" s="2852">
        <f t="shared" si="27"/>
        <v>0</v>
      </c>
      <c r="I43" s="2852">
        <f t="shared" si="28"/>
        <v>0</v>
      </c>
      <c r="J43" s="2857">
        <f t="shared" si="11"/>
        <v>0.42499999999999999</v>
      </c>
      <c r="K43" s="1590"/>
      <c r="L43" s="1591" t="str">
        <f t="shared" si="3"/>
        <v/>
      </c>
      <c r="M43" s="1519">
        <v>25.5</v>
      </c>
      <c r="P43" s="1581"/>
      <c r="Q43" s="1582"/>
      <c r="R43" s="1592" t="s">
        <v>216</v>
      </c>
      <c r="S43" s="1550" t="s">
        <v>122</v>
      </c>
      <c r="T43" s="1592"/>
      <c r="U43" s="1592">
        <v>0.45</v>
      </c>
      <c r="V43" s="1592">
        <v>0.4</v>
      </c>
      <c r="W43" s="1592"/>
      <c r="X43" s="1592"/>
      <c r="Y43" s="1592">
        <f t="shared" si="29"/>
        <v>0.85000000000000009</v>
      </c>
      <c r="Z43" s="1592"/>
      <c r="AA43" s="1593">
        <f t="shared" si="2"/>
        <v>0</v>
      </c>
    </row>
    <row r="44" spans="1:27" ht="23.25">
      <c r="A44" s="1670"/>
      <c r="B44" s="1671"/>
      <c r="C44" s="2853" t="str">
        <f t="shared" si="22"/>
        <v xml:space="preserve">Eau </v>
      </c>
      <c r="D44" s="2851" t="str">
        <f t="shared" si="23"/>
        <v>L</v>
      </c>
      <c r="E44" s="2852">
        <f t="shared" si="24"/>
        <v>0</v>
      </c>
      <c r="F44" s="2852">
        <f t="shared" si="25"/>
        <v>0.25</v>
      </c>
      <c r="G44" s="2852">
        <f t="shared" si="26"/>
        <v>0.5</v>
      </c>
      <c r="H44" s="2852">
        <f t="shared" si="27"/>
        <v>0</v>
      </c>
      <c r="I44" s="2852">
        <f t="shared" si="28"/>
        <v>0</v>
      </c>
      <c r="J44" s="2857">
        <f t="shared" si="11"/>
        <v>0.75</v>
      </c>
      <c r="K44" s="1590"/>
      <c r="L44" s="1591" t="str">
        <f t="shared" si="3"/>
        <v/>
      </c>
      <c r="M44" s="1519">
        <v>25.5</v>
      </c>
      <c r="P44" s="1581"/>
      <c r="Q44" s="1582"/>
      <c r="R44" s="1592" t="s">
        <v>1991</v>
      </c>
      <c r="S44" s="1550" t="s">
        <v>224</v>
      </c>
      <c r="T44" s="1592"/>
      <c r="U44" s="1592">
        <v>0.5</v>
      </c>
      <c r="V44" s="1592">
        <v>1</v>
      </c>
      <c r="W44" s="1592"/>
      <c r="X44" s="1592"/>
      <c r="Y44" s="1592">
        <f t="shared" si="29"/>
        <v>1.5</v>
      </c>
      <c r="Z44" s="1592"/>
      <c r="AA44" s="1593">
        <f t="shared" si="2"/>
        <v>0</v>
      </c>
    </row>
    <row r="45" spans="1:27" ht="23.25">
      <c r="A45" s="1670"/>
      <c r="B45" s="1671"/>
      <c r="C45" s="2853" t="str">
        <f t="shared" si="22"/>
        <v>trimoline</v>
      </c>
      <c r="D45" s="2851" t="str">
        <f t="shared" si="23"/>
        <v>kg</v>
      </c>
      <c r="E45" s="2852">
        <f t="shared" si="24"/>
        <v>0</v>
      </c>
      <c r="F45" s="2852">
        <f t="shared" si="25"/>
        <v>3.5000000000000003E-2</v>
      </c>
      <c r="G45" s="2852">
        <f t="shared" si="26"/>
        <v>0</v>
      </c>
      <c r="H45" s="2852">
        <f t="shared" si="27"/>
        <v>0</v>
      </c>
      <c r="I45" s="2852">
        <f t="shared" si="28"/>
        <v>0</v>
      </c>
      <c r="J45" s="2857">
        <f t="shared" si="11"/>
        <v>3.5000000000000003E-2</v>
      </c>
      <c r="K45" s="1590"/>
      <c r="L45" s="1591" t="str">
        <f t="shared" si="3"/>
        <v/>
      </c>
      <c r="M45" s="1519">
        <v>25.5</v>
      </c>
      <c r="P45" s="1581"/>
      <c r="Q45" s="1582"/>
      <c r="R45" s="1592" t="s">
        <v>1992</v>
      </c>
      <c r="S45" s="1550" t="s">
        <v>166</v>
      </c>
      <c r="T45" s="1592"/>
      <c r="U45" s="1592">
        <v>7.0000000000000007E-2</v>
      </c>
      <c r="V45" s="1592"/>
      <c r="W45" s="1592"/>
      <c r="X45" s="1592"/>
      <c r="Y45" s="1592">
        <f t="shared" si="29"/>
        <v>7.0000000000000007E-2</v>
      </c>
      <c r="Z45" s="1592"/>
      <c r="AA45" s="1593">
        <f t="shared" si="2"/>
        <v>0</v>
      </c>
    </row>
    <row r="46" spans="1:27" ht="21.75" customHeight="1">
      <c r="A46" s="1539"/>
      <c r="B46" s="1671"/>
      <c r="C46" s="2853" t="str">
        <f t="shared" si="22"/>
        <v>pulpe de mangue</v>
      </c>
      <c r="D46" s="2851" t="str">
        <f t="shared" si="23"/>
        <v>kg</v>
      </c>
      <c r="E46" s="2852">
        <f t="shared" si="24"/>
        <v>0</v>
      </c>
      <c r="F46" s="2852">
        <f t="shared" si="25"/>
        <v>0</v>
      </c>
      <c r="G46" s="2852">
        <f t="shared" si="26"/>
        <v>0</v>
      </c>
      <c r="H46" s="2852">
        <f t="shared" si="27"/>
        <v>0</v>
      </c>
      <c r="I46" s="2852">
        <f t="shared" si="28"/>
        <v>0.06</v>
      </c>
      <c r="J46" s="2857">
        <f t="shared" si="11"/>
        <v>0.06</v>
      </c>
      <c r="K46" s="1590"/>
      <c r="L46" s="1591" t="str">
        <f t="shared" si="3"/>
        <v/>
      </c>
      <c r="M46" s="1519">
        <v>25.5</v>
      </c>
      <c r="P46" s="1520"/>
      <c r="Q46" s="1582"/>
      <c r="R46" s="1592" t="s">
        <v>1993</v>
      </c>
      <c r="S46" s="1550" t="s">
        <v>166</v>
      </c>
      <c r="T46" s="1610"/>
      <c r="U46" s="1610"/>
      <c r="V46" s="1610"/>
      <c r="W46" s="1610"/>
      <c r="X46" s="1610">
        <v>0.12</v>
      </c>
      <c r="Y46" s="1610">
        <f t="shared" si="29"/>
        <v>0.12</v>
      </c>
      <c r="Z46" s="1592"/>
      <c r="AA46" s="1611">
        <f t="shared" si="2"/>
        <v>0</v>
      </c>
    </row>
    <row r="47" spans="1:27" ht="24" customHeight="1">
      <c r="A47" s="1533"/>
      <c r="B47" s="1612" t="s">
        <v>1480</v>
      </c>
      <c r="C47" s="1613"/>
      <c r="D47" s="1613"/>
      <c r="E47" s="1613"/>
      <c r="F47" s="1613"/>
      <c r="G47" s="1614"/>
      <c r="H47" s="1615"/>
      <c r="I47" s="1615"/>
      <c r="J47" s="1615" t="str">
        <f t="shared" si="11"/>
        <v/>
      </c>
      <c r="K47" s="1615" t="s">
        <v>2411</v>
      </c>
      <c r="L47" s="1616" t="str">
        <f>IF(J47="","",(J47*K47))</f>
        <v/>
      </c>
      <c r="M47" s="1519">
        <v>25.5</v>
      </c>
      <c r="P47" s="1533"/>
      <c r="Q47" s="1617" t="s">
        <v>1480</v>
      </c>
      <c r="R47" s="1536"/>
      <c r="S47" s="1536"/>
      <c r="T47" s="1192"/>
      <c r="U47" s="1192"/>
      <c r="V47" s="1533"/>
      <c r="W47" s="1536"/>
      <c r="X47" s="1536"/>
      <c r="Y47" s="1536" t="str">
        <f t="shared" si="29"/>
        <v/>
      </c>
      <c r="Z47" s="1536" t="s">
        <v>2411</v>
      </c>
      <c r="AA47" s="1616" t="str">
        <f>IF(Y47="","",(Y47*Z47))</f>
        <v/>
      </c>
    </row>
    <row r="48" spans="1:27" ht="21">
      <c r="A48" s="1581"/>
      <c r="B48" s="1618"/>
      <c r="C48" s="1619"/>
      <c r="D48" s="1618"/>
      <c r="E48" s="1619"/>
      <c r="F48" s="1619"/>
      <c r="G48" s="3522" t="s">
        <v>2288</v>
      </c>
      <c r="H48" s="3523"/>
      <c r="I48" s="1620">
        <f>L2</f>
        <v>5</v>
      </c>
      <c r="J48" s="1621"/>
      <c r="K48" s="1621"/>
      <c r="L48" s="1622">
        <f>SUM(L8:L46)</f>
        <v>0</v>
      </c>
      <c r="M48" s="1519">
        <v>25.5</v>
      </c>
      <c r="P48" s="1581"/>
      <c r="Q48" s="1352"/>
      <c r="R48" s="1623"/>
      <c r="S48" s="1192"/>
      <c r="T48" s="1623"/>
      <c r="U48" s="1623"/>
      <c r="V48" s="1624" t="s">
        <v>1482</v>
      </c>
      <c r="W48" s="1625"/>
      <c r="X48" s="1625"/>
      <c r="Y48" s="1625"/>
      <c r="Z48" s="1625"/>
      <c r="AA48" s="1626">
        <f>SUM(AA8:AA47)</f>
        <v>0</v>
      </c>
    </row>
    <row r="49" spans="1:27" ht="21">
      <c r="A49" s="1581"/>
      <c r="B49" s="1618" t="s">
        <v>1994</v>
      </c>
      <c r="C49" s="1618"/>
      <c r="D49" s="1618"/>
      <c r="E49" s="1618"/>
      <c r="F49" s="1618"/>
      <c r="G49" s="3548" t="s">
        <v>1483</v>
      </c>
      <c r="H49" s="3549"/>
      <c r="I49" s="3549"/>
      <c r="J49" s="3549"/>
      <c r="K49" s="1627">
        <v>0.02</v>
      </c>
      <c r="L49" s="1622">
        <f>L48*K49</f>
        <v>0</v>
      </c>
      <c r="M49" s="1519"/>
      <c r="P49" s="1581"/>
      <c r="Q49" s="1352" t="s">
        <v>1994</v>
      </c>
      <c r="R49" s="1192"/>
      <c r="S49" s="1192"/>
      <c r="T49" s="1192"/>
      <c r="U49" s="1192"/>
      <c r="V49" s="1628" t="s">
        <v>1483</v>
      </c>
      <c r="W49" s="1192"/>
      <c r="X49" s="1192"/>
      <c r="Y49" s="1192"/>
      <c r="Z49" s="1192"/>
      <c r="AA49" s="1537"/>
    </row>
    <row r="50" spans="1:27" ht="21.75" thickBot="1">
      <c r="A50" s="1520"/>
      <c r="B50" s="1629"/>
      <c r="C50" s="1629"/>
      <c r="D50" s="1629"/>
      <c r="E50" s="1629"/>
      <c r="F50" s="1629"/>
      <c r="G50" s="3614" t="s">
        <v>2289</v>
      </c>
      <c r="H50" s="3615"/>
      <c r="I50" s="3615"/>
      <c r="J50" s="3615"/>
      <c r="K50" s="1630"/>
      <c r="L50" s="1631">
        <f>(L48+L49)/I48</f>
        <v>0</v>
      </c>
      <c r="M50" s="1519">
        <v>33.75</v>
      </c>
      <c r="P50" s="1520"/>
      <c r="Q50" s="1632"/>
      <c r="R50" s="1633"/>
      <c r="S50" s="1633"/>
      <c r="T50" s="1633"/>
      <c r="U50" s="1633"/>
      <c r="V50" s="1634" t="s">
        <v>1484</v>
      </c>
      <c r="W50" s="1633"/>
      <c r="X50" s="1633"/>
      <c r="Y50" s="1633"/>
      <c r="Z50" s="1635"/>
      <c r="AA50" s="1636">
        <f>AA48/X2</f>
        <v>0</v>
      </c>
    </row>
    <row r="51" spans="1:27" ht="13.5" thickBot="1">
      <c r="M51" s="1519">
        <v>33.25</v>
      </c>
    </row>
    <row r="52" spans="1:27" ht="28.5">
      <c r="A52" s="1637" t="str">
        <f>B2</f>
        <v>DORAYAKI au thé matcha, pâte d'azuki, sorbet YUZU</v>
      </c>
      <c r="B52" s="2859"/>
      <c r="C52" s="1638"/>
      <c r="D52" s="1639"/>
      <c r="E52" s="1639"/>
      <c r="F52" s="1639"/>
      <c r="G52" s="1639"/>
      <c r="H52" s="1639"/>
      <c r="I52" s="1639"/>
      <c r="J52" s="1639"/>
      <c r="K52" s="1640" t="s">
        <v>104</v>
      </c>
      <c r="L52" s="3552">
        <v>1</v>
      </c>
      <c r="M52" s="1519">
        <v>33.75</v>
      </c>
    </row>
    <row r="53" spans="1:27" ht="21">
      <c r="A53" s="1642" t="str">
        <f ca="1">MID(CELL("filename",A53),FIND("[",CELL("filename",A53)),300)</f>
        <v>[ff-8-restauration-Christian.Frechede.xlsx]dorayaki (2)</v>
      </c>
      <c r="B53" s="1192"/>
      <c r="C53" s="1643"/>
      <c r="D53" s="1644"/>
      <c r="E53" s="1645"/>
      <c r="F53" s="1645"/>
      <c r="G53" s="1646"/>
      <c r="H53" s="360" t="s">
        <v>103</v>
      </c>
      <c r="I53" s="3553">
        <f ca="1">NOW()</f>
        <v>44545.461550462962</v>
      </c>
      <c r="J53" s="3553"/>
      <c r="K53" s="1647">
        <f ca="1">NOW()</f>
        <v>44545.461550462962</v>
      </c>
      <c r="L53" s="3538"/>
      <c r="M53" s="1519">
        <v>33.25</v>
      </c>
    </row>
    <row r="54" spans="1:27" ht="20.25" customHeight="1">
      <c r="A54" s="1648"/>
      <c r="B54" s="1191" t="s">
        <v>8</v>
      </c>
      <c r="C54" s="3554" t="s">
        <v>107</v>
      </c>
      <c r="D54" s="3554"/>
      <c r="E54" s="3554"/>
      <c r="F54" s="3554"/>
      <c r="G54" s="3554"/>
      <c r="H54" s="3554"/>
      <c r="I54" s="3554"/>
      <c r="J54" s="3554"/>
      <c r="K54" s="3555"/>
      <c r="L54" s="3556" t="str">
        <f>A52</f>
        <v>DORAYAKI au thé matcha, pâte d'azuki, sorbet YUZU</v>
      </c>
      <c r="M54" s="1519">
        <v>27.75</v>
      </c>
    </row>
    <row r="55" spans="1:27" ht="23.25">
      <c r="A55" s="1384"/>
      <c r="B55" s="1385"/>
      <c r="C55" s="1385"/>
      <c r="D55" s="1385"/>
      <c r="E55" s="1385"/>
      <c r="F55" s="1385"/>
      <c r="G55" s="1385"/>
      <c r="H55" s="1385"/>
      <c r="I55" s="1385"/>
      <c r="J55" s="1385"/>
      <c r="K55" s="1385"/>
      <c r="L55" s="3557"/>
      <c r="M55" s="1519">
        <v>23</v>
      </c>
    </row>
    <row r="56" spans="1:27" ht="23.25">
      <c r="A56" s="3559" t="s">
        <v>137</v>
      </c>
      <c r="B56" s="3560"/>
      <c r="C56" s="3560"/>
      <c r="D56" s="3560"/>
      <c r="E56" s="3560"/>
      <c r="F56" s="3560"/>
      <c r="G56" s="3560"/>
      <c r="H56" s="3560"/>
      <c r="I56" s="3560"/>
      <c r="J56" s="3560"/>
      <c r="K56" s="3561"/>
      <c r="L56" s="3557"/>
      <c r="M56" s="1519">
        <v>23</v>
      </c>
    </row>
    <row r="57" spans="1:27" ht="18.75">
      <c r="A57" s="358">
        <v>1</v>
      </c>
      <c r="B57" s="1649"/>
      <c r="C57" s="1649"/>
      <c r="D57" s="1649"/>
      <c r="E57" s="358">
        <v>1</v>
      </c>
      <c r="F57" s="1649"/>
      <c r="G57" s="1649"/>
      <c r="H57" s="1649"/>
      <c r="I57" s="1649"/>
      <c r="J57" s="1649"/>
      <c r="K57" s="1650"/>
      <c r="L57" s="3557"/>
      <c r="M57" s="1519">
        <v>23</v>
      </c>
    </row>
    <row r="58" spans="1:27" ht="18.75">
      <c r="A58" s="358">
        <v>2</v>
      </c>
      <c r="B58" s="1649"/>
      <c r="C58" s="1649"/>
      <c r="D58" s="1649"/>
      <c r="E58" s="358">
        <v>2</v>
      </c>
      <c r="F58" s="1649"/>
      <c r="G58" s="1649"/>
      <c r="H58" s="1649"/>
      <c r="I58" s="1649"/>
      <c r="J58" s="1649"/>
      <c r="K58" s="1650"/>
      <c r="L58" s="3557"/>
      <c r="M58" s="1519">
        <v>23</v>
      </c>
    </row>
    <row r="59" spans="1:27" ht="18.75">
      <c r="A59" s="358">
        <v>3</v>
      </c>
      <c r="B59" s="1649"/>
      <c r="C59" s="1649"/>
      <c r="D59" s="1649"/>
      <c r="E59" s="358">
        <v>3</v>
      </c>
      <c r="F59" s="1649"/>
      <c r="G59" s="1649"/>
      <c r="H59" s="1649"/>
      <c r="I59" s="1649"/>
      <c r="J59" s="1649"/>
      <c r="K59" s="1649"/>
      <c r="L59" s="3557"/>
      <c r="M59" s="1519">
        <v>23</v>
      </c>
    </row>
    <row r="60" spans="1:27" ht="18.75">
      <c r="A60" s="358">
        <v>4</v>
      </c>
      <c r="B60" s="1649"/>
      <c r="C60" s="1649"/>
      <c r="D60" s="1649"/>
      <c r="E60" s="358">
        <v>4</v>
      </c>
      <c r="F60" s="1649"/>
      <c r="G60" s="1649"/>
      <c r="H60" s="1649"/>
      <c r="I60" s="1649"/>
      <c r="J60" s="1649"/>
      <c r="K60" s="1649"/>
      <c r="L60" s="3557"/>
      <c r="M60" s="1519">
        <v>23</v>
      </c>
    </row>
    <row r="61" spans="1:27" ht="18.75">
      <c r="A61" s="358">
        <v>5</v>
      </c>
      <c r="B61" s="1649"/>
      <c r="C61" s="1649"/>
      <c r="D61" s="1649"/>
      <c r="E61" s="358">
        <v>5</v>
      </c>
      <c r="F61" s="1649"/>
      <c r="G61" s="1649"/>
      <c r="H61" s="1649"/>
      <c r="I61" s="1649"/>
      <c r="J61" s="1649"/>
      <c r="K61" s="1649"/>
      <c r="L61" s="3557"/>
      <c r="M61" s="1519">
        <v>23</v>
      </c>
    </row>
    <row r="62" spans="1:27" ht="18.75">
      <c r="A62" s="358">
        <v>6</v>
      </c>
      <c r="B62" s="1649"/>
      <c r="C62" s="1649"/>
      <c r="D62" s="1649"/>
      <c r="E62" s="358">
        <v>6</v>
      </c>
      <c r="F62" s="1649"/>
      <c r="G62" s="1649"/>
      <c r="H62" s="1649"/>
      <c r="I62" s="1649"/>
      <c r="J62" s="1649"/>
      <c r="K62" s="1649"/>
      <c r="L62" s="3557"/>
      <c r="M62" s="1519">
        <v>23</v>
      </c>
    </row>
    <row r="63" spans="1:27" ht="18.75">
      <c r="A63" s="358">
        <v>7</v>
      </c>
      <c r="B63" s="1649"/>
      <c r="C63" s="1649"/>
      <c r="D63" s="1649"/>
      <c r="E63" s="358">
        <v>7</v>
      </c>
      <c r="F63" s="1649"/>
      <c r="G63" s="1649"/>
      <c r="H63" s="1649"/>
      <c r="I63" s="1649"/>
      <c r="J63" s="1649"/>
      <c r="K63" s="1649"/>
      <c r="L63" s="3557"/>
      <c r="M63" s="1519">
        <v>23</v>
      </c>
    </row>
    <row r="64" spans="1:27" ht="18.75">
      <c r="A64" s="358">
        <v>8</v>
      </c>
      <c r="B64" s="1649"/>
      <c r="C64" s="1649"/>
      <c r="D64" s="1649"/>
      <c r="E64" s="358">
        <v>8</v>
      </c>
      <c r="F64" s="1649"/>
      <c r="G64" s="1649"/>
      <c r="H64" s="1649"/>
      <c r="I64" s="1649"/>
      <c r="J64" s="1649"/>
      <c r="K64" s="1649"/>
      <c r="L64" s="3557"/>
      <c r="M64" s="1519">
        <v>23</v>
      </c>
    </row>
    <row r="65" spans="1:13" ht="18.75">
      <c r="A65" s="358">
        <v>9</v>
      </c>
      <c r="B65" s="1649"/>
      <c r="C65" s="1649"/>
      <c r="D65" s="1649"/>
      <c r="E65" s="358">
        <v>9</v>
      </c>
      <c r="F65" s="1649"/>
      <c r="G65" s="1649"/>
      <c r="H65" s="1649"/>
      <c r="I65" s="1649"/>
      <c r="J65" s="1649"/>
      <c r="K65" s="1649"/>
      <c r="L65" s="3557"/>
      <c r="M65" s="1519">
        <v>23</v>
      </c>
    </row>
    <row r="66" spans="1:13" ht="18.75">
      <c r="A66" s="358">
        <v>10</v>
      </c>
      <c r="B66" s="1649"/>
      <c r="C66" s="1649"/>
      <c r="D66" s="1649"/>
      <c r="E66" s="358">
        <v>10</v>
      </c>
      <c r="F66" s="1649"/>
      <c r="G66" s="1649"/>
      <c r="H66" s="1649"/>
      <c r="I66" s="1649"/>
      <c r="J66" s="1649"/>
      <c r="K66" s="1649"/>
      <c r="L66" s="3557"/>
      <c r="M66" s="1519">
        <v>23</v>
      </c>
    </row>
    <row r="67" spans="1:13" ht="18.75">
      <c r="A67" s="358">
        <v>11</v>
      </c>
      <c r="B67" s="1649"/>
      <c r="C67" s="1649"/>
      <c r="D67" s="1649"/>
      <c r="E67" s="358">
        <v>11</v>
      </c>
      <c r="F67" s="1649"/>
      <c r="G67" s="1649"/>
      <c r="H67" s="1649"/>
      <c r="I67" s="1649"/>
      <c r="J67" s="1649"/>
      <c r="K67" s="1649"/>
      <c r="L67" s="3557"/>
      <c r="M67" s="1519">
        <v>23</v>
      </c>
    </row>
    <row r="68" spans="1:13" ht="18.75">
      <c r="A68" s="358">
        <v>12</v>
      </c>
      <c r="B68" s="1649"/>
      <c r="C68" s="1649"/>
      <c r="D68" s="1649"/>
      <c r="E68" s="358">
        <v>12</v>
      </c>
      <c r="F68" s="1649"/>
      <c r="G68" s="1649"/>
      <c r="H68" s="1649"/>
      <c r="I68" s="1649"/>
      <c r="J68" s="1649"/>
      <c r="K68" s="1649"/>
      <c r="L68" s="3557"/>
      <c r="M68" s="1519">
        <v>23</v>
      </c>
    </row>
    <row r="69" spans="1:13" ht="18.75">
      <c r="A69" s="358">
        <v>13</v>
      </c>
      <c r="B69" s="1649"/>
      <c r="C69" s="1649"/>
      <c r="D69" s="1649"/>
      <c r="E69" s="358">
        <v>13</v>
      </c>
      <c r="F69" s="1649"/>
      <c r="G69" s="1649"/>
      <c r="H69" s="1649"/>
      <c r="I69" s="1649"/>
      <c r="J69" s="1649"/>
      <c r="K69" s="1649"/>
      <c r="L69" s="3557"/>
      <c r="M69" s="1519">
        <v>23</v>
      </c>
    </row>
    <row r="70" spans="1:13" ht="18.75">
      <c r="A70" s="358">
        <v>14</v>
      </c>
      <c r="B70" s="1649"/>
      <c r="C70" s="1649"/>
      <c r="D70" s="1649"/>
      <c r="E70" s="358">
        <v>14</v>
      </c>
      <c r="F70" s="1649"/>
      <c r="G70" s="1649"/>
      <c r="H70" s="1649"/>
      <c r="I70" s="1649"/>
      <c r="J70" s="1649"/>
      <c r="K70" s="1649"/>
      <c r="L70" s="3557"/>
      <c r="M70" s="1519">
        <v>23</v>
      </c>
    </row>
    <row r="71" spans="1:13" ht="18.75">
      <c r="A71" s="358">
        <v>15</v>
      </c>
      <c r="B71" s="1649"/>
      <c r="C71" s="1649"/>
      <c r="D71" s="1649"/>
      <c r="E71" s="358">
        <v>15</v>
      </c>
      <c r="F71" s="1649"/>
      <c r="G71" s="1649"/>
      <c r="H71" s="1649"/>
      <c r="I71" s="1649"/>
      <c r="J71" s="1649"/>
      <c r="K71" s="1649"/>
      <c r="L71" s="3557"/>
      <c r="M71" s="1519">
        <v>23</v>
      </c>
    </row>
    <row r="72" spans="1:13" ht="18.75">
      <c r="A72" s="358">
        <v>16</v>
      </c>
      <c r="B72" s="1649"/>
      <c r="C72" s="1649"/>
      <c r="D72" s="1649"/>
      <c r="E72" s="358">
        <v>16</v>
      </c>
      <c r="F72" s="1649"/>
      <c r="G72" s="1649"/>
      <c r="H72" s="1649"/>
      <c r="I72" s="1649"/>
      <c r="J72" s="1649"/>
      <c r="K72" s="1649"/>
      <c r="L72" s="3557"/>
      <c r="M72" s="1519">
        <v>23</v>
      </c>
    </row>
    <row r="73" spans="1:13" ht="18.75">
      <c r="A73" s="358">
        <v>17</v>
      </c>
      <c r="B73" s="1649"/>
      <c r="C73" s="1649"/>
      <c r="D73" s="1649"/>
      <c r="E73" s="358">
        <v>17</v>
      </c>
      <c r="F73" s="1649"/>
      <c r="G73" s="1649"/>
      <c r="H73" s="1649"/>
      <c r="I73" s="1649"/>
      <c r="J73" s="1649"/>
      <c r="K73" s="1649"/>
      <c r="L73" s="3557"/>
      <c r="M73" s="1519">
        <v>23</v>
      </c>
    </row>
    <row r="74" spans="1:13" ht="18.75">
      <c r="A74" s="358">
        <v>18</v>
      </c>
      <c r="B74" s="1649"/>
      <c r="C74" s="1649"/>
      <c r="D74" s="1649"/>
      <c r="E74" s="358">
        <v>18</v>
      </c>
      <c r="F74" s="1649"/>
      <c r="G74" s="1649"/>
      <c r="H74" s="1649"/>
      <c r="I74" s="1649"/>
      <c r="J74" s="1649"/>
      <c r="K74" s="1649"/>
      <c r="L74" s="3557"/>
      <c r="M74" s="1519">
        <v>23</v>
      </c>
    </row>
    <row r="75" spans="1:13" ht="18.75">
      <c r="A75" s="359">
        <v>19</v>
      </c>
      <c r="B75" s="1649"/>
      <c r="C75" s="1649"/>
      <c r="D75" s="1649"/>
      <c r="E75" s="358">
        <v>19</v>
      </c>
      <c r="F75" s="1649"/>
      <c r="G75" s="1649"/>
      <c r="H75" s="1649"/>
      <c r="I75" s="1649"/>
      <c r="J75" s="1649"/>
      <c r="K75" s="1649"/>
      <c r="L75" s="3557"/>
      <c r="M75" s="1519">
        <v>23</v>
      </c>
    </row>
    <row r="76" spans="1:13" ht="21">
      <c r="A76" s="1651"/>
      <c r="B76" s="3562" t="s">
        <v>94</v>
      </c>
      <c r="C76" s="3562"/>
      <c r="D76" s="3563"/>
      <c r="E76" s="3564" t="s">
        <v>95</v>
      </c>
      <c r="F76" s="3565"/>
      <c r="G76" s="3565"/>
      <c r="H76" s="3565"/>
      <c r="I76" s="3565"/>
      <c r="J76" s="3565"/>
      <c r="K76" s="3566"/>
      <c r="L76" s="3557"/>
      <c r="M76" s="1519">
        <v>23</v>
      </c>
    </row>
    <row r="77" spans="1:13" ht="18.75">
      <c r="A77" s="357">
        <v>1</v>
      </c>
      <c r="B77" s="1652"/>
      <c r="C77" s="1653"/>
      <c r="D77" s="1653"/>
      <c r="E77" s="357">
        <v>1</v>
      </c>
      <c r="F77" s="1653"/>
      <c r="G77" s="1653"/>
      <c r="H77" s="1653"/>
      <c r="I77" s="1653"/>
      <c r="J77" s="1653"/>
      <c r="K77" s="1653"/>
      <c r="L77" s="3557"/>
      <c r="M77" s="1519">
        <v>23</v>
      </c>
    </row>
    <row r="78" spans="1:13" ht="18.75">
      <c r="A78" s="358">
        <v>2</v>
      </c>
      <c r="B78" s="1653"/>
      <c r="C78" s="1653"/>
      <c r="D78" s="1653"/>
      <c r="E78" s="358">
        <v>2</v>
      </c>
      <c r="F78" s="1653"/>
      <c r="G78" s="1653"/>
      <c r="H78" s="1653"/>
      <c r="I78" s="1653"/>
      <c r="J78" s="1653"/>
      <c r="K78" s="1653"/>
      <c r="L78" s="3557"/>
      <c r="M78" s="1519">
        <v>23</v>
      </c>
    </row>
    <row r="79" spans="1:13" ht="18.75">
      <c r="A79" s="358">
        <v>3</v>
      </c>
      <c r="B79" s="1653"/>
      <c r="C79" s="1653"/>
      <c r="D79" s="1653"/>
      <c r="E79" s="358">
        <v>3</v>
      </c>
      <c r="F79" s="1653"/>
      <c r="G79" s="1653"/>
      <c r="H79" s="1653"/>
      <c r="I79" s="1653"/>
      <c r="J79" s="1653"/>
      <c r="K79" s="1653"/>
      <c r="L79" s="3557"/>
      <c r="M79" s="1519">
        <v>23</v>
      </c>
    </row>
    <row r="80" spans="1:13" ht="18.75">
      <c r="A80" s="358">
        <v>4</v>
      </c>
      <c r="B80" s="1653"/>
      <c r="C80" s="1653"/>
      <c r="D80" s="1653"/>
      <c r="E80" s="358">
        <v>4</v>
      </c>
      <c r="F80" s="1653"/>
      <c r="G80" s="1653"/>
      <c r="H80" s="1653"/>
      <c r="I80" s="1653"/>
      <c r="J80" s="1653"/>
      <c r="K80" s="1653"/>
      <c r="L80" s="3557"/>
      <c r="M80" s="1519">
        <v>23</v>
      </c>
    </row>
    <row r="81" spans="1:13" ht="18.75">
      <c r="A81" s="358">
        <v>5</v>
      </c>
      <c r="B81" s="1653"/>
      <c r="C81" s="1653"/>
      <c r="D81" s="1653"/>
      <c r="E81" s="358">
        <v>5</v>
      </c>
      <c r="F81" s="1653"/>
      <c r="G81" s="1653"/>
      <c r="H81" s="1653"/>
      <c r="I81" s="1653"/>
      <c r="J81" s="1653"/>
      <c r="K81" s="1653"/>
      <c r="L81" s="3557"/>
      <c r="M81" s="1519">
        <v>23</v>
      </c>
    </row>
    <row r="82" spans="1:13" ht="18.75">
      <c r="A82" s="358">
        <v>6</v>
      </c>
      <c r="B82" s="1653"/>
      <c r="C82" s="1653"/>
      <c r="D82" s="1653"/>
      <c r="E82" s="358">
        <v>6</v>
      </c>
      <c r="F82" s="1653"/>
      <c r="G82" s="1653"/>
      <c r="H82" s="1653"/>
      <c r="I82" s="1653"/>
      <c r="J82" s="1653"/>
      <c r="K82" s="1653"/>
      <c r="L82" s="3557"/>
      <c r="M82" s="1519">
        <v>23</v>
      </c>
    </row>
    <row r="83" spans="1:13" ht="18.75">
      <c r="A83" s="358">
        <v>7</v>
      </c>
      <c r="B83" s="1653"/>
      <c r="C83" s="1653"/>
      <c r="D83" s="1653"/>
      <c r="E83" s="358">
        <v>7</v>
      </c>
      <c r="F83" s="1653"/>
      <c r="G83" s="1653"/>
      <c r="H83" s="1653"/>
      <c r="I83" s="1653"/>
      <c r="J83" s="1653"/>
      <c r="K83" s="1653"/>
      <c r="L83" s="3557"/>
      <c r="M83" s="1519">
        <v>23</v>
      </c>
    </row>
    <row r="84" spans="1:13" ht="15">
      <c r="A84" s="1654"/>
      <c r="B84" s="1399" t="e">
        <f>A88*#REF!</f>
        <v>#VALUE!</v>
      </c>
      <c r="C84" s="1399" t="e">
        <f>B84*A88</f>
        <v>#VALUE!</v>
      </c>
      <c r="D84" s="1399" t="e">
        <f>C84*B84</f>
        <v>#VALUE!</v>
      </c>
      <c r="E84" s="1399" t="e">
        <f>D84*C84</f>
        <v>#VALUE!</v>
      </c>
      <c r="F84" s="1399" t="e">
        <f>E84*D84</f>
        <v>#VALUE!</v>
      </c>
      <c r="G84" s="1399" t="e">
        <f>D84*C84</f>
        <v>#VALUE!</v>
      </c>
      <c r="H84" s="1399" t="e">
        <f t="shared" ref="H84:K84" si="30">G84*F84</f>
        <v>#VALUE!</v>
      </c>
      <c r="I84" s="1399" t="e">
        <f t="shared" si="30"/>
        <v>#VALUE!</v>
      </c>
      <c r="J84" s="1399" t="e">
        <f t="shared" si="30"/>
        <v>#VALUE!</v>
      </c>
      <c r="K84" s="1655" t="e">
        <f t="shared" si="30"/>
        <v>#VALUE!</v>
      </c>
      <c r="L84" s="3557"/>
      <c r="M84" s="1519">
        <v>23</v>
      </c>
    </row>
    <row r="85" spans="1:13" ht="21">
      <c r="A85" s="1656"/>
      <c r="B85" s="3351" t="s">
        <v>96</v>
      </c>
      <c r="C85" s="3351"/>
      <c r="D85" s="3351"/>
      <c r="E85" s="3351"/>
      <c r="F85" s="3351"/>
      <c r="G85" s="3351"/>
      <c r="H85" s="3351"/>
      <c r="I85" s="3351"/>
      <c r="J85" s="3351"/>
      <c r="K85" s="3519"/>
      <c r="L85" s="3556"/>
      <c r="M85" s="1519">
        <v>23</v>
      </c>
    </row>
    <row r="86" spans="1:13" ht="21">
      <c r="A86" s="1656"/>
      <c r="B86" s="3354" t="s">
        <v>97</v>
      </c>
      <c r="C86" s="3354"/>
      <c r="D86" s="3354"/>
      <c r="E86" s="3536" t="s">
        <v>98</v>
      </c>
      <c r="F86" s="3355"/>
      <c r="G86" s="3355"/>
      <c r="H86" s="3355"/>
      <c r="I86" s="3355"/>
      <c r="J86" s="3355"/>
      <c r="K86" s="3537"/>
      <c r="L86" s="3556"/>
      <c r="M86" s="1519">
        <v>23</v>
      </c>
    </row>
    <row r="87" spans="1:13" ht="15.75">
      <c r="A87" s="1657" t="s">
        <v>99</v>
      </c>
      <c r="B87" s="1658"/>
      <c r="C87" s="1658"/>
      <c r="D87" s="1658"/>
      <c r="E87" s="1659"/>
      <c r="F87" s="1660"/>
      <c r="G87" s="1660"/>
      <c r="H87" s="1660"/>
      <c r="I87" s="1660"/>
      <c r="J87" s="1660"/>
      <c r="K87" s="1661"/>
      <c r="L87" s="3556"/>
      <c r="M87" s="1519">
        <v>23</v>
      </c>
    </row>
    <row r="88" spans="1:13" ht="15.75">
      <c r="A88" s="1657" t="s">
        <v>100</v>
      </c>
      <c r="B88" s="1658"/>
      <c r="C88" s="1658"/>
      <c r="D88" s="1658"/>
      <c r="E88" s="1659"/>
      <c r="F88" s="1660"/>
      <c r="G88" s="1660"/>
      <c r="H88" s="1660"/>
      <c r="I88" s="1660"/>
      <c r="J88" s="1660"/>
      <c r="K88" s="1661"/>
      <c r="L88" s="3556"/>
      <c r="M88" s="1519">
        <v>23</v>
      </c>
    </row>
    <row r="89" spans="1:13" ht="15.75">
      <c r="A89" s="1657" t="s">
        <v>101</v>
      </c>
      <c r="B89" s="1658"/>
      <c r="C89" s="1658"/>
      <c r="D89" s="1658"/>
      <c r="E89" s="1659"/>
      <c r="F89" s="1660"/>
      <c r="G89" s="1660"/>
      <c r="H89" s="1660"/>
      <c r="I89" s="1660"/>
      <c r="J89" s="1660"/>
      <c r="K89" s="1661"/>
      <c r="L89" s="3556"/>
      <c r="M89" s="1519">
        <v>23</v>
      </c>
    </row>
    <row r="90" spans="1:13" ht="15.75">
      <c r="A90" s="1657" t="s">
        <v>111</v>
      </c>
      <c r="B90" s="1658"/>
      <c r="C90" s="1658"/>
      <c r="D90" s="1658"/>
      <c r="E90" s="1659"/>
      <c r="F90" s="1660"/>
      <c r="G90" s="1660"/>
      <c r="H90" s="1660"/>
      <c r="I90" s="1660"/>
      <c r="J90" s="1660"/>
      <c r="K90" s="1661"/>
      <c r="L90" s="3556"/>
      <c r="M90" s="1519">
        <v>23</v>
      </c>
    </row>
    <row r="91" spans="1:13" ht="15.75">
      <c r="A91" s="1657" t="s">
        <v>112</v>
      </c>
      <c r="B91" s="1658"/>
      <c r="C91" s="1658"/>
      <c r="D91" s="1658"/>
      <c r="E91" s="1659"/>
      <c r="F91" s="1660"/>
      <c r="G91" s="1660"/>
      <c r="H91" s="1660"/>
      <c r="I91" s="1660"/>
      <c r="J91" s="1660"/>
      <c r="K91" s="1661"/>
      <c r="L91" s="3556"/>
      <c r="M91" s="1519">
        <v>23</v>
      </c>
    </row>
    <row r="92" spans="1:13" ht="15.75">
      <c r="A92" s="1657" t="s">
        <v>142</v>
      </c>
      <c r="B92" s="1658"/>
      <c r="C92" s="1658"/>
      <c r="D92" s="1658"/>
      <c r="E92" s="1659"/>
      <c r="F92" s="1660"/>
      <c r="G92" s="1660"/>
      <c r="H92" s="1660"/>
      <c r="I92" s="1660"/>
      <c r="J92" s="1660"/>
      <c r="K92" s="1661"/>
      <c r="L92" s="3556"/>
      <c r="M92" s="1519">
        <v>23</v>
      </c>
    </row>
    <row r="93" spans="1:13" ht="15.75">
      <c r="A93" s="1657" t="s">
        <v>143</v>
      </c>
      <c r="B93" s="1658"/>
      <c r="C93" s="1658"/>
      <c r="D93" s="1658"/>
      <c r="E93" s="1659"/>
      <c r="F93" s="1660"/>
      <c r="G93" s="1660"/>
      <c r="H93" s="1660"/>
      <c r="I93" s="1660"/>
      <c r="J93" s="1660"/>
      <c r="K93" s="1661"/>
      <c r="L93" s="3556"/>
      <c r="M93" s="1519">
        <v>23</v>
      </c>
    </row>
    <row r="94" spans="1:13" ht="15.75">
      <c r="A94" s="1657" t="s">
        <v>144</v>
      </c>
      <c r="B94" s="1658"/>
      <c r="C94" s="1658"/>
      <c r="D94" s="1658"/>
      <c r="E94" s="1659"/>
      <c r="F94" s="1660"/>
      <c r="G94" s="1660"/>
      <c r="H94" s="1660"/>
      <c r="I94" s="1660"/>
      <c r="J94" s="1660"/>
      <c r="K94" s="1661"/>
      <c r="L94" s="3556"/>
      <c r="M94" s="1519">
        <v>23</v>
      </c>
    </row>
    <row r="95" spans="1:13" ht="15.75">
      <c r="A95" s="1657" t="s">
        <v>145</v>
      </c>
      <c r="B95" s="1658"/>
      <c r="C95" s="1658"/>
      <c r="D95" s="1658"/>
      <c r="E95" s="1659"/>
      <c r="F95" s="1660"/>
      <c r="G95" s="1660"/>
      <c r="H95" s="1660"/>
      <c r="I95" s="1660"/>
      <c r="J95" s="1660"/>
      <c r="K95" s="1661"/>
      <c r="L95" s="3558"/>
      <c r="M95" s="1519">
        <v>23</v>
      </c>
    </row>
    <row r="96" spans="1:13" ht="15.75" customHeight="1">
      <c r="A96" s="1657" t="s">
        <v>146</v>
      </c>
      <c r="B96" s="1658"/>
      <c r="C96" s="1658"/>
      <c r="D96" s="1658"/>
      <c r="E96" s="1659"/>
      <c r="F96" s="1660"/>
      <c r="G96" s="1660"/>
      <c r="H96" s="1660"/>
      <c r="I96" s="1660"/>
      <c r="J96" s="1660"/>
      <c r="K96" s="1661"/>
      <c r="L96" s="3412">
        <f>L52</f>
        <v>1</v>
      </c>
      <c r="M96" s="1519">
        <v>23</v>
      </c>
    </row>
    <row r="97" spans="1:13" ht="15.75">
      <c r="A97" s="1657" t="s">
        <v>147</v>
      </c>
      <c r="B97" s="1658"/>
      <c r="C97" s="1658"/>
      <c r="D97" s="1658"/>
      <c r="E97" s="1659"/>
      <c r="F97" s="1660"/>
      <c r="G97" s="1660"/>
      <c r="H97" s="1660"/>
      <c r="I97" s="1660"/>
      <c r="J97" s="1660"/>
      <c r="K97" s="1661"/>
      <c r="L97" s="3538"/>
      <c r="M97" s="1519">
        <v>23</v>
      </c>
    </row>
    <row r="98" spans="1:13" ht="16.5" thickBot="1">
      <c r="A98" s="1662" t="s">
        <v>224</v>
      </c>
      <c r="B98" s="1663"/>
      <c r="C98" s="1663"/>
      <c r="D98" s="1663"/>
      <c r="E98" s="1664"/>
      <c r="F98" s="1665"/>
      <c r="G98" s="1665"/>
      <c r="H98" s="1665"/>
      <c r="I98" s="1665"/>
      <c r="J98" s="1665"/>
      <c r="K98" s="1666"/>
      <c r="L98" s="3539"/>
      <c r="M98" s="1519">
        <v>23</v>
      </c>
    </row>
    <row r="100" spans="1:13">
      <c r="A100" s="1512">
        <v>5</v>
      </c>
      <c r="B100" s="1512">
        <v>33</v>
      </c>
      <c r="C100" s="1512">
        <v>39</v>
      </c>
      <c r="D100" s="1512">
        <v>12</v>
      </c>
      <c r="E100" s="1512">
        <v>12</v>
      </c>
      <c r="F100" s="1512">
        <v>12</v>
      </c>
      <c r="G100" s="1512">
        <v>12</v>
      </c>
      <c r="H100" s="1512">
        <v>12</v>
      </c>
      <c r="I100" s="1512">
        <v>12</v>
      </c>
      <c r="J100" s="1512">
        <v>12</v>
      </c>
      <c r="K100" s="1512">
        <v>12</v>
      </c>
      <c r="L100" s="1512">
        <v>12</v>
      </c>
      <c r="M100" s="1513" t="s">
        <v>1958</v>
      </c>
    </row>
  </sheetData>
  <mergeCells count="19">
    <mergeCell ref="G48:H48"/>
    <mergeCell ref="P1:AA1"/>
    <mergeCell ref="B2:G2"/>
    <mergeCell ref="Q2:V2"/>
    <mergeCell ref="B4:E4"/>
    <mergeCell ref="Q4:T4"/>
    <mergeCell ref="B86:D86"/>
    <mergeCell ref="E86:K86"/>
    <mergeCell ref="L96:L98"/>
    <mergeCell ref="G49:J49"/>
    <mergeCell ref="G50:J50"/>
    <mergeCell ref="L52:L53"/>
    <mergeCell ref="I53:J53"/>
    <mergeCell ref="C54:K54"/>
    <mergeCell ref="L54:L95"/>
    <mergeCell ref="A56:K56"/>
    <mergeCell ref="B76:D76"/>
    <mergeCell ref="E76:K76"/>
    <mergeCell ref="B85:K85"/>
  </mergeCells>
  <hyperlinks>
    <hyperlink ref="C54" r:id="rId1" display="http://etab.ac-poitiers.fr/lycee-hotelier-la-rochelle/spip.php?auteur10" xr:uid="{A1427EF4-5FEF-4F9A-84F5-8CDD1DE6F7FE}"/>
  </hyperlink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&amp;C&amp;D &amp;T&amp;R2TSB</oddHeader>
    <oddFooter>&amp;L&amp;F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E08CB-F0BF-450A-8B2A-6EC67494D866}">
  <dimension ref="A1:AA100"/>
  <sheetViews>
    <sheetView showZeros="0" workbookViewId="0">
      <selection activeCell="G4" sqref="G4"/>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6.28515625" style="1281" customWidth="1"/>
    <col min="24" max="24" width="5.42578125" style="1281" customWidth="1"/>
    <col min="25" max="25" width="6" style="1281" customWidth="1"/>
    <col min="26" max="26" width="6.28515625" style="1281" customWidth="1"/>
    <col min="27" max="27" width="5.7109375" style="1281" customWidth="1"/>
    <col min="28" max="255" width="11.42578125" style="1281"/>
    <col min="256" max="256" width="0" style="1281" hidden="1" customWidth="1"/>
    <col min="257" max="257" width="33.42578125" style="1281" customWidth="1"/>
    <col min="258" max="258" width="16.28515625" style="1281" customWidth="1"/>
    <col min="259" max="259" width="3.42578125" style="1281" customWidth="1"/>
    <col min="260" max="260" width="5.7109375" style="1281" customWidth="1"/>
    <col min="261" max="261" width="5.85546875" style="1281" customWidth="1"/>
    <col min="262" max="262" width="6.7109375" style="1281" customWidth="1"/>
    <col min="263" max="263" width="6.28515625" style="1281" customWidth="1"/>
    <col min="264" max="264" width="5.42578125" style="1281" customWidth="1"/>
    <col min="265" max="265" width="6" style="1281" customWidth="1"/>
    <col min="266" max="266" width="6.28515625" style="1281" customWidth="1"/>
    <col min="267" max="267" width="5.7109375" style="1281" customWidth="1"/>
    <col min="268" max="511" width="11.42578125" style="1281"/>
    <col min="512" max="512" width="0" style="1281" hidden="1" customWidth="1"/>
    <col min="513" max="513" width="33.42578125" style="1281" customWidth="1"/>
    <col min="514" max="514" width="16.28515625" style="1281" customWidth="1"/>
    <col min="515" max="515" width="3.42578125" style="1281" customWidth="1"/>
    <col min="516" max="516" width="5.7109375" style="1281" customWidth="1"/>
    <col min="517" max="517" width="5.85546875" style="1281" customWidth="1"/>
    <col min="518" max="518" width="6.7109375" style="1281" customWidth="1"/>
    <col min="519" max="519" width="6.28515625" style="1281" customWidth="1"/>
    <col min="520" max="520" width="5.42578125" style="1281" customWidth="1"/>
    <col min="521" max="521" width="6" style="1281" customWidth="1"/>
    <col min="522" max="522" width="6.28515625" style="1281" customWidth="1"/>
    <col min="523" max="523" width="5.7109375" style="1281" customWidth="1"/>
    <col min="524" max="767" width="11.42578125" style="1281"/>
    <col min="768" max="768" width="0" style="1281" hidden="1" customWidth="1"/>
    <col min="769" max="769" width="33.42578125" style="1281" customWidth="1"/>
    <col min="770" max="770" width="16.28515625" style="1281" customWidth="1"/>
    <col min="771" max="771" width="3.42578125" style="1281" customWidth="1"/>
    <col min="772" max="772" width="5.7109375" style="1281" customWidth="1"/>
    <col min="773" max="773" width="5.85546875" style="1281" customWidth="1"/>
    <col min="774" max="774" width="6.7109375" style="1281" customWidth="1"/>
    <col min="775" max="775" width="6.28515625" style="1281" customWidth="1"/>
    <col min="776" max="776" width="5.42578125" style="1281" customWidth="1"/>
    <col min="777" max="777" width="6" style="1281" customWidth="1"/>
    <col min="778" max="778" width="6.28515625" style="1281" customWidth="1"/>
    <col min="779" max="779" width="5.7109375" style="1281" customWidth="1"/>
    <col min="780" max="1023" width="11.42578125" style="1281"/>
    <col min="1024" max="1024" width="0" style="1281" hidden="1" customWidth="1"/>
    <col min="1025" max="1025" width="33.42578125" style="1281" customWidth="1"/>
    <col min="1026" max="1026" width="16.28515625" style="1281" customWidth="1"/>
    <col min="1027" max="1027" width="3.42578125" style="1281" customWidth="1"/>
    <col min="1028" max="1028" width="5.7109375" style="1281" customWidth="1"/>
    <col min="1029" max="1029" width="5.85546875" style="1281" customWidth="1"/>
    <col min="1030" max="1030" width="6.7109375" style="1281" customWidth="1"/>
    <col min="1031" max="1031" width="6.28515625" style="1281" customWidth="1"/>
    <col min="1032" max="1032" width="5.42578125" style="1281" customWidth="1"/>
    <col min="1033" max="1033" width="6" style="1281" customWidth="1"/>
    <col min="1034" max="1034" width="6.28515625" style="1281" customWidth="1"/>
    <col min="1035" max="1035" width="5.7109375" style="1281" customWidth="1"/>
    <col min="1036" max="1279" width="11.42578125" style="1281"/>
    <col min="1280" max="1280" width="0" style="1281" hidden="1" customWidth="1"/>
    <col min="1281" max="1281" width="33.42578125" style="1281" customWidth="1"/>
    <col min="1282" max="1282" width="16.28515625" style="1281" customWidth="1"/>
    <col min="1283" max="1283" width="3.42578125" style="1281" customWidth="1"/>
    <col min="1284" max="1284" width="5.7109375" style="1281" customWidth="1"/>
    <col min="1285" max="1285" width="5.85546875" style="1281" customWidth="1"/>
    <col min="1286" max="1286" width="6.7109375" style="1281" customWidth="1"/>
    <col min="1287" max="1287" width="6.28515625" style="1281" customWidth="1"/>
    <col min="1288" max="1288" width="5.42578125" style="1281" customWidth="1"/>
    <col min="1289" max="1289" width="6" style="1281" customWidth="1"/>
    <col min="1290" max="1290" width="6.28515625" style="1281" customWidth="1"/>
    <col min="1291" max="1291" width="5.7109375" style="1281" customWidth="1"/>
    <col min="1292" max="1535" width="11.42578125" style="1281"/>
    <col min="1536" max="1536" width="0" style="1281" hidden="1" customWidth="1"/>
    <col min="1537" max="1537" width="33.42578125" style="1281" customWidth="1"/>
    <col min="1538" max="1538" width="16.28515625" style="1281" customWidth="1"/>
    <col min="1539" max="1539" width="3.42578125" style="1281" customWidth="1"/>
    <col min="1540" max="1540" width="5.7109375" style="1281" customWidth="1"/>
    <col min="1541" max="1541" width="5.85546875" style="1281" customWidth="1"/>
    <col min="1542" max="1542" width="6.7109375" style="1281" customWidth="1"/>
    <col min="1543" max="1543" width="6.28515625" style="1281" customWidth="1"/>
    <col min="1544" max="1544" width="5.42578125" style="1281" customWidth="1"/>
    <col min="1545" max="1545" width="6" style="1281" customWidth="1"/>
    <col min="1546" max="1546" width="6.28515625" style="1281" customWidth="1"/>
    <col min="1547" max="1547" width="5.7109375" style="1281" customWidth="1"/>
    <col min="1548" max="1791" width="11.42578125" style="1281"/>
    <col min="1792" max="1792" width="0" style="1281" hidden="1" customWidth="1"/>
    <col min="1793" max="1793" width="33.42578125" style="1281" customWidth="1"/>
    <col min="1794" max="1794" width="16.28515625" style="1281" customWidth="1"/>
    <col min="1795" max="1795" width="3.42578125" style="1281" customWidth="1"/>
    <col min="1796" max="1796" width="5.7109375" style="1281" customWidth="1"/>
    <col min="1797" max="1797" width="5.85546875" style="1281" customWidth="1"/>
    <col min="1798" max="1798" width="6.7109375" style="1281" customWidth="1"/>
    <col min="1799" max="1799" width="6.28515625" style="1281" customWidth="1"/>
    <col min="1800" max="1800" width="5.42578125" style="1281" customWidth="1"/>
    <col min="1801" max="1801" width="6" style="1281" customWidth="1"/>
    <col min="1802" max="1802" width="6.28515625" style="1281" customWidth="1"/>
    <col min="1803" max="1803" width="5.7109375" style="1281" customWidth="1"/>
    <col min="1804" max="2047" width="11.42578125" style="1281"/>
    <col min="2048" max="2048" width="0" style="1281" hidden="1" customWidth="1"/>
    <col min="2049" max="2049" width="33.42578125" style="1281" customWidth="1"/>
    <col min="2050" max="2050" width="16.28515625" style="1281" customWidth="1"/>
    <col min="2051" max="2051" width="3.42578125" style="1281" customWidth="1"/>
    <col min="2052" max="2052" width="5.7109375" style="1281" customWidth="1"/>
    <col min="2053" max="2053" width="5.85546875" style="1281" customWidth="1"/>
    <col min="2054" max="2054" width="6.7109375" style="1281" customWidth="1"/>
    <col min="2055" max="2055" width="6.28515625" style="1281" customWidth="1"/>
    <col min="2056" max="2056" width="5.42578125" style="1281" customWidth="1"/>
    <col min="2057" max="2057" width="6" style="1281" customWidth="1"/>
    <col min="2058" max="2058" width="6.28515625" style="1281" customWidth="1"/>
    <col min="2059" max="2059" width="5.7109375" style="1281" customWidth="1"/>
    <col min="2060" max="2303" width="11.42578125" style="1281"/>
    <col min="2304" max="2304" width="0" style="1281" hidden="1" customWidth="1"/>
    <col min="2305" max="2305" width="33.42578125" style="1281" customWidth="1"/>
    <col min="2306" max="2306" width="16.28515625" style="1281" customWidth="1"/>
    <col min="2307" max="2307" width="3.42578125" style="1281" customWidth="1"/>
    <col min="2308" max="2308" width="5.7109375" style="1281" customWidth="1"/>
    <col min="2309" max="2309" width="5.85546875" style="1281" customWidth="1"/>
    <col min="2310" max="2310" width="6.7109375" style="1281" customWidth="1"/>
    <col min="2311" max="2311" width="6.28515625" style="1281" customWidth="1"/>
    <col min="2312" max="2312" width="5.42578125" style="1281" customWidth="1"/>
    <col min="2313" max="2313" width="6" style="1281" customWidth="1"/>
    <col min="2314" max="2314" width="6.28515625" style="1281" customWidth="1"/>
    <col min="2315" max="2315" width="5.7109375" style="1281" customWidth="1"/>
    <col min="2316" max="2559" width="11.42578125" style="1281"/>
    <col min="2560" max="2560" width="0" style="1281" hidden="1" customWidth="1"/>
    <col min="2561" max="2561" width="33.42578125" style="1281" customWidth="1"/>
    <col min="2562" max="2562" width="16.28515625" style="1281" customWidth="1"/>
    <col min="2563" max="2563" width="3.42578125" style="1281" customWidth="1"/>
    <col min="2564" max="2564" width="5.7109375" style="1281" customWidth="1"/>
    <col min="2565" max="2565" width="5.85546875" style="1281" customWidth="1"/>
    <col min="2566" max="2566" width="6.7109375" style="1281" customWidth="1"/>
    <col min="2567" max="2567" width="6.28515625" style="1281" customWidth="1"/>
    <col min="2568" max="2568" width="5.42578125" style="1281" customWidth="1"/>
    <col min="2569" max="2569" width="6" style="1281" customWidth="1"/>
    <col min="2570" max="2570" width="6.28515625" style="1281" customWidth="1"/>
    <col min="2571" max="2571" width="5.7109375" style="1281" customWidth="1"/>
    <col min="2572" max="2815" width="11.42578125" style="1281"/>
    <col min="2816" max="2816" width="0" style="1281" hidden="1" customWidth="1"/>
    <col min="2817" max="2817" width="33.42578125" style="1281" customWidth="1"/>
    <col min="2818" max="2818" width="16.28515625" style="1281" customWidth="1"/>
    <col min="2819" max="2819" width="3.42578125" style="1281" customWidth="1"/>
    <col min="2820" max="2820" width="5.7109375" style="1281" customWidth="1"/>
    <col min="2821" max="2821" width="5.85546875" style="1281" customWidth="1"/>
    <col min="2822" max="2822" width="6.7109375" style="1281" customWidth="1"/>
    <col min="2823" max="2823" width="6.28515625" style="1281" customWidth="1"/>
    <col min="2824" max="2824" width="5.42578125" style="1281" customWidth="1"/>
    <col min="2825" max="2825" width="6" style="1281" customWidth="1"/>
    <col min="2826" max="2826" width="6.28515625" style="1281" customWidth="1"/>
    <col min="2827" max="2827" width="5.7109375" style="1281" customWidth="1"/>
    <col min="2828" max="3071" width="11.42578125" style="1281"/>
    <col min="3072" max="3072" width="0" style="1281" hidden="1" customWidth="1"/>
    <col min="3073" max="3073" width="33.42578125" style="1281" customWidth="1"/>
    <col min="3074" max="3074" width="16.28515625" style="1281" customWidth="1"/>
    <col min="3075" max="3075" width="3.42578125" style="1281" customWidth="1"/>
    <col min="3076" max="3076" width="5.7109375" style="1281" customWidth="1"/>
    <col min="3077" max="3077" width="5.85546875" style="1281" customWidth="1"/>
    <col min="3078" max="3078" width="6.7109375" style="1281" customWidth="1"/>
    <col min="3079" max="3079" width="6.28515625" style="1281" customWidth="1"/>
    <col min="3080" max="3080" width="5.42578125" style="1281" customWidth="1"/>
    <col min="3081" max="3081" width="6" style="1281" customWidth="1"/>
    <col min="3082" max="3082" width="6.28515625" style="1281" customWidth="1"/>
    <col min="3083" max="3083" width="5.7109375" style="1281" customWidth="1"/>
    <col min="3084" max="3327" width="11.42578125" style="1281"/>
    <col min="3328" max="3328" width="0" style="1281" hidden="1" customWidth="1"/>
    <col min="3329" max="3329" width="33.42578125" style="1281" customWidth="1"/>
    <col min="3330" max="3330" width="16.28515625" style="1281" customWidth="1"/>
    <col min="3331" max="3331" width="3.42578125" style="1281" customWidth="1"/>
    <col min="3332" max="3332" width="5.7109375" style="1281" customWidth="1"/>
    <col min="3333" max="3333" width="5.85546875" style="1281" customWidth="1"/>
    <col min="3334" max="3334" width="6.7109375" style="1281" customWidth="1"/>
    <col min="3335" max="3335" width="6.28515625" style="1281" customWidth="1"/>
    <col min="3336" max="3336" width="5.42578125" style="1281" customWidth="1"/>
    <col min="3337" max="3337" width="6" style="1281" customWidth="1"/>
    <col min="3338" max="3338" width="6.28515625" style="1281" customWidth="1"/>
    <col min="3339" max="3339" width="5.7109375" style="1281" customWidth="1"/>
    <col min="3340" max="3583" width="11.42578125" style="1281"/>
    <col min="3584" max="3584" width="0" style="1281" hidden="1" customWidth="1"/>
    <col min="3585" max="3585" width="33.42578125" style="1281" customWidth="1"/>
    <col min="3586" max="3586" width="16.28515625" style="1281" customWidth="1"/>
    <col min="3587" max="3587" width="3.42578125" style="1281" customWidth="1"/>
    <col min="3588" max="3588" width="5.7109375" style="1281" customWidth="1"/>
    <col min="3589" max="3589" width="5.85546875" style="1281" customWidth="1"/>
    <col min="3590" max="3590" width="6.7109375" style="1281" customWidth="1"/>
    <col min="3591" max="3591" width="6.28515625" style="1281" customWidth="1"/>
    <col min="3592" max="3592" width="5.42578125" style="1281" customWidth="1"/>
    <col min="3593" max="3593" width="6" style="1281" customWidth="1"/>
    <col min="3594" max="3594" width="6.28515625" style="1281" customWidth="1"/>
    <col min="3595" max="3595" width="5.7109375" style="1281" customWidth="1"/>
    <col min="3596" max="3839" width="11.42578125" style="1281"/>
    <col min="3840" max="3840" width="0" style="1281" hidden="1" customWidth="1"/>
    <col min="3841" max="3841" width="33.42578125" style="1281" customWidth="1"/>
    <col min="3842" max="3842" width="16.28515625" style="1281" customWidth="1"/>
    <col min="3843" max="3843" width="3.42578125" style="1281" customWidth="1"/>
    <col min="3844" max="3844" width="5.7109375" style="1281" customWidth="1"/>
    <col min="3845" max="3845" width="5.85546875" style="1281" customWidth="1"/>
    <col min="3846" max="3846" width="6.7109375" style="1281" customWidth="1"/>
    <col min="3847" max="3847" width="6.28515625" style="1281" customWidth="1"/>
    <col min="3848" max="3848" width="5.42578125" style="1281" customWidth="1"/>
    <col min="3849" max="3849" width="6" style="1281" customWidth="1"/>
    <col min="3850" max="3850" width="6.28515625" style="1281" customWidth="1"/>
    <col min="3851" max="3851" width="5.7109375" style="1281" customWidth="1"/>
    <col min="3852" max="4095" width="11.42578125" style="1281"/>
    <col min="4096" max="4096" width="0" style="1281" hidden="1" customWidth="1"/>
    <col min="4097" max="4097" width="33.42578125" style="1281" customWidth="1"/>
    <col min="4098" max="4098" width="16.28515625" style="1281" customWidth="1"/>
    <col min="4099" max="4099" width="3.42578125" style="1281" customWidth="1"/>
    <col min="4100" max="4100" width="5.7109375" style="1281" customWidth="1"/>
    <col min="4101" max="4101" width="5.85546875" style="1281" customWidth="1"/>
    <col min="4102" max="4102" width="6.7109375" style="1281" customWidth="1"/>
    <col min="4103" max="4103" width="6.28515625" style="1281" customWidth="1"/>
    <col min="4104" max="4104" width="5.42578125" style="1281" customWidth="1"/>
    <col min="4105" max="4105" width="6" style="1281" customWidth="1"/>
    <col min="4106" max="4106" width="6.28515625" style="1281" customWidth="1"/>
    <col min="4107" max="4107" width="5.7109375" style="1281" customWidth="1"/>
    <col min="4108" max="4351" width="11.42578125" style="1281"/>
    <col min="4352" max="4352" width="0" style="1281" hidden="1" customWidth="1"/>
    <col min="4353" max="4353" width="33.42578125" style="1281" customWidth="1"/>
    <col min="4354" max="4354" width="16.28515625" style="1281" customWidth="1"/>
    <col min="4355" max="4355" width="3.42578125" style="1281" customWidth="1"/>
    <col min="4356" max="4356" width="5.7109375" style="1281" customWidth="1"/>
    <col min="4357" max="4357" width="5.85546875" style="1281" customWidth="1"/>
    <col min="4358" max="4358" width="6.7109375" style="1281" customWidth="1"/>
    <col min="4359" max="4359" width="6.28515625" style="1281" customWidth="1"/>
    <col min="4360" max="4360" width="5.42578125" style="1281" customWidth="1"/>
    <col min="4361" max="4361" width="6" style="1281" customWidth="1"/>
    <col min="4362" max="4362" width="6.28515625" style="1281" customWidth="1"/>
    <col min="4363" max="4363" width="5.7109375" style="1281" customWidth="1"/>
    <col min="4364" max="4607" width="11.42578125" style="1281"/>
    <col min="4608" max="4608" width="0" style="1281" hidden="1" customWidth="1"/>
    <col min="4609" max="4609" width="33.42578125" style="1281" customWidth="1"/>
    <col min="4610" max="4610" width="16.28515625" style="1281" customWidth="1"/>
    <col min="4611" max="4611" width="3.42578125" style="1281" customWidth="1"/>
    <col min="4612" max="4612" width="5.7109375" style="1281" customWidth="1"/>
    <col min="4613" max="4613" width="5.85546875" style="1281" customWidth="1"/>
    <col min="4614" max="4614" width="6.7109375" style="1281" customWidth="1"/>
    <col min="4615" max="4615" width="6.28515625" style="1281" customWidth="1"/>
    <col min="4616" max="4616" width="5.42578125" style="1281" customWidth="1"/>
    <col min="4617" max="4617" width="6" style="1281" customWidth="1"/>
    <col min="4618" max="4618" width="6.28515625" style="1281" customWidth="1"/>
    <col min="4619" max="4619" width="5.7109375" style="1281" customWidth="1"/>
    <col min="4620" max="4863" width="11.42578125" style="1281"/>
    <col min="4864" max="4864" width="0" style="1281" hidden="1" customWidth="1"/>
    <col min="4865" max="4865" width="33.42578125" style="1281" customWidth="1"/>
    <col min="4866" max="4866" width="16.28515625" style="1281" customWidth="1"/>
    <col min="4867" max="4867" width="3.42578125" style="1281" customWidth="1"/>
    <col min="4868" max="4868" width="5.7109375" style="1281" customWidth="1"/>
    <col min="4869" max="4869" width="5.85546875" style="1281" customWidth="1"/>
    <col min="4870" max="4870" width="6.7109375" style="1281" customWidth="1"/>
    <col min="4871" max="4871" width="6.28515625" style="1281" customWidth="1"/>
    <col min="4872" max="4872" width="5.42578125" style="1281" customWidth="1"/>
    <col min="4873" max="4873" width="6" style="1281" customWidth="1"/>
    <col min="4874" max="4874" width="6.28515625" style="1281" customWidth="1"/>
    <col min="4875" max="4875" width="5.7109375" style="1281" customWidth="1"/>
    <col min="4876" max="5119" width="11.42578125" style="1281"/>
    <col min="5120" max="5120" width="0" style="1281" hidden="1" customWidth="1"/>
    <col min="5121" max="5121" width="33.42578125" style="1281" customWidth="1"/>
    <col min="5122" max="5122" width="16.28515625" style="1281" customWidth="1"/>
    <col min="5123" max="5123" width="3.42578125" style="1281" customWidth="1"/>
    <col min="5124" max="5124" width="5.7109375" style="1281" customWidth="1"/>
    <col min="5125" max="5125" width="5.85546875" style="1281" customWidth="1"/>
    <col min="5126" max="5126" width="6.7109375" style="1281" customWidth="1"/>
    <col min="5127" max="5127" width="6.28515625" style="1281" customWidth="1"/>
    <col min="5128" max="5128" width="5.42578125" style="1281" customWidth="1"/>
    <col min="5129" max="5129" width="6" style="1281" customWidth="1"/>
    <col min="5130" max="5130" width="6.28515625" style="1281" customWidth="1"/>
    <col min="5131" max="5131" width="5.7109375" style="1281" customWidth="1"/>
    <col min="5132" max="5375" width="11.42578125" style="1281"/>
    <col min="5376" max="5376" width="0" style="1281" hidden="1" customWidth="1"/>
    <col min="5377" max="5377" width="33.42578125" style="1281" customWidth="1"/>
    <col min="5378" max="5378" width="16.28515625" style="1281" customWidth="1"/>
    <col min="5379" max="5379" width="3.42578125" style="1281" customWidth="1"/>
    <col min="5380" max="5380" width="5.7109375" style="1281" customWidth="1"/>
    <col min="5381" max="5381" width="5.85546875" style="1281" customWidth="1"/>
    <col min="5382" max="5382" width="6.7109375" style="1281" customWidth="1"/>
    <col min="5383" max="5383" width="6.28515625" style="1281" customWidth="1"/>
    <col min="5384" max="5384" width="5.42578125" style="1281" customWidth="1"/>
    <col min="5385" max="5385" width="6" style="1281" customWidth="1"/>
    <col min="5386" max="5386" width="6.28515625" style="1281" customWidth="1"/>
    <col min="5387" max="5387" width="5.7109375" style="1281" customWidth="1"/>
    <col min="5388" max="5631" width="11.42578125" style="1281"/>
    <col min="5632" max="5632" width="0" style="1281" hidden="1" customWidth="1"/>
    <col min="5633" max="5633" width="33.42578125" style="1281" customWidth="1"/>
    <col min="5634" max="5634" width="16.28515625" style="1281" customWidth="1"/>
    <col min="5635" max="5635" width="3.42578125" style="1281" customWidth="1"/>
    <col min="5636" max="5636" width="5.7109375" style="1281" customWidth="1"/>
    <col min="5637" max="5637" width="5.85546875" style="1281" customWidth="1"/>
    <col min="5638" max="5638" width="6.7109375" style="1281" customWidth="1"/>
    <col min="5639" max="5639" width="6.28515625" style="1281" customWidth="1"/>
    <col min="5640" max="5640" width="5.42578125" style="1281" customWidth="1"/>
    <col min="5641" max="5641" width="6" style="1281" customWidth="1"/>
    <col min="5642" max="5642" width="6.28515625" style="1281" customWidth="1"/>
    <col min="5643" max="5643" width="5.7109375" style="1281" customWidth="1"/>
    <col min="5644" max="5887" width="11.42578125" style="1281"/>
    <col min="5888" max="5888" width="0" style="1281" hidden="1" customWidth="1"/>
    <col min="5889" max="5889" width="33.42578125" style="1281" customWidth="1"/>
    <col min="5890" max="5890" width="16.28515625" style="1281" customWidth="1"/>
    <col min="5891" max="5891" width="3.42578125" style="1281" customWidth="1"/>
    <col min="5892" max="5892" width="5.7109375" style="1281" customWidth="1"/>
    <col min="5893" max="5893" width="5.85546875" style="1281" customWidth="1"/>
    <col min="5894" max="5894" width="6.7109375" style="1281" customWidth="1"/>
    <col min="5895" max="5895" width="6.28515625" style="1281" customWidth="1"/>
    <col min="5896" max="5896" width="5.42578125" style="1281" customWidth="1"/>
    <col min="5897" max="5897" width="6" style="1281" customWidth="1"/>
    <col min="5898" max="5898" width="6.28515625" style="1281" customWidth="1"/>
    <col min="5899" max="5899" width="5.7109375" style="1281" customWidth="1"/>
    <col min="5900" max="6143" width="11.42578125" style="1281"/>
    <col min="6144" max="6144" width="0" style="1281" hidden="1" customWidth="1"/>
    <col min="6145" max="6145" width="33.42578125" style="1281" customWidth="1"/>
    <col min="6146" max="6146" width="16.28515625" style="1281" customWidth="1"/>
    <col min="6147" max="6147" width="3.42578125" style="1281" customWidth="1"/>
    <col min="6148" max="6148" width="5.7109375" style="1281" customWidth="1"/>
    <col min="6149" max="6149" width="5.85546875" style="1281" customWidth="1"/>
    <col min="6150" max="6150" width="6.7109375" style="1281" customWidth="1"/>
    <col min="6151" max="6151" width="6.28515625" style="1281" customWidth="1"/>
    <col min="6152" max="6152" width="5.42578125" style="1281" customWidth="1"/>
    <col min="6153" max="6153" width="6" style="1281" customWidth="1"/>
    <col min="6154" max="6154" width="6.28515625" style="1281" customWidth="1"/>
    <col min="6155" max="6155" width="5.7109375" style="1281" customWidth="1"/>
    <col min="6156" max="6399" width="11.42578125" style="1281"/>
    <col min="6400" max="6400" width="0" style="1281" hidden="1" customWidth="1"/>
    <col min="6401" max="6401" width="33.42578125" style="1281" customWidth="1"/>
    <col min="6402" max="6402" width="16.28515625" style="1281" customWidth="1"/>
    <col min="6403" max="6403" width="3.42578125" style="1281" customWidth="1"/>
    <col min="6404" max="6404" width="5.7109375" style="1281" customWidth="1"/>
    <col min="6405" max="6405" width="5.85546875" style="1281" customWidth="1"/>
    <col min="6406" max="6406" width="6.7109375" style="1281" customWidth="1"/>
    <col min="6407" max="6407" width="6.28515625" style="1281" customWidth="1"/>
    <col min="6408" max="6408" width="5.42578125" style="1281" customWidth="1"/>
    <col min="6409" max="6409" width="6" style="1281" customWidth="1"/>
    <col min="6410" max="6410" width="6.28515625" style="1281" customWidth="1"/>
    <col min="6411" max="6411" width="5.7109375" style="1281" customWidth="1"/>
    <col min="6412" max="6655" width="11.42578125" style="1281"/>
    <col min="6656" max="6656" width="0" style="1281" hidden="1" customWidth="1"/>
    <col min="6657" max="6657" width="33.42578125" style="1281" customWidth="1"/>
    <col min="6658" max="6658" width="16.28515625" style="1281" customWidth="1"/>
    <col min="6659" max="6659" width="3.42578125" style="1281" customWidth="1"/>
    <col min="6660" max="6660" width="5.7109375" style="1281" customWidth="1"/>
    <col min="6661" max="6661" width="5.85546875" style="1281" customWidth="1"/>
    <col min="6662" max="6662" width="6.7109375" style="1281" customWidth="1"/>
    <col min="6663" max="6663" width="6.28515625" style="1281" customWidth="1"/>
    <col min="6664" max="6664" width="5.42578125" style="1281" customWidth="1"/>
    <col min="6665" max="6665" width="6" style="1281" customWidth="1"/>
    <col min="6666" max="6666" width="6.28515625" style="1281" customWidth="1"/>
    <col min="6667" max="6667" width="5.7109375" style="1281" customWidth="1"/>
    <col min="6668" max="6911" width="11.42578125" style="1281"/>
    <col min="6912" max="6912" width="0" style="1281" hidden="1" customWidth="1"/>
    <col min="6913" max="6913" width="33.42578125" style="1281" customWidth="1"/>
    <col min="6914" max="6914" width="16.28515625" style="1281" customWidth="1"/>
    <col min="6915" max="6915" width="3.42578125" style="1281" customWidth="1"/>
    <col min="6916" max="6916" width="5.7109375" style="1281" customWidth="1"/>
    <col min="6917" max="6917" width="5.85546875" style="1281" customWidth="1"/>
    <col min="6918" max="6918" width="6.7109375" style="1281" customWidth="1"/>
    <col min="6919" max="6919" width="6.28515625" style="1281" customWidth="1"/>
    <col min="6920" max="6920" width="5.42578125" style="1281" customWidth="1"/>
    <col min="6921" max="6921" width="6" style="1281" customWidth="1"/>
    <col min="6922" max="6922" width="6.28515625" style="1281" customWidth="1"/>
    <col min="6923" max="6923" width="5.7109375" style="1281" customWidth="1"/>
    <col min="6924" max="7167" width="11.42578125" style="1281"/>
    <col min="7168" max="7168" width="0" style="1281" hidden="1" customWidth="1"/>
    <col min="7169" max="7169" width="33.42578125" style="1281" customWidth="1"/>
    <col min="7170" max="7170" width="16.28515625" style="1281" customWidth="1"/>
    <col min="7171" max="7171" width="3.42578125" style="1281" customWidth="1"/>
    <col min="7172" max="7172" width="5.7109375" style="1281" customWidth="1"/>
    <col min="7173" max="7173" width="5.85546875" style="1281" customWidth="1"/>
    <col min="7174" max="7174" width="6.7109375" style="1281" customWidth="1"/>
    <col min="7175" max="7175" width="6.28515625" style="1281" customWidth="1"/>
    <col min="7176" max="7176" width="5.42578125" style="1281" customWidth="1"/>
    <col min="7177" max="7177" width="6" style="1281" customWidth="1"/>
    <col min="7178" max="7178" width="6.28515625" style="1281" customWidth="1"/>
    <col min="7179" max="7179" width="5.7109375" style="1281" customWidth="1"/>
    <col min="7180" max="7423" width="11.42578125" style="1281"/>
    <col min="7424" max="7424" width="0" style="1281" hidden="1" customWidth="1"/>
    <col min="7425" max="7425" width="33.42578125" style="1281" customWidth="1"/>
    <col min="7426" max="7426" width="16.28515625" style="1281" customWidth="1"/>
    <col min="7427" max="7427" width="3.42578125" style="1281" customWidth="1"/>
    <col min="7428" max="7428" width="5.7109375" style="1281" customWidth="1"/>
    <col min="7429" max="7429" width="5.85546875" style="1281" customWidth="1"/>
    <col min="7430" max="7430" width="6.7109375" style="1281" customWidth="1"/>
    <col min="7431" max="7431" width="6.28515625" style="1281" customWidth="1"/>
    <col min="7432" max="7432" width="5.42578125" style="1281" customWidth="1"/>
    <col min="7433" max="7433" width="6" style="1281" customWidth="1"/>
    <col min="7434" max="7434" width="6.28515625" style="1281" customWidth="1"/>
    <col min="7435" max="7435" width="5.7109375" style="1281" customWidth="1"/>
    <col min="7436" max="7679" width="11.42578125" style="1281"/>
    <col min="7680" max="7680" width="0" style="1281" hidden="1" customWidth="1"/>
    <col min="7681" max="7681" width="33.42578125" style="1281" customWidth="1"/>
    <col min="7682" max="7682" width="16.28515625" style="1281" customWidth="1"/>
    <col min="7683" max="7683" width="3.42578125" style="1281" customWidth="1"/>
    <col min="7684" max="7684" width="5.7109375" style="1281" customWidth="1"/>
    <col min="7685" max="7685" width="5.85546875" style="1281" customWidth="1"/>
    <col min="7686" max="7686" width="6.7109375" style="1281" customWidth="1"/>
    <col min="7687" max="7687" width="6.28515625" style="1281" customWidth="1"/>
    <col min="7688" max="7688" width="5.42578125" style="1281" customWidth="1"/>
    <col min="7689" max="7689" width="6" style="1281" customWidth="1"/>
    <col min="7690" max="7690" width="6.28515625" style="1281" customWidth="1"/>
    <col min="7691" max="7691" width="5.7109375" style="1281" customWidth="1"/>
    <col min="7692" max="7935" width="11.42578125" style="1281"/>
    <col min="7936" max="7936" width="0" style="1281" hidden="1" customWidth="1"/>
    <col min="7937" max="7937" width="33.42578125" style="1281" customWidth="1"/>
    <col min="7938" max="7938" width="16.28515625" style="1281" customWidth="1"/>
    <col min="7939" max="7939" width="3.42578125" style="1281" customWidth="1"/>
    <col min="7940" max="7940" width="5.7109375" style="1281" customWidth="1"/>
    <col min="7941" max="7941" width="5.85546875" style="1281" customWidth="1"/>
    <col min="7942" max="7942" width="6.7109375" style="1281" customWidth="1"/>
    <col min="7943" max="7943" width="6.28515625" style="1281" customWidth="1"/>
    <col min="7944" max="7944" width="5.42578125" style="1281" customWidth="1"/>
    <col min="7945" max="7945" width="6" style="1281" customWidth="1"/>
    <col min="7946" max="7946" width="6.28515625" style="1281" customWidth="1"/>
    <col min="7947" max="7947" width="5.7109375" style="1281" customWidth="1"/>
    <col min="7948" max="8191" width="11.42578125" style="1281"/>
    <col min="8192" max="8192" width="0" style="1281" hidden="1" customWidth="1"/>
    <col min="8193" max="8193" width="33.42578125" style="1281" customWidth="1"/>
    <col min="8194" max="8194" width="16.28515625" style="1281" customWidth="1"/>
    <col min="8195" max="8195" width="3.42578125" style="1281" customWidth="1"/>
    <col min="8196" max="8196" width="5.7109375" style="1281" customWidth="1"/>
    <col min="8197" max="8197" width="5.85546875" style="1281" customWidth="1"/>
    <col min="8198" max="8198" width="6.7109375" style="1281" customWidth="1"/>
    <col min="8199" max="8199" width="6.28515625" style="1281" customWidth="1"/>
    <col min="8200" max="8200" width="5.42578125" style="1281" customWidth="1"/>
    <col min="8201" max="8201" width="6" style="1281" customWidth="1"/>
    <col min="8202" max="8202" width="6.28515625" style="1281" customWidth="1"/>
    <col min="8203" max="8203" width="5.7109375" style="1281" customWidth="1"/>
    <col min="8204" max="8447" width="11.42578125" style="1281"/>
    <col min="8448" max="8448" width="0" style="1281" hidden="1" customWidth="1"/>
    <col min="8449" max="8449" width="33.42578125" style="1281" customWidth="1"/>
    <col min="8450" max="8450" width="16.28515625" style="1281" customWidth="1"/>
    <col min="8451" max="8451" width="3.42578125" style="1281" customWidth="1"/>
    <col min="8452" max="8452" width="5.7109375" style="1281" customWidth="1"/>
    <col min="8453" max="8453" width="5.85546875" style="1281" customWidth="1"/>
    <col min="8454" max="8454" width="6.7109375" style="1281" customWidth="1"/>
    <col min="8455" max="8455" width="6.28515625" style="1281" customWidth="1"/>
    <col min="8456" max="8456" width="5.42578125" style="1281" customWidth="1"/>
    <col min="8457" max="8457" width="6" style="1281" customWidth="1"/>
    <col min="8458" max="8458" width="6.28515625" style="1281" customWidth="1"/>
    <col min="8459" max="8459" width="5.7109375" style="1281" customWidth="1"/>
    <col min="8460" max="8703" width="11.42578125" style="1281"/>
    <col min="8704" max="8704" width="0" style="1281" hidden="1" customWidth="1"/>
    <col min="8705" max="8705" width="33.42578125" style="1281" customWidth="1"/>
    <col min="8706" max="8706" width="16.28515625" style="1281" customWidth="1"/>
    <col min="8707" max="8707" width="3.42578125" style="1281" customWidth="1"/>
    <col min="8708" max="8708" width="5.7109375" style="1281" customWidth="1"/>
    <col min="8709" max="8709" width="5.85546875" style="1281" customWidth="1"/>
    <col min="8710" max="8710" width="6.7109375" style="1281" customWidth="1"/>
    <col min="8711" max="8711" width="6.28515625" style="1281" customWidth="1"/>
    <col min="8712" max="8712" width="5.42578125" style="1281" customWidth="1"/>
    <col min="8713" max="8713" width="6" style="1281" customWidth="1"/>
    <col min="8714" max="8714" width="6.28515625" style="1281" customWidth="1"/>
    <col min="8715" max="8715" width="5.7109375" style="1281" customWidth="1"/>
    <col min="8716" max="8959" width="11.42578125" style="1281"/>
    <col min="8960" max="8960" width="0" style="1281" hidden="1" customWidth="1"/>
    <col min="8961" max="8961" width="33.42578125" style="1281" customWidth="1"/>
    <col min="8962" max="8962" width="16.28515625" style="1281" customWidth="1"/>
    <col min="8963" max="8963" width="3.42578125" style="1281" customWidth="1"/>
    <col min="8964" max="8964" width="5.7109375" style="1281" customWidth="1"/>
    <col min="8965" max="8965" width="5.85546875" style="1281" customWidth="1"/>
    <col min="8966" max="8966" width="6.7109375" style="1281" customWidth="1"/>
    <col min="8967" max="8967" width="6.28515625" style="1281" customWidth="1"/>
    <col min="8968" max="8968" width="5.42578125" style="1281" customWidth="1"/>
    <col min="8969" max="8969" width="6" style="1281" customWidth="1"/>
    <col min="8970" max="8970" width="6.28515625" style="1281" customWidth="1"/>
    <col min="8971" max="8971" width="5.7109375" style="1281" customWidth="1"/>
    <col min="8972" max="9215" width="11.42578125" style="1281"/>
    <col min="9216" max="9216" width="0" style="1281" hidden="1" customWidth="1"/>
    <col min="9217" max="9217" width="33.42578125" style="1281" customWidth="1"/>
    <col min="9218" max="9218" width="16.28515625" style="1281" customWidth="1"/>
    <col min="9219" max="9219" width="3.42578125" style="1281" customWidth="1"/>
    <col min="9220" max="9220" width="5.7109375" style="1281" customWidth="1"/>
    <col min="9221" max="9221" width="5.85546875" style="1281" customWidth="1"/>
    <col min="9222" max="9222" width="6.7109375" style="1281" customWidth="1"/>
    <col min="9223" max="9223" width="6.28515625" style="1281" customWidth="1"/>
    <col min="9224" max="9224" width="5.42578125" style="1281" customWidth="1"/>
    <col min="9225" max="9225" width="6" style="1281" customWidth="1"/>
    <col min="9226" max="9226" width="6.28515625" style="1281" customWidth="1"/>
    <col min="9227" max="9227" width="5.7109375" style="1281" customWidth="1"/>
    <col min="9228" max="9471" width="11.42578125" style="1281"/>
    <col min="9472" max="9472" width="0" style="1281" hidden="1" customWidth="1"/>
    <col min="9473" max="9473" width="33.42578125" style="1281" customWidth="1"/>
    <col min="9474" max="9474" width="16.28515625" style="1281" customWidth="1"/>
    <col min="9475" max="9475" width="3.42578125" style="1281" customWidth="1"/>
    <col min="9476" max="9476" width="5.7109375" style="1281" customWidth="1"/>
    <col min="9477" max="9477" width="5.85546875" style="1281" customWidth="1"/>
    <col min="9478" max="9478" width="6.7109375" style="1281" customWidth="1"/>
    <col min="9479" max="9479" width="6.28515625" style="1281" customWidth="1"/>
    <col min="9480" max="9480" width="5.42578125" style="1281" customWidth="1"/>
    <col min="9481" max="9481" width="6" style="1281" customWidth="1"/>
    <col min="9482" max="9482" width="6.28515625" style="1281" customWidth="1"/>
    <col min="9483" max="9483" width="5.7109375" style="1281" customWidth="1"/>
    <col min="9484" max="9727" width="11.42578125" style="1281"/>
    <col min="9728" max="9728" width="0" style="1281" hidden="1" customWidth="1"/>
    <col min="9729" max="9729" width="33.42578125" style="1281" customWidth="1"/>
    <col min="9730" max="9730" width="16.28515625" style="1281" customWidth="1"/>
    <col min="9731" max="9731" width="3.42578125" style="1281" customWidth="1"/>
    <col min="9732" max="9732" width="5.7109375" style="1281" customWidth="1"/>
    <col min="9733" max="9733" width="5.85546875" style="1281" customWidth="1"/>
    <col min="9734" max="9734" width="6.7109375" style="1281" customWidth="1"/>
    <col min="9735" max="9735" width="6.28515625" style="1281" customWidth="1"/>
    <col min="9736" max="9736" width="5.42578125" style="1281" customWidth="1"/>
    <col min="9737" max="9737" width="6" style="1281" customWidth="1"/>
    <col min="9738" max="9738" width="6.28515625" style="1281" customWidth="1"/>
    <col min="9739" max="9739" width="5.7109375" style="1281" customWidth="1"/>
    <col min="9740" max="9983" width="11.42578125" style="1281"/>
    <col min="9984" max="9984" width="0" style="1281" hidden="1" customWidth="1"/>
    <col min="9985" max="9985" width="33.42578125" style="1281" customWidth="1"/>
    <col min="9986" max="9986" width="16.28515625" style="1281" customWidth="1"/>
    <col min="9987" max="9987" width="3.42578125" style="1281" customWidth="1"/>
    <col min="9988" max="9988" width="5.7109375" style="1281" customWidth="1"/>
    <col min="9989" max="9989" width="5.85546875" style="1281" customWidth="1"/>
    <col min="9990" max="9990" width="6.7109375" style="1281" customWidth="1"/>
    <col min="9991" max="9991" width="6.28515625" style="1281" customWidth="1"/>
    <col min="9992" max="9992" width="5.42578125" style="1281" customWidth="1"/>
    <col min="9993" max="9993" width="6" style="1281" customWidth="1"/>
    <col min="9994" max="9994" width="6.28515625" style="1281" customWidth="1"/>
    <col min="9995" max="9995" width="5.7109375" style="1281" customWidth="1"/>
    <col min="9996" max="10239" width="11.42578125" style="1281"/>
    <col min="10240" max="10240" width="0" style="1281" hidden="1" customWidth="1"/>
    <col min="10241" max="10241" width="33.42578125" style="1281" customWidth="1"/>
    <col min="10242" max="10242" width="16.28515625" style="1281" customWidth="1"/>
    <col min="10243" max="10243" width="3.42578125" style="1281" customWidth="1"/>
    <col min="10244" max="10244" width="5.7109375" style="1281" customWidth="1"/>
    <col min="10245" max="10245" width="5.85546875" style="1281" customWidth="1"/>
    <col min="10246" max="10246" width="6.7109375" style="1281" customWidth="1"/>
    <col min="10247" max="10247" width="6.28515625" style="1281" customWidth="1"/>
    <col min="10248" max="10248" width="5.42578125" style="1281" customWidth="1"/>
    <col min="10249" max="10249" width="6" style="1281" customWidth="1"/>
    <col min="10250" max="10250" width="6.28515625" style="1281" customWidth="1"/>
    <col min="10251" max="10251" width="5.7109375" style="1281" customWidth="1"/>
    <col min="10252" max="10495" width="11.42578125" style="1281"/>
    <col min="10496" max="10496" width="0" style="1281" hidden="1" customWidth="1"/>
    <col min="10497" max="10497" width="33.42578125" style="1281" customWidth="1"/>
    <col min="10498" max="10498" width="16.28515625" style="1281" customWidth="1"/>
    <col min="10499" max="10499" width="3.42578125" style="1281" customWidth="1"/>
    <col min="10500" max="10500" width="5.7109375" style="1281" customWidth="1"/>
    <col min="10501" max="10501" width="5.85546875" style="1281" customWidth="1"/>
    <col min="10502" max="10502" width="6.7109375" style="1281" customWidth="1"/>
    <col min="10503" max="10503" width="6.28515625" style="1281" customWidth="1"/>
    <col min="10504" max="10504" width="5.42578125" style="1281" customWidth="1"/>
    <col min="10505" max="10505" width="6" style="1281" customWidth="1"/>
    <col min="10506" max="10506" width="6.28515625" style="1281" customWidth="1"/>
    <col min="10507" max="10507" width="5.7109375" style="1281" customWidth="1"/>
    <col min="10508" max="10751" width="11.42578125" style="1281"/>
    <col min="10752" max="10752" width="0" style="1281" hidden="1" customWidth="1"/>
    <col min="10753" max="10753" width="33.42578125" style="1281" customWidth="1"/>
    <col min="10754" max="10754" width="16.28515625" style="1281" customWidth="1"/>
    <col min="10755" max="10755" width="3.42578125" style="1281" customWidth="1"/>
    <col min="10756" max="10756" width="5.7109375" style="1281" customWidth="1"/>
    <col min="10757" max="10757" width="5.85546875" style="1281" customWidth="1"/>
    <col min="10758" max="10758" width="6.7109375" style="1281" customWidth="1"/>
    <col min="10759" max="10759" width="6.28515625" style="1281" customWidth="1"/>
    <col min="10760" max="10760" width="5.42578125" style="1281" customWidth="1"/>
    <col min="10761" max="10761" width="6" style="1281" customWidth="1"/>
    <col min="10762" max="10762" width="6.28515625" style="1281" customWidth="1"/>
    <col min="10763" max="10763" width="5.7109375" style="1281" customWidth="1"/>
    <col min="10764" max="11007" width="11.42578125" style="1281"/>
    <col min="11008" max="11008" width="0" style="1281" hidden="1" customWidth="1"/>
    <col min="11009" max="11009" width="33.42578125" style="1281" customWidth="1"/>
    <col min="11010" max="11010" width="16.28515625" style="1281" customWidth="1"/>
    <col min="11011" max="11011" width="3.42578125" style="1281" customWidth="1"/>
    <col min="11012" max="11012" width="5.7109375" style="1281" customWidth="1"/>
    <col min="11013" max="11013" width="5.85546875" style="1281" customWidth="1"/>
    <col min="11014" max="11014" width="6.7109375" style="1281" customWidth="1"/>
    <col min="11015" max="11015" width="6.28515625" style="1281" customWidth="1"/>
    <col min="11016" max="11016" width="5.42578125" style="1281" customWidth="1"/>
    <col min="11017" max="11017" width="6" style="1281" customWidth="1"/>
    <col min="11018" max="11018" width="6.28515625" style="1281" customWidth="1"/>
    <col min="11019" max="11019" width="5.7109375" style="1281" customWidth="1"/>
    <col min="11020" max="11263" width="11.42578125" style="1281"/>
    <col min="11264" max="11264" width="0" style="1281" hidden="1" customWidth="1"/>
    <col min="11265" max="11265" width="33.42578125" style="1281" customWidth="1"/>
    <col min="11266" max="11266" width="16.28515625" style="1281" customWidth="1"/>
    <col min="11267" max="11267" width="3.42578125" style="1281" customWidth="1"/>
    <col min="11268" max="11268" width="5.7109375" style="1281" customWidth="1"/>
    <col min="11269" max="11269" width="5.85546875" style="1281" customWidth="1"/>
    <col min="11270" max="11270" width="6.7109375" style="1281" customWidth="1"/>
    <col min="11271" max="11271" width="6.28515625" style="1281" customWidth="1"/>
    <col min="11272" max="11272" width="5.42578125" style="1281" customWidth="1"/>
    <col min="11273" max="11273" width="6" style="1281" customWidth="1"/>
    <col min="11274" max="11274" width="6.28515625" style="1281" customWidth="1"/>
    <col min="11275" max="11275" width="5.7109375" style="1281" customWidth="1"/>
    <col min="11276" max="11519" width="11.42578125" style="1281"/>
    <col min="11520" max="11520" width="0" style="1281" hidden="1" customWidth="1"/>
    <col min="11521" max="11521" width="33.42578125" style="1281" customWidth="1"/>
    <col min="11522" max="11522" width="16.28515625" style="1281" customWidth="1"/>
    <col min="11523" max="11523" width="3.42578125" style="1281" customWidth="1"/>
    <col min="11524" max="11524" width="5.7109375" style="1281" customWidth="1"/>
    <col min="11525" max="11525" width="5.85546875" style="1281" customWidth="1"/>
    <col min="11526" max="11526" width="6.7109375" style="1281" customWidth="1"/>
    <col min="11527" max="11527" width="6.28515625" style="1281" customWidth="1"/>
    <col min="11528" max="11528" width="5.42578125" style="1281" customWidth="1"/>
    <col min="11529" max="11529" width="6" style="1281" customWidth="1"/>
    <col min="11530" max="11530" width="6.28515625" style="1281" customWidth="1"/>
    <col min="11531" max="11531" width="5.7109375" style="1281" customWidth="1"/>
    <col min="11532" max="11775" width="11.42578125" style="1281"/>
    <col min="11776" max="11776" width="0" style="1281" hidden="1" customWidth="1"/>
    <col min="11777" max="11777" width="33.42578125" style="1281" customWidth="1"/>
    <col min="11778" max="11778" width="16.28515625" style="1281" customWidth="1"/>
    <col min="11779" max="11779" width="3.42578125" style="1281" customWidth="1"/>
    <col min="11780" max="11780" width="5.7109375" style="1281" customWidth="1"/>
    <col min="11781" max="11781" width="5.85546875" style="1281" customWidth="1"/>
    <col min="11782" max="11782" width="6.7109375" style="1281" customWidth="1"/>
    <col min="11783" max="11783" width="6.28515625" style="1281" customWidth="1"/>
    <col min="11784" max="11784" width="5.42578125" style="1281" customWidth="1"/>
    <col min="11785" max="11785" width="6" style="1281" customWidth="1"/>
    <col min="11786" max="11786" width="6.28515625" style="1281" customWidth="1"/>
    <col min="11787" max="11787" width="5.7109375" style="1281" customWidth="1"/>
    <col min="11788" max="12031" width="11.42578125" style="1281"/>
    <col min="12032" max="12032" width="0" style="1281" hidden="1" customWidth="1"/>
    <col min="12033" max="12033" width="33.42578125" style="1281" customWidth="1"/>
    <col min="12034" max="12034" width="16.28515625" style="1281" customWidth="1"/>
    <col min="12035" max="12035" width="3.42578125" style="1281" customWidth="1"/>
    <col min="12036" max="12036" width="5.7109375" style="1281" customWidth="1"/>
    <col min="12037" max="12037" width="5.85546875" style="1281" customWidth="1"/>
    <col min="12038" max="12038" width="6.7109375" style="1281" customWidth="1"/>
    <col min="12039" max="12039" width="6.28515625" style="1281" customWidth="1"/>
    <col min="12040" max="12040" width="5.42578125" style="1281" customWidth="1"/>
    <col min="12041" max="12041" width="6" style="1281" customWidth="1"/>
    <col min="12042" max="12042" width="6.28515625" style="1281" customWidth="1"/>
    <col min="12043" max="12043" width="5.7109375" style="1281" customWidth="1"/>
    <col min="12044" max="12287" width="11.42578125" style="1281"/>
    <col min="12288" max="12288" width="0" style="1281" hidden="1" customWidth="1"/>
    <col min="12289" max="12289" width="33.42578125" style="1281" customWidth="1"/>
    <col min="12290" max="12290" width="16.28515625" style="1281" customWidth="1"/>
    <col min="12291" max="12291" width="3.42578125" style="1281" customWidth="1"/>
    <col min="12292" max="12292" width="5.7109375" style="1281" customWidth="1"/>
    <col min="12293" max="12293" width="5.85546875" style="1281" customWidth="1"/>
    <col min="12294" max="12294" width="6.7109375" style="1281" customWidth="1"/>
    <col min="12295" max="12295" width="6.28515625" style="1281" customWidth="1"/>
    <col min="12296" max="12296" width="5.42578125" style="1281" customWidth="1"/>
    <col min="12297" max="12297" width="6" style="1281" customWidth="1"/>
    <col min="12298" max="12298" width="6.28515625" style="1281" customWidth="1"/>
    <col min="12299" max="12299" width="5.7109375" style="1281" customWidth="1"/>
    <col min="12300" max="12543" width="11.42578125" style="1281"/>
    <col min="12544" max="12544" width="0" style="1281" hidden="1" customWidth="1"/>
    <col min="12545" max="12545" width="33.42578125" style="1281" customWidth="1"/>
    <col min="12546" max="12546" width="16.28515625" style="1281" customWidth="1"/>
    <col min="12547" max="12547" width="3.42578125" style="1281" customWidth="1"/>
    <col min="12548" max="12548" width="5.7109375" style="1281" customWidth="1"/>
    <col min="12549" max="12549" width="5.85546875" style="1281" customWidth="1"/>
    <col min="12550" max="12550" width="6.7109375" style="1281" customWidth="1"/>
    <col min="12551" max="12551" width="6.28515625" style="1281" customWidth="1"/>
    <col min="12552" max="12552" width="5.42578125" style="1281" customWidth="1"/>
    <col min="12553" max="12553" width="6" style="1281" customWidth="1"/>
    <col min="12554" max="12554" width="6.28515625" style="1281" customWidth="1"/>
    <col min="12555" max="12555" width="5.7109375" style="1281" customWidth="1"/>
    <col min="12556" max="12799" width="11.42578125" style="1281"/>
    <col min="12800" max="12800" width="0" style="1281" hidden="1" customWidth="1"/>
    <col min="12801" max="12801" width="33.42578125" style="1281" customWidth="1"/>
    <col min="12802" max="12802" width="16.28515625" style="1281" customWidth="1"/>
    <col min="12803" max="12803" width="3.42578125" style="1281" customWidth="1"/>
    <col min="12804" max="12804" width="5.7109375" style="1281" customWidth="1"/>
    <col min="12805" max="12805" width="5.85546875" style="1281" customWidth="1"/>
    <col min="12806" max="12806" width="6.7109375" style="1281" customWidth="1"/>
    <col min="12807" max="12807" width="6.28515625" style="1281" customWidth="1"/>
    <col min="12808" max="12808" width="5.42578125" style="1281" customWidth="1"/>
    <col min="12809" max="12809" width="6" style="1281" customWidth="1"/>
    <col min="12810" max="12810" width="6.28515625" style="1281" customWidth="1"/>
    <col min="12811" max="12811" width="5.7109375" style="1281" customWidth="1"/>
    <col min="12812" max="13055" width="11.42578125" style="1281"/>
    <col min="13056" max="13056" width="0" style="1281" hidden="1" customWidth="1"/>
    <col min="13057" max="13057" width="33.42578125" style="1281" customWidth="1"/>
    <col min="13058" max="13058" width="16.28515625" style="1281" customWidth="1"/>
    <col min="13059" max="13059" width="3.42578125" style="1281" customWidth="1"/>
    <col min="13060" max="13060" width="5.7109375" style="1281" customWidth="1"/>
    <col min="13061" max="13061" width="5.85546875" style="1281" customWidth="1"/>
    <col min="13062" max="13062" width="6.7109375" style="1281" customWidth="1"/>
    <col min="13063" max="13063" width="6.28515625" style="1281" customWidth="1"/>
    <col min="13064" max="13064" width="5.42578125" style="1281" customWidth="1"/>
    <col min="13065" max="13065" width="6" style="1281" customWidth="1"/>
    <col min="13066" max="13066" width="6.28515625" style="1281" customWidth="1"/>
    <col min="13067" max="13067" width="5.7109375" style="1281" customWidth="1"/>
    <col min="13068" max="13311" width="11.42578125" style="1281"/>
    <col min="13312" max="13312" width="0" style="1281" hidden="1" customWidth="1"/>
    <col min="13313" max="13313" width="33.42578125" style="1281" customWidth="1"/>
    <col min="13314" max="13314" width="16.28515625" style="1281" customWidth="1"/>
    <col min="13315" max="13315" width="3.42578125" style="1281" customWidth="1"/>
    <col min="13316" max="13316" width="5.7109375" style="1281" customWidth="1"/>
    <col min="13317" max="13317" width="5.85546875" style="1281" customWidth="1"/>
    <col min="13318" max="13318" width="6.7109375" style="1281" customWidth="1"/>
    <col min="13319" max="13319" width="6.28515625" style="1281" customWidth="1"/>
    <col min="13320" max="13320" width="5.42578125" style="1281" customWidth="1"/>
    <col min="13321" max="13321" width="6" style="1281" customWidth="1"/>
    <col min="13322" max="13322" width="6.28515625" style="1281" customWidth="1"/>
    <col min="13323" max="13323" width="5.7109375" style="1281" customWidth="1"/>
    <col min="13324" max="13567" width="11.42578125" style="1281"/>
    <col min="13568" max="13568" width="0" style="1281" hidden="1" customWidth="1"/>
    <col min="13569" max="13569" width="33.42578125" style="1281" customWidth="1"/>
    <col min="13570" max="13570" width="16.28515625" style="1281" customWidth="1"/>
    <col min="13571" max="13571" width="3.42578125" style="1281" customWidth="1"/>
    <col min="13572" max="13572" width="5.7109375" style="1281" customWidth="1"/>
    <col min="13573" max="13573" width="5.85546875" style="1281" customWidth="1"/>
    <col min="13574" max="13574" width="6.7109375" style="1281" customWidth="1"/>
    <col min="13575" max="13575" width="6.28515625" style="1281" customWidth="1"/>
    <col min="13576" max="13576" width="5.42578125" style="1281" customWidth="1"/>
    <col min="13577" max="13577" width="6" style="1281" customWidth="1"/>
    <col min="13578" max="13578" width="6.28515625" style="1281" customWidth="1"/>
    <col min="13579" max="13579" width="5.7109375" style="1281" customWidth="1"/>
    <col min="13580" max="13823" width="11.42578125" style="1281"/>
    <col min="13824" max="13824" width="0" style="1281" hidden="1" customWidth="1"/>
    <col min="13825" max="13825" width="33.42578125" style="1281" customWidth="1"/>
    <col min="13826" max="13826" width="16.28515625" style="1281" customWidth="1"/>
    <col min="13827" max="13827" width="3.42578125" style="1281" customWidth="1"/>
    <col min="13828" max="13828" width="5.7109375" style="1281" customWidth="1"/>
    <col min="13829" max="13829" width="5.85546875" style="1281" customWidth="1"/>
    <col min="13830" max="13830" width="6.7109375" style="1281" customWidth="1"/>
    <col min="13831" max="13831" width="6.28515625" style="1281" customWidth="1"/>
    <col min="13832" max="13832" width="5.42578125" style="1281" customWidth="1"/>
    <col min="13833" max="13833" width="6" style="1281" customWidth="1"/>
    <col min="13834" max="13834" width="6.28515625" style="1281" customWidth="1"/>
    <col min="13835" max="13835" width="5.7109375" style="1281" customWidth="1"/>
    <col min="13836" max="14079" width="11.42578125" style="1281"/>
    <col min="14080" max="14080" width="0" style="1281" hidden="1" customWidth="1"/>
    <col min="14081" max="14081" width="33.42578125" style="1281" customWidth="1"/>
    <col min="14082" max="14082" width="16.28515625" style="1281" customWidth="1"/>
    <col min="14083" max="14083" width="3.42578125" style="1281" customWidth="1"/>
    <col min="14084" max="14084" width="5.7109375" style="1281" customWidth="1"/>
    <col min="14085" max="14085" width="5.85546875" style="1281" customWidth="1"/>
    <col min="14086" max="14086" width="6.7109375" style="1281" customWidth="1"/>
    <col min="14087" max="14087" width="6.28515625" style="1281" customWidth="1"/>
    <col min="14088" max="14088" width="5.42578125" style="1281" customWidth="1"/>
    <col min="14089" max="14089" width="6" style="1281" customWidth="1"/>
    <col min="14090" max="14090" width="6.28515625" style="1281" customWidth="1"/>
    <col min="14091" max="14091" width="5.7109375" style="1281" customWidth="1"/>
    <col min="14092" max="14335" width="11.42578125" style="1281"/>
    <col min="14336" max="14336" width="0" style="1281" hidden="1" customWidth="1"/>
    <col min="14337" max="14337" width="33.42578125" style="1281" customWidth="1"/>
    <col min="14338" max="14338" width="16.28515625" style="1281" customWidth="1"/>
    <col min="14339" max="14339" width="3.42578125" style="1281" customWidth="1"/>
    <col min="14340" max="14340" width="5.7109375" style="1281" customWidth="1"/>
    <col min="14341" max="14341" width="5.85546875" style="1281" customWidth="1"/>
    <col min="14342" max="14342" width="6.7109375" style="1281" customWidth="1"/>
    <col min="14343" max="14343" width="6.28515625" style="1281" customWidth="1"/>
    <col min="14344" max="14344" width="5.42578125" style="1281" customWidth="1"/>
    <col min="14345" max="14345" width="6" style="1281" customWidth="1"/>
    <col min="14346" max="14346" width="6.28515625" style="1281" customWidth="1"/>
    <col min="14347" max="14347" width="5.7109375" style="1281" customWidth="1"/>
    <col min="14348" max="14591" width="11.42578125" style="1281"/>
    <col min="14592" max="14592" width="0" style="1281" hidden="1" customWidth="1"/>
    <col min="14593" max="14593" width="33.42578125" style="1281" customWidth="1"/>
    <col min="14594" max="14594" width="16.28515625" style="1281" customWidth="1"/>
    <col min="14595" max="14595" width="3.42578125" style="1281" customWidth="1"/>
    <col min="14596" max="14596" width="5.7109375" style="1281" customWidth="1"/>
    <col min="14597" max="14597" width="5.85546875" style="1281" customWidth="1"/>
    <col min="14598" max="14598" width="6.7109375" style="1281" customWidth="1"/>
    <col min="14599" max="14599" width="6.28515625" style="1281" customWidth="1"/>
    <col min="14600" max="14600" width="5.42578125" style="1281" customWidth="1"/>
    <col min="14601" max="14601" width="6" style="1281" customWidth="1"/>
    <col min="14602" max="14602" width="6.28515625" style="1281" customWidth="1"/>
    <col min="14603" max="14603" width="5.7109375" style="1281" customWidth="1"/>
    <col min="14604" max="14847" width="11.42578125" style="1281"/>
    <col min="14848" max="14848" width="0" style="1281" hidden="1" customWidth="1"/>
    <col min="14849" max="14849" width="33.42578125" style="1281" customWidth="1"/>
    <col min="14850" max="14850" width="16.28515625" style="1281" customWidth="1"/>
    <col min="14851" max="14851" width="3.42578125" style="1281" customWidth="1"/>
    <col min="14852" max="14852" width="5.7109375" style="1281" customWidth="1"/>
    <col min="14853" max="14853" width="5.85546875" style="1281" customWidth="1"/>
    <col min="14854" max="14854" width="6.7109375" style="1281" customWidth="1"/>
    <col min="14855" max="14855" width="6.28515625" style="1281" customWidth="1"/>
    <col min="14856" max="14856" width="5.42578125" style="1281" customWidth="1"/>
    <col min="14857" max="14857" width="6" style="1281" customWidth="1"/>
    <col min="14858" max="14858" width="6.28515625" style="1281" customWidth="1"/>
    <col min="14859" max="14859" width="5.7109375" style="1281" customWidth="1"/>
    <col min="14860" max="15103" width="11.42578125" style="1281"/>
    <col min="15104" max="15104" width="0" style="1281" hidden="1" customWidth="1"/>
    <col min="15105" max="15105" width="33.42578125" style="1281" customWidth="1"/>
    <col min="15106" max="15106" width="16.28515625" style="1281" customWidth="1"/>
    <col min="15107" max="15107" width="3.42578125" style="1281" customWidth="1"/>
    <col min="15108" max="15108" width="5.7109375" style="1281" customWidth="1"/>
    <col min="15109" max="15109" width="5.85546875" style="1281" customWidth="1"/>
    <col min="15110" max="15110" width="6.7109375" style="1281" customWidth="1"/>
    <col min="15111" max="15111" width="6.28515625" style="1281" customWidth="1"/>
    <col min="15112" max="15112" width="5.42578125" style="1281" customWidth="1"/>
    <col min="15113" max="15113" width="6" style="1281" customWidth="1"/>
    <col min="15114" max="15114" width="6.28515625" style="1281" customWidth="1"/>
    <col min="15115" max="15115" width="5.7109375" style="1281" customWidth="1"/>
    <col min="15116" max="15359" width="11.42578125" style="1281"/>
    <col min="15360" max="15360" width="0" style="1281" hidden="1" customWidth="1"/>
    <col min="15361" max="15361" width="33.42578125" style="1281" customWidth="1"/>
    <col min="15362" max="15362" width="16.28515625" style="1281" customWidth="1"/>
    <col min="15363" max="15363" width="3.42578125" style="1281" customWidth="1"/>
    <col min="15364" max="15364" width="5.7109375" style="1281" customWidth="1"/>
    <col min="15365" max="15365" width="5.85546875" style="1281" customWidth="1"/>
    <col min="15366" max="15366" width="6.7109375" style="1281" customWidth="1"/>
    <col min="15367" max="15367" width="6.28515625" style="1281" customWidth="1"/>
    <col min="15368" max="15368" width="5.42578125" style="1281" customWidth="1"/>
    <col min="15369" max="15369" width="6" style="1281" customWidth="1"/>
    <col min="15370" max="15370" width="6.28515625" style="1281" customWidth="1"/>
    <col min="15371" max="15371" width="5.7109375" style="1281" customWidth="1"/>
    <col min="15372" max="15615" width="11.42578125" style="1281"/>
    <col min="15616" max="15616" width="0" style="1281" hidden="1" customWidth="1"/>
    <col min="15617" max="15617" width="33.42578125" style="1281" customWidth="1"/>
    <col min="15618" max="15618" width="16.28515625" style="1281" customWidth="1"/>
    <col min="15619" max="15619" width="3.42578125" style="1281" customWidth="1"/>
    <col min="15620" max="15620" width="5.7109375" style="1281" customWidth="1"/>
    <col min="15621" max="15621" width="5.85546875" style="1281" customWidth="1"/>
    <col min="15622" max="15622" width="6.7109375" style="1281" customWidth="1"/>
    <col min="15623" max="15623" width="6.28515625" style="1281" customWidth="1"/>
    <col min="15624" max="15624" width="5.42578125" style="1281" customWidth="1"/>
    <col min="15625" max="15625" width="6" style="1281" customWidth="1"/>
    <col min="15626" max="15626" width="6.28515625" style="1281" customWidth="1"/>
    <col min="15627" max="15627" width="5.7109375" style="1281" customWidth="1"/>
    <col min="15628" max="15871" width="11.42578125" style="1281"/>
    <col min="15872" max="15872" width="0" style="1281" hidden="1" customWidth="1"/>
    <col min="15873" max="15873" width="33.42578125" style="1281" customWidth="1"/>
    <col min="15874" max="15874" width="16.28515625" style="1281" customWidth="1"/>
    <col min="15875" max="15875" width="3.42578125" style="1281" customWidth="1"/>
    <col min="15876" max="15876" width="5.7109375" style="1281" customWidth="1"/>
    <col min="15877" max="15877" width="5.85546875" style="1281" customWidth="1"/>
    <col min="15878" max="15878" width="6.7109375" style="1281" customWidth="1"/>
    <col min="15879" max="15879" width="6.28515625" style="1281" customWidth="1"/>
    <col min="15880" max="15880" width="5.42578125" style="1281" customWidth="1"/>
    <col min="15881" max="15881" width="6" style="1281" customWidth="1"/>
    <col min="15882" max="15882" width="6.28515625" style="1281" customWidth="1"/>
    <col min="15883" max="15883" width="5.7109375" style="1281" customWidth="1"/>
    <col min="15884" max="16127" width="11.42578125" style="1281"/>
    <col min="16128" max="16128" width="0" style="1281" hidden="1" customWidth="1"/>
    <col min="16129" max="16129" width="33.42578125" style="1281" customWidth="1"/>
    <col min="16130" max="16130" width="16.28515625" style="1281" customWidth="1"/>
    <col min="16131" max="16131" width="3.42578125" style="1281" customWidth="1"/>
    <col min="16132" max="16132" width="5.7109375" style="1281" customWidth="1"/>
    <col min="16133" max="16133" width="5.85546875" style="1281" customWidth="1"/>
    <col min="16134" max="16134" width="6.7109375" style="1281" customWidth="1"/>
    <col min="16135" max="16135" width="6.28515625" style="1281" customWidth="1"/>
    <col min="16136" max="16136" width="5.42578125" style="1281" customWidth="1"/>
    <col min="16137" max="16137" width="6" style="1281" customWidth="1"/>
    <col min="16138" max="16138" width="6.28515625" style="1281" customWidth="1"/>
    <col min="16139" max="16139" width="5.7109375" style="1281" customWidth="1"/>
    <col min="16140" max="16384" width="11.42578125" style="1281"/>
  </cols>
  <sheetData>
    <row r="1" spans="1:27" ht="18"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3.5" customHeight="1">
      <c r="A2" s="1514"/>
      <c r="B2" s="3628" t="s">
        <v>1995</v>
      </c>
      <c r="C2" s="3629"/>
      <c r="D2" s="3629"/>
      <c r="E2" s="3629"/>
      <c r="F2" s="3629"/>
      <c r="G2" s="3629"/>
      <c r="H2" s="2844" t="s">
        <v>1444</v>
      </c>
      <c r="I2" s="2845">
        <f>X2</f>
        <v>10</v>
      </c>
      <c r="J2" s="2841"/>
      <c r="K2" s="2843" t="s">
        <v>2873</v>
      </c>
      <c r="L2" s="2842">
        <v>5</v>
      </c>
      <c r="M2" s="1519">
        <v>42.75</v>
      </c>
      <c r="P2" s="1520"/>
      <c r="Q2" s="3630" t="s">
        <v>1995</v>
      </c>
      <c r="R2" s="3631"/>
      <c r="S2" s="3631"/>
      <c r="T2" s="3631"/>
      <c r="U2" s="3631"/>
      <c r="V2" s="3632"/>
      <c r="W2" s="1521" t="s">
        <v>1444</v>
      </c>
      <c r="X2" s="1522">
        <v>10</v>
      </c>
      <c r="Y2" s="1523"/>
      <c r="Z2" s="1523"/>
      <c r="AA2" s="1524"/>
    </row>
    <row r="3" spans="1:27" ht="27.75" customHeight="1">
      <c r="A3" s="1533"/>
      <c r="B3" s="1526" t="s">
        <v>1391</v>
      </c>
      <c r="C3" s="1527"/>
      <c r="D3" s="1527"/>
      <c r="E3" s="1528"/>
      <c r="F3" s="1529" t="s">
        <v>1445</v>
      </c>
      <c r="G3" s="1530"/>
      <c r="H3" s="1531"/>
      <c r="I3" s="1531"/>
      <c r="J3" s="1530"/>
      <c r="K3" s="1530"/>
      <c r="L3" s="1532"/>
      <c r="M3" s="1519">
        <v>24.75</v>
      </c>
      <c r="P3" s="1533"/>
      <c r="Q3" s="1534" t="s">
        <v>1391</v>
      </c>
      <c r="R3" s="1527"/>
      <c r="S3" s="1527"/>
      <c r="T3" s="1528"/>
      <c r="U3" s="1535" t="s">
        <v>1445</v>
      </c>
      <c r="V3" s="1536"/>
      <c r="W3" s="1192"/>
      <c r="X3" s="1192"/>
      <c r="Y3" s="1536"/>
      <c r="Z3" s="1536"/>
      <c r="AA3" s="1537"/>
    </row>
    <row r="4" spans="1:27" ht="88.7" customHeight="1">
      <c r="A4" s="1520"/>
      <c r="B4" s="3633"/>
      <c r="C4" s="3633"/>
      <c r="D4" s="3633"/>
      <c r="E4" s="3634"/>
      <c r="F4" s="1539"/>
      <c r="G4" s="1540"/>
      <c r="H4" s="1540"/>
      <c r="I4" s="1540"/>
      <c r="J4" s="1531"/>
      <c r="K4" s="1531"/>
      <c r="L4" s="1532"/>
      <c r="M4" s="1519">
        <v>112.5</v>
      </c>
      <c r="P4" s="1520"/>
      <c r="Q4" s="3635"/>
      <c r="R4" s="3633"/>
      <c r="S4" s="3633"/>
      <c r="T4" s="3634"/>
      <c r="U4" s="1520"/>
      <c r="V4" s="1426"/>
      <c r="W4" s="1426"/>
      <c r="X4" s="1426"/>
      <c r="Y4" s="1192"/>
      <c r="Z4" s="1192"/>
      <c r="AA4" s="1537"/>
    </row>
    <row r="5" spans="1:27" ht="25.5" customHeight="1">
      <c r="A5" s="1667"/>
      <c r="B5" s="1668" t="s">
        <v>151</v>
      </c>
      <c r="C5" s="1543" t="s">
        <v>1446</v>
      </c>
      <c r="D5" s="1544"/>
      <c r="E5" s="1545" t="s">
        <v>1447</v>
      </c>
      <c r="F5" s="1546"/>
      <c r="G5" s="1546"/>
      <c r="H5" s="1546"/>
      <c r="I5" s="1547"/>
      <c r="J5" s="1543" t="s">
        <v>1448</v>
      </c>
      <c r="K5" s="1548"/>
      <c r="L5" s="1549"/>
      <c r="M5" s="1519">
        <v>63.75</v>
      </c>
      <c r="N5" s="1192"/>
      <c r="P5" s="1550"/>
      <c r="Q5" s="1551" t="s">
        <v>151</v>
      </c>
      <c r="R5" s="1552" t="s">
        <v>1446</v>
      </c>
      <c r="S5" s="1553"/>
      <c r="T5" s="1554" t="s">
        <v>1447</v>
      </c>
      <c r="U5" s="1555"/>
      <c r="V5" s="1555"/>
      <c r="W5" s="1555"/>
      <c r="X5" s="1556"/>
      <c r="Y5" s="1552" t="s">
        <v>1448</v>
      </c>
      <c r="Z5" s="1557"/>
      <c r="AA5" s="1558"/>
    </row>
    <row r="6" spans="1:27" ht="57.75">
      <c r="A6" s="1533"/>
      <c r="B6" s="1566"/>
      <c r="C6" s="1560" t="str">
        <f t="shared" ref="C6:I21" si="0">R6</f>
        <v>NATURE</v>
      </c>
      <c r="D6" s="1561" t="str">
        <f t="shared" si="0"/>
        <v>unite</v>
      </c>
      <c r="E6" s="1561" t="str">
        <f t="shared" si="0"/>
        <v>SOUPE</v>
      </c>
      <c r="F6" s="1561" t="str">
        <f t="shared" si="0"/>
        <v xml:space="preserve"> </v>
      </c>
      <c r="G6" s="1561">
        <f t="shared" si="0"/>
        <v>0</v>
      </c>
      <c r="H6" s="1561">
        <f t="shared" si="0"/>
        <v>0</v>
      </c>
      <c r="I6" s="1562" t="str">
        <f t="shared" si="0"/>
        <v>finitio</v>
      </c>
      <c r="J6" s="1563" t="s">
        <v>110</v>
      </c>
      <c r="K6" s="1564" t="s">
        <v>117</v>
      </c>
      <c r="L6" s="1565" t="s">
        <v>118</v>
      </c>
      <c r="M6" s="1519">
        <v>57.75</v>
      </c>
      <c r="P6" s="1533"/>
      <c r="Q6" s="1566"/>
      <c r="R6" s="1567" t="s">
        <v>1449</v>
      </c>
      <c r="S6" s="1568" t="s">
        <v>1450</v>
      </c>
      <c r="T6" s="1569" t="s">
        <v>1996</v>
      </c>
      <c r="U6" s="1569" t="s">
        <v>1456</v>
      </c>
      <c r="V6" s="1569"/>
      <c r="W6" s="1570"/>
      <c r="X6" s="1571" t="s">
        <v>1455</v>
      </c>
      <c r="Y6" s="1572" t="s">
        <v>110</v>
      </c>
      <c r="Z6" s="1572" t="s">
        <v>117</v>
      </c>
      <c r="AA6" s="1573" t="s">
        <v>118</v>
      </c>
    </row>
    <row r="7" spans="1:27" ht="26.25">
      <c r="A7" s="1581"/>
      <c r="B7" s="1582"/>
      <c r="C7" s="1576" t="str">
        <f t="shared" si="0"/>
        <v>Viandes/Poissons</v>
      </c>
      <c r="D7" s="2855" t="str">
        <f t="shared" si="0"/>
        <v xml:space="preserve"> </v>
      </c>
      <c r="E7" s="2855">
        <f t="shared" ref="E7:I22" si="1">IF(ISTEXT(T7),T7,(T7/$I$2)*$L$2)</f>
        <v>0</v>
      </c>
      <c r="F7" s="2855">
        <f t="shared" si="1"/>
        <v>0</v>
      </c>
      <c r="G7" s="2855">
        <f t="shared" si="1"/>
        <v>0</v>
      </c>
      <c r="H7" s="2855">
        <f t="shared" si="1"/>
        <v>0</v>
      </c>
      <c r="I7" s="2867">
        <f t="shared" si="1"/>
        <v>0</v>
      </c>
      <c r="J7" s="1674"/>
      <c r="K7" s="1579"/>
      <c r="L7" s="1580"/>
      <c r="M7" s="1519">
        <v>25.5</v>
      </c>
      <c r="P7" s="1581"/>
      <c r="Q7" s="1582"/>
      <c r="R7" s="1583" t="s">
        <v>120</v>
      </c>
      <c r="S7" s="1584" t="s">
        <v>1456</v>
      </c>
      <c r="T7" s="1585"/>
      <c r="U7" s="1585"/>
      <c r="V7" s="1585"/>
      <c r="W7" s="1585"/>
      <c r="X7" s="1585"/>
      <c r="Y7" s="1585"/>
      <c r="Z7" s="1585"/>
      <c r="AA7" s="1586">
        <f t="shared" ref="AA7:AA46" si="2">IF(ISBLANK(Z7),0,Z7*Y7)</f>
        <v>0</v>
      </c>
    </row>
    <row r="8" spans="1:27" ht="23.25">
      <c r="A8" s="1581"/>
      <c r="B8" s="1582"/>
      <c r="C8" s="2853" t="str">
        <f t="shared" si="0"/>
        <v>Os de volaille</v>
      </c>
      <c r="D8" s="2851" t="str">
        <f t="shared" si="0"/>
        <v>Pm</v>
      </c>
      <c r="E8" s="2852" t="str">
        <f t="shared" si="1"/>
        <v>Pm</v>
      </c>
      <c r="F8" s="2852">
        <f t="shared" si="1"/>
        <v>0</v>
      </c>
      <c r="G8" s="2852">
        <f t="shared" si="1"/>
        <v>0</v>
      </c>
      <c r="H8" s="2852">
        <f t="shared" si="1"/>
        <v>0</v>
      </c>
      <c r="I8" s="2852">
        <f t="shared" si="1"/>
        <v>0</v>
      </c>
      <c r="J8" s="2857" t="str">
        <f>IF(SUM(E8:I8)=0,"",SUM(E8:I8))</f>
        <v/>
      </c>
      <c r="K8" s="1590"/>
      <c r="L8" s="1591" t="str">
        <f t="shared" ref="L8:L46" si="3">IF(ISBLANK(K8),"",K8*J8)</f>
        <v/>
      </c>
      <c r="M8" s="1519">
        <v>25.5</v>
      </c>
      <c r="P8" s="1581"/>
      <c r="Q8" s="1582"/>
      <c r="R8" s="1592" t="s">
        <v>1997</v>
      </c>
      <c r="S8" s="1550" t="s">
        <v>1472</v>
      </c>
      <c r="T8" s="1592" t="s">
        <v>1472</v>
      </c>
      <c r="U8" s="1592"/>
      <c r="V8" s="1592"/>
      <c r="W8" s="1592"/>
      <c r="X8" s="1592"/>
      <c r="Y8" s="1592" t="str">
        <f>IF(SUM(T8:X8)=0,"",SUM(T8:X8))</f>
        <v/>
      </c>
      <c r="Z8" s="1592"/>
      <c r="AA8" s="1593">
        <f t="shared" si="2"/>
        <v>0</v>
      </c>
    </row>
    <row r="9" spans="1:27" ht="23.25">
      <c r="A9" s="1581"/>
      <c r="B9" s="1582"/>
      <c r="C9" s="2853" t="str">
        <f t="shared" si="0"/>
        <v>daurade royale</v>
      </c>
      <c r="D9" s="2851" t="str">
        <f t="shared" si="0"/>
        <v>kg</v>
      </c>
      <c r="E9" s="2852" t="str">
        <f t="shared" si="1"/>
        <v xml:space="preserve"> </v>
      </c>
      <c r="F9" s="2852">
        <f t="shared" si="1"/>
        <v>0</v>
      </c>
      <c r="G9" s="2852">
        <f t="shared" si="1"/>
        <v>0</v>
      </c>
      <c r="H9" s="2852">
        <f t="shared" si="1"/>
        <v>0</v>
      </c>
      <c r="I9" s="2852">
        <f t="shared" si="1"/>
        <v>0.25</v>
      </c>
      <c r="J9" s="2857">
        <f t="shared" ref="J9:J47" si="4">IF(SUM(E9:I9)=0,"",SUM(E9:I9))</f>
        <v>0.25</v>
      </c>
      <c r="K9" s="1590"/>
      <c r="L9" s="1591" t="str">
        <f t="shared" si="3"/>
        <v/>
      </c>
      <c r="M9" s="1519">
        <v>25.5</v>
      </c>
      <c r="P9" s="1581"/>
      <c r="Q9" s="1582"/>
      <c r="R9" s="1592" t="s">
        <v>1998</v>
      </c>
      <c r="S9" s="1550" t="s">
        <v>166</v>
      </c>
      <c r="T9" s="1592" t="s">
        <v>1456</v>
      </c>
      <c r="U9" s="1592"/>
      <c r="V9" s="1592"/>
      <c r="W9" s="1592"/>
      <c r="X9" s="1592">
        <v>0.5</v>
      </c>
      <c r="Y9" s="1592">
        <f t="shared" ref="Y9" si="5">IF(SUM(T9:X9)=0,"",SUM(T9:X9))</f>
        <v>0.5</v>
      </c>
      <c r="Z9" s="1592"/>
      <c r="AA9" s="1593">
        <f t="shared" si="2"/>
        <v>0</v>
      </c>
    </row>
    <row r="10" spans="1:27" ht="23.25">
      <c r="A10" s="1581"/>
      <c r="B10" s="1582"/>
      <c r="C10" s="2853" t="str">
        <f t="shared" si="0"/>
        <v xml:space="preserve"> </v>
      </c>
      <c r="D10" s="2851">
        <f t="shared" si="0"/>
        <v>0</v>
      </c>
      <c r="E10" s="2852">
        <f t="shared" si="1"/>
        <v>0</v>
      </c>
      <c r="F10" s="2852" t="str">
        <f t="shared" si="1"/>
        <v xml:space="preserve"> </v>
      </c>
      <c r="G10" s="2852">
        <f t="shared" si="1"/>
        <v>0</v>
      </c>
      <c r="H10" s="2852">
        <f t="shared" si="1"/>
        <v>0</v>
      </c>
      <c r="I10" s="2852">
        <f t="shared" si="1"/>
        <v>0</v>
      </c>
      <c r="J10" s="2857" t="str">
        <f>IF(SUM(E10:I10)=0,"",SUM(E10:I10))</f>
        <v/>
      </c>
      <c r="K10" s="1590"/>
      <c r="L10" s="1591" t="str">
        <f t="shared" si="3"/>
        <v/>
      </c>
      <c r="M10" s="1519">
        <v>25.5</v>
      </c>
      <c r="P10" s="1581"/>
      <c r="Q10" s="1582"/>
      <c r="R10" s="1592" t="s">
        <v>1456</v>
      </c>
      <c r="S10" s="1550"/>
      <c r="T10" s="1592"/>
      <c r="U10" s="1592" t="s">
        <v>1456</v>
      </c>
      <c r="V10" s="1592"/>
      <c r="W10" s="1592"/>
      <c r="X10" s="1592"/>
      <c r="Y10" s="1592" t="str">
        <f>IF(SUM(T10:X10)=0,"",SUM(T10:X10))</f>
        <v/>
      </c>
      <c r="Z10" s="1592"/>
      <c r="AA10" s="1593">
        <f t="shared" si="2"/>
        <v>0</v>
      </c>
    </row>
    <row r="11" spans="1:27" ht="23.25">
      <c r="A11" s="1581"/>
      <c r="B11" s="1582"/>
      <c r="C11" s="2853" t="str">
        <f t="shared" si="0"/>
        <v xml:space="preserve"> </v>
      </c>
      <c r="D11" s="2851">
        <f t="shared" si="0"/>
        <v>0</v>
      </c>
      <c r="E11" s="2852">
        <f t="shared" si="1"/>
        <v>0</v>
      </c>
      <c r="F11" s="2852" t="str">
        <f t="shared" si="1"/>
        <v xml:space="preserve"> </v>
      </c>
      <c r="G11" s="2852">
        <f t="shared" si="1"/>
        <v>0</v>
      </c>
      <c r="H11" s="2852">
        <f t="shared" si="1"/>
        <v>0</v>
      </c>
      <c r="I11" s="2852">
        <f t="shared" si="1"/>
        <v>0</v>
      </c>
      <c r="J11" s="2857" t="str">
        <f t="shared" si="4"/>
        <v/>
      </c>
      <c r="K11" s="1590"/>
      <c r="L11" s="1591" t="str">
        <f t="shared" si="3"/>
        <v/>
      </c>
      <c r="M11" s="1519">
        <v>25.5</v>
      </c>
      <c r="P11" s="1581"/>
      <c r="Q11" s="1582"/>
      <c r="R11" s="1594" t="s">
        <v>1456</v>
      </c>
      <c r="S11" s="1550"/>
      <c r="T11" s="1592"/>
      <c r="U11" s="1592" t="s">
        <v>1456</v>
      </c>
      <c r="V11" s="1592"/>
      <c r="W11" s="1592"/>
      <c r="X11" s="1592"/>
      <c r="Y11" s="1592" t="str">
        <f t="shared" ref="Y11:Y24" si="6">IF(SUM(T11:X11)=0,"",SUM(T11:X11))</f>
        <v/>
      </c>
      <c r="Z11" s="1592"/>
      <c r="AA11" s="1593">
        <f t="shared" si="2"/>
        <v>0</v>
      </c>
    </row>
    <row r="12" spans="1:27" ht="26.25">
      <c r="A12" s="1581"/>
      <c r="B12" s="1582"/>
      <c r="C12" s="1576" t="str">
        <f t="shared" si="0"/>
        <v>LEGUMERIE</v>
      </c>
      <c r="D12" s="2855" t="str">
        <f t="shared" si="0"/>
        <v xml:space="preserve"> </v>
      </c>
      <c r="E12" s="2855">
        <f t="shared" si="1"/>
        <v>0</v>
      </c>
      <c r="F12" s="2855" t="str">
        <f t="shared" si="1"/>
        <v xml:space="preserve"> </v>
      </c>
      <c r="G12" s="2855">
        <f t="shared" si="1"/>
        <v>0</v>
      </c>
      <c r="H12" s="2855">
        <f t="shared" si="1"/>
        <v>0</v>
      </c>
      <c r="I12" s="2867">
        <f t="shared" si="1"/>
        <v>0</v>
      </c>
      <c r="J12" s="1674" t="str">
        <f t="shared" si="4"/>
        <v/>
      </c>
      <c r="K12" s="1579"/>
      <c r="L12" s="1580" t="str">
        <f t="shared" si="3"/>
        <v/>
      </c>
      <c r="M12" s="1519">
        <v>25.5</v>
      </c>
      <c r="P12" s="1581"/>
      <c r="Q12" s="1582"/>
      <c r="R12" s="1598" t="s">
        <v>1460</v>
      </c>
      <c r="S12" s="1584" t="s">
        <v>1456</v>
      </c>
      <c r="T12" s="1599"/>
      <c r="U12" s="1599" t="s">
        <v>1456</v>
      </c>
      <c r="V12" s="1599"/>
      <c r="W12" s="1599"/>
      <c r="X12" s="1599"/>
      <c r="Y12" s="1599" t="str">
        <f t="shared" si="6"/>
        <v/>
      </c>
      <c r="Z12" s="1599"/>
      <c r="AA12" s="1600">
        <f t="shared" si="2"/>
        <v>0</v>
      </c>
    </row>
    <row r="13" spans="1:27" ht="23.25">
      <c r="A13" s="1581"/>
      <c r="B13" s="1582"/>
      <c r="C13" s="2853" t="str">
        <f t="shared" si="0"/>
        <v>Oignon</v>
      </c>
      <c r="D13" s="2851" t="str">
        <f t="shared" si="0"/>
        <v>kg</v>
      </c>
      <c r="E13" s="2852">
        <f t="shared" si="1"/>
        <v>0.1</v>
      </c>
      <c r="F13" s="2852">
        <f t="shared" si="1"/>
        <v>0</v>
      </c>
      <c r="G13" s="2852">
        <f t="shared" si="1"/>
        <v>0</v>
      </c>
      <c r="H13" s="2852">
        <f t="shared" si="1"/>
        <v>0</v>
      </c>
      <c r="I13" s="2852">
        <f t="shared" si="1"/>
        <v>0</v>
      </c>
      <c r="J13" s="2857">
        <f t="shared" si="4"/>
        <v>0.1</v>
      </c>
      <c r="K13" s="1590"/>
      <c r="L13" s="1591" t="str">
        <f t="shared" si="3"/>
        <v/>
      </c>
      <c r="M13" s="1519">
        <v>25.5</v>
      </c>
      <c r="P13" s="1581"/>
      <c r="Q13" s="1582"/>
      <c r="R13" s="1592" t="s">
        <v>1999</v>
      </c>
      <c r="S13" s="1550" t="s">
        <v>166</v>
      </c>
      <c r="T13" s="1592">
        <v>0.2</v>
      </c>
      <c r="U13" s="1592"/>
      <c r="V13" s="1592"/>
      <c r="W13" s="1592"/>
      <c r="X13" s="1592"/>
      <c r="Y13" s="1592">
        <f t="shared" si="6"/>
        <v>0.2</v>
      </c>
      <c r="Z13" s="1592"/>
      <c r="AA13" s="1593">
        <f t="shared" si="2"/>
        <v>0</v>
      </c>
    </row>
    <row r="14" spans="1:27" ht="23.25">
      <c r="A14" s="1581"/>
      <c r="B14" s="1602"/>
      <c r="C14" s="2853" t="str">
        <f t="shared" si="0"/>
        <v>carottes</v>
      </c>
      <c r="D14" s="2851" t="str">
        <f t="shared" si="0"/>
        <v>kg</v>
      </c>
      <c r="E14" s="2852">
        <f t="shared" si="1"/>
        <v>0.1</v>
      </c>
      <c r="F14" s="2852">
        <f t="shared" si="1"/>
        <v>0</v>
      </c>
      <c r="G14" s="2852">
        <f t="shared" si="1"/>
        <v>0</v>
      </c>
      <c r="H14" s="2852">
        <f t="shared" si="1"/>
        <v>0</v>
      </c>
      <c r="I14" s="2852">
        <f t="shared" si="1"/>
        <v>0</v>
      </c>
      <c r="J14" s="2857">
        <f t="shared" si="4"/>
        <v>0.1</v>
      </c>
      <c r="K14" s="1590"/>
      <c r="L14" s="1591" t="str">
        <f t="shared" si="3"/>
        <v/>
      </c>
      <c r="M14" s="1519">
        <v>25.5</v>
      </c>
      <c r="P14" s="1581"/>
      <c r="Q14" s="1602"/>
      <c r="R14" s="1603" t="s">
        <v>1500</v>
      </c>
      <c r="S14" s="1550" t="s">
        <v>166</v>
      </c>
      <c r="T14" s="1604">
        <v>0.2</v>
      </c>
      <c r="U14" s="1592"/>
      <c r="V14" s="1592"/>
      <c r="W14" s="1592"/>
      <c r="X14" s="1592"/>
      <c r="Y14" s="1592">
        <f t="shared" si="6"/>
        <v>0.2</v>
      </c>
      <c r="Z14" s="1592"/>
      <c r="AA14" s="1593">
        <f t="shared" si="2"/>
        <v>0</v>
      </c>
    </row>
    <row r="15" spans="1:27" ht="23.25">
      <c r="A15" s="1581"/>
      <c r="B15" s="1582"/>
      <c r="C15" s="2853" t="str">
        <f t="shared" si="0"/>
        <v>Céleri branche</v>
      </c>
      <c r="D15" s="2851" t="str">
        <f t="shared" si="0"/>
        <v>kg</v>
      </c>
      <c r="E15" s="2852">
        <f t="shared" si="1"/>
        <v>0.05</v>
      </c>
      <c r="F15" s="2852">
        <f t="shared" si="1"/>
        <v>0</v>
      </c>
      <c r="G15" s="2852" t="str">
        <f t="shared" si="1"/>
        <v xml:space="preserve"> </v>
      </c>
      <c r="H15" s="2852">
        <f t="shared" si="1"/>
        <v>0</v>
      </c>
      <c r="I15" s="2852">
        <f t="shared" si="1"/>
        <v>0</v>
      </c>
      <c r="J15" s="2857">
        <f t="shared" si="4"/>
        <v>0.05</v>
      </c>
      <c r="K15" s="1590"/>
      <c r="L15" s="1591" t="str">
        <f t="shared" si="3"/>
        <v/>
      </c>
      <c r="M15" s="1519">
        <v>25.5</v>
      </c>
      <c r="P15" s="1581"/>
      <c r="Q15" s="1582"/>
      <c r="R15" s="1592" t="s">
        <v>2000</v>
      </c>
      <c r="S15" s="1550" t="s">
        <v>166</v>
      </c>
      <c r="T15" s="1592">
        <v>0.1</v>
      </c>
      <c r="U15" s="1592"/>
      <c r="V15" s="1592" t="s">
        <v>1456</v>
      </c>
      <c r="W15" s="1592"/>
      <c r="X15" s="1592"/>
      <c r="Y15" s="1592">
        <f t="shared" si="6"/>
        <v>0.1</v>
      </c>
      <c r="Z15" s="1592"/>
      <c r="AA15" s="1593">
        <f t="shared" si="2"/>
        <v>0</v>
      </c>
    </row>
    <row r="16" spans="1:27" ht="23.25">
      <c r="A16" s="1581"/>
      <c r="B16" s="1582"/>
      <c r="C16" s="2853" t="str">
        <f t="shared" si="0"/>
        <v>poireau</v>
      </c>
      <c r="D16" s="2851" t="str">
        <f t="shared" si="0"/>
        <v>kg</v>
      </c>
      <c r="E16" s="2852">
        <f t="shared" si="1"/>
        <v>0.05</v>
      </c>
      <c r="F16" s="2852">
        <f t="shared" si="1"/>
        <v>0</v>
      </c>
      <c r="G16" s="2852">
        <f t="shared" si="1"/>
        <v>0</v>
      </c>
      <c r="H16" s="2852">
        <f t="shared" si="1"/>
        <v>0</v>
      </c>
      <c r="I16" s="2852">
        <f t="shared" si="1"/>
        <v>0</v>
      </c>
      <c r="J16" s="2857">
        <f t="shared" si="4"/>
        <v>0.05</v>
      </c>
      <c r="K16" s="1590"/>
      <c r="L16" s="1591" t="str">
        <f t="shared" si="3"/>
        <v/>
      </c>
      <c r="M16" s="1519">
        <v>25.5</v>
      </c>
      <c r="P16" s="1581"/>
      <c r="Q16" s="1582"/>
      <c r="R16" s="1592" t="s">
        <v>2001</v>
      </c>
      <c r="S16" s="1550" t="s">
        <v>166</v>
      </c>
      <c r="T16" s="1592">
        <v>0.1</v>
      </c>
      <c r="U16" s="1592"/>
      <c r="V16" s="1592"/>
      <c r="W16" s="1592"/>
      <c r="X16" s="1592"/>
      <c r="Y16" s="1592">
        <f t="shared" si="6"/>
        <v>0.1</v>
      </c>
      <c r="Z16" s="1592"/>
      <c r="AA16" s="1593">
        <f t="shared" si="2"/>
        <v>0</v>
      </c>
    </row>
    <row r="17" spans="1:27" ht="23.25">
      <c r="A17" s="1581"/>
      <c r="B17" s="1582"/>
      <c r="C17" s="2853" t="str">
        <f t="shared" si="0"/>
        <v>oignons fanes cive</v>
      </c>
      <c r="D17" s="2851" t="str">
        <f t="shared" si="0"/>
        <v>bte</v>
      </c>
      <c r="E17" s="2852">
        <f t="shared" si="1"/>
        <v>0</v>
      </c>
      <c r="F17" s="2852">
        <f t="shared" si="1"/>
        <v>0</v>
      </c>
      <c r="G17" s="2852">
        <f t="shared" si="1"/>
        <v>0</v>
      </c>
      <c r="H17" s="2852">
        <f t="shared" si="1"/>
        <v>0</v>
      </c>
      <c r="I17" s="2852">
        <f t="shared" si="1"/>
        <v>0.25</v>
      </c>
      <c r="J17" s="2857">
        <f t="shared" si="4"/>
        <v>0.25</v>
      </c>
      <c r="K17" s="1590"/>
      <c r="L17" s="1591" t="str">
        <f t="shared" si="3"/>
        <v/>
      </c>
      <c r="M17" s="1519">
        <v>25.5</v>
      </c>
      <c r="P17" s="1581"/>
      <c r="Q17" s="1582"/>
      <c r="R17" s="1592" t="s">
        <v>2002</v>
      </c>
      <c r="S17" s="1550" t="s">
        <v>218</v>
      </c>
      <c r="T17" s="1592"/>
      <c r="U17" s="1592"/>
      <c r="V17" s="1592"/>
      <c r="W17" s="1592"/>
      <c r="X17" s="1592">
        <v>0.5</v>
      </c>
      <c r="Y17" s="1592">
        <f t="shared" si="6"/>
        <v>0.5</v>
      </c>
      <c r="Z17" s="1592"/>
      <c r="AA17" s="1593">
        <f t="shared" si="2"/>
        <v>0</v>
      </c>
    </row>
    <row r="18" spans="1:27" ht="23.25">
      <c r="A18" s="1581"/>
      <c r="B18" s="1582"/>
      <c r="C18" s="2853" t="str">
        <f t="shared" si="0"/>
        <v>coriandre</v>
      </c>
      <c r="D18" s="2851" t="str">
        <f t="shared" si="0"/>
        <v>bte</v>
      </c>
      <c r="E18" s="2852" t="str">
        <f t="shared" si="1"/>
        <v xml:space="preserve"> </v>
      </c>
      <c r="F18" s="2852">
        <f t="shared" si="1"/>
        <v>0</v>
      </c>
      <c r="G18" s="2852" t="str">
        <f t="shared" si="1"/>
        <v xml:space="preserve"> </v>
      </c>
      <c r="H18" s="2852" t="str">
        <f t="shared" si="1"/>
        <v xml:space="preserve"> </v>
      </c>
      <c r="I18" s="2852">
        <f t="shared" si="1"/>
        <v>0.125</v>
      </c>
      <c r="J18" s="2857">
        <f t="shared" si="4"/>
        <v>0.125</v>
      </c>
      <c r="K18" s="1590"/>
      <c r="L18" s="1591" t="str">
        <f t="shared" si="3"/>
        <v/>
      </c>
      <c r="M18" s="1519">
        <v>25.5</v>
      </c>
      <c r="P18" s="1581"/>
      <c r="Q18" s="1582"/>
      <c r="R18" s="1592" t="s">
        <v>1514</v>
      </c>
      <c r="S18" s="1550" t="s">
        <v>218</v>
      </c>
      <c r="T18" s="1592" t="s">
        <v>1456</v>
      </c>
      <c r="U18" s="1592"/>
      <c r="V18" s="1592" t="s">
        <v>1456</v>
      </c>
      <c r="W18" s="1592" t="s">
        <v>1456</v>
      </c>
      <c r="X18" s="1592">
        <v>0.25</v>
      </c>
      <c r="Y18" s="1592">
        <f t="shared" si="6"/>
        <v>0.25</v>
      </c>
      <c r="Z18" s="1592"/>
      <c r="AA18" s="1593">
        <f t="shared" si="2"/>
        <v>0</v>
      </c>
    </row>
    <row r="19" spans="1:27" ht="23.25">
      <c r="A19" s="1581"/>
      <c r="B19" s="1582"/>
      <c r="C19" s="2853" t="str">
        <f t="shared" si="0"/>
        <v>SHISO</v>
      </c>
      <c r="D19" s="2851" t="str">
        <f t="shared" si="0"/>
        <v>pm</v>
      </c>
      <c r="E19" s="2852">
        <f t="shared" si="1"/>
        <v>0</v>
      </c>
      <c r="F19" s="2852">
        <f t="shared" si="1"/>
        <v>0</v>
      </c>
      <c r="G19" s="2852">
        <f t="shared" si="1"/>
        <v>0</v>
      </c>
      <c r="H19" s="2852">
        <f t="shared" si="1"/>
        <v>0</v>
      </c>
      <c r="I19" s="2852" t="str">
        <f t="shared" si="1"/>
        <v>pm</v>
      </c>
      <c r="J19" s="2857" t="str">
        <f t="shared" si="4"/>
        <v/>
      </c>
      <c r="K19" s="1590"/>
      <c r="L19" s="1591" t="str">
        <f t="shared" si="3"/>
        <v/>
      </c>
      <c r="M19" s="1519">
        <v>25.5</v>
      </c>
      <c r="P19" s="1581"/>
      <c r="Q19" s="1582"/>
      <c r="R19" s="1592" t="s">
        <v>2003</v>
      </c>
      <c r="S19" s="1550" t="s">
        <v>214</v>
      </c>
      <c r="T19" s="1592"/>
      <c r="U19" s="1592"/>
      <c r="V19" s="1592"/>
      <c r="W19" s="1592"/>
      <c r="X19" s="1592" t="s">
        <v>214</v>
      </c>
      <c r="Y19" s="1592" t="str">
        <f t="shared" si="6"/>
        <v/>
      </c>
      <c r="Z19" s="1592"/>
      <c r="AA19" s="1593">
        <f t="shared" si="2"/>
        <v>0</v>
      </c>
    </row>
    <row r="20" spans="1:27" ht="23.25">
      <c r="A20" s="1581"/>
      <c r="B20" s="1582"/>
      <c r="C20" s="2853">
        <f t="shared" si="0"/>
        <v>0</v>
      </c>
      <c r="D20" s="2851" t="str">
        <f t="shared" si="0"/>
        <v xml:space="preserve"> </v>
      </c>
      <c r="E20" s="2852">
        <f t="shared" si="1"/>
        <v>0</v>
      </c>
      <c r="F20" s="2852">
        <f t="shared" si="1"/>
        <v>0</v>
      </c>
      <c r="G20" s="2852">
        <f t="shared" si="1"/>
        <v>0</v>
      </c>
      <c r="H20" s="2852">
        <f t="shared" si="1"/>
        <v>0</v>
      </c>
      <c r="I20" s="2852">
        <f t="shared" si="1"/>
        <v>0</v>
      </c>
      <c r="J20" s="2857" t="str">
        <f t="shared" si="4"/>
        <v/>
      </c>
      <c r="K20" s="1590"/>
      <c r="L20" s="1591" t="str">
        <f t="shared" si="3"/>
        <v/>
      </c>
      <c r="M20" s="1519">
        <v>25.5</v>
      </c>
      <c r="P20" s="1581"/>
      <c r="Q20" s="1582"/>
      <c r="R20" s="1592"/>
      <c r="S20" s="1550" t="s">
        <v>1456</v>
      </c>
      <c r="T20" s="1592"/>
      <c r="U20" s="1592"/>
      <c r="V20" s="1592"/>
      <c r="W20" s="1592"/>
      <c r="X20" s="1592"/>
      <c r="Y20" s="1592" t="str">
        <f t="shared" si="6"/>
        <v/>
      </c>
      <c r="Z20" s="1592"/>
      <c r="AA20" s="1593">
        <f t="shared" si="2"/>
        <v>0</v>
      </c>
    </row>
    <row r="21" spans="1:27" ht="23.25">
      <c r="A21" s="1581"/>
      <c r="B21" s="1582"/>
      <c r="C21" s="2853">
        <f t="shared" si="0"/>
        <v>0</v>
      </c>
      <c r="D21" s="2851" t="str">
        <f t="shared" si="0"/>
        <v xml:space="preserve"> </v>
      </c>
      <c r="E21" s="2852">
        <f t="shared" si="1"/>
        <v>0</v>
      </c>
      <c r="F21" s="2852">
        <f t="shared" si="1"/>
        <v>0</v>
      </c>
      <c r="G21" s="2852">
        <f t="shared" si="1"/>
        <v>0</v>
      </c>
      <c r="H21" s="2852">
        <f t="shared" si="1"/>
        <v>0</v>
      </c>
      <c r="I21" s="2852">
        <f t="shared" si="1"/>
        <v>0</v>
      </c>
      <c r="J21" s="2857" t="str">
        <f t="shared" si="4"/>
        <v/>
      </c>
      <c r="K21" s="1590"/>
      <c r="L21" s="1591" t="str">
        <f t="shared" si="3"/>
        <v/>
      </c>
      <c r="M21" s="1519">
        <v>25.5</v>
      </c>
      <c r="P21" s="1581"/>
      <c r="Q21" s="1582"/>
      <c r="R21" s="1592"/>
      <c r="S21" s="1550" t="s">
        <v>1456</v>
      </c>
      <c r="T21" s="1592"/>
      <c r="U21" s="1592"/>
      <c r="V21" s="1592"/>
      <c r="W21" s="1592"/>
      <c r="X21" s="1592"/>
      <c r="Y21" s="1592" t="str">
        <f t="shared" si="6"/>
        <v/>
      </c>
      <c r="Z21" s="1592"/>
      <c r="AA21" s="1593">
        <f t="shared" si="2"/>
        <v>0</v>
      </c>
    </row>
    <row r="22" spans="1:27" ht="23.25">
      <c r="A22" s="1581"/>
      <c r="B22" s="1582"/>
      <c r="C22" s="2853">
        <f t="shared" ref="C22:D41" si="7">R22</f>
        <v>0</v>
      </c>
      <c r="D22" s="2851">
        <f t="shared" si="7"/>
        <v>0</v>
      </c>
      <c r="E22" s="2852">
        <f t="shared" si="1"/>
        <v>0</v>
      </c>
      <c r="F22" s="2852">
        <f t="shared" si="1"/>
        <v>0</v>
      </c>
      <c r="G22" s="2852">
        <f t="shared" si="1"/>
        <v>0</v>
      </c>
      <c r="H22" s="2852">
        <f t="shared" si="1"/>
        <v>0</v>
      </c>
      <c r="I22" s="2852">
        <f t="shared" si="1"/>
        <v>0</v>
      </c>
      <c r="J22" s="2857" t="str">
        <f t="shared" si="4"/>
        <v/>
      </c>
      <c r="K22" s="1590"/>
      <c r="L22" s="1591" t="str">
        <f t="shared" si="3"/>
        <v/>
      </c>
      <c r="M22" s="1519">
        <v>25.5</v>
      </c>
      <c r="P22" s="1581"/>
      <c r="Q22" s="1582"/>
      <c r="R22" s="1592"/>
      <c r="S22" s="1550"/>
      <c r="T22" s="1592"/>
      <c r="U22" s="1592"/>
      <c r="V22" s="1592"/>
      <c r="W22" s="1592"/>
      <c r="X22" s="1592"/>
      <c r="Y22" s="1592" t="str">
        <f t="shared" si="6"/>
        <v/>
      </c>
      <c r="Z22" s="1592"/>
      <c r="AA22" s="1593">
        <f t="shared" si="2"/>
        <v>0</v>
      </c>
    </row>
    <row r="23" spans="1:27" ht="23.25">
      <c r="A23" s="1581"/>
      <c r="B23" s="1582"/>
      <c r="C23" s="2853">
        <f t="shared" si="7"/>
        <v>0</v>
      </c>
      <c r="D23" s="2851">
        <f t="shared" si="7"/>
        <v>0</v>
      </c>
      <c r="E23" s="2852">
        <f t="shared" ref="E23:I42" si="8">IF(ISTEXT(T23),T23,(T23/$I$2)*$L$2)</f>
        <v>0</v>
      </c>
      <c r="F23" s="2852">
        <f t="shared" si="8"/>
        <v>0</v>
      </c>
      <c r="G23" s="2852">
        <f t="shared" si="8"/>
        <v>0</v>
      </c>
      <c r="H23" s="2852">
        <f t="shared" si="8"/>
        <v>0</v>
      </c>
      <c r="I23" s="2852">
        <f t="shared" si="8"/>
        <v>0</v>
      </c>
      <c r="J23" s="2857" t="str">
        <f t="shared" si="4"/>
        <v/>
      </c>
      <c r="K23" s="1590"/>
      <c r="L23" s="1591" t="str">
        <f t="shared" si="3"/>
        <v/>
      </c>
      <c r="M23" s="1519">
        <v>25.5</v>
      </c>
      <c r="P23" s="1581"/>
      <c r="Q23" s="1582"/>
      <c r="R23" s="1592"/>
      <c r="S23" s="1550"/>
      <c r="T23" s="1592"/>
      <c r="U23" s="1592"/>
      <c r="V23" s="1592"/>
      <c r="W23" s="1592"/>
      <c r="X23" s="1592"/>
      <c r="Y23" s="1592" t="str">
        <f t="shared" si="6"/>
        <v/>
      </c>
      <c r="Z23" s="1592"/>
      <c r="AA23" s="1593">
        <f t="shared" si="2"/>
        <v>0</v>
      </c>
    </row>
    <row r="24" spans="1:27" ht="23.25">
      <c r="A24" s="1581"/>
      <c r="B24" s="1582"/>
      <c r="C24" s="2853">
        <f t="shared" si="7"/>
        <v>0</v>
      </c>
      <c r="D24" s="2851">
        <f t="shared" si="7"/>
        <v>0</v>
      </c>
      <c r="E24" s="2852">
        <f t="shared" si="8"/>
        <v>0</v>
      </c>
      <c r="F24" s="2852">
        <f t="shared" si="8"/>
        <v>0</v>
      </c>
      <c r="G24" s="2852">
        <f t="shared" si="8"/>
        <v>0</v>
      </c>
      <c r="H24" s="2852">
        <f t="shared" si="8"/>
        <v>0</v>
      </c>
      <c r="I24" s="2852">
        <f t="shared" si="8"/>
        <v>0</v>
      </c>
      <c r="J24" s="2857" t="str">
        <f t="shared" si="4"/>
        <v/>
      </c>
      <c r="K24" s="1590"/>
      <c r="L24" s="1591" t="str">
        <f t="shared" si="3"/>
        <v/>
      </c>
      <c r="M24" s="1519">
        <v>25.5</v>
      </c>
      <c r="P24" s="1581"/>
      <c r="Q24" s="1582"/>
      <c r="R24" s="1592"/>
      <c r="S24" s="1550"/>
      <c r="T24" s="1592"/>
      <c r="U24" s="1592"/>
      <c r="V24" s="1592"/>
      <c r="W24" s="1592"/>
      <c r="X24" s="1592"/>
      <c r="Y24" s="1592" t="str">
        <f t="shared" si="6"/>
        <v/>
      </c>
      <c r="Z24" s="1592"/>
      <c r="AA24" s="1593">
        <f t="shared" si="2"/>
        <v>0</v>
      </c>
    </row>
    <row r="25" spans="1:27" ht="26.25">
      <c r="A25" s="1581"/>
      <c r="B25" s="1582"/>
      <c r="C25" s="1576" t="str">
        <f t="shared" si="7"/>
        <v>B.O.F</v>
      </c>
      <c r="D25" s="2855" t="str">
        <f t="shared" si="7"/>
        <v xml:space="preserve"> </v>
      </c>
      <c r="E25" s="2855">
        <f t="shared" si="8"/>
        <v>0</v>
      </c>
      <c r="F25" s="2855">
        <f t="shared" si="8"/>
        <v>0</v>
      </c>
      <c r="G25" s="2855">
        <f t="shared" si="8"/>
        <v>0</v>
      </c>
      <c r="H25" s="2855">
        <f t="shared" si="8"/>
        <v>0</v>
      </c>
      <c r="I25" s="2867">
        <f t="shared" si="8"/>
        <v>0</v>
      </c>
      <c r="J25" s="1674" t="s">
        <v>1456</v>
      </c>
      <c r="K25" s="1579"/>
      <c r="L25" s="1580" t="str">
        <f t="shared" si="3"/>
        <v/>
      </c>
      <c r="M25" s="1519">
        <v>25.5</v>
      </c>
      <c r="P25" s="1581"/>
      <c r="Q25" s="1582"/>
      <c r="R25" s="1598" t="s">
        <v>1465</v>
      </c>
      <c r="S25" s="1584" t="s">
        <v>1456</v>
      </c>
      <c r="T25" s="1599"/>
      <c r="U25" s="1599"/>
      <c r="V25" s="1599"/>
      <c r="W25" s="1599"/>
      <c r="X25" s="1599"/>
      <c r="Y25" s="1599" t="s">
        <v>1456</v>
      </c>
      <c r="Z25" s="1599"/>
      <c r="AA25" s="1600">
        <f t="shared" si="2"/>
        <v>0</v>
      </c>
    </row>
    <row r="26" spans="1:27" ht="23.25">
      <c r="A26" s="1581"/>
      <c r="B26" s="1582"/>
      <c r="C26" s="2853">
        <f t="shared" si="7"/>
        <v>0</v>
      </c>
      <c r="D26" s="2851" t="str">
        <f t="shared" si="7"/>
        <v>p</v>
      </c>
      <c r="E26" s="2852">
        <f t="shared" si="8"/>
        <v>0</v>
      </c>
      <c r="F26" s="2852">
        <f t="shared" si="8"/>
        <v>0</v>
      </c>
      <c r="G26" s="2852">
        <f t="shared" si="8"/>
        <v>0</v>
      </c>
      <c r="H26" s="2852">
        <f t="shared" si="8"/>
        <v>0</v>
      </c>
      <c r="I26" s="2852">
        <f t="shared" si="8"/>
        <v>0</v>
      </c>
      <c r="J26" s="2857" t="str">
        <f t="shared" si="4"/>
        <v/>
      </c>
      <c r="K26" s="1590"/>
      <c r="L26" s="1591" t="str">
        <f t="shared" si="3"/>
        <v/>
      </c>
      <c r="M26" s="1519">
        <v>25.5</v>
      </c>
      <c r="P26" s="1581"/>
      <c r="Q26" s="1582"/>
      <c r="R26" s="1592"/>
      <c r="S26" s="1550" t="s">
        <v>788</v>
      </c>
      <c r="T26" s="1592"/>
      <c r="U26" s="1592"/>
      <c r="V26" s="1592"/>
      <c r="W26" s="1592"/>
      <c r="X26" s="1592"/>
      <c r="Y26" s="1592" t="str">
        <f t="shared" ref="Y26:Y33" si="9">IF(SUM(T26:X26)=0,"",SUM(T26:X26))</f>
        <v/>
      </c>
      <c r="Z26" s="1592"/>
      <c r="AA26" s="1593">
        <f t="shared" si="2"/>
        <v>0</v>
      </c>
    </row>
    <row r="27" spans="1:27" ht="23.25">
      <c r="A27" s="1581"/>
      <c r="B27" s="1582"/>
      <c r="C27" s="2853">
        <f t="shared" si="7"/>
        <v>0</v>
      </c>
      <c r="D27" s="2851" t="str">
        <f t="shared" si="7"/>
        <v>bt</v>
      </c>
      <c r="E27" s="2852">
        <f t="shared" si="8"/>
        <v>0</v>
      </c>
      <c r="F27" s="2852">
        <f t="shared" si="8"/>
        <v>0</v>
      </c>
      <c r="G27" s="2852">
        <f t="shared" si="8"/>
        <v>0</v>
      </c>
      <c r="H27" s="2852">
        <f t="shared" si="8"/>
        <v>0</v>
      </c>
      <c r="I27" s="2852">
        <f t="shared" si="8"/>
        <v>0</v>
      </c>
      <c r="J27" s="2857" t="str">
        <f t="shared" si="4"/>
        <v/>
      </c>
      <c r="K27" s="1590"/>
      <c r="L27" s="1591" t="str">
        <f t="shared" si="3"/>
        <v/>
      </c>
      <c r="M27" s="1519">
        <v>25.5</v>
      </c>
      <c r="P27" s="1581"/>
      <c r="Q27" s="1582"/>
      <c r="R27" s="1592"/>
      <c r="S27" s="1550" t="s">
        <v>1505</v>
      </c>
      <c r="T27" s="1592"/>
      <c r="U27" s="1592"/>
      <c r="V27" s="1592"/>
      <c r="W27" s="1592"/>
      <c r="X27" s="1592"/>
      <c r="Y27" s="1592" t="str">
        <f t="shared" si="9"/>
        <v/>
      </c>
      <c r="Z27" s="1592"/>
      <c r="AA27" s="1593">
        <f t="shared" si="2"/>
        <v>0</v>
      </c>
    </row>
    <row r="28" spans="1:27" ht="23.25">
      <c r="A28" s="1581"/>
      <c r="B28" s="1582"/>
      <c r="C28" s="2853">
        <f t="shared" si="7"/>
        <v>0</v>
      </c>
      <c r="D28" s="2851">
        <f t="shared" si="7"/>
        <v>0</v>
      </c>
      <c r="E28" s="2852">
        <f t="shared" si="8"/>
        <v>0</v>
      </c>
      <c r="F28" s="2852">
        <f t="shared" si="8"/>
        <v>0</v>
      </c>
      <c r="G28" s="2852">
        <f t="shared" si="8"/>
        <v>0</v>
      </c>
      <c r="H28" s="2852">
        <f t="shared" si="8"/>
        <v>0</v>
      </c>
      <c r="I28" s="2852">
        <f t="shared" si="8"/>
        <v>0</v>
      </c>
      <c r="J28" s="2857" t="str">
        <f t="shared" si="4"/>
        <v/>
      </c>
      <c r="K28" s="1590"/>
      <c r="L28" s="1591" t="str">
        <f t="shared" si="3"/>
        <v/>
      </c>
      <c r="M28" s="1519">
        <v>25.5</v>
      </c>
      <c r="P28" s="1581"/>
      <c r="Q28" s="1582"/>
      <c r="R28" s="1592"/>
      <c r="S28" s="1550"/>
      <c r="T28" s="1592"/>
      <c r="U28" s="1592"/>
      <c r="V28" s="1592"/>
      <c r="W28" s="1592"/>
      <c r="X28" s="1592"/>
      <c r="Y28" s="1592" t="str">
        <f t="shared" si="9"/>
        <v/>
      </c>
      <c r="Z28" s="1592"/>
      <c r="AA28" s="1593">
        <f t="shared" si="2"/>
        <v>0</v>
      </c>
    </row>
    <row r="29" spans="1:27" ht="23.25">
      <c r="A29" s="1581"/>
      <c r="B29" s="1582"/>
      <c r="C29" s="2853">
        <f t="shared" si="7"/>
        <v>0</v>
      </c>
      <c r="D29" s="2851">
        <f t="shared" si="7"/>
        <v>0</v>
      </c>
      <c r="E29" s="2852">
        <f t="shared" si="8"/>
        <v>0</v>
      </c>
      <c r="F29" s="2852">
        <f t="shared" si="8"/>
        <v>0</v>
      </c>
      <c r="G29" s="2852">
        <f t="shared" si="8"/>
        <v>0</v>
      </c>
      <c r="H29" s="2852">
        <f t="shared" si="8"/>
        <v>0</v>
      </c>
      <c r="I29" s="2852">
        <f t="shared" si="8"/>
        <v>0</v>
      </c>
      <c r="J29" s="2857" t="str">
        <f t="shared" si="4"/>
        <v/>
      </c>
      <c r="K29" s="1590"/>
      <c r="L29" s="1591" t="str">
        <f t="shared" si="3"/>
        <v/>
      </c>
      <c r="M29" s="1519">
        <v>25.5</v>
      </c>
      <c r="P29" s="1581"/>
      <c r="Q29" s="1582"/>
      <c r="R29" s="1592"/>
      <c r="S29" s="1550"/>
      <c r="T29" s="1592"/>
      <c r="U29" s="1592"/>
      <c r="V29" s="1592"/>
      <c r="W29" s="1592"/>
      <c r="X29" s="1592"/>
      <c r="Y29" s="1592" t="str">
        <f t="shared" si="9"/>
        <v/>
      </c>
      <c r="Z29" s="1592"/>
      <c r="AA29" s="1593">
        <f t="shared" si="2"/>
        <v>0</v>
      </c>
    </row>
    <row r="30" spans="1:27" ht="23.25">
      <c r="A30" s="1581"/>
      <c r="B30" s="1582"/>
      <c r="C30" s="2853">
        <f t="shared" si="7"/>
        <v>0</v>
      </c>
      <c r="D30" s="2851">
        <f t="shared" si="7"/>
        <v>0</v>
      </c>
      <c r="E30" s="2852">
        <f t="shared" si="8"/>
        <v>0</v>
      </c>
      <c r="F30" s="2852">
        <f t="shared" si="8"/>
        <v>0</v>
      </c>
      <c r="G30" s="2852">
        <f t="shared" si="8"/>
        <v>0</v>
      </c>
      <c r="H30" s="2852">
        <f t="shared" si="8"/>
        <v>0</v>
      </c>
      <c r="I30" s="2852">
        <f t="shared" si="8"/>
        <v>0</v>
      </c>
      <c r="J30" s="2857" t="str">
        <f t="shared" si="4"/>
        <v/>
      </c>
      <c r="K30" s="1590"/>
      <c r="L30" s="1591" t="str">
        <f t="shared" si="3"/>
        <v/>
      </c>
      <c r="M30" s="1519">
        <v>25.5</v>
      </c>
      <c r="P30" s="1581"/>
      <c r="Q30" s="1582"/>
      <c r="R30" s="1592"/>
      <c r="S30" s="1550"/>
      <c r="T30" s="1592"/>
      <c r="U30" s="1592"/>
      <c r="V30" s="1592"/>
      <c r="W30" s="1592"/>
      <c r="X30" s="1592"/>
      <c r="Y30" s="1592" t="str">
        <f t="shared" si="9"/>
        <v/>
      </c>
      <c r="Z30" s="1592"/>
      <c r="AA30" s="1593">
        <f t="shared" si="2"/>
        <v>0</v>
      </c>
    </row>
    <row r="31" spans="1:27" ht="23.25">
      <c r="A31" s="1581"/>
      <c r="B31" s="1582"/>
      <c r="C31" s="2853">
        <f t="shared" si="7"/>
        <v>0</v>
      </c>
      <c r="D31" s="2851">
        <f t="shared" si="7"/>
        <v>0</v>
      </c>
      <c r="E31" s="2852">
        <f t="shared" si="8"/>
        <v>0</v>
      </c>
      <c r="F31" s="2852">
        <f t="shared" si="8"/>
        <v>0</v>
      </c>
      <c r="G31" s="2852">
        <f t="shared" si="8"/>
        <v>0</v>
      </c>
      <c r="H31" s="2852">
        <f t="shared" si="8"/>
        <v>0</v>
      </c>
      <c r="I31" s="2852">
        <f t="shared" si="8"/>
        <v>0</v>
      </c>
      <c r="J31" s="2857" t="str">
        <f t="shared" si="4"/>
        <v/>
      </c>
      <c r="K31" s="1590"/>
      <c r="L31" s="1591" t="str">
        <f t="shared" si="3"/>
        <v/>
      </c>
      <c r="M31" s="1519">
        <v>25.5</v>
      </c>
      <c r="P31" s="1581"/>
      <c r="Q31" s="1582"/>
      <c r="R31" s="1592"/>
      <c r="S31" s="1550"/>
      <c r="T31" s="1592"/>
      <c r="U31" s="1592"/>
      <c r="V31" s="1592"/>
      <c r="W31" s="1592"/>
      <c r="X31" s="1592"/>
      <c r="Y31" s="1592" t="str">
        <f t="shared" si="9"/>
        <v/>
      </c>
      <c r="Z31" s="1592"/>
      <c r="AA31" s="1593">
        <f t="shared" si="2"/>
        <v>0</v>
      </c>
    </row>
    <row r="32" spans="1:27" ht="23.25">
      <c r="A32" s="1581"/>
      <c r="B32" s="1582"/>
      <c r="C32" s="2853">
        <f t="shared" si="7"/>
        <v>0</v>
      </c>
      <c r="D32" s="2851">
        <f t="shared" si="7"/>
        <v>0</v>
      </c>
      <c r="E32" s="2852">
        <f t="shared" si="8"/>
        <v>0</v>
      </c>
      <c r="F32" s="2852">
        <f t="shared" si="8"/>
        <v>0</v>
      </c>
      <c r="G32" s="2852">
        <f t="shared" si="8"/>
        <v>0</v>
      </c>
      <c r="H32" s="2852">
        <f t="shared" si="8"/>
        <v>0</v>
      </c>
      <c r="I32" s="2852">
        <f t="shared" si="8"/>
        <v>0</v>
      </c>
      <c r="J32" s="2857" t="str">
        <f t="shared" si="4"/>
        <v/>
      </c>
      <c r="K32" s="1590"/>
      <c r="L32" s="1591" t="str">
        <f t="shared" si="3"/>
        <v/>
      </c>
      <c r="M32" s="1519">
        <v>25.5</v>
      </c>
      <c r="P32" s="1581"/>
      <c r="Q32" s="1582"/>
      <c r="R32" s="1592"/>
      <c r="S32" s="1550"/>
      <c r="T32" s="1592"/>
      <c r="U32" s="1592"/>
      <c r="V32" s="1592"/>
      <c r="W32" s="1592"/>
      <c r="X32" s="1592"/>
      <c r="Y32" s="1592" t="str">
        <f t="shared" si="9"/>
        <v/>
      </c>
      <c r="Z32" s="1592"/>
      <c r="AA32" s="1593">
        <f t="shared" si="2"/>
        <v>0</v>
      </c>
    </row>
    <row r="33" spans="1:27" ht="23.25">
      <c r="A33" s="1581"/>
      <c r="B33" s="1582"/>
      <c r="C33" s="2853">
        <f t="shared" si="7"/>
        <v>0</v>
      </c>
      <c r="D33" s="2851">
        <f t="shared" si="7"/>
        <v>0</v>
      </c>
      <c r="E33" s="2852">
        <f t="shared" si="8"/>
        <v>0</v>
      </c>
      <c r="F33" s="2852">
        <f t="shared" si="8"/>
        <v>0</v>
      </c>
      <c r="G33" s="2852">
        <f t="shared" si="8"/>
        <v>0</v>
      </c>
      <c r="H33" s="2852">
        <f t="shared" si="8"/>
        <v>0</v>
      </c>
      <c r="I33" s="2852">
        <f t="shared" si="8"/>
        <v>0</v>
      </c>
      <c r="J33" s="2857" t="str">
        <f t="shared" si="4"/>
        <v/>
      </c>
      <c r="K33" s="1590"/>
      <c r="L33" s="1591" t="str">
        <f t="shared" si="3"/>
        <v/>
      </c>
      <c r="M33" s="1519">
        <v>25.5</v>
      </c>
      <c r="P33" s="1581"/>
      <c r="Q33" s="1582"/>
      <c r="R33" s="1592"/>
      <c r="S33" s="1550"/>
      <c r="T33" s="1592"/>
      <c r="U33" s="1592"/>
      <c r="V33" s="1592"/>
      <c r="W33" s="1592"/>
      <c r="X33" s="1592"/>
      <c r="Y33" s="1592" t="str">
        <f t="shared" si="9"/>
        <v/>
      </c>
      <c r="Z33" s="1592"/>
      <c r="AA33" s="1593">
        <f t="shared" si="2"/>
        <v>0</v>
      </c>
    </row>
    <row r="34" spans="1:27" ht="26.25">
      <c r="A34" s="1581"/>
      <c r="B34" s="1582"/>
      <c r="C34" s="1576" t="str">
        <f t="shared" si="7"/>
        <v>ECONOMAT/CAVE</v>
      </c>
      <c r="D34" s="2855" t="str">
        <f t="shared" si="7"/>
        <v xml:space="preserve"> </v>
      </c>
      <c r="E34" s="2855">
        <f t="shared" si="8"/>
        <v>0</v>
      </c>
      <c r="F34" s="2855">
        <f t="shared" si="8"/>
        <v>0</v>
      </c>
      <c r="G34" s="2855">
        <f t="shared" si="8"/>
        <v>0</v>
      </c>
      <c r="H34" s="2855">
        <f t="shared" si="8"/>
        <v>0</v>
      </c>
      <c r="I34" s="2867">
        <f t="shared" si="8"/>
        <v>0</v>
      </c>
      <c r="J34" s="1577" t="s">
        <v>1456</v>
      </c>
      <c r="K34" s="1579"/>
      <c r="L34" s="1580" t="str">
        <f t="shared" si="3"/>
        <v/>
      </c>
      <c r="M34" s="1519">
        <v>25.5</v>
      </c>
      <c r="P34" s="1581"/>
      <c r="Q34" s="1582"/>
      <c r="R34" s="1598" t="s">
        <v>1967</v>
      </c>
      <c r="S34" s="1584" t="s">
        <v>1456</v>
      </c>
      <c r="T34" s="1599"/>
      <c r="U34" s="1599"/>
      <c r="V34" s="1599"/>
      <c r="W34" s="1599"/>
      <c r="X34" s="1599"/>
      <c r="Y34" s="1599" t="s">
        <v>1456</v>
      </c>
      <c r="Z34" s="1599"/>
      <c r="AA34" s="1600">
        <f t="shared" si="2"/>
        <v>0</v>
      </c>
    </row>
    <row r="35" spans="1:27" ht="23.25">
      <c r="A35" s="1581"/>
      <c r="B35" s="1582"/>
      <c r="C35" s="2853" t="str">
        <f t="shared" si="7"/>
        <v>clou de girofle</v>
      </c>
      <c r="D35" s="2851" t="str">
        <f t="shared" si="7"/>
        <v>P</v>
      </c>
      <c r="E35" s="2852">
        <f t="shared" si="8"/>
        <v>1</v>
      </c>
      <c r="F35" s="2852">
        <f t="shared" si="8"/>
        <v>0</v>
      </c>
      <c r="G35" s="2852">
        <f t="shared" si="8"/>
        <v>0</v>
      </c>
      <c r="H35" s="2852">
        <f t="shared" si="8"/>
        <v>0</v>
      </c>
      <c r="I35" s="2852">
        <f t="shared" si="8"/>
        <v>0</v>
      </c>
      <c r="J35" s="2857">
        <f t="shared" si="4"/>
        <v>1</v>
      </c>
      <c r="K35" s="1590"/>
      <c r="L35" s="1591" t="str">
        <f t="shared" si="3"/>
        <v/>
      </c>
      <c r="M35" s="1519">
        <v>25.5</v>
      </c>
      <c r="P35" s="1581"/>
      <c r="Q35" s="1582"/>
      <c r="R35" s="1592" t="s">
        <v>1628</v>
      </c>
      <c r="S35" s="1550" t="s">
        <v>318</v>
      </c>
      <c r="T35" s="1592">
        <v>2</v>
      </c>
      <c r="U35" s="1592"/>
      <c r="V35" s="1592"/>
      <c r="W35" s="1592"/>
      <c r="X35" s="1592"/>
      <c r="Y35" s="1592">
        <f t="shared" ref="Y35:Y47" si="10">IF(SUM(T35:X35)=0,"",SUM(T35:X35))</f>
        <v>2</v>
      </c>
      <c r="Z35" s="1592"/>
      <c r="AA35" s="1593">
        <f t="shared" si="2"/>
        <v>0</v>
      </c>
    </row>
    <row r="36" spans="1:27" ht="23.25">
      <c r="A36" s="1581"/>
      <c r="B36" s="1582"/>
      <c r="C36" s="2853" t="str">
        <f t="shared" si="7"/>
        <v>Dashi</v>
      </c>
      <c r="D36" s="2851" t="str">
        <f t="shared" si="7"/>
        <v>L</v>
      </c>
      <c r="E36" s="2852">
        <f t="shared" si="8"/>
        <v>0.5</v>
      </c>
      <c r="F36" s="2852">
        <f t="shared" si="8"/>
        <v>0</v>
      </c>
      <c r="G36" s="2852">
        <f t="shared" si="8"/>
        <v>0</v>
      </c>
      <c r="H36" s="2852">
        <f t="shared" si="8"/>
        <v>0</v>
      </c>
      <c r="I36" s="2852">
        <f t="shared" si="8"/>
        <v>0</v>
      </c>
      <c r="J36" s="2857">
        <f t="shared" si="4"/>
        <v>0.5</v>
      </c>
      <c r="K36" s="1590"/>
      <c r="L36" s="1591" t="str">
        <f t="shared" si="3"/>
        <v/>
      </c>
      <c r="M36" s="1519">
        <v>25.5</v>
      </c>
      <c r="P36" s="1581"/>
      <c r="Q36" s="1582"/>
      <c r="R36" s="1592" t="s">
        <v>2004</v>
      </c>
      <c r="S36" s="1550" t="s">
        <v>224</v>
      </c>
      <c r="T36" s="1592">
        <v>1</v>
      </c>
      <c r="U36" s="1592"/>
      <c r="V36" s="1592"/>
      <c r="W36" s="1592"/>
      <c r="X36" s="1592"/>
      <c r="Y36" s="1592">
        <f t="shared" si="10"/>
        <v>1</v>
      </c>
      <c r="Z36" s="1592"/>
      <c r="AA36" s="1593">
        <f t="shared" si="2"/>
        <v>0</v>
      </c>
    </row>
    <row r="37" spans="1:27" ht="23.25">
      <c r="A37" s="1581"/>
      <c r="B37" s="1582"/>
      <c r="C37" s="2853" t="str">
        <f t="shared" si="7"/>
        <v>Miso blond</v>
      </c>
      <c r="D37" s="2851" t="str">
        <f t="shared" si="7"/>
        <v>Kg</v>
      </c>
      <c r="E37" s="2852">
        <f t="shared" si="8"/>
        <v>0.1</v>
      </c>
      <c r="F37" s="2852">
        <f t="shared" si="8"/>
        <v>0</v>
      </c>
      <c r="G37" s="2852">
        <f t="shared" si="8"/>
        <v>0</v>
      </c>
      <c r="H37" s="2852">
        <f t="shared" si="8"/>
        <v>0</v>
      </c>
      <c r="I37" s="2852">
        <f t="shared" si="8"/>
        <v>0</v>
      </c>
      <c r="J37" s="2857">
        <f t="shared" si="4"/>
        <v>0.1</v>
      </c>
      <c r="K37" s="1590"/>
      <c r="L37" s="1591" t="str">
        <f t="shared" si="3"/>
        <v/>
      </c>
      <c r="M37" s="1519">
        <v>25.5</v>
      </c>
      <c r="P37" s="1581"/>
      <c r="Q37" s="1582"/>
      <c r="R37" s="1592" t="s">
        <v>1467</v>
      </c>
      <c r="S37" s="1550" t="s">
        <v>122</v>
      </c>
      <c r="T37" s="1592">
        <v>0.2</v>
      </c>
      <c r="U37" s="1592"/>
      <c r="V37" s="1592"/>
      <c r="W37" s="1592"/>
      <c r="X37" s="1592"/>
      <c r="Y37" s="1592">
        <f t="shared" si="10"/>
        <v>0.2</v>
      </c>
      <c r="Z37" s="1592"/>
      <c r="AA37" s="1593">
        <f t="shared" si="2"/>
        <v>0</v>
      </c>
    </row>
    <row r="38" spans="1:27" ht="23.25">
      <c r="A38" s="1581"/>
      <c r="B38" s="1582"/>
      <c r="C38" s="2853" t="str">
        <f t="shared" si="7"/>
        <v>wakame</v>
      </c>
      <c r="D38" s="2851" t="str">
        <f t="shared" si="7"/>
        <v>kg</v>
      </c>
      <c r="E38" s="2852">
        <f t="shared" si="8"/>
        <v>0</v>
      </c>
      <c r="F38" s="2852">
        <f t="shared" si="8"/>
        <v>0</v>
      </c>
      <c r="G38" s="2852">
        <f t="shared" si="8"/>
        <v>0</v>
      </c>
      <c r="H38" s="2852">
        <f t="shared" si="8"/>
        <v>0</v>
      </c>
      <c r="I38" s="2852">
        <f t="shared" si="8"/>
        <v>0.03</v>
      </c>
      <c r="J38" s="2857">
        <f t="shared" si="4"/>
        <v>0.03</v>
      </c>
      <c r="K38" s="1590"/>
      <c r="L38" s="1591" t="str">
        <f t="shared" si="3"/>
        <v/>
      </c>
      <c r="M38" s="1519">
        <v>25.5</v>
      </c>
      <c r="P38" s="1581"/>
      <c r="Q38" s="1582"/>
      <c r="R38" s="1592" t="s">
        <v>2005</v>
      </c>
      <c r="S38" s="1550" t="s">
        <v>166</v>
      </c>
      <c r="T38" s="1592"/>
      <c r="U38" s="1592"/>
      <c r="V38" s="1592"/>
      <c r="W38" s="1592"/>
      <c r="X38" s="1592">
        <v>0.06</v>
      </c>
      <c r="Y38" s="1592">
        <f t="shared" si="10"/>
        <v>0.06</v>
      </c>
      <c r="Z38" s="1592"/>
      <c r="AA38" s="1593">
        <f t="shared" si="2"/>
        <v>0</v>
      </c>
    </row>
    <row r="39" spans="1:27" ht="23.25">
      <c r="A39" s="1581"/>
      <c r="B39" s="1582"/>
      <c r="C39" s="2853">
        <f t="shared" si="7"/>
        <v>0</v>
      </c>
      <c r="D39" s="2851">
        <f t="shared" si="7"/>
        <v>0</v>
      </c>
      <c r="E39" s="2852">
        <f t="shared" si="8"/>
        <v>0</v>
      </c>
      <c r="F39" s="2852">
        <f t="shared" si="8"/>
        <v>0</v>
      </c>
      <c r="G39" s="2852">
        <f t="shared" si="8"/>
        <v>0</v>
      </c>
      <c r="H39" s="2852">
        <f t="shared" si="8"/>
        <v>0</v>
      </c>
      <c r="I39" s="2852">
        <f t="shared" si="8"/>
        <v>0</v>
      </c>
      <c r="J39" s="2857" t="str">
        <f t="shared" si="4"/>
        <v/>
      </c>
      <c r="K39" s="1590"/>
      <c r="L39" s="1591" t="str">
        <f t="shared" si="3"/>
        <v/>
      </c>
      <c r="M39" s="1519">
        <v>25.5</v>
      </c>
      <c r="P39" s="1581"/>
      <c r="Q39" s="1582"/>
      <c r="R39" s="1592"/>
      <c r="S39" s="1550"/>
      <c r="T39" s="1592"/>
      <c r="U39" s="1592"/>
      <c r="V39" s="1592"/>
      <c r="W39" s="1592"/>
      <c r="X39" s="1592"/>
      <c r="Y39" s="1592" t="str">
        <f t="shared" si="10"/>
        <v/>
      </c>
      <c r="Z39" s="1592"/>
      <c r="AA39" s="1593">
        <f t="shared" si="2"/>
        <v>0</v>
      </c>
    </row>
    <row r="40" spans="1:27" ht="23.25">
      <c r="A40" s="1581"/>
      <c r="B40" s="1582"/>
      <c r="C40" s="2853">
        <f t="shared" si="7"/>
        <v>0</v>
      </c>
      <c r="D40" s="2851">
        <f t="shared" si="7"/>
        <v>0</v>
      </c>
      <c r="E40" s="2852">
        <f t="shared" si="8"/>
        <v>0</v>
      </c>
      <c r="F40" s="2852">
        <f t="shared" si="8"/>
        <v>0</v>
      </c>
      <c r="G40" s="2852">
        <f t="shared" si="8"/>
        <v>0</v>
      </c>
      <c r="H40" s="2852">
        <f t="shared" si="8"/>
        <v>0</v>
      </c>
      <c r="I40" s="2852">
        <f t="shared" si="8"/>
        <v>0</v>
      </c>
      <c r="J40" s="2857" t="str">
        <f t="shared" si="4"/>
        <v/>
      </c>
      <c r="K40" s="1590"/>
      <c r="L40" s="1591" t="str">
        <f t="shared" si="3"/>
        <v/>
      </c>
      <c r="M40" s="1519">
        <v>25.5</v>
      </c>
      <c r="P40" s="1581"/>
      <c r="Q40" s="1582"/>
      <c r="R40" s="1592"/>
      <c r="S40" s="1550"/>
      <c r="T40" s="1592"/>
      <c r="U40" s="1592"/>
      <c r="V40" s="1592"/>
      <c r="W40" s="1592"/>
      <c r="X40" s="1592"/>
      <c r="Y40" s="1592" t="str">
        <f t="shared" si="10"/>
        <v/>
      </c>
      <c r="Z40" s="1592"/>
      <c r="AA40" s="1593">
        <f t="shared" si="2"/>
        <v>0</v>
      </c>
    </row>
    <row r="41" spans="1:27" ht="23.25">
      <c r="A41" s="1581"/>
      <c r="B41" s="1582"/>
      <c r="C41" s="2853">
        <f t="shared" si="7"/>
        <v>0</v>
      </c>
      <c r="D41" s="2851">
        <f t="shared" si="7"/>
        <v>0</v>
      </c>
      <c r="E41" s="2852">
        <f t="shared" si="8"/>
        <v>0</v>
      </c>
      <c r="F41" s="2852">
        <f t="shared" si="8"/>
        <v>0</v>
      </c>
      <c r="G41" s="2852">
        <f t="shared" si="8"/>
        <v>0</v>
      </c>
      <c r="H41" s="2852">
        <f t="shared" si="8"/>
        <v>0</v>
      </c>
      <c r="I41" s="2852">
        <f t="shared" si="8"/>
        <v>0</v>
      </c>
      <c r="J41" s="2857" t="str">
        <f t="shared" si="4"/>
        <v/>
      </c>
      <c r="K41" s="1590"/>
      <c r="L41" s="1591" t="str">
        <f t="shared" si="3"/>
        <v/>
      </c>
      <c r="M41" s="1519">
        <v>25.5</v>
      </c>
      <c r="P41" s="1581"/>
      <c r="Q41" s="1582"/>
      <c r="R41" s="1592"/>
      <c r="S41" s="1550"/>
      <c r="T41" s="1592"/>
      <c r="U41" s="1592"/>
      <c r="V41" s="1592"/>
      <c r="W41" s="1592"/>
      <c r="X41" s="1592"/>
      <c r="Y41" s="1592" t="str">
        <f t="shared" si="10"/>
        <v/>
      </c>
      <c r="Z41" s="1592"/>
      <c r="AA41" s="1593">
        <f t="shared" si="2"/>
        <v>0</v>
      </c>
    </row>
    <row r="42" spans="1:27" ht="23.25">
      <c r="A42" s="1581"/>
      <c r="B42" s="1582"/>
      <c r="C42" s="2853">
        <f t="shared" ref="C42:D46" si="11">R42</f>
        <v>0</v>
      </c>
      <c r="D42" s="2851">
        <f t="shared" si="11"/>
        <v>0</v>
      </c>
      <c r="E42" s="2852">
        <f t="shared" si="8"/>
        <v>0</v>
      </c>
      <c r="F42" s="2852">
        <f t="shared" si="8"/>
        <v>0</v>
      </c>
      <c r="G42" s="2852">
        <f t="shared" si="8"/>
        <v>0</v>
      </c>
      <c r="H42" s="2852">
        <f t="shared" si="8"/>
        <v>0</v>
      </c>
      <c r="I42" s="2852">
        <f t="shared" si="8"/>
        <v>0</v>
      </c>
      <c r="J42" s="2857" t="str">
        <f t="shared" si="4"/>
        <v/>
      </c>
      <c r="K42" s="1590"/>
      <c r="L42" s="1591" t="str">
        <f t="shared" si="3"/>
        <v/>
      </c>
      <c r="M42" s="1519">
        <v>25.5</v>
      </c>
      <c r="P42" s="1581"/>
      <c r="Q42" s="1582"/>
      <c r="R42" s="1592"/>
      <c r="S42" s="1550"/>
      <c r="T42" s="1592"/>
      <c r="U42" s="1592"/>
      <c r="V42" s="1592"/>
      <c r="W42" s="1592"/>
      <c r="X42" s="1592"/>
      <c r="Y42" s="1592" t="str">
        <f t="shared" si="10"/>
        <v/>
      </c>
      <c r="Z42" s="1592"/>
      <c r="AA42" s="1593">
        <f t="shared" si="2"/>
        <v>0</v>
      </c>
    </row>
    <row r="43" spans="1:27" ht="23.25">
      <c r="A43" s="1581"/>
      <c r="B43" s="1582"/>
      <c r="C43" s="2853">
        <f t="shared" si="11"/>
        <v>0</v>
      </c>
      <c r="D43" s="2851">
        <f t="shared" si="11"/>
        <v>0</v>
      </c>
      <c r="E43" s="2852">
        <f t="shared" ref="E43:I46" si="12">IF(ISTEXT(T43),T43,(T43/$I$2)*$L$2)</f>
        <v>0</v>
      </c>
      <c r="F43" s="2852">
        <f t="shared" si="12"/>
        <v>0</v>
      </c>
      <c r="G43" s="2852">
        <f t="shared" si="12"/>
        <v>0</v>
      </c>
      <c r="H43" s="2852">
        <f t="shared" si="12"/>
        <v>0</v>
      </c>
      <c r="I43" s="2852">
        <f t="shared" si="12"/>
        <v>0</v>
      </c>
      <c r="J43" s="2857" t="str">
        <f t="shared" si="4"/>
        <v/>
      </c>
      <c r="K43" s="1590"/>
      <c r="L43" s="1591" t="str">
        <f t="shared" si="3"/>
        <v/>
      </c>
      <c r="M43" s="1519">
        <v>25.5</v>
      </c>
      <c r="P43" s="1581"/>
      <c r="Q43" s="1582"/>
      <c r="R43" s="1592"/>
      <c r="S43" s="1550"/>
      <c r="T43" s="1592"/>
      <c r="U43" s="1592"/>
      <c r="V43" s="1592"/>
      <c r="W43" s="1592"/>
      <c r="X43" s="1592"/>
      <c r="Y43" s="1592" t="str">
        <f t="shared" si="10"/>
        <v/>
      </c>
      <c r="Z43" s="1592"/>
      <c r="AA43" s="1593">
        <f t="shared" si="2"/>
        <v>0</v>
      </c>
    </row>
    <row r="44" spans="1:27" ht="23.25">
      <c r="A44" s="1581"/>
      <c r="B44" s="1582"/>
      <c r="C44" s="2853">
        <f t="shared" si="11"/>
        <v>0</v>
      </c>
      <c r="D44" s="2851">
        <f t="shared" si="11"/>
        <v>0</v>
      </c>
      <c r="E44" s="2852">
        <f t="shared" si="12"/>
        <v>0</v>
      </c>
      <c r="F44" s="2852">
        <f t="shared" si="12"/>
        <v>0</v>
      </c>
      <c r="G44" s="2852">
        <f t="shared" si="12"/>
        <v>0</v>
      </c>
      <c r="H44" s="2852">
        <f t="shared" si="12"/>
        <v>0</v>
      </c>
      <c r="I44" s="2852">
        <f t="shared" si="12"/>
        <v>0</v>
      </c>
      <c r="J44" s="2857" t="str">
        <f t="shared" si="4"/>
        <v/>
      </c>
      <c r="K44" s="1590"/>
      <c r="L44" s="1591" t="str">
        <f t="shared" si="3"/>
        <v/>
      </c>
      <c r="M44" s="1519">
        <v>25.5</v>
      </c>
      <c r="P44" s="1581"/>
      <c r="Q44" s="1582"/>
      <c r="R44" s="1592"/>
      <c r="S44" s="1550"/>
      <c r="T44" s="1592"/>
      <c r="U44" s="1592"/>
      <c r="V44" s="1592"/>
      <c r="W44" s="1592"/>
      <c r="X44" s="1592"/>
      <c r="Y44" s="1592" t="str">
        <f t="shared" si="10"/>
        <v/>
      </c>
      <c r="Z44" s="1592"/>
      <c r="AA44" s="1593">
        <f t="shared" si="2"/>
        <v>0</v>
      </c>
    </row>
    <row r="45" spans="1:27" ht="23.25">
      <c r="A45" s="1581"/>
      <c r="B45" s="1582"/>
      <c r="C45" s="2853">
        <f t="shared" si="11"/>
        <v>0</v>
      </c>
      <c r="D45" s="2851">
        <f t="shared" si="11"/>
        <v>0</v>
      </c>
      <c r="E45" s="2852">
        <f t="shared" si="12"/>
        <v>0</v>
      </c>
      <c r="F45" s="2852">
        <f t="shared" si="12"/>
        <v>0</v>
      </c>
      <c r="G45" s="2852">
        <f t="shared" si="12"/>
        <v>0</v>
      </c>
      <c r="H45" s="2852">
        <f t="shared" si="12"/>
        <v>0</v>
      </c>
      <c r="I45" s="2852">
        <f t="shared" si="12"/>
        <v>0</v>
      </c>
      <c r="J45" s="2857" t="str">
        <f t="shared" si="4"/>
        <v/>
      </c>
      <c r="K45" s="1590"/>
      <c r="L45" s="1591" t="str">
        <f t="shared" si="3"/>
        <v/>
      </c>
      <c r="M45" s="1519">
        <v>25.5</v>
      </c>
      <c r="P45" s="1581"/>
      <c r="Q45" s="1582"/>
      <c r="R45" s="1592"/>
      <c r="S45" s="1550"/>
      <c r="T45" s="1592"/>
      <c r="U45" s="1592"/>
      <c r="V45" s="1592"/>
      <c r="W45" s="1592"/>
      <c r="X45" s="1592"/>
      <c r="Y45" s="1592" t="str">
        <f t="shared" si="10"/>
        <v/>
      </c>
      <c r="Z45" s="1592"/>
      <c r="AA45" s="1593">
        <f t="shared" si="2"/>
        <v>0</v>
      </c>
    </row>
    <row r="46" spans="1:27" ht="36" customHeight="1">
      <c r="A46" s="1520"/>
      <c r="B46" s="1582"/>
      <c r="C46" s="2853" t="str">
        <f t="shared" si="11"/>
        <v>fleurs d'amidon</v>
      </c>
      <c r="D46" s="2851" t="str">
        <f t="shared" si="11"/>
        <v>pm</v>
      </c>
      <c r="E46" s="2852">
        <f t="shared" si="12"/>
        <v>0</v>
      </c>
      <c r="F46" s="2852" t="str">
        <f t="shared" si="12"/>
        <v>pm</v>
      </c>
      <c r="G46" s="2852">
        <f t="shared" si="12"/>
        <v>0</v>
      </c>
      <c r="H46" s="2852">
        <f t="shared" si="12"/>
        <v>0</v>
      </c>
      <c r="I46" s="2852">
        <f t="shared" si="12"/>
        <v>0</v>
      </c>
      <c r="J46" s="2857" t="str">
        <f t="shared" si="4"/>
        <v/>
      </c>
      <c r="K46" s="1590"/>
      <c r="L46" s="1591" t="str">
        <f t="shared" si="3"/>
        <v/>
      </c>
      <c r="M46" s="1519">
        <v>25.5</v>
      </c>
      <c r="P46" s="1520"/>
      <c r="Q46" s="1582"/>
      <c r="R46" s="1592" t="s">
        <v>2006</v>
      </c>
      <c r="S46" s="1550" t="s">
        <v>214</v>
      </c>
      <c r="T46" s="1610"/>
      <c r="U46" s="1610" t="s">
        <v>214</v>
      </c>
      <c r="V46" s="1610"/>
      <c r="W46" s="1610"/>
      <c r="X46" s="1610"/>
      <c r="Y46" s="1610" t="str">
        <f t="shared" si="10"/>
        <v/>
      </c>
      <c r="Z46" s="1592"/>
      <c r="AA46" s="1611">
        <f t="shared" si="2"/>
        <v>0</v>
      </c>
    </row>
    <row r="47" spans="1:27" ht="25.5" customHeight="1">
      <c r="A47" s="1533"/>
      <c r="B47" s="1612" t="s">
        <v>1480</v>
      </c>
      <c r="C47" s="1613"/>
      <c r="D47" s="1613"/>
      <c r="E47" s="1613"/>
      <c r="F47" s="1613"/>
      <c r="G47" s="1614"/>
      <c r="H47" s="1615"/>
      <c r="I47" s="1615"/>
      <c r="J47" s="1615" t="str">
        <f t="shared" si="4"/>
        <v/>
      </c>
      <c r="K47" s="1615" t="s">
        <v>2411</v>
      </c>
      <c r="L47" s="1616" t="str">
        <f>IF(J47="","",(J47*K47))</f>
        <v/>
      </c>
      <c r="M47" s="1519">
        <v>25.5</v>
      </c>
      <c r="P47" s="1533"/>
      <c r="Q47" s="1617" t="s">
        <v>1480</v>
      </c>
      <c r="R47" s="1536"/>
      <c r="S47" s="1536"/>
      <c r="T47" s="1192"/>
      <c r="U47" s="1192"/>
      <c r="V47" s="1533"/>
      <c r="W47" s="1536"/>
      <c r="X47" s="1536"/>
      <c r="Y47" s="1536" t="str">
        <f t="shared" si="10"/>
        <v/>
      </c>
      <c r="Z47" s="1536" t="s">
        <v>2411</v>
      </c>
      <c r="AA47" s="1616" t="str">
        <f>IF(Y47="","",(Y47*Z47))</f>
        <v/>
      </c>
    </row>
    <row r="48" spans="1:27" ht="21">
      <c r="A48" s="1581"/>
      <c r="B48" s="1618" t="s">
        <v>2007</v>
      </c>
      <c r="C48" s="1619"/>
      <c r="D48" s="1618"/>
      <c r="E48" s="1619"/>
      <c r="F48" s="1619"/>
      <c r="G48" s="3522" t="s">
        <v>2288</v>
      </c>
      <c r="H48" s="3523"/>
      <c r="I48" s="1620">
        <f>L2</f>
        <v>5</v>
      </c>
      <c r="J48" s="1621"/>
      <c r="K48" s="1621"/>
      <c r="L48" s="1622">
        <f>SUM(L8:L46)</f>
        <v>0</v>
      </c>
      <c r="M48" s="1519">
        <v>25.5</v>
      </c>
      <c r="P48" s="1581"/>
      <c r="Q48" s="1352" t="s">
        <v>2007</v>
      </c>
      <c r="R48" s="1623"/>
      <c r="S48" s="1192"/>
      <c r="T48" s="1623"/>
      <c r="U48" s="1623"/>
      <c r="V48" s="1624" t="s">
        <v>1482</v>
      </c>
      <c r="W48" s="1625"/>
      <c r="X48" s="1625"/>
      <c r="Y48" s="1625"/>
      <c r="Z48" s="1625"/>
      <c r="AA48" s="1626">
        <f>SUM(AA8:AA47)</f>
        <v>0</v>
      </c>
    </row>
    <row r="49" spans="1:27" ht="21">
      <c r="A49" s="1581"/>
      <c r="B49" s="1618"/>
      <c r="C49" s="1618"/>
      <c r="D49" s="1618"/>
      <c r="E49" s="1618"/>
      <c r="F49" s="1618"/>
      <c r="G49" s="3548" t="s">
        <v>1483</v>
      </c>
      <c r="H49" s="3549"/>
      <c r="I49" s="3549"/>
      <c r="J49" s="3549"/>
      <c r="K49" s="1627">
        <v>0.02</v>
      </c>
      <c r="L49" s="1622">
        <f>L48*K49</f>
        <v>0</v>
      </c>
      <c r="M49" s="1519"/>
      <c r="P49" s="1581"/>
      <c r="Q49" s="1352"/>
      <c r="R49" s="1192"/>
      <c r="S49" s="1192"/>
      <c r="T49" s="1192"/>
      <c r="U49" s="1192"/>
      <c r="V49" s="1628" t="s">
        <v>1483</v>
      </c>
      <c r="W49" s="1192"/>
      <c r="X49" s="1192"/>
      <c r="Y49" s="1192"/>
      <c r="Z49" s="1192"/>
      <c r="AA49" s="1537"/>
    </row>
    <row r="50" spans="1:27" ht="21.75" thickBot="1">
      <c r="A50" s="1520"/>
      <c r="B50" s="1629"/>
      <c r="C50" s="1629"/>
      <c r="D50" s="1629"/>
      <c r="E50" s="1629"/>
      <c r="F50" s="1629"/>
      <c r="G50" s="3614" t="s">
        <v>2289</v>
      </c>
      <c r="H50" s="3615"/>
      <c r="I50" s="3615"/>
      <c r="J50" s="3615"/>
      <c r="K50" s="1630"/>
      <c r="L50" s="1631">
        <f>(L48+L49)/I48</f>
        <v>0</v>
      </c>
      <c r="M50" s="1519">
        <v>33.75</v>
      </c>
      <c r="P50" s="1520"/>
      <c r="Q50" s="1632"/>
      <c r="R50" s="1633"/>
      <c r="S50" s="1633"/>
      <c r="T50" s="1633"/>
      <c r="U50" s="1633"/>
      <c r="V50" s="1634" t="s">
        <v>1484</v>
      </c>
      <c r="W50" s="1633"/>
      <c r="X50" s="1633"/>
      <c r="Y50" s="1633"/>
      <c r="Z50" s="1635"/>
      <c r="AA50" s="1636">
        <f>AA48/X2</f>
        <v>0</v>
      </c>
    </row>
    <row r="51" spans="1:27" ht="13.5" thickBot="1">
      <c r="M51" s="1519">
        <v>33.25</v>
      </c>
    </row>
    <row r="52" spans="1:27" ht="28.5">
      <c r="A52" s="1637" t="str">
        <f>B2</f>
        <v xml:space="preserve">SOUPE MISO DE VOLAILLE ET DAURADE SASHIMI                   </v>
      </c>
      <c r="B52" s="2865"/>
      <c r="C52" s="1638"/>
      <c r="D52" s="1639"/>
      <c r="E52" s="1639"/>
      <c r="F52" s="1639"/>
      <c r="G52" s="1639"/>
      <c r="H52" s="1639"/>
      <c r="I52" s="1639"/>
      <c r="J52" s="1639"/>
      <c r="K52" s="1640" t="s">
        <v>104</v>
      </c>
      <c r="L52" s="3552">
        <v>1</v>
      </c>
      <c r="M52" s="1519">
        <v>33.75</v>
      </c>
    </row>
    <row r="53" spans="1:27" ht="21">
      <c r="A53" s="1642" t="str">
        <f ca="1">MID(CELL("filename",A53),FIND("[",CELL("filename",A53)),300)</f>
        <v>[ff-8-restauration-Christian.Frechede.xlsx]soupe miso (2)</v>
      </c>
      <c r="B53" s="1192"/>
      <c r="C53" s="1643"/>
      <c r="D53" s="1644"/>
      <c r="E53" s="1645"/>
      <c r="F53" s="1645"/>
      <c r="G53" s="1646"/>
      <c r="H53" s="360" t="s">
        <v>103</v>
      </c>
      <c r="I53" s="3553">
        <f ca="1">NOW()</f>
        <v>44545.461550462962</v>
      </c>
      <c r="J53" s="3553"/>
      <c r="K53" s="1647">
        <f ca="1">NOW()</f>
        <v>44545.461550462962</v>
      </c>
      <c r="L53" s="3538"/>
      <c r="M53" s="1519">
        <v>33.25</v>
      </c>
    </row>
    <row r="54" spans="1:27" ht="21">
      <c r="A54" s="1648"/>
      <c r="B54" s="1191" t="s">
        <v>8</v>
      </c>
      <c r="C54" s="3554" t="s">
        <v>107</v>
      </c>
      <c r="D54" s="3554"/>
      <c r="E54" s="3554"/>
      <c r="F54" s="3554"/>
      <c r="G54" s="3554"/>
      <c r="H54" s="3554"/>
      <c r="I54" s="3554"/>
      <c r="J54" s="3554"/>
      <c r="K54" s="3555"/>
      <c r="L54" s="3556" t="str">
        <f>A52</f>
        <v xml:space="preserve">SOUPE MISO DE VOLAILLE ET DAURADE SASHIMI                   </v>
      </c>
      <c r="M54" s="1519">
        <v>27.75</v>
      </c>
    </row>
    <row r="55" spans="1:27" ht="23.25">
      <c r="A55" s="1384"/>
      <c r="B55" s="1385"/>
      <c r="C55" s="1385"/>
      <c r="D55" s="1385"/>
      <c r="E55" s="1385"/>
      <c r="F55" s="1385"/>
      <c r="G55" s="1385"/>
      <c r="H55" s="1385"/>
      <c r="I55" s="1385"/>
      <c r="J55" s="1385"/>
      <c r="K55" s="1385"/>
      <c r="L55" s="3557"/>
      <c r="M55" s="1519">
        <v>23</v>
      </c>
    </row>
    <row r="56" spans="1:27" ht="23.25">
      <c r="A56" s="3559" t="s">
        <v>137</v>
      </c>
      <c r="B56" s="3560"/>
      <c r="C56" s="3560"/>
      <c r="D56" s="3560"/>
      <c r="E56" s="3560"/>
      <c r="F56" s="3560"/>
      <c r="G56" s="3560"/>
      <c r="H56" s="3560"/>
      <c r="I56" s="3560"/>
      <c r="J56" s="3560"/>
      <c r="K56" s="3561"/>
      <c r="L56" s="3557"/>
      <c r="M56" s="1519">
        <v>23</v>
      </c>
    </row>
    <row r="57" spans="1:27" ht="18.75">
      <c r="A57" s="358">
        <v>1</v>
      </c>
      <c r="B57" s="1649"/>
      <c r="C57" s="1649"/>
      <c r="D57" s="1649"/>
      <c r="E57" s="358">
        <v>1</v>
      </c>
      <c r="F57" s="1649"/>
      <c r="G57" s="1649"/>
      <c r="H57" s="1649"/>
      <c r="I57" s="1649"/>
      <c r="J57" s="1649"/>
      <c r="K57" s="1650"/>
      <c r="L57" s="3557"/>
      <c r="M57" s="1519">
        <v>23</v>
      </c>
    </row>
    <row r="58" spans="1:27" ht="18.75">
      <c r="A58" s="358">
        <v>2</v>
      </c>
      <c r="B58" s="1649"/>
      <c r="C58" s="1649"/>
      <c r="D58" s="1649"/>
      <c r="E58" s="358">
        <v>2</v>
      </c>
      <c r="F58" s="1649"/>
      <c r="G58" s="1649"/>
      <c r="H58" s="1649"/>
      <c r="I58" s="1649"/>
      <c r="J58" s="1649"/>
      <c r="K58" s="1650"/>
      <c r="L58" s="3557"/>
      <c r="M58" s="1519">
        <v>23</v>
      </c>
    </row>
    <row r="59" spans="1:27" ht="18.75">
      <c r="A59" s="358">
        <v>3</v>
      </c>
      <c r="B59" s="1649"/>
      <c r="C59" s="1649"/>
      <c r="D59" s="1649"/>
      <c r="E59" s="358">
        <v>3</v>
      </c>
      <c r="F59" s="1649"/>
      <c r="G59" s="1649"/>
      <c r="H59" s="1649"/>
      <c r="I59" s="1649"/>
      <c r="J59" s="1649"/>
      <c r="K59" s="1649"/>
      <c r="L59" s="3557"/>
      <c r="M59" s="1519">
        <v>23</v>
      </c>
    </row>
    <row r="60" spans="1:27" ht="18.75">
      <c r="A60" s="358">
        <v>4</v>
      </c>
      <c r="B60" s="1649"/>
      <c r="C60" s="1649"/>
      <c r="D60" s="1649"/>
      <c r="E60" s="358">
        <v>4</v>
      </c>
      <c r="F60" s="1649"/>
      <c r="G60" s="1649"/>
      <c r="H60" s="1649"/>
      <c r="I60" s="1649"/>
      <c r="J60" s="1649"/>
      <c r="K60" s="1649"/>
      <c r="L60" s="3557"/>
      <c r="M60" s="1519">
        <v>23</v>
      </c>
    </row>
    <row r="61" spans="1:27" ht="18.75">
      <c r="A61" s="358">
        <v>5</v>
      </c>
      <c r="B61" s="1649"/>
      <c r="C61" s="1649"/>
      <c r="D61" s="1649"/>
      <c r="E61" s="358">
        <v>5</v>
      </c>
      <c r="F61" s="1649"/>
      <c r="G61" s="1649"/>
      <c r="H61" s="1649"/>
      <c r="I61" s="1649"/>
      <c r="J61" s="1649"/>
      <c r="K61" s="1649"/>
      <c r="L61" s="3557"/>
      <c r="M61" s="1519">
        <v>23</v>
      </c>
    </row>
    <row r="62" spans="1:27" ht="18.75">
      <c r="A62" s="358">
        <v>6</v>
      </c>
      <c r="B62" s="1649"/>
      <c r="C62" s="1649"/>
      <c r="D62" s="1649"/>
      <c r="E62" s="358">
        <v>6</v>
      </c>
      <c r="F62" s="1649"/>
      <c r="G62" s="1649"/>
      <c r="H62" s="1649"/>
      <c r="I62" s="1649"/>
      <c r="J62" s="1649"/>
      <c r="K62" s="1649"/>
      <c r="L62" s="3557"/>
      <c r="M62" s="1519">
        <v>23</v>
      </c>
    </row>
    <row r="63" spans="1:27" ht="18.75">
      <c r="A63" s="358">
        <v>7</v>
      </c>
      <c r="B63" s="1649"/>
      <c r="C63" s="1649"/>
      <c r="D63" s="1649"/>
      <c r="E63" s="358">
        <v>7</v>
      </c>
      <c r="F63" s="1649"/>
      <c r="G63" s="1649"/>
      <c r="H63" s="1649"/>
      <c r="I63" s="1649"/>
      <c r="J63" s="1649"/>
      <c r="K63" s="1649"/>
      <c r="L63" s="3557"/>
      <c r="M63" s="1519">
        <v>23</v>
      </c>
    </row>
    <row r="64" spans="1:27" ht="18.75">
      <c r="A64" s="358">
        <v>8</v>
      </c>
      <c r="B64" s="1649"/>
      <c r="C64" s="1649"/>
      <c r="D64" s="1649"/>
      <c r="E64" s="358">
        <v>8</v>
      </c>
      <c r="F64" s="1649"/>
      <c r="G64" s="1649"/>
      <c r="H64" s="1649"/>
      <c r="I64" s="1649"/>
      <c r="J64" s="1649"/>
      <c r="K64" s="1649"/>
      <c r="L64" s="3557"/>
      <c r="M64" s="1519">
        <v>23</v>
      </c>
    </row>
    <row r="65" spans="1:13" ht="18.75">
      <c r="A65" s="358">
        <v>9</v>
      </c>
      <c r="B65" s="1649"/>
      <c r="C65" s="1649"/>
      <c r="D65" s="1649"/>
      <c r="E65" s="358">
        <v>9</v>
      </c>
      <c r="F65" s="1649"/>
      <c r="G65" s="1649"/>
      <c r="H65" s="1649"/>
      <c r="I65" s="1649"/>
      <c r="J65" s="1649"/>
      <c r="K65" s="1649"/>
      <c r="L65" s="3557"/>
      <c r="M65" s="1519">
        <v>23</v>
      </c>
    </row>
    <row r="66" spans="1:13" ht="18.75">
      <c r="A66" s="358">
        <v>10</v>
      </c>
      <c r="B66" s="1649"/>
      <c r="C66" s="1649"/>
      <c r="D66" s="1649"/>
      <c r="E66" s="358">
        <v>10</v>
      </c>
      <c r="F66" s="1649"/>
      <c r="G66" s="1649"/>
      <c r="H66" s="1649"/>
      <c r="I66" s="1649"/>
      <c r="J66" s="1649"/>
      <c r="K66" s="1649"/>
      <c r="L66" s="3557"/>
      <c r="M66" s="1519">
        <v>23</v>
      </c>
    </row>
    <row r="67" spans="1:13" ht="18.75">
      <c r="A67" s="358">
        <v>11</v>
      </c>
      <c r="B67" s="1649"/>
      <c r="C67" s="1649"/>
      <c r="D67" s="1649"/>
      <c r="E67" s="358">
        <v>11</v>
      </c>
      <c r="F67" s="1649"/>
      <c r="G67" s="1649"/>
      <c r="H67" s="1649"/>
      <c r="I67" s="1649"/>
      <c r="J67" s="1649"/>
      <c r="K67" s="1649"/>
      <c r="L67" s="3557"/>
      <c r="M67" s="1519">
        <v>23</v>
      </c>
    </row>
    <row r="68" spans="1:13" ht="18.75">
      <c r="A68" s="358">
        <v>12</v>
      </c>
      <c r="B68" s="1649"/>
      <c r="C68" s="1649"/>
      <c r="D68" s="1649"/>
      <c r="E68" s="358">
        <v>12</v>
      </c>
      <c r="F68" s="1649"/>
      <c r="G68" s="1649"/>
      <c r="H68" s="1649"/>
      <c r="I68" s="1649"/>
      <c r="J68" s="1649"/>
      <c r="K68" s="1649"/>
      <c r="L68" s="3557"/>
      <c r="M68" s="1519">
        <v>23</v>
      </c>
    </row>
    <row r="69" spans="1:13" ht="18.75">
      <c r="A69" s="358">
        <v>13</v>
      </c>
      <c r="B69" s="1649"/>
      <c r="C69" s="1649"/>
      <c r="D69" s="1649"/>
      <c r="E69" s="358">
        <v>13</v>
      </c>
      <c r="F69" s="1649"/>
      <c r="G69" s="1649"/>
      <c r="H69" s="1649"/>
      <c r="I69" s="1649"/>
      <c r="J69" s="1649"/>
      <c r="K69" s="1649"/>
      <c r="L69" s="3557"/>
      <c r="M69" s="1519">
        <v>23</v>
      </c>
    </row>
    <row r="70" spans="1:13" ht="18.75">
      <c r="A70" s="358">
        <v>14</v>
      </c>
      <c r="B70" s="1649"/>
      <c r="C70" s="1649"/>
      <c r="D70" s="1649"/>
      <c r="E70" s="358">
        <v>14</v>
      </c>
      <c r="F70" s="1649"/>
      <c r="G70" s="1649"/>
      <c r="H70" s="1649"/>
      <c r="I70" s="1649"/>
      <c r="J70" s="1649"/>
      <c r="K70" s="1649"/>
      <c r="L70" s="3557"/>
      <c r="M70" s="1519">
        <v>23</v>
      </c>
    </row>
    <row r="71" spans="1:13" ht="18.75">
      <c r="A71" s="358">
        <v>15</v>
      </c>
      <c r="B71" s="1649"/>
      <c r="C71" s="1649"/>
      <c r="D71" s="1649"/>
      <c r="E71" s="358">
        <v>15</v>
      </c>
      <c r="F71" s="1649"/>
      <c r="G71" s="1649"/>
      <c r="H71" s="1649"/>
      <c r="I71" s="1649"/>
      <c r="J71" s="1649"/>
      <c r="K71" s="1649"/>
      <c r="L71" s="3557"/>
      <c r="M71" s="1519">
        <v>23</v>
      </c>
    </row>
    <row r="72" spans="1:13" ht="18.75">
      <c r="A72" s="358">
        <v>16</v>
      </c>
      <c r="B72" s="1649"/>
      <c r="C72" s="1649"/>
      <c r="D72" s="1649"/>
      <c r="E72" s="358">
        <v>16</v>
      </c>
      <c r="F72" s="1649"/>
      <c r="G72" s="1649"/>
      <c r="H72" s="1649"/>
      <c r="I72" s="1649"/>
      <c r="J72" s="1649"/>
      <c r="K72" s="1649"/>
      <c r="L72" s="3557"/>
      <c r="M72" s="1519">
        <v>23</v>
      </c>
    </row>
    <row r="73" spans="1:13" ht="18.75">
      <c r="A73" s="358">
        <v>17</v>
      </c>
      <c r="B73" s="1649"/>
      <c r="C73" s="1649"/>
      <c r="D73" s="1649"/>
      <c r="E73" s="358">
        <v>17</v>
      </c>
      <c r="F73" s="1649"/>
      <c r="G73" s="1649"/>
      <c r="H73" s="1649"/>
      <c r="I73" s="1649"/>
      <c r="J73" s="1649"/>
      <c r="K73" s="1649"/>
      <c r="L73" s="3557"/>
      <c r="M73" s="1519">
        <v>23</v>
      </c>
    </row>
    <row r="74" spans="1:13" ht="18.75">
      <c r="A74" s="358">
        <v>18</v>
      </c>
      <c r="B74" s="1649"/>
      <c r="C74" s="1649"/>
      <c r="D74" s="1649"/>
      <c r="E74" s="358">
        <v>18</v>
      </c>
      <c r="F74" s="1649"/>
      <c r="G74" s="1649"/>
      <c r="H74" s="1649"/>
      <c r="I74" s="1649"/>
      <c r="J74" s="1649"/>
      <c r="K74" s="1649"/>
      <c r="L74" s="3557"/>
      <c r="M74" s="1519">
        <v>23</v>
      </c>
    </row>
    <row r="75" spans="1:13" ht="18.75">
      <c r="A75" s="359">
        <v>19</v>
      </c>
      <c r="B75" s="1649"/>
      <c r="C75" s="1649"/>
      <c r="D75" s="1649"/>
      <c r="E75" s="358">
        <v>19</v>
      </c>
      <c r="F75" s="1649"/>
      <c r="G75" s="1649"/>
      <c r="H75" s="1649"/>
      <c r="I75" s="1649"/>
      <c r="J75" s="1649"/>
      <c r="K75" s="1649"/>
      <c r="L75" s="3557"/>
      <c r="M75" s="1519">
        <v>23</v>
      </c>
    </row>
    <row r="76" spans="1:13" ht="21">
      <c r="A76" s="1651"/>
      <c r="B76" s="3562" t="s">
        <v>94</v>
      </c>
      <c r="C76" s="3562"/>
      <c r="D76" s="3563"/>
      <c r="E76" s="3564" t="s">
        <v>95</v>
      </c>
      <c r="F76" s="3565"/>
      <c r="G76" s="3565"/>
      <c r="H76" s="3565"/>
      <c r="I76" s="3565"/>
      <c r="J76" s="3565"/>
      <c r="K76" s="3566"/>
      <c r="L76" s="3557"/>
      <c r="M76" s="1519">
        <v>23</v>
      </c>
    </row>
    <row r="77" spans="1:13" ht="18.75">
      <c r="A77" s="357">
        <v>1</v>
      </c>
      <c r="B77" s="1652"/>
      <c r="C77" s="1653"/>
      <c r="D77" s="1653"/>
      <c r="E77" s="357">
        <v>1</v>
      </c>
      <c r="F77" s="1653"/>
      <c r="G77" s="1653"/>
      <c r="H77" s="1653"/>
      <c r="I77" s="1653"/>
      <c r="J77" s="1653"/>
      <c r="K77" s="1653"/>
      <c r="L77" s="3557"/>
      <c r="M77" s="1519">
        <v>23</v>
      </c>
    </row>
    <row r="78" spans="1:13" ht="18.75">
      <c r="A78" s="358">
        <v>2</v>
      </c>
      <c r="B78" s="1653"/>
      <c r="C78" s="1653"/>
      <c r="D78" s="1653"/>
      <c r="E78" s="358">
        <v>2</v>
      </c>
      <c r="F78" s="1653"/>
      <c r="G78" s="1653"/>
      <c r="H78" s="1653"/>
      <c r="I78" s="1653"/>
      <c r="J78" s="1653"/>
      <c r="K78" s="1653"/>
      <c r="L78" s="3557"/>
      <c r="M78" s="1519">
        <v>23</v>
      </c>
    </row>
    <row r="79" spans="1:13" ht="18.75">
      <c r="A79" s="358">
        <v>3</v>
      </c>
      <c r="B79" s="1653"/>
      <c r="C79" s="1653"/>
      <c r="D79" s="1653"/>
      <c r="E79" s="358">
        <v>3</v>
      </c>
      <c r="F79" s="1653"/>
      <c r="G79" s="1653"/>
      <c r="H79" s="1653"/>
      <c r="I79" s="1653"/>
      <c r="J79" s="1653"/>
      <c r="K79" s="1653"/>
      <c r="L79" s="3557"/>
      <c r="M79" s="1519">
        <v>23</v>
      </c>
    </row>
    <row r="80" spans="1:13" ht="18.75">
      <c r="A80" s="358">
        <v>4</v>
      </c>
      <c r="B80" s="1653"/>
      <c r="C80" s="1653"/>
      <c r="D80" s="1653"/>
      <c r="E80" s="358">
        <v>4</v>
      </c>
      <c r="F80" s="1653"/>
      <c r="G80" s="1653"/>
      <c r="H80" s="1653"/>
      <c r="I80" s="1653"/>
      <c r="J80" s="1653"/>
      <c r="K80" s="1653"/>
      <c r="L80" s="3557"/>
      <c r="M80" s="1519">
        <v>23</v>
      </c>
    </row>
    <row r="81" spans="1:13" ht="18.75">
      <c r="A81" s="358">
        <v>5</v>
      </c>
      <c r="B81" s="1653"/>
      <c r="C81" s="1653"/>
      <c r="D81" s="1653"/>
      <c r="E81" s="358">
        <v>5</v>
      </c>
      <c r="F81" s="1653"/>
      <c r="G81" s="1653"/>
      <c r="H81" s="1653"/>
      <c r="I81" s="1653"/>
      <c r="J81" s="1653"/>
      <c r="K81" s="1653"/>
      <c r="L81" s="3557"/>
      <c r="M81" s="1519">
        <v>23</v>
      </c>
    </row>
    <row r="82" spans="1:13" ht="18.75">
      <c r="A82" s="358">
        <v>6</v>
      </c>
      <c r="B82" s="1653"/>
      <c r="C82" s="1653"/>
      <c r="D82" s="1653"/>
      <c r="E82" s="358">
        <v>6</v>
      </c>
      <c r="F82" s="1653"/>
      <c r="G82" s="1653"/>
      <c r="H82" s="1653"/>
      <c r="I82" s="1653"/>
      <c r="J82" s="1653"/>
      <c r="K82" s="1653"/>
      <c r="L82" s="3557"/>
      <c r="M82" s="1519">
        <v>23</v>
      </c>
    </row>
    <row r="83" spans="1:13" ht="18.75">
      <c r="A83" s="358">
        <v>7</v>
      </c>
      <c r="B83" s="1653"/>
      <c r="C83" s="1653"/>
      <c r="D83" s="1653"/>
      <c r="E83" s="358">
        <v>7</v>
      </c>
      <c r="F83" s="1653"/>
      <c r="G83" s="1653"/>
      <c r="H83" s="1653"/>
      <c r="I83" s="1653"/>
      <c r="J83" s="1653"/>
      <c r="K83" s="1653"/>
      <c r="L83" s="3557"/>
      <c r="M83" s="1519">
        <v>23</v>
      </c>
    </row>
    <row r="84" spans="1:13" ht="15">
      <c r="A84" s="1654"/>
      <c r="B84" s="1399" t="e">
        <f>A88*#REF!</f>
        <v>#VALUE!</v>
      </c>
      <c r="C84" s="1399" t="e">
        <f>B84*A88</f>
        <v>#VALUE!</v>
      </c>
      <c r="D84" s="1399" t="e">
        <f>C84*B84</f>
        <v>#VALUE!</v>
      </c>
      <c r="E84" s="1399" t="e">
        <f>D84*C84</f>
        <v>#VALUE!</v>
      </c>
      <c r="F84" s="1399" t="e">
        <f>E84*D84</f>
        <v>#VALUE!</v>
      </c>
      <c r="G84" s="1399" t="e">
        <f>D84*C84</f>
        <v>#VALUE!</v>
      </c>
      <c r="H84" s="1399" t="e">
        <f t="shared" ref="H84:K84" si="13">G84*F84</f>
        <v>#VALUE!</v>
      </c>
      <c r="I84" s="1399" t="e">
        <f t="shared" si="13"/>
        <v>#VALUE!</v>
      </c>
      <c r="J84" s="1399" t="e">
        <f t="shared" si="13"/>
        <v>#VALUE!</v>
      </c>
      <c r="K84" s="1655" t="e">
        <f t="shared" si="13"/>
        <v>#VALUE!</v>
      </c>
      <c r="L84" s="3557"/>
      <c r="M84" s="1519">
        <v>23</v>
      </c>
    </row>
    <row r="85" spans="1:13" ht="21">
      <c r="A85" s="1656"/>
      <c r="B85" s="3351" t="s">
        <v>96</v>
      </c>
      <c r="C85" s="3351"/>
      <c r="D85" s="3351"/>
      <c r="E85" s="3351"/>
      <c r="F85" s="3351"/>
      <c r="G85" s="3351"/>
      <c r="H85" s="3351"/>
      <c r="I85" s="3351"/>
      <c r="J85" s="3351"/>
      <c r="K85" s="3519"/>
      <c r="L85" s="3556"/>
      <c r="M85" s="1519">
        <v>23</v>
      </c>
    </row>
    <row r="86" spans="1:13" ht="21">
      <c r="A86" s="1656"/>
      <c r="B86" s="3354" t="s">
        <v>97</v>
      </c>
      <c r="C86" s="3354"/>
      <c r="D86" s="3354"/>
      <c r="E86" s="3536" t="s">
        <v>98</v>
      </c>
      <c r="F86" s="3355"/>
      <c r="G86" s="3355"/>
      <c r="H86" s="3355"/>
      <c r="I86" s="3355"/>
      <c r="J86" s="3355"/>
      <c r="K86" s="3537"/>
      <c r="L86" s="3556"/>
      <c r="M86" s="1519">
        <v>23</v>
      </c>
    </row>
    <row r="87" spans="1:13" ht="15.75">
      <c r="A87" s="1657" t="s">
        <v>99</v>
      </c>
      <c r="B87" s="1658"/>
      <c r="C87" s="1658"/>
      <c r="D87" s="1658"/>
      <c r="E87" s="1659"/>
      <c r="F87" s="1660"/>
      <c r="G87" s="1660"/>
      <c r="H87" s="1660"/>
      <c r="I87" s="1660"/>
      <c r="J87" s="1660"/>
      <c r="K87" s="1661"/>
      <c r="L87" s="3556"/>
      <c r="M87" s="1519">
        <v>23</v>
      </c>
    </row>
    <row r="88" spans="1:13" ht="15.75">
      <c r="A88" s="1657" t="s">
        <v>100</v>
      </c>
      <c r="B88" s="1658"/>
      <c r="C88" s="1658"/>
      <c r="D88" s="1658"/>
      <c r="E88" s="1659"/>
      <c r="F88" s="1660"/>
      <c r="G88" s="1660"/>
      <c r="H88" s="1660"/>
      <c r="I88" s="1660"/>
      <c r="J88" s="1660"/>
      <c r="K88" s="1661"/>
      <c r="L88" s="3556"/>
      <c r="M88" s="1519">
        <v>23</v>
      </c>
    </row>
    <row r="89" spans="1:13" ht="15.75">
      <c r="A89" s="1657" t="s">
        <v>101</v>
      </c>
      <c r="B89" s="1658"/>
      <c r="C89" s="1658"/>
      <c r="D89" s="1658"/>
      <c r="E89" s="1659"/>
      <c r="F89" s="1660"/>
      <c r="G89" s="1660"/>
      <c r="H89" s="1660"/>
      <c r="I89" s="1660"/>
      <c r="J89" s="1660"/>
      <c r="K89" s="1661"/>
      <c r="L89" s="3556"/>
      <c r="M89" s="1519">
        <v>23</v>
      </c>
    </row>
    <row r="90" spans="1:13" ht="15.75">
      <c r="A90" s="1657" t="s">
        <v>111</v>
      </c>
      <c r="B90" s="1658"/>
      <c r="C90" s="1658"/>
      <c r="D90" s="1658"/>
      <c r="E90" s="1659"/>
      <c r="F90" s="1660"/>
      <c r="G90" s="1660"/>
      <c r="H90" s="1660"/>
      <c r="I90" s="1660"/>
      <c r="J90" s="1660"/>
      <c r="K90" s="1661"/>
      <c r="L90" s="3556"/>
      <c r="M90" s="1519">
        <v>23</v>
      </c>
    </row>
    <row r="91" spans="1:13" ht="15.75">
      <c r="A91" s="1657" t="s">
        <v>112</v>
      </c>
      <c r="B91" s="1658"/>
      <c r="C91" s="1658"/>
      <c r="D91" s="1658"/>
      <c r="E91" s="1659"/>
      <c r="F91" s="1660"/>
      <c r="G91" s="1660"/>
      <c r="H91" s="1660"/>
      <c r="I91" s="1660"/>
      <c r="J91" s="1660"/>
      <c r="K91" s="1661"/>
      <c r="L91" s="3556"/>
      <c r="M91" s="1519">
        <v>23</v>
      </c>
    </row>
    <row r="92" spans="1:13" ht="15.75">
      <c r="A92" s="1657" t="s">
        <v>142</v>
      </c>
      <c r="B92" s="1658"/>
      <c r="C92" s="1658"/>
      <c r="D92" s="1658"/>
      <c r="E92" s="1659"/>
      <c r="F92" s="1660"/>
      <c r="G92" s="1660"/>
      <c r="H92" s="1660"/>
      <c r="I92" s="1660"/>
      <c r="J92" s="1660"/>
      <c r="K92" s="1661"/>
      <c r="L92" s="3556"/>
      <c r="M92" s="1519">
        <v>23</v>
      </c>
    </row>
    <row r="93" spans="1:13" ht="15.75">
      <c r="A93" s="1657" t="s">
        <v>143</v>
      </c>
      <c r="B93" s="1658"/>
      <c r="C93" s="1658"/>
      <c r="D93" s="1658"/>
      <c r="E93" s="1659"/>
      <c r="F93" s="1660"/>
      <c r="G93" s="1660"/>
      <c r="H93" s="1660"/>
      <c r="I93" s="1660"/>
      <c r="J93" s="1660"/>
      <c r="K93" s="1661"/>
      <c r="L93" s="3556"/>
      <c r="M93" s="1519">
        <v>23</v>
      </c>
    </row>
    <row r="94" spans="1:13" ht="15.75">
      <c r="A94" s="1657" t="s">
        <v>144</v>
      </c>
      <c r="B94" s="1658"/>
      <c r="C94" s="1658"/>
      <c r="D94" s="1658"/>
      <c r="E94" s="1659"/>
      <c r="F94" s="1660"/>
      <c r="G94" s="1660"/>
      <c r="H94" s="1660"/>
      <c r="I94" s="1660"/>
      <c r="J94" s="1660"/>
      <c r="K94" s="1661"/>
      <c r="L94" s="3556"/>
      <c r="M94" s="1519">
        <v>23</v>
      </c>
    </row>
    <row r="95" spans="1:13" ht="15.75">
      <c r="A95" s="1657" t="s">
        <v>145</v>
      </c>
      <c r="B95" s="1658"/>
      <c r="C95" s="1658"/>
      <c r="D95" s="1658"/>
      <c r="E95" s="1659"/>
      <c r="F95" s="1660"/>
      <c r="G95" s="1660"/>
      <c r="H95" s="1660"/>
      <c r="I95" s="1660"/>
      <c r="J95" s="1660"/>
      <c r="K95" s="1661"/>
      <c r="L95" s="3558"/>
      <c r="M95" s="1519">
        <v>23</v>
      </c>
    </row>
    <row r="96" spans="1:13" ht="15.75">
      <c r="A96" s="1657" t="s">
        <v>146</v>
      </c>
      <c r="B96" s="1658"/>
      <c r="C96" s="1658"/>
      <c r="D96" s="1658"/>
      <c r="E96" s="1659"/>
      <c r="F96" s="1660"/>
      <c r="G96" s="1660"/>
      <c r="H96" s="1660"/>
      <c r="I96" s="1660"/>
      <c r="J96" s="1660"/>
      <c r="K96" s="1661"/>
      <c r="L96" s="3412">
        <f>L52</f>
        <v>1</v>
      </c>
      <c r="M96" s="1519">
        <v>23</v>
      </c>
    </row>
    <row r="97" spans="1:13" ht="15.75">
      <c r="A97" s="1657" t="s">
        <v>147</v>
      </c>
      <c r="B97" s="1658"/>
      <c r="C97" s="1658"/>
      <c r="D97" s="1658"/>
      <c r="E97" s="1659"/>
      <c r="F97" s="1660"/>
      <c r="G97" s="1660"/>
      <c r="H97" s="1660"/>
      <c r="I97" s="1660"/>
      <c r="J97" s="1660"/>
      <c r="K97" s="1661"/>
      <c r="L97" s="3538"/>
      <c r="M97" s="1519">
        <v>23</v>
      </c>
    </row>
    <row r="98" spans="1:13" ht="16.5" thickBot="1">
      <c r="A98" s="1662" t="s">
        <v>224</v>
      </c>
      <c r="B98" s="1663"/>
      <c r="C98" s="1663"/>
      <c r="D98" s="1663"/>
      <c r="E98" s="1664"/>
      <c r="F98" s="1665"/>
      <c r="G98" s="1665"/>
      <c r="H98" s="1665"/>
      <c r="I98" s="1665"/>
      <c r="J98" s="1665"/>
      <c r="K98" s="1666"/>
      <c r="L98" s="3539"/>
      <c r="M98" s="1519">
        <v>23</v>
      </c>
    </row>
    <row r="100" spans="1:13">
      <c r="A100" s="1512">
        <v>5</v>
      </c>
      <c r="B100" s="1512">
        <v>33</v>
      </c>
      <c r="C100" s="1512">
        <v>39</v>
      </c>
      <c r="D100" s="1512">
        <v>12</v>
      </c>
      <c r="E100" s="1512">
        <v>12</v>
      </c>
      <c r="F100" s="1512">
        <v>12</v>
      </c>
      <c r="G100" s="1512">
        <v>12</v>
      </c>
      <c r="H100" s="1512">
        <v>12</v>
      </c>
      <c r="I100" s="1512">
        <v>12</v>
      </c>
      <c r="J100" s="1512">
        <v>12</v>
      </c>
      <c r="K100" s="1512">
        <v>12</v>
      </c>
      <c r="L100" s="1512">
        <v>12</v>
      </c>
      <c r="M100" s="1513" t="s">
        <v>1958</v>
      </c>
    </row>
  </sheetData>
  <mergeCells count="19">
    <mergeCell ref="L96:L98"/>
    <mergeCell ref="P1:AA1"/>
    <mergeCell ref="G49:J49"/>
    <mergeCell ref="G50:J50"/>
    <mergeCell ref="L52:L53"/>
    <mergeCell ref="I53:J53"/>
    <mergeCell ref="C54:K54"/>
    <mergeCell ref="L54:L95"/>
    <mergeCell ref="A56:K56"/>
    <mergeCell ref="B76:D76"/>
    <mergeCell ref="E76:K76"/>
    <mergeCell ref="B85:K85"/>
    <mergeCell ref="B2:G2"/>
    <mergeCell ref="Q2:V2"/>
    <mergeCell ref="B4:E4"/>
    <mergeCell ref="Q4:T4"/>
    <mergeCell ref="G48:H48"/>
    <mergeCell ref="B86:D86"/>
    <mergeCell ref="E86:K86"/>
  </mergeCells>
  <hyperlinks>
    <hyperlink ref="C54" r:id="rId1" display="http://etab.ac-poitiers.fr/lycee-hotelier-la-rochelle/spip.php?auteur10" xr:uid="{EC15168B-59CB-465D-B88F-040E61FAC95F}"/>
  </hyperlink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&amp;C&amp;D &amp;T&amp;R2TSB</oddHeader>
    <oddFooter>&amp;L&amp;F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503AB-0865-4DF2-A54B-6AFDF63EDE35}">
  <dimension ref="A1:AB98"/>
  <sheetViews>
    <sheetView showZeros="0" zoomScaleNormal="100" workbookViewId="0">
      <selection activeCell="B2" sqref="B2:G2"/>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6" width="11.42578125" style="1281"/>
    <col min="17"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6.28515625" style="1281" customWidth="1"/>
    <col min="24" max="24" width="5.42578125" style="1281" customWidth="1"/>
    <col min="25" max="25" width="6" style="1281" customWidth="1"/>
    <col min="26" max="26" width="6.28515625" style="1281" customWidth="1"/>
    <col min="27" max="27" width="5.7109375" style="1281" customWidth="1"/>
    <col min="28" max="16384" width="11.42578125" style="1281"/>
  </cols>
  <sheetData>
    <row r="1" spans="1:28"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Q1" s="3611" t="s">
        <v>2874</v>
      </c>
      <c r="R1" s="3612"/>
      <c r="S1" s="3612"/>
      <c r="T1" s="3612"/>
      <c r="U1" s="3612"/>
      <c r="V1" s="3612"/>
      <c r="W1" s="3612"/>
      <c r="X1" s="3612"/>
      <c r="Y1" s="3612"/>
      <c r="Z1" s="3612"/>
      <c r="AA1" s="3612"/>
      <c r="AB1" s="3613"/>
    </row>
    <row r="2" spans="1:28" ht="42.75" customHeight="1">
      <c r="A2" s="1514"/>
      <c r="B2" s="3628" t="s">
        <v>2008</v>
      </c>
      <c r="C2" s="3629"/>
      <c r="D2" s="3629"/>
      <c r="E2" s="3629"/>
      <c r="F2" s="3629"/>
      <c r="G2" s="3629"/>
      <c r="H2" s="2844" t="s">
        <v>1444</v>
      </c>
      <c r="I2" s="2845">
        <f>X2</f>
        <v>10</v>
      </c>
      <c r="J2" s="2841"/>
      <c r="K2" s="2843" t="s">
        <v>2873</v>
      </c>
      <c r="L2" s="2842">
        <v>5</v>
      </c>
      <c r="M2" s="1675">
        <v>42.75</v>
      </c>
      <c r="Q2" s="3636" t="s">
        <v>2008</v>
      </c>
      <c r="R2" s="3637"/>
      <c r="S2" s="3637"/>
      <c r="T2" s="3637"/>
      <c r="U2" s="3637"/>
      <c r="V2" s="3638"/>
      <c r="W2" s="1521" t="s">
        <v>1444</v>
      </c>
      <c r="X2" s="1522">
        <v>10</v>
      </c>
      <c r="Y2" s="1523"/>
      <c r="Z2" s="1523"/>
      <c r="AA2" s="1524"/>
    </row>
    <row r="3" spans="1:28" ht="24.75" customHeight="1">
      <c r="A3" s="1533"/>
      <c r="B3" s="1526" t="s">
        <v>1391</v>
      </c>
      <c r="C3" s="1527"/>
      <c r="D3" s="1527"/>
      <c r="E3" s="1528"/>
      <c r="F3" s="1529" t="s">
        <v>1445</v>
      </c>
      <c r="G3" s="1530"/>
      <c r="H3" s="1531"/>
      <c r="I3" s="1531"/>
      <c r="J3" s="1530"/>
      <c r="K3" s="1530"/>
      <c r="L3" s="1532"/>
      <c r="M3" s="1675">
        <v>25.5</v>
      </c>
      <c r="Q3" s="1534" t="s">
        <v>1391</v>
      </c>
      <c r="R3" s="1527"/>
      <c r="S3" s="1527"/>
      <c r="T3" s="1528"/>
      <c r="U3" s="1535" t="s">
        <v>1445</v>
      </c>
      <c r="V3" s="1536"/>
      <c r="W3" s="1192"/>
      <c r="X3" s="1192"/>
      <c r="Y3" s="1536"/>
      <c r="Z3" s="1536"/>
      <c r="AA3" s="1537"/>
    </row>
    <row r="4" spans="1:28" ht="112.5" customHeight="1">
      <c r="A4" s="1539"/>
      <c r="B4" s="3633"/>
      <c r="C4" s="3633"/>
      <c r="D4" s="3633"/>
      <c r="E4" s="3634"/>
      <c r="F4" s="1539"/>
      <c r="G4" s="1540"/>
      <c r="H4" s="1540"/>
      <c r="I4" s="1540"/>
      <c r="J4" s="1531"/>
      <c r="K4" s="1531"/>
      <c r="L4" s="1532"/>
      <c r="M4" s="1675">
        <v>112.5</v>
      </c>
      <c r="Q4" s="3635"/>
      <c r="R4" s="3633"/>
      <c r="S4" s="3633"/>
      <c r="T4" s="3634"/>
      <c r="U4" s="1520"/>
      <c r="V4" s="1426"/>
      <c r="W4" s="1426"/>
      <c r="X4" s="1426"/>
      <c r="Y4" s="1192"/>
      <c r="Z4" s="1192"/>
      <c r="AA4" s="1537"/>
    </row>
    <row r="5" spans="1:28" ht="63.75" customHeight="1">
      <c r="A5" s="1667"/>
      <c r="B5" s="1676" t="s">
        <v>151</v>
      </c>
      <c r="C5" s="1677" t="s">
        <v>1446</v>
      </c>
      <c r="D5" s="1544"/>
      <c r="E5" s="1545" t="s">
        <v>1447</v>
      </c>
      <c r="F5" s="1546"/>
      <c r="G5" s="1546"/>
      <c r="H5" s="1546"/>
      <c r="I5" s="1547"/>
      <c r="J5" s="1543" t="s">
        <v>1448</v>
      </c>
      <c r="K5" s="1548"/>
      <c r="L5" s="1549"/>
      <c r="M5" s="1675">
        <v>63.75</v>
      </c>
      <c r="N5" s="1192"/>
      <c r="O5" s="1192"/>
      <c r="Q5" s="1678" t="s">
        <v>151</v>
      </c>
      <c r="R5" s="1552" t="s">
        <v>1446</v>
      </c>
      <c r="S5" s="1553"/>
      <c r="T5" s="1554" t="s">
        <v>1447</v>
      </c>
      <c r="U5" s="1555"/>
      <c r="V5" s="1555"/>
      <c r="W5" s="1555"/>
      <c r="X5" s="1556"/>
      <c r="Y5" s="1552" t="s">
        <v>1448</v>
      </c>
      <c r="Z5" s="1557"/>
      <c r="AA5" s="1558"/>
    </row>
    <row r="6" spans="1:28" ht="57.75" customHeight="1">
      <c r="A6" s="1614"/>
      <c r="B6" s="1679"/>
      <c r="C6" s="1560" t="str">
        <f t="shared" ref="C6:I21" si="0">R6</f>
        <v>NATURE</v>
      </c>
      <c r="D6" s="1561" t="str">
        <f t="shared" si="0"/>
        <v>unite</v>
      </c>
      <c r="E6" s="1561" t="str">
        <f t="shared" si="0"/>
        <v>TSUKUNE</v>
      </c>
      <c r="F6" s="1561" t="str">
        <f t="shared" si="0"/>
        <v>SHIRAAE</v>
      </c>
      <c r="G6" s="1561" t="str">
        <f t="shared" si="0"/>
        <v>NANBANZUKE</v>
      </c>
      <c r="H6" s="1561">
        <f t="shared" si="0"/>
        <v>4</v>
      </c>
      <c r="I6" s="1562" t="str">
        <f t="shared" si="0"/>
        <v>finition</v>
      </c>
      <c r="J6" s="1563" t="s">
        <v>110</v>
      </c>
      <c r="K6" s="1564" t="s">
        <v>117</v>
      </c>
      <c r="L6" s="1565" t="s">
        <v>118</v>
      </c>
      <c r="M6" s="1675">
        <v>57.75</v>
      </c>
      <c r="Q6" s="1566"/>
      <c r="R6" s="1680" t="s">
        <v>1449</v>
      </c>
      <c r="S6" s="1568" t="s">
        <v>1450</v>
      </c>
      <c r="T6" s="1569" t="s">
        <v>2009</v>
      </c>
      <c r="U6" s="1569" t="s">
        <v>2010</v>
      </c>
      <c r="V6" s="1569" t="s">
        <v>2011</v>
      </c>
      <c r="W6" s="1570">
        <v>4</v>
      </c>
      <c r="X6" s="1571" t="s">
        <v>48</v>
      </c>
      <c r="Y6" s="1572" t="s">
        <v>110</v>
      </c>
      <c r="Z6" s="1572" t="s">
        <v>117</v>
      </c>
      <c r="AA6" s="1573" t="s">
        <v>118</v>
      </c>
    </row>
    <row r="7" spans="1:28" ht="25.5" customHeight="1">
      <c r="A7" s="1681"/>
      <c r="B7" s="1682"/>
      <c r="C7" s="1576" t="str">
        <f t="shared" si="0"/>
        <v>Viandes/Poissons</v>
      </c>
      <c r="D7" s="2855" t="str">
        <f t="shared" si="0"/>
        <v xml:space="preserve"> </v>
      </c>
      <c r="E7" s="2855">
        <f t="shared" ref="E7:I22" si="1">IF(ISTEXT(T7),T7,(T7/$I$2)*$L$2)</f>
        <v>0</v>
      </c>
      <c r="F7" s="2855">
        <f t="shared" si="1"/>
        <v>0</v>
      </c>
      <c r="G7" s="2855">
        <f t="shared" si="1"/>
        <v>0</v>
      </c>
      <c r="H7" s="2855">
        <f t="shared" si="1"/>
        <v>0</v>
      </c>
      <c r="I7" s="2867">
        <f t="shared" si="1"/>
        <v>0</v>
      </c>
      <c r="J7" s="1674"/>
      <c r="K7" s="1579"/>
      <c r="L7" s="1580"/>
      <c r="M7" s="1519">
        <v>25.5</v>
      </c>
      <c r="Q7" s="1582"/>
      <c r="R7" s="1683" t="s">
        <v>120</v>
      </c>
      <c r="S7" s="1584" t="s">
        <v>1456</v>
      </c>
      <c r="T7" s="1585"/>
      <c r="U7" s="1585"/>
      <c r="V7" s="1585"/>
      <c r="W7" s="1585"/>
      <c r="X7" s="1585"/>
      <c r="Y7" s="1585"/>
      <c r="Z7" s="1585"/>
      <c r="AA7" s="1586">
        <f t="shared" ref="AA7:AA46" si="2">IF(ISBLANK(Z7),0,Z7*Y7)</f>
        <v>0</v>
      </c>
    </row>
    <row r="8" spans="1:28" ht="25.5" customHeight="1">
      <c r="A8" s="1681"/>
      <c r="B8" s="1682"/>
      <c r="C8" s="2853" t="str">
        <f t="shared" si="0"/>
        <v xml:space="preserve">cuisses de poulet </v>
      </c>
      <c r="D8" s="2851" t="str">
        <f t="shared" si="0"/>
        <v>Kg</v>
      </c>
      <c r="E8" s="2852">
        <f t="shared" si="1"/>
        <v>0.5</v>
      </c>
      <c r="F8" s="2852">
        <f t="shared" si="1"/>
        <v>0</v>
      </c>
      <c r="G8" s="2852">
        <f t="shared" si="1"/>
        <v>0</v>
      </c>
      <c r="H8" s="2852">
        <f t="shared" si="1"/>
        <v>0</v>
      </c>
      <c r="I8" s="2852">
        <f t="shared" si="1"/>
        <v>0</v>
      </c>
      <c r="J8" s="2857">
        <f>IF(SUM(E8:I8)=0,"",SUM(E8:I8))</f>
        <v>0.5</v>
      </c>
      <c r="K8" s="1590"/>
      <c r="L8" s="1591" t="str">
        <f>IF(ISBLANK(K8),"",K8*J8)</f>
        <v/>
      </c>
      <c r="M8" s="1519">
        <v>25.5</v>
      </c>
      <c r="Q8" s="1582"/>
      <c r="R8" s="1684" t="s">
        <v>2012</v>
      </c>
      <c r="S8" s="1550" t="s">
        <v>122</v>
      </c>
      <c r="T8" s="1592">
        <v>1</v>
      </c>
      <c r="U8" s="1592"/>
      <c r="V8" s="1592"/>
      <c r="W8" s="1592"/>
      <c r="X8" s="1592"/>
      <c r="Y8" s="1592">
        <f>IF(SUM(T8:X8)=0,"",SUM(T8:X8))</f>
        <v>1</v>
      </c>
      <c r="Z8" s="1592"/>
      <c r="AA8" s="1593">
        <f t="shared" si="2"/>
        <v>0</v>
      </c>
    </row>
    <row r="9" spans="1:28" ht="25.5" customHeight="1">
      <c r="A9" s="1681"/>
      <c r="B9" s="1682"/>
      <c r="C9" s="2853" t="str">
        <f t="shared" si="0"/>
        <v>maigre</v>
      </c>
      <c r="D9" s="2851" t="str">
        <f t="shared" si="0"/>
        <v>Kg</v>
      </c>
      <c r="E9" s="2852">
        <f t="shared" si="1"/>
        <v>0</v>
      </c>
      <c r="F9" s="2852">
        <f t="shared" si="1"/>
        <v>0</v>
      </c>
      <c r="G9" s="2852">
        <f t="shared" si="1"/>
        <v>0.3</v>
      </c>
      <c r="H9" s="2852">
        <f t="shared" si="1"/>
        <v>0</v>
      </c>
      <c r="I9" s="2852">
        <f t="shared" si="1"/>
        <v>0</v>
      </c>
      <c r="J9" s="2857">
        <v>0.6</v>
      </c>
      <c r="K9" s="1590"/>
      <c r="L9" s="1591" t="str">
        <f>IF(ISBLANK(K9),"",K9*J9)</f>
        <v/>
      </c>
      <c r="M9" s="1519">
        <v>25.5</v>
      </c>
      <c r="Q9" s="1582"/>
      <c r="R9" s="1684" t="s">
        <v>2013</v>
      </c>
      <c r="S9" s="1550" t="s">
        <v>122</v>
      </c>
      <c r="T9" s="1592"/>
      <c r="U9" s="1592"/>
      <c r="V9" s="1592">
        <v>0.6</v>
      </c>
      <c r="W9" s="1592"/>
      <c r="X9" s="1592"/>
      <c r="Y9" s="1592">
        <f t="shared" ref="Y9" si="3">IF(SUM(T9:X9)=0,"",SUM(T9:X9))</f>
        <v>0.6</v>
      </c>
      <c r="Z9" s="1592"/>
      <c r="AA9" s="1593">
        <f t="shared" si="2"/>
        <v>0</v>
      </c>
    </row>
    <row r="10" spans="1:28" ht="25.5" customHeight="1">
      <c r="A10" s="1681"/>
      <c r="B10" s="1682"/>
      <c r="C10" s="2853">
        <f t="shared" si="0"/>
        <v>0</v>
      </c>
      <c r="D10" s="2851">
        <f t="shared" si="0"/>
        <v>0</v>
      </c>
      <c r="E10" s="2852">
        <f t="shared" si="1"/>
        <v>0</v>
      </c>
      <c r="F10" s="2852">
        <f t="shared" si="1"/>
        <v>0</v>
      </c>
      <c r="G10" s="2852">
        <f t="shared" si="1"/>
        <v>0</v>
      </c>
      <c r="H10" s="2852">
        <f t="shared" si="1"/>
        <v>0</v>
      </c>
      <c r="I10" s="2852">
        <f t="shared" si="1"/>
        <v>0</v>
      </c>
      <c r="J10" s="2857" t="str">
        <f>IF(SUM(E10:I10)=0,"",SUM(E10:I10))</f>
        <v/>
      </c>
      <c r="K10" s="1590"/>
      <c r="L10" s="1591" t="str">
        <f>IF(ISBLANK(K10),"",K10*J10)</f>
        <v/>
      </c>
      <c r="M10" s="1519">
        <v>25.5</v>
      </c>
      <c r="Q10" s="1582"/>
      <c r="R10" s="1684"/>
      <c r="S10" s="1550"/>
      <c r="T10" s="1592"/>
      <c r="U10" s="1592"/>
      <c r="V10" s="1592"/>
      <c r="W10" s="1592"/>
      <c r="X10" s="1592"/>
      <c r="Y10" s="1592" t="str">
        <f>IF(SUM(T10:X10)=0,"",SUM(T10:X10))</f>
        <v/>
      </c>
      <c r="Z10" s="1592"/>
      <c r="AA10" s="1593">
        <f t="shared" si="2"/>
        <v>0</v>
      </c>
    </row>
    <row r="11" spans="1:28" ht="25.5" customHeight="1">
      <c r="A11" s="1681"/>
      <c r="B11" s="1682"/>
      <c r="C11" s="2853" t="str">
        <f t="shared" si="0"/>
        <v xml:space="preserve"> </v>
      </c>
      <c r="D11" s="2851">
        <f t="shared" si="0"/>
        <v>0</v>
      </c>
      <c r="E11" s="2852">
        <f t="shared" si="1"/>
        <v>0</v>
      </c>
      <c r="F11" s="2852">
        <f t="shared" si="1"/>
        <v>0</v>
      </c>
      <c r="G11" s="2852">
        <f t="shared" si="1"/>
        <v>0</v>
      </c>
      <c r="H11" s="2852">
        <f t="shared" si="1"/>
        <v>0</v>
      </c>
      <c r="I11" s="2852">
        <f t="shared" si="1"/>
        <v>0</v>
      </c>
      <c r="J11" s="2857" t="str">
        <f t="shared" ref="J11:J47" si="4">IF(SUM(E11:I11)=0,"",SUM(E11:I11))</f>
        <v/>
      </c>
      <c r="K11" s="1590"/>
      <c r="L11" s="1591" t="str">
        <f>IF(ISBLANK(K11),"",K11*J11)</f>
        <v/>
      </c>
      <c r="M11" s="1519">
        <v>25.5</v>
      </c>
      <c r="Q11" s="1582"/>
      <c r="R11" s="1685" t="s">
        <v>1456</v>
      </c>
      <c r="S11" s="1550"/>
      <c r="T11" s="1592"/>
      <c r="U11" s="1592"/>
      <c r="V11" s="1592"/>
      <c r="W11" s="1592"/>
      <c r="X11" s="1592"/>
      <c r="Y11" s="1592" t="str">
        <f t="shared" ref="Y11:Y24" si="5">IF(SUM(T11:X11)=0,"",SUM(T11:X11))</f>
        <v/>
      </c>
      <c r="Z11" s="1592"/>
      <c r="AA11" s="1593">
        <f t="shared" si="2"/>
        <v>0</v>
      </c>
    </row>
    <row r="12" spans="1:28" ht="25.5" customHeight="1">
      <c r="A12" s="1681"/>
      <c r="B12" s="1682"/>
      <c r="C12" s="1576" t="str">
        <f t="shared" si="0"/>
        <v>LEGUMERIE</v>
      </c>
      <c r="D12" s="2855" t="str">
        <f t="shared" si="0"/>
        <v xml:space="preserve"> </v>
      </c>
      <c r="E12" s="2855">
        <f t="shared" si="1"/>
        <v>0</v>
      </c>
      <c r="F12" s="2855" t="str">
        <f t="shared" si="1"/>
        <v xml:space="preserve"> </v>
      </c>
      <c r="G12" s="2855">
        <f t="shared" si="1"/>
        <v>0</v>
      </c>
      <c r="H12" s="2855">
        <f t="shared" si="1"/>
        <v>0</v>
      </c>
      <c r="I12" s="2867">
        <f t="shared" si="1"/>
        <v>0</v>
      </c>
      <c r="J12" s="1674" t="str">
        <f t="shared" si="4"/>
        <v/>
      </c>
      <c r="K12" s="1579" t="s">
        <v>1456</v>
      </c>
      <c r="L12" s="1580" t="str">
        <f t="shared" ref="L12" si="6">IF(J12="","",(J12*K12))</f>
        <v/>
      </c>
      <c r="M12" s="1519">
        <v>25.5</v>
      </c>
      <c r="Q12" s="1582"/>
      <c r="R12" s="1686" t="s">
        <v>1460</v>
      </c>
      <c r="S12" s="1584" t="s">
        <v>1456</v>
      </c>
      <c r="T12" s="1599"/>
      <c r="U12" s="1599" t="s">
        <v>1456</v>
      </c>
      <c r="V12" s="1599"/>
      <c r="W12" s="1599"/>
      <c r="X12" s="1599"/>
      <c r="Y12" s="1599" t="str">
        <f t="shared" si="5"/>
        <v/>
      </c>
      <c r="Z12" s="1599"/>
      <c r="AA12" s="1600">
        <f t="shared" si="2"/>
        <v>0</v>
      </c>
    </row>
    <row r="13" spans="1:28" ht="25.5" customHeight="1">
      <c r="A13" s="1681"/>
      <c r="B13" s="1682"/>
      <c r="C13" s="2853" t="str">
        <f t="shared" si="0"/>
        <v>Oignons</v>
      </c>
      <c r="D13" s="2851" t="str">
        <f t="shared" si="0"/>
        <v>Kg</v>
      </c>
      <c r="E13" s="2852">
        <f t="shared" si="1"/>
        <v>0.05</v>
      </c>
      <c r="F13" s="2852">
        <f t="shared" si="1"/>
        <v>0</v>
      </c>
      <c r="G13" s="2852">
        <f t="shared" si="1"/>
        <v>0.125</v>
      </c>
      <c r="H13" s="2852">
        <f t="shared" si="1"/>
        <v>0</v>
      </c>
      <c r="I13" s="2852">
        <f t="shared" si="1"/>
        <v>0</v>
      </c>
      <c r="J13" s="2857">
        <f t="shared" si="4"/>
        <v>0.17499999999999999</v>
      </c>
      <c r="K13" s="1590"/>
      <c r="L13" s="1591" t="str">
        <f t="shared" ref="L13:L24" si="7">IF(ISBLANK(K13),"",K13*J13)</f>
        <v/>
      </c>
      <c r="M13" s="1519">
        <v>25.5</v>
      </c>
      <c r="Q13" s="1582"/>
      <c r="R13" s="1684" t="s">
        <v>2014</v>
      </c>
      <c r="S13" s="1550" t="s">
        <v>122</v>
      </c>
      <c r="T13" s="1592">
        <v>0.1</v>
      </c>
      <c r="U13" s="1592"/>
      <c r="V13" s="1592">
        <v>0.25</v>
      </c>
      <c r="W13" s="1592"/>
      <c r="X13" s="1592"/>
      <c r="Y13" s="1592">
        <f t="shared" si="5"/>
        <v>0.35</v>
      </c>
      <c r="Z13" s="1592"/>
      <c r="AA13" s="1593">
        <f t="shared" si="2"/>
        <v>0</v>
      </c>
    </row>
    <row r="14" spans="1:28" ht="25.5" customHeight="1">
      <c r="A14" s="1681"/>
      <c r="B14" s="1687"/>
      <c r="C14" s="2853" t="str">
        <f t="shared" si="0"/>
        <v>gingembre</v>
      </c>
      <c r="D14" s="2851" t="str">
        <f t="shared" si="0"/>
        <v>kg</v>
      </c>
      <c r="E14" s="2852">
        <f t="shared" si="1"/>
        <v>0.01</v>
      </c>
      <c r="F14" s="2852">
        <f t="shared" si="1"/>
        <v>0</v>
      </c>
      <c r="G14" s="2852">
        <f t="shared" si="1"/>
        <v>0</v>
      </c>
      <c r="H14" s="2852">
        <f t="shared" si="1"/>
        <v>0</v>
      </c>
      <c r="I14" s="2852">
        <f t="shared" si="1"/>
        <v>0</v>
      </c>
      <c r="J14" s="2857">
        <f t="shared" si="4"/>
        <v>0.01</v>
      </c>
      <c r="K14" s="1590"/>
      <c r="L14" s="1591" t="str">
        <f t="shared" si="7"/>
        <v/>
      </c>
      <c r="M14" s="1519">
        <v>25.5</v>
      </c>
      <c r="Q14" s="1602"/>
      <c r="R14" s="1688" t="s">
        <v>1527</v>
      </c>
      <c r="S14" s="1550" t="s">
        <v>166</v>
      </c>
      <c r="T14" s="1604">
        <v>0.02</v>
      </c>
      <c r="U14" s="1592"/>
      <c r="V14" s="1592"/>
      <c r="W14" s="1592"/>
      <c r="X14" s="1592"/>
      <c r="Y14" s="1592">
        <f t="shared" si="5"/>
        <v>0.02</v>
      </c>
      <c r="Z14" s="1592"/>
      <c r="AA14" s="1593">
        <f t="shared" si="2"/>
        <v>0</v>
      </c>
    </row>
    <row r="15" spans="1:28" ht="25.5" customHeight="1">
      <c r="A15" s="1681"/>
      <c r="B15" s="1682"/>
      <c r="C15" s="2853" t="str">
        <f t="shared" si="0"/>
        <v>épinards</v>
      </c>
      <c r="D15" s="2851" t="str">
        <f t="shared" si="0"/>
        <v>kg</v>
      </c>
      <c r="E15" s="2852">
        <f t="shared" si="1"/>
        <v>0</v>
      </c>
      <c r="F15" s="2852">
        <f t="shared" si="1"/>
        <v>0.17499999999999999</v>
      </c>
      <c r="G15" s="2852">
        <f t="shared" si="1"/>
        <v>0</v>
      </c>
      <c r="H15" s="2852">
        <f t="shared" si="1"/>
        <v>0</v>
      </c>
      <c r="I15" s="2852">
        <f t="shared" si="1"/>
        <v>0</v>
      </c>
      <c r="J15" s="2857">
        <f t="shared" si="4"/>
        <v>0.17499999999999999</v>
      </c>
      <c r="K15" s="1590"/>
      <c r="L15" s="1591" t="str">
        <f t="shared" si="7"/>
        <v/>
      </c>
      <c r="M15" s="1519">
        <v>25.5</v>
      </c>
      <c r="Q15" s="1582"/>
      <c r="R15" s="1684" t="s">
        <v>2015</v>
      </c>
      <c r="S15" s="1550" t="s">
        <v>166</v>
      </c>
      <c r="T15" s="1592"/>
      <c r="U15" s="1592">
        <v>0.35</v>
      </c>
      <c r="V15" s="1592"/>
      <c r="W15" s="1592"/>
      <c r="X15" s="1592"/>
      <c r="Y15" s="1592">
        <f t="shared" si="5"/>
        <v>0.35</v>
      </c>
      <c r="Z15" s="1592"/>
      <c r="AA15" s="1593">
        <f t="shared" si="2"/>
        <v>0</v>
      </c>
    </row>
    <row r="16" spans="1:28" ht="25.5" customHeight="1">
      <c r="A16" s="1681"/>
      <c r="B16" s="1682"/>
      <c r="C16" s="2853" t="str">
        <f t="shared" si="0"/>
        <v>Tofu</v>
      </c>
      <c r="D16" s="2851" t="str">
        <f t="shared" si="0"/>
        <v>kg</v>
      </c>
      <c r="E16" s="2852">
        <f t="shared" si="1"/>
        <v>0</v>
      </c>
      <c r="F16" s="2852">
        <f t="shared" si="1"/>
        <v>0.125</v>
      </c>
      <c r="G16" s="2852">
        <f t="shared" si="1"/>
        <v>0</v>
      </c>
      <c r="H16" s="2852">
        <f t="shared" si="1"/>
        <v>0</v>
      </c>
      <c r="I16" s="2852" t="str">
        <f t="shared" si="1"/>
        <v xml:space="preserve"> </v>
      </c>
      <c r="J16" s="2857">
        <f t="shared" si="4"/>
        <v>0.125</v>
      </c>
      <c r="K16" s="1590"/>
      <c r="L16" s="1591" t="str">
        <f t="shared" si="7"/>
        <v/>
      </c>
      <c r="M16" s="1519">
        <v>25.5</v>
      </c>
      <c r="Q16" s="1582"/>
      <c r="R16" s="1684" t="s">
        <v>2016</v>
      </c>
      <c r="S16" s="1550" t="s">
        <v>166</v>
      </c>
      <c r="T16" s="1592"/>
      <c r="U16" s="1592">
        <v>0.25</v>
      </c>
      <c r="V16" s="1592"/>
      <c r="W16" s="1592"/>
      <c r="X16" s="1592" t="s">
        <v>1456</v>
      </c>
      <c r="Y16" s="1592">
        <f t="shared" si="5"/>
        <v>0.25</v>
      </c>
      <c r="Z16" s="1592"/>
      <c r="AA16" s="1593">
        <f t="shared" si="2"/>
        <v>0</v>
      </c>
    </row>
    <row r="17" spans="1:27" ht="25.5" customHeight="1">
      <c r="A17" s="1681"/>
      <c r="B17" s="1682"/>
      <c r="C17" s="2853" t="str">
        <f t="shared" si="0"/>
        <v>carottes</v>
      </c>
      <c r="D17" s="2851" t="str">
        <f t="shared" si="0"/>
        <v>Kg</v>
      </c>
      <c r="E17" s="2852">
        <f t="shared" si="1"/>
        <v>0</v>
      </c>
      <c r="F17" s="2852">
        <f t="shared" si="1"/>
        <v>0</v>
      </c>
      <c r="G17" s="2852">
        <f t="shared" si="1"/>
        <v>0.125</v>
      </c>
      <c r="H17" s="2852">
        <f t="shared" si="1"/>
        <v>0</v>
      </c>
      <c r="I17" s="2852">
        <f t="shared" si="1"/>
        <v>0</v>
      </c>
      <c r="J17" s="2857">
        <f t="shared" si="4"/>
        <v>0.125</v>
      </c>
      <c r="K17" s="1590"/>
      <c r="L17" s="1591" t="str">
        <f t="shared" si="7"/>
        <v/>
      </c>
      <c r="M17" s="1519">
        <v>25.5</v>
      </c>
      <c r="Q17" s="1582"/>
      <c r="R17" s="1684" t="s">
        <v>1500</v>
      </c>
      <c r="S17" s="1550" t="s">
        <v>122</v>
      </c>
      <c r="T17" s="1592"/>
      <c r="U17" s="1592"/>
      <c r="V17" s="1592">
        <v>0.25</v>
      </c>
      <c r="W17" s="1592"/>
      <c r="X17" s="1592"/>
      <c r="Y17" s="1592">
        <f t="shared" si="5"/>
        <v>0.25</v>
      </c>
      <c r="Z17" s="1592"/>
      <c r="AA17" s="1593">
        <f t="shared" si="2"/>
        <v>0</v>
      </c>
    </row>
    <row r="18" spans="1:27" ht="25.5" customHeight="1">
      <c r="A18" s="1681"/>
      <c r="B18" s="1682"/>
      <c r="C18" s="2853">
        <f t="shared" si="0"/>
        <v>0</v>
      </c>
      <c r="D18" s="2851">
        <f t="shared" si="0"/>
        <v>0</v>
      </c>
      <c r="E18" s="2852">
        <f t="shared" si="1"/>
        <v>0</v>
      </c>
      <c r="F18" s="2852">
        <f t="shared" si="1"/>
        <v>0</v>
      </c>
      <c r="G18" s="2852">
        <f t="shared" si="1"/>
        <v>0</v>
      </c>
      <c r="H18" s="2852">
        <f t="shared" si="1"/>
        <v>0</v>
      </c>
      <c r="I18" s="2852">
        <f t="shared" si="1"/>
        <v>0</v>
      </c>
      <c r="J18" s="2857" t="str">
        <f t="shared" si="4"/>
        <v/>
      </c>
      <c r="K18" s="1590"/>
      <c r="L18" s="1591" t="str">
        <f t="shared" si="7"/>
        <v/>
      </c>
      <c r="M18" s="1519">
        <v>25.5</v>
      </c>
      <c r="Q18" s="1582"/>
      <c r="R18" s="1684"/>
      <c r="S18" s="1550"/>
      <c r="T18" s="1592"/>
      <c r="U18" s="1592"/>
      <c r="V18" s="1592"/>
      <c r="W18" s="1592"/>
      <c r="X18" s="1592"/>
      <c r="Y18" s="1592" t="str">
        <f t="shared" si="5"/>
        <v/>
      </c>
      <c r="Z18" s="1592"/>
      <c r="AA18" s="1593">
        <f t="shared" si="2"/>
        <v>0</v>
      </c>
    </row>
    <row r="19" spans="1:27" ht="25.5" customHeight="1">
      <c r="A19" s="1681"/>
      <c r="B19" s="1682"/>
      <c r="C19" s="2853">
        <f t="shared" si="0"/>
        <v>0</v>
      </c>
      <c r="D19" s="2851">
        <f t="shared" si="0"/>
        <v>0</v>
      </c>
      <c r="E19" s="2852">
        <f t="shared" si="1"/>
        <v>0</v>
      </c>
      <c r="F19" s="2852">
        <f t="shared" si="1"/>
        <v>0</v>
      </c>
      <c r="G19" s="2852">
        <f t="shared" si="1"/>
        <v>0</v>
      </c>
      <c r="H19" s="2852">
        <f t="shared" si="1"/>
        <v>0</v>
      </c>
      <c r="I19" s="2852">
        <f t="shared" si="1"/>
        <v>0</v>
      </c>
      <c r="J19" s="2857" t="str">
        <f t="shared" si="4"/>
        <v/>
      </c>
      <c r="K19" s="1590"/>
      <c r="L19" s="1591" t="str">
        <f t="shared" si="7"/>
        <v/>
      </c>
      <c r="M19" s="1519">
        <v>25.5</v>
      </c>
      <c r="Q19" s="1582"/>
      <c r="R19" s="1684"/>
      <c r="S19" s="1550"/>
      <c r="T19" s="1592"/>
      <c r="U19" s="1592"/>
      <c r="V19" s="1592"/>
      <c r="W19" s="1592"/>
      <c r="X19" s="1592"/>
      <c r="Y19" s="1592" t="str">
        <f t="shared" si="5"/>
        <v/>
      </c>
      <c r="Z19" s="1592"/>
      <c r="AA19" s="1593">
        <f t="shared" si="2"/>
        <v>0</v>
      </c>
    </row>
    <row r="20" spans="1:27" ht="25.5" customHeight="1">
      <c r="A20" s="1681"/>
      <c r="B20" s="1682"/>
      <c r="C20" s="2853">
        <f t="shared" si="0"/>
        <v>0</v>
      </c>
      <c r="D20" s="2851">
        <f t="shared" si="0"/>
        <v>0</v>
      </c>
      <c r="E20" s="2852">
        <f t="shared" si="1"/>
        <v>0</v>
      </c>
      <c r="F20" s="2852">
        <f t="shared" si="1"/>
        <v>0</v>
      </c>
      <c r="G20" s="2852">
        <f t="shared" si="1"/>
        <v>0</v>
      </c>
      <c r="H20" s="2852">
        <f t="shared" si="1"/>
        <v>0</v>
      </c>
      <c r="I20" s="2852">
        <f t="shared" si="1"/>
        <v>0</v>
      </c>
      <c r="J20" s="2857" t="str">
        <f t="shared" si="4"/>
        <v/>
      </c>
      <c r="K20" s="1590"/>
      <c r="L20" s="1591" t="str">
        <f t="shared" si="7"/>
        <v/>
      </c>
      <c r="M20" s="1519">
        <v>25.5</v>
      </c>
      <c r="Q20" s="1582"/>
      <c r="R20" s="1684"/>
      <c r="S20" s="1550"/>
      <c r="T20" s="1592"/>
      <c r="U20" s="1592"/>
      <c r="V20" s="1592"/>
      <c r="W20" s="1592"/>
      <c r="X20" s="1592"/>
      <c r="Y20" s="1592" t="str">
        <f t="shared" si="5"/>
        <v/>
      </c>
      <c r="Z20" s="1592"/>
      <c r="AA20" s="1593">
        <f t="shared" si="2"/>
        <v>0</v>
      </c>
    </row>
    <row r="21" spans="1:27" ht="25.5" customHeight="1">
      <c r="A21" s="1681"/>
      <c r="B21" s="1682"/>
      <c r="C21" s="2853">
        <f t="shared" si="0"/>
        <v>0</v>
      </c>
      <c r="D21" s="2851">
        <f t="shared" si="0"/>
        <v>0</v>
      </c>
      <c r="E21" s="2852">
        <f t="shared" si="1"/>
        <v>0</v>
      </c>
      <c r="F21" s="2852">
        <f t="shared" si="1"/>
        <v>0</v>
      </c>
      <c r="G21" s="2852">
        <f t="shared" si="1"/>
        <v>0</v>
      </c>
      <c r="H21" s="2852">
        <f t="shared" si="1"/>
        <v>0</v>
      </c>
      <c r="I21" s="2852">
        <f t="shared" si="1"/>
        <v>0</v>
      </c>
      <c r="J21" s="2857" t="str">
        <f t="shared" si="4"/>
        <v/>
      </c>
      <c r="K21" s="1590"/>
      <c r="L21" s="1591" t="str">
        <f t="shared" si="7"/>
        <v/>
      </c>
      <c r="M21" s="1519">
        <v>25.5</v>
      </c>
      <c r="Q21" s="1582"/>
      <c r="R21" s="1684"/>
      <c r="S21" s="1550"/>
      <c r="T21" s="1592"/>
      <c r="U21" s="1592"/>
      <c r="V21" s="1592"/>
      <c r="W21" s="1592"/>
      <c r="X21" s="1592"/>
      <c r="Y21" s="1592" t="str">
        <f t="shared" si="5"/>
        <v/>
      </c>
      <c r="Z21" s="1592"/>
      <c r="AA21" s="1593">
        <f t="shared" si="2"/>
        <v>0</v>
      </c>
    </row>
    <row r="22" spans="1:27" ht="25.5" customHeight="1">
      <c r="A22" s="1681"/>
      <c r="B22" s="1682"/>
      <c r="C22" s="2853">
        <f t="shared" ref="C22:D41" si="8">R22</f>
        <v>0</v>
      </c>
      <c r="D22" s="2851">
        <f t="shared" si="8"/>
        <v>0</v>
      </c>
      <c r="E22" s="2852">
        <f t="shared" si="1"/>
        <v>0</v>
      </c>
      <c r="F22" s="2852">
        <f t="shared" si="1"/>
        <v>0</v>
      </c>
      <c r="G22" s="2852">
        <f t="shared" si="1"/>
        <v>0</v>
      </c>
      <c r="H22" s="2852">
        <f t="shared" si="1"/>
        <v>0</v>
      </c>
      <c r="I22" s="2852">
        <f t="shared" si="1"/>
        <v>0</v>
      </c>
      <c r="J22" s="2857" t="str">
        <f t="shared" si="4"/>
        <v/>
      </c>
      <c r="K22" s="1590"/>
      <c r="L22" s="1591" t="str">
        <f t="shared" si="7"/>
        <v/>
      </c>
      <c r="M22" s="1519">
        <v>25.5</v>
      </c>
      <c r="Q22" s="1582"/>
      <c r="R22" s="1684"/>
      <c r="S22" s="1550"/>
      <c r="T22" s="1592"/>
      <c r="U22" s="1592"/>
      <c r="V22" s="1592"/>
      <c r="W22" s="1592"/>
      <c r="X22" s="1592"/>
      <c r="Y22" s="1592" t="str">
        <f t="shared" si="5"/>
        <v/>
      </c>
      <c r="Z22" s="1592"/>
      <c r="AA22" s="1593">
        <f t="shared" si="2"/>
        <v>0</v>
      </c>
    </row>
    <row r="23" spans="1:27" ht="25.5" customHeight="1">
      <c r="A23" s="1681"/>
      <c r="B23" s="1682"/>
      <c r="C23" s="2853">
        <f t="shared" si="8"/>
        <v>0</v>
      </c>
      <c r="D23" s="2851">
        <f t="shared" si="8"/>
        <v>0</v>
      </c>
      <c r="E23" s="2852">
        <f t="shared" ref="E23:I42" si="9">IF(ISTEXT(T23),T23,(T23/$I$2)*$L$2)</f>
        <v>0</v>
      </c>
      <c r="F23" s="2852">
        <f t="shared" si="9"/>
        <v>0</v>
      </c>
      <c r="G23" s="2852">
        <f t="shared" si="9"/>
        <v>0</v>
      </c>
      <c r="H23" s="2852">
        <f t="shared" si="9"/>
        <v>0</v>
      </c>
      <c r="I23" s="2852">
        <f t="shared" si="9"/>
        <v>0</v>
      </c>
      <c r="J23" s="2857" t="str">
        <f t="shared" si="4"/>
        <v/>
      </c>
      <c r="K23" s="1590"/>
      <c r="L23" s="1591" t="str">
        <f t="shared" si="7"/>
        <v/>
      </c>
      <c r="M23" s="1519">
        <v>25.5</v>
      </c>
      <c r="Q23" s="1582"/>
      <c r="R23" s="1684"/>
      <c r="S23" s="1550"/>
      <c r="T23" s="1592"/>
      <c r="U23" s="1592"/>
      <c r="V23" s="1592"/>
      <c r="W23" s="1592"/>
      <c r="X23" s="1592"/>
      <c r="Y23" s="1592" t="str">
        <f t="shared" si="5"/>
        <v/>
      </c>
      <c r="Z23" s="1592"/>
      <c r="AA23" s="1593">
        <f t="shared" si="2"/>
        <v>0</v>
      </c>
    </row>
    <row r="24" spans="1:27" ht="25.5" customHeight="1">
      <c r="A24" s="1681"/>
      <c r="B24" s="1682"/>
      <c r="C24" s="2853">
        <f t="shared" si="8"/>
        <v>0</v>
      </c>
      <c r="D24" s="2851">
        <f t="shared" si="8"/>
        <v>0</v>
      </c>
      <c r="E24" s="2852">
        <f t="shared" si="9"/>
        <v>0</v>
      </c>
      <c r="F24" s="2852">
        <f t="shared" si="9"/>
        <v>0</v>
      </c>
      <c r="G24" s="2852">
        <f t="shared" si="9"/>
        <v>0</v>
      </c>
      <c r="H24" s="2852">
        <f t="shared" si="9"/>
        <v>0</v>
      </c>
      <c r="I24" s="2852">
        <f t="shared" si="9"/>
        <v>0</v>
      </c>
      <c r="J24" s="2857" t="str">
        <f t="shared" si="4"/>
        <v/>
      </c>
      <c r="K24" s="1590"/>
      <c r="L24" s="1591" t="str">
        <f t="shared" si="7"/>
        <v/>
      </c>
      <c r="M24" s="1519">
        <v>25.5</v>
      </c>
      <c r="Q24" s="1582"/>
      <c r="R24" s="1684"/>
      <c r="S24" s="1550"/>
      <c r="T24" s="1592"/>
      <c r="U24" s="1592"/>
      <c r="V24" s="1592"/>
      <c r="W24" s="1592"/>
      <c r="X24" s="1592"/>
      <c r="Y24" s="1592" t="str">
        <f t="shared" si="5"/>
        <v/>
      </c>
      <c r="Z24" s="1592"/>
      <c r="AA24" s="1593">
        <f t="shared" si="2"/>
        <v>0</v>
      </c>
    </row>
    <row r="25" spans="1:27" ht="25.5" customHeight="1">
      <c r="A25" s="1681"/>
      <c r="B25" s="1682"/>
      <c r="C25" s="1576" t="str">
        <f t="shared" si="8"/>
        <v>B.O.F</v>
      </c>
      <c r="D25" s="2855" t="str">
        <f t="shared" si="8"/>
        <v xml:space="preserve"> </v>
      </c>
      <c r="E25" s="2855">
        <f t="shared" si="9"/>
        <v>0</v>
      </c>
      <c r="F25" s="2855">
        <f t="shared" si="9"/>
        <v>0</v>
      </c>
      <c r="G25" s="2855">
        <f t="shared" si="9"/>
        <v>0</v>
      </c>
      <c r="H25" s="2855">
        <f t="shared" si="9"/>
        <v>0</v>
      </c>
      <c r="I25" s="2867">
        <f t="shared" si="9"/>
        <v>0</v>
      </c>
      <c r="J25" s="1674" t="s">
        <v>1456</v>
      </c>
      <c r="K25" s="1579" t="s">
        <v>1456</v>
      </c>
      <c r="L25" s="1580" t="s">
        <v>1456</v>
      </c>
      <c r="M25" s="1519">
        <v>25.5</v>
      </c>
      <c r="Q25" s="1582"/>
      <c r="R25" s="1686" t="s">
        <v>1465</v>
      </c>
      <c r="S25" s="1584" t="s">
        <v>1456</v>
      </c>
      <c r="T25" s="1599"/>
      <c r="U25" s="1599"/>
      <c r="V25" s="1599"/>
      <c r="W25" s="1599"/>
      <c r="X25" s="1599"/>
      <c r="Y25" s="1599" t="s">
        <v>1456</v>
      </c>
      <c r="Z25" s="1599"/>
      <c r="AA25" s="1600">
        <f t="shared" si="2"/>
        <v>0</v>
      </c>
    </row>
    <row r="26" spans="1:27" ht="25.5" customHeight="1">
      <c r="A26" s="1681"/>
      <c r="B26" s="1682"/>
      <c r="C26" s="2853" t="str">
        <f t="shared" si="8"/>
        <v>œufs</v>
      </c>
      <c r="D26" s="2851" t="str">
        <f t="shared" si="8"/>
        <v>p</v>
      </c>
      <c r="E26" s="2852">
        <f t="shared" si="9"/>
        <v>1</v>
      </c>
      <c r="F26" s="2852">
        <f t="shared" si="9"/>
        <v>0</v>
      </c>
      <c r="G26" s="2852">
        <f t="shared" si="9"/>
        <v>0</v>
      </c>
      <c r="H26" s="2852">
        <f t="shared" si="9"/>
        <v>0</v>
      </c>
      <c r="I26" s="2852">
        <f t="shared" si="9"/>
        <v>0</v>
      </c>
      <c r="J26" s="2857">
        <f t="shared" si="4"/>
        <v>1</v>
      </c>
      <c r="K26" s="1590"/>
      <c r="L26" s="1591" t="str">
        <f t="shared" ref="L26:L33" si="10">IF(ISBLANK(K26),"",K26*J26)</f>
        <v/>
      </c>
      <c r="M26" s="1519">
        <v>25.5</v>
      </c>
      <c r="Q26" s="1582"/>
      <c r="R26" s="1684" t="s">
        <v>1723</v>
      </c>
      <c r="S26" s="1550" t="s">
        <v>788</v>
      </c>
      <c r="T26" s="1592">
        <v>2</v>
      </c>
      <c r="U26" s="1592"/>
      <c r="V26" s="1592"/>
      <c r="W26" s="1592"/>
      <c r="X26" s="1592"/>
      <c r="Y26" s="1592">
        <f t="shared" ref="Y26:Y33" si="11">IF(SUM(T26:X26)=0,"",SUM(T26:X26))</f>
        <v>2</v>
      </c>
      <c r="Z26" s="1592"/>
      <c r="AA26" s="1593">
        <f t="shared" si="2"/>
        <v>0</v>
      </c>
    </row>
    <row r="27" spans="1:27" ht="25.5" customHeight="1">
      <c r="A27" s="1681"/>
      <c r="B27" s="1682"/>
      <c r="C27" s="2853">
        <f t="shared" si="8"/>
        <v>0</v>
      </c>
      <c r="D27" s="2851">
        <f t="shared" si="8"/>
        <v>0</v>
      </c>
      <c r="E27" s="2852">
        <f t="shared" si="9"/>
        <v>0</v>
      </c>
      <c r="F27" s="2852">
        <f t="shared" si="9"/>
        <v>0</v>
      </c>
      <c r="G27" s="2852">
        <f t="shared" si="9"/>
        <v>0</v>
      </c>
      <c r="H27" s="2852">
        <f t="shared" si="9"/>
        <v>0</v>
      </c>
      <c r="I27" s="2852">
        <f t="shared" si="9"/>
        <v>0</v>
      </c>
      <c r="J27" s="2857" t="str">
        <f t="shared" si="4"/>
        <v/>
      </c>
      <c r="K27" s="1590"/>
      <c r="L27" s="1591" t="str">
        <f t="shared" si="10"/>
        <v/>
      </c>
      <c r="M27" s="1519">
        <v>25.5</v>
      </c>
      <c r="Q27" s="1582"/>
      <c r="R27" s="1684"/>
      <c r="S27" s="1550"/>
      <c r="T27" s="1592"/>
      <c r="U27" s="1592"/>
      <c r="V27" s="1592"/>
      <c r="W27" s="1592"/>
      <c r="X27" s="1592"/>
      <c r="Y27" s="1592" t="str">
        <f t="shared" si="11"/>
        <v/>
      </c>
      <c r="Z27" s="1592"/>
      <c r="AA27" s="1593">
        <f t="shared" si="2"/>
        <v>0</v>
      </c>
    </row>
    <row r="28" spans="1:27" ht="25.5" customHeight="1">
      <c r="A28" s="1681"/>
      <c r="B28" s="1682"/>
      <c r="C28" s="2853">
        <f t="shared" si="8"/>
        <v>0</v>
      </c>
      <c r="D28" s="2851">
        <f t="shared" si="8"/>
        <v>0</v>
      </c>
      <c r="E28" s="2852">
        <f t="shared" si="9"/>
        <v>0</v>
      </c>
      <c r="F28" s="2852">
        <f t="shared" si="9"/>
        <v>0</v>
      </c>
      <c r="G28" s="2852">
        <f t="shared" si="9"/>
        <v>0</v>
      </c>
      <c r="H28" s="2852">
        <f t="shared" si="9"/>
        <v>0</v>
      </c>
      <c r="I28" s="2852">
        <f t="shared" si="9"/>
        <v>0</v>
      </c>
      <c r="J28" s="2857" t="str">
        <f t="shared" si="4"/>
        <v/>
      </c>
      <c r="K28" s="1590"/>
      <c r="L28" s="1591" t="str">
        <f t="shared" si="10"/>
        <v/>
      </c>
      <c r="M28" s="1519">
        <v>25.5</v>
      </c>
      <c r="Q28" s="1582"/>
      <c r="R28" s="1684"/>
      <c r="S28" s="1550"/>
      <c r="T28" s="1592"/>
      <c r="U28" s="1592"/>
      <c r="V28" s="1592"/>
      <c r="W28" s="1592"/>
      <c r="X28" s="1592"/>
      <c r="Y28" s="1592" t="str">
        <f t="shared" si="11"/>
        <v/>
      </c>
      <c r="Z28" s="1592"/>
      <c r="AA28" s="1593">
        <f t="shared" si="2"/>
        <v>0</v>
      </c>
    </row>
    <row r="29" spans="1:27" ht="25.5" customHeight="1">
      <c r="A29" s="1681"/>
      <c r="B29" s="1682"/>
      <c r="C29" s="2853">
        <f t="shared" si="8"/>
        <v>0</v>
      </c>
      <c r="D29" s="2851">
        <f t="shared" si="8"/>
        <v>0</v>
      </c>
      <c r="E29" s="2852">
        <f t="shared" si="9"/>
        <v>0</v>
      </c>
      <c r="F29" s="2852">
        <f t="shared" si="9"/>
        <v>0</v>
      </c>
      <c r="G29" s="2852">
        <f t="shared" si="9"/>
        <v>0</v>
      </c>
      <c r="H29" s="2852">
        <f t="shared" si="9"/>
        <v>0</v>
      </c>
      <c r="I29" s="2852">
        <f t="shared" si="9"/>
        <v>0</v>
      </c>
      <c r="J29" s="2857" t="str">
        <f t="shared" si="4"/>
        <v/>
      </c>
      <c r="K29" s="1590"/>
      <c r="L29" s="1591" t="str">
        <f t="shared" si="10"/>
        <v/>
      </c>
      <c r="M29" s="1519">
        <v>25.5</v>
      </c>
      <c r="Q29" s="1582"/>
      <c r="R29" s="1684"/>
      <c r="S29" s="1550"/>
      <c r="T29" s="1592"/>
      <c r="U29" s="1592"/>
      <c r="V29" s="1592"/>
      <c r="W29" s="1592"/>
      <c r="X29" s="1592"/>
      <c r="Y29" s="1592" t="str">
        <f t="shared" si="11"/>
        <v/>
      </c>
      <c r="Z29" s="1592"/>
      <c r="AA29" s="1593">
        <f t="shared" si="2"/>
        <v>0</v>
      </c>
    </row>
    <row r="30" spans="1:27" ht="25.5" customHeight="1">
      <c r="A30" s="1681"/>
      <c r="B30" s="1682"/>
      <c r="C30" s="2853">
        <f t="shared" si="8"/>
        <v>0</v>
      </c>
      <c r="D30" s="2851">
        <f t="shared" si="8"/>
        <v>0</v>
      </c>
      <c r="E30" s="2852">
        <f t="shared" si="9"/>
        <v>0</v>
      </c>
      <c r="F30" s="2852">
        <f t="shared" si="9"/>
        <v>0</v>
      </c>
      <c r="G30" s="2852">
        <f t="shared" si="9"/>
        <v>0</v>
      </c>
      <c r="H30" s="2852">
        <f t="shared" si="9"/>
        <v>0</v>
      </c>
      <c r="I30" s="2852">
        <f t="shared" si="9"/>
        <v>0</v>
      </c>
      <c r="J30" s="2857" t="str">
        <f t="shared" si="4"/>
        <v/>
      </c>
      <c r="K30" s="1590"/>
      <c r="L30" s="1591" t="str">
        <f t="shared" si="10"/>
        <v/>
      </c>
      <c r="M30" s="1519">
        <v>25.5</v>
      </c>
      <c r="Q30" s="1582"/>
      <c r="R30" s="1684"/>
      <c r="S30" s="1550"/>
      <c r="T30" s="1592"/>
      <c r="U30" s="1592"/>
      <c r="V30" s="1592"/>
      <c r="W30" s="1592"/>
      <c r="X30" s="1592"/>
      <c r="Y30" s="1592" t="str">
        <f t="shared" si="11"/>
        <v/>
      </c>
      <c r="Z30" s="1592"/>
      <c r="AA30" s="1593">
        <f t="shared" si="2"/>
        <v>0</v>
      </c>
    </row>
    <row r="31" spans="1:27" ht="25.5" customHeight="1">
      <c r="A31" s="1681"/>
      <c r="B31" s="1682"/>
      <c r="C31" s="2853">
        <f t="shared" si="8"/>
        <v>0</v>
      </c>
      <c r="D31" s="2851">
        <f t="shared" si="8"/>
        <v>0</v>
      </c>
      <c r="E31" s="2852">
        <f t="shared" si="9"/>
        <v>0</v>
      </c>
      <c r="F31" s="2852">
        <f t="shared" si="9"/>
        <v>0</v>
      </c>
      <c r="G31" s="2852">
        <f t="shared" si="9"/>
        <v>0</v>
      </c>
      <c r="H31" s="2852">
        <f t="shared" si="9"/>
        <v>0</v>
      </c>
      <c r="I31" s="2852">
        <f t="shared" si="9"/>
        <v>0</v>
      </c>
      <c r="J31" s="2857" t="str">
        <f t="shared" si="4"/>
        <v/>
      </c>
      <c r="K31" s="1590"/>
      <c r="L31" s="1591" t="str">
        <f t="shared" si="10"/>
        <v/>
      </c>
      <c r="M31" s="1519">
        <v>25.5</v>
      </c>
      <c r="Q31" s="1582"/>
      <c r="R31" s="1684"/>
      <c r="S31" s="1550"/>
      <c r="T31" s="1592"/>
      <c r="U31" s="1592"/>
      <c r="V31" s="1592"/>
      <c r="W31" s="1592"/>
      <c r="X31" s="1592"/>
      <c r="Y31" s="1592" t="str">
        <f t="shared" si="11"/>
        <v/>
      </c>
      <c r="Z31" s="1592"/>
      <c r="AA31" s="1593">
        <f t="shared" si="2"/>
        <v>0</v>
      </c>
    </row>
    <row r="32" spans="1:27" ht="25.5" customHeight="1">
      <c r="A32" s="1681"/>
      <c r="B32" s="1682"/>
      <c r="C32" s="2853">
        <f t="shared" si="8"/>
        <v>0</v>
      </c>
      <c r="D32" s="2851">
        <f t="shared" si="8"/>
        <v>0</v>
      </c>
      <c r="E32" s="2852">
        <f t="shared" si="9"/>
        <v>0</v>
      </c>
      <c r="F32" s="2852">
        <f t="shared" si="9"/>
        <v>0</v>
      </c>
      <c r="G32" s="2852">
        <f t="shared" si="9"/>
        <v>0</v>
      </c>
      <c r="H32" s="2852">
        <f t="shared" si="9"/>
        <v>0</v>
      </c>
      <c r="I32" s="2852">
        <f t="shared" si="9"/>
        <v>0</v>
      </c>
      <c r="J32" s="2857" t="str">
        <f t="shared" si="4"/>
        <v/>
      </c>
      <c r="K32" s="1590"/>
      <c r="L32" s="1591" t="str">
        <f t="shared" si="10"/>
        <v/>
      </c>
      <c r="M32" s="1519">
        <v>25.5</v>
      </c>
      <c r="Q32" s="1582"/>
      <c r="R32" s="1684"/>
      <c r="S32" s="1550"/>
      <c r="T32" s="1592"/>
      <c r="U32" s="1592"/>
      <c r="V32" s="1592"/>
      <c r="W32" s="1592"/>
      <c r="X32" s="1592"/>
      <c r="Y32" s="1592" t="str">
        <f t="shared" si="11"/>
        <v/>
      </c>
      <c r="Z32" s="1592"/>
      <c r="AA32" s="1593">
        <f t="shared" si="2"/>
        <v>0</v>
      </c>
    </row>
    <row r="33" spans="1:27" ht="25.5" customHeight="1">
      <c r="A33" s="1681"/>
      <c r="B33" s="1682"/>
      <c r="C33" s="2853">
        <f t="shared" si="8"/>
        <v>0</v>
      </c>
      <c r="D33" s="2851">
        <f t="shared" si="8"/>
        <v>0</v>
      </c>
      <c r="E33" s="2852">
        <f t="shared" si="9"/>
        <v>0</v>
      </c>
      <c r="F33" s="2852">
        <f t="shared" si="9"/>
        <v>0</v>
      </c>
      <c r="G33" s="2852">
        <f t="shared" si="9"/>
        <v>0</v>
      </c>
      <c r="H33" s="2852">
        <f t="shared" si="9"/>
        <v>0</v>
      </c>
      <c r="I33" s="2852">
        <f t="shared" si="9"/>
        <v>0</v>
      </c>
      <c r="J33" s="2857" t="str">
        <f t="shared" si="4"/>
        <v/>
      </c>
      <c r="K33" s="1590"/>
      <c r="L33" s="1591" t="str">
        <f t="shared" si="10"/>
        <v/>
      </c>
      <c r="M33" s="1519">
        <v>25.5</v>
      </c>
      <c r="Q33" s="1582"/>
      <c r="R33" s="1684"/>
      <c r="S33" s="1550"/>
      <c r="T33" s="1592"/>
      <c r="U33" s="1592"/>
      <c r="V33" s="1592"/>
      <c r="W33" s="1592"/>
      <c r="X33" s="1592"/>
      <c r="Y33" s="1592" t="str">
        <f t="shared" si="11"/>
        <v/>
      </c>
      <c r="Z33" s="1592"/>
      <c r="AA33" s="1593">
        <f t="shared" si="2"/>
        <v>0</v>
      </c>
    </row>
    <row r="34" spans="1:27" ht="25.5" customHeight="1">
      <c r="A34" s="1681"/>
      <c r="B34" s="1682"/>
      <c r="C34" s="1576" t="str">
        <f t="shared" si="8"/>
        <v>ECONOMAT/CAVE</v>
      </c>
      <c r="D34" s="2855" t="str">
        <f t="shared" si="8"/>
        <v xml:space="preserve"> </v>
      </c>
      <c r="E34" s="2855">
        <f t="shared" si="9"/>
        <v>0</v>
      </c>
      <c r="F34" s="2855">
        <f t="shared" si="9"/>
        <v>0</v>
      </c>
      <c r="G34" s="2855">
        <f t="shared" si="9"/>
        <v>0</v>
      </c>
      <c r="H34" s="2855">
        <f t="shared" si="9"/>
        <v>0</v>
      </c>
      <c r="I34" s="2867">
        <f t="shared" si="9"/>
        <v>0</v>
      </c>
      <c r="J34" s="1674" t="s">
        <v>1456</v>
      </c>
      <c r="K34" s="1579" t="s">
        <v>1456</v>
      </c>
      <c r="L34" s="1580" t="s">
        <v>1456</v>
      </c>
      <c r="M34" s="1519">
        <v>25.5</v>
      </c>
      <c r="Q34" s="1582"/>
      <c r="R34" s="1686" t="s">
        <v>1967</v>
      </c>
      <c r="S34" s="1584" t="s">
        <v>1456</v>
      </c>
      <c r="T34" s="1599"/>
      <c r="U34" s="1599"/>
      <c r="V34" s="1599"/>
      <c r="W34" s="1599"/>
      <c r="X34" s="1599"/>
      <c r="Y34" s="1599" t="s">
        <v>1456</v>
      </c>
      <c r="Z34" s="1599"/>
      <c r="AA34" s="1600">
        <f t="shared" si="2"/>
        <v>0</v>
      </c>
    </row>
    <row r="35" spans="1:27" ht="25.5" customHeight="1">
      <c r="A35" s="1681"/>
      <c r="B35" s="1682"/>
      <c r="C35" s="2853" t="str">
        <f t="shared" si="8"/>
        <v>Chapelure</v>
      </c>
      <c r="D35" s="2851" t="str">
        <f t="shared" si="8"/>
        <v>kg</v>
      </c>
      <c r="E35" s="2852">
        <f t="shared" si="9"/>
        <v>0.05</v>
      </c>
      <c r="F35" s="2852">
        <f t="shared" si="9"/>
        <v>0</v>
      </c>
      <c r="G35" s="2852">
        <f t="shared" si="9"/>
        <v>0</v>
      </c>
      <c r="H35" s="2852">
        <f t="shared" si="9"/>
        <v>0</v>
      </c>
      <c r="I35" s="2852">
        <f t="shared" si="9"/>
        <v>0</v>
      </c>
      <c r="J35" s="2857">
        <f t="shared" si="4"/>
        <v>0.05</v>
      </c>
      <c r="K35" s="1590"/>
      <c r="L35" s="1591" t="str">
        <f t="shared" ref="L35:L46" si="12">IF(ISBLANK(K35),"",K35*J35)</f>
        <v/>
      </c>
      <c r="M35" s="1519">
        <v>25.5</v>
      </c>
      <c r="Q35" s="1582"/>
      <c r="R35" s="1684" t="s">
        <v>2017</v>
      </c>
      <c r="S35" s="1550" t="s">
        <v>166</v>
      </c>
      <c r="T35" s="1592">
        <v>0.1</v>
      </c>
      <c r="U35" s="1592"/>
      <c r="V35" s="1592"/>
      <c r="W35" s="1592"/>
      <c r="X35" s="1592"/>
      <c r="Y35" s="1592">
        <f t="shared" ref="Y35:Y47" si="13">IF(SUM(T35:X35)=0,"",SUM(T35:X35))</f>
        <v>0.1</v>
      </c>
      <c r="Z35" s="1592"/>
      <c r="AA35" s="1593">
        <f t="shared" si="2"/>
        <v>0</v>
      </c>
    </row>
    <row r="36" spans="1:27" ht="25.5" customHeight="1">
      <c r="A36" s="1681"/>
      <c r="B36" s="1682"/>
      <c r="C36" s="2853" t="str">
        <f t="shared" si="8"/>
        <v>Soja KOYKUJI KIKOM</v>
      </c>
      <c r="D36" s="2851" t="str">
        <f t="shared" si="8"/>
        <v>L</v>
      </c>
      <c r="E36" s="2852">
        <f t="shared" si="9"/>
        <v>0.1</v>
      </c>
      <c r="F36" s="2852">
        <f t="shared" si="9"/>
        <v>2.5000000000000001E-2</v>
      </c>
      <c r="G36" s="2852">
        <f t="shared" si="9"/>
        <v>7.4999999999999997E-2</v>
      </c>
      <c r="H36" s="2852">
        <f t="shared" si="9"/>
        <v>0</v>
      </c>
      <c r="I36" s="2852">
        <f t="shared" si="9"/>
        <v>0</v>
      </c>
      <c r="J36" s="2857">
        <f t="shared" si="4"/>
        <v>0.2</v>
      </c>
      <c r="K36" s="1590"/>
      <c r="L36" s="1591" t="str">
        <f t="shared" si="12"/>
        <v/>
      </c>
      <c r="M36" s="1519">
        <v>25.5</v>
      </c>
      <c r="Q36" s="1582"/>
      <c r="R36" s="1684" t="s">
        <v>2018</v>
      </c>
      <c r="S36" s="1550" t="s">
        <v>224</v>
      </c>
      <c r="T36" s="1592">
        <v>0.2</v>
      </c>
      <c r="U36" s="1592">
        <v>0.05</v>
      </c>
      <c r="V36" s="1592">
        <v>0.15</v>
      </c>
      <c r="W36" s="1592"/>
      <c r="X36" s="1592"/>
      <c r="Y36" s="1592">
        <f t="shared" si="13"/>
        <v>0.4</v>
      </c>
      <c r="Z36" s="1592"/>
      <c r="AA36" s="1593">
        <f t="shared" si="2"/>
        <v>0</v>
      </c>
    </row>
    <row r="37" spans="1:27" ht="25.5" customHeight="1">
      <c r="A37" s="1681"/>
      <c r="B37" s="1682"/>
      <c r="C37" s="2853" t="str">
        <f t="shared" si="8"/>
        <v>Piques bambou</v>
      </c>
      <c r="D37" s="2851" t="str">
        <f t="shared" si="8"/>
        <v>P</v>
      </c>
      <c r="E37" s="2852">
        <f t="shared" si="9"/>
        <v>5</v>
      </c>
      <c r="F37" s="2852">
        <f t="shared" si="9"/>
        <v>0</v>
      </c>
      <c r="G37" s="2852">
        <f t="shared" si="9"/>
        <v>0</v>
      </c>
      <c r="H37" s="2852">
        <f t="shared" si="9"/>
        <v>0</v>
      </c>
      <c r="I37" s="2852">
        <f t="shared" si="9"/>
        <v>0</v>
      </c>
      <c r="J37" s="2857">
        <f t="shared" si="4"/>
        <v>5</v>
      </c>
      <c r="K37" s="1590"/>
      <c r="L37" s="1591" t="str">
        <f t="shared" si="12"/>
        <v/>
      </c>
      <c r="M37" s="1519">
        <v>25.5</v>
      </c>
      <c r="Q37" s="1582"/>
      <c r="R37" s="1684" t="s">
        <v>2019</v>
      </c>
      <c r="S37" s="1550" t="s">
        <v>318</v>
      </c>
      <c r="T37" s="1592">
        <v>10</v>
      </c>
      <c r="U37" s="1592"/>
      <c r="V37" s="1592"/>
      <c r="W37" s="1592"/>
      <c r="X37" s="1592"/>
      <c r="Y37" s="1592">
        <f t="shared" si="13"/>
        <v>10</v>
      </c>
      <c r="Z37" s="1592"/>
      <c r="AA37" s="1593">
        <f t="shared" si="2"/>
        <v>0</v>
      </c>
    </row>
    <row r="38" spans="1:27" ht="25.5" customHeight="1">
      <c r="A38" s="1681"/>
      <c r="B38" s="1682"/>
      <c r="C38" s="2853" t="str">
        <f t="shared" si="8"/>
        <v>sucre</v>
      </c>
      <c r="D38" s="2851" t="str">
        <f t="shared" si="8"/>
        <v>Kg</v>
      </c>
      <c r="E38" s="2852">
        <f t="shared" si="9"/>
        <v>2.5000000000000001E-2</v>
      </c>
      <c r="F38" s="2852">
        <f t="shared" si="9"/>
        <v>0</v>
      </c>
      <c r="G38" s="2852">
        <f t="shared" si="9"/>
        <v>7.0000000000000007E-2</v>
      </c>
      <c r="H38" s="2852">
        <f t="shared" si="9"/>
        <v>0</v>
      </c>
      <c r="I38" s="2852">
        <f t="shared" si="9"/>
        <v>0</v>
      </c>
      <c r="J38" s="2857">
        <f t="shared" si="4"/>
        <v>9.5000000000000001E-2</v>
      </c>
      <c r="K38" s="1590"/>
      <c r="L38" s="1591" t="str">
        <f t="shared" si="12"/>
        <v/>
      </c>
      <c r="M38" s="1519">
        <v>25.5</v>
      </c>
      <c r="Q38" s="1582"/>
      <c r="R38" s="1684" t="s">
        <v>216</v>
      </c>
      <c r="S38" s="1550" t="s">
        <v>122</v>
      </c>
      <c r="T38" s="1592">
        <v>0.05</v>
      </c>
      <c r="U38" s="1592"/>
      <c r="V38" s="1592">
        <v>0.14000000000000001</v>
      </c>
      <c r="W38" s="1592"/>
      <c r="X38" s="1592"/>
      <c r="Y38" s="1592">
        <f t="shared" si="13"/>
        <v>0.19</v>
      </c>
      <c r="Z38" s="1592"/>
      <c r="AA38" s="1593">
        <f t="shared" si="2"/>
        <v>0</v>
      </c>
    </row>
    <row r="39" spans="1:27" ht="25.5" customHeight="1">
      <c r="A39" s="1681"/>
      <c r="B39" s="1682"/>
      <c r="C39" s="2853" t="str">
        <f t="shared" si="8"/>
        <v>Saké OZEKI</v>
      </c>
      <c r="D39" s="2851" t="str">
        <f t="shared" si="8"/>
        <v>L</v>
      </c>
      <c r="E39" s="2852">
        <f t="shared" si="9"/>
        <v>7.4999999999999997E-2</v>
      </c>
      <c r="F39" s="2852">
        <f t="shared" si="9"/>
        <v>0</v>
      </c>
      <c r="G39" s="2852">
        <f t="shared" si="9"/>
        <v>0</v>
      </c>
      <c r="H39" s="2852">
        <f t="shared" si="9"/>
        <v>0</v>
      </c>
      <c r="I39" s="2852">
        <f t="shared" si="9"/>
        <v>0</v>
      </c>
      <c r="J39" s="2857">
        <f t="shared" si="4"/>
        <v>7.4999999999999997E-2</v>
      </c>
      <c r="K39" s="1590"/>
      <c r="L39" s="1591" t="str">
        <f t="shared" si="12"/>
        <v/>
      </c>
      <c r="M39" s="1519">
        <v>25.5</v>
      </c>
      <c r="Q39" s="1582"/>
      <c r="R39" s="1684" t="s">
        <v>2020</v>
      </c>
      <c r="S39" s="1550" t="s">
        <v>224</v>
      </c>
      <c r="T39" s="1592">
        <v>0.15</v>
      </c>
      <c r="U39" s="1592"/>
      <c r="V39" s="1592"/>
      <c r="W39" s="1592"/>
      <c r="X39" s="1592"/>
      <c r="Y39" s="1592">
        <f t="shared" si="13"/>
        <v>0.15</v>
      </c>
      <c r="Z39" s="1592"/>
      <c r="AA39" s="1593">
        <f t="shared" si="2"/>
        <v>0</v>
      </c>
    </row>
    <row r="40" spans="1:27" ht="25.5" customHeight="1">
      <c r="A40" s="1681"/>
      <c r="B40" s="1682"/>
      <c r="C40" s="2853" t="str">
        <f t="shared" si="8"/>
        <v>sel fin</v>
      </c>
      <c r="D40" s="2851" t="str">
        <f t="shared" si="8"/>
        <v>pm</v>
      </c>
      <c r="E40" s="2852">
        <f t="shared" si="9"/>
        <v>0</v>
      </c>
      <c r="F40" s="2852" t="str">
        <f t="shared" si="9"/>
        <v>pm</v>
      </c>
      <c r="G40" s="2852">
        <f t="shared" si="9"/>
        <v>0</v>
      </c>
      <c r="H40" s="2852">
        <f t="shared" si="9"/>
        <v>0</v>
      </c>
      <c r="I40" s="2852">
        <f t="shared" si="9"/>
        <v>0</v>
      </c>
      <c r="J40" s="2857" t="str">
        <f t="shared" si="4"/>
        <v/>
      </c>
      <c r="K40" s="1590"/>
      <c r="L40" s="1591" t="str">
        <f t="shared" si="12"/>
        <v/>
      </c>
      <c r="M40" s="1519">
        <v>25.5</v>
      </c>
      <c r="Q40" s="1582"/>
      <c r="R40" s="1684" t="s">
        <v>213</v>
      </c>
      <c r="S40" s="1550" t="s">
        <v>214</v>
      </c>
      <c r="T40" s="1592"/>
      <c r="U40" s="1592" t="s">
        <v>214</v>
      </c>
      <c r="V40" s="1592"/>
      <c r="W40" s="1592"/>
      <c r="X40" s="1592"/>
      <c r="Y40" s="1592" t="str">
        <f t="shared" si="13"/>
        <v/>
      </c>
      <c r="Z40" s="1592"/>
      <c r="AA40" s="1593">
        <f t="shared" si="2"/>
        <v>0</v>
      </c>
    </row>
    <row r="41" spans="1:27" ht="25.5" customHeight="1">
      <c r="A41" s="1681"/>
      <c r="B41" s="1682"/>
      <c r="C41" s="2853" t="str">
        <f t="shared" si="8"/>
        <v>crème de sésame</v>
      </c>
      <c r="D41" s="2851" t="str">
        <f t="shared" si="8"/>
        <v>Kg</v>
      </c>
      <c r="E41" s="2852">
        <f t="shared" si="9"/>
        <v>0</v>
      </c>
      <c r="F41" s="2852">
        <f t="shared" si="9"/>
        <v>1.4999999999999999E-2</v>
      </c>
      <c r="G41" s="2852">
        <f t="shared" si="9"/>
        <v>0</v>
      </c>
      <c r="H41" s="2852">
        <f t="shared" si="9"/>
        <v>0</v>
      </c>
      <c r="I41" s="2852">
        <f t="shared" si="9"/>
        <v>0</v>
      </c>
      <c r="J41" s="2857">
        <f t="shared" si="4"/>
        <v>1.4999999999999999E-2</v>
      </c>
      <c r="K41" s="1590"/>
      <c r="L41" s="1591" t="str">
        <f t="shared" si="12"/>
        <v/>
      </c>
      <c r="M41" s="1519">
        <v>25.5</v>
      </c>
      <c r="Q41" s="1582"/>
      <c r="R41" s="1684" t="s">
        <v>2021</v>
      </c>
      <c r="S41" s="1550" t="s">
        <v>122</v>
      </c>
      <c r="T41" s="1592"/>
      <c r="U41" s="1592">
        <v>0.03</v>
      </c>
      <c r="V41" s="1592"/>
      <c r="W41" s="1592"/>
      <c r="X41" s="1592"/>
      <c r="Y41" s="1592">
        <f t="shared" si="13"/>
        <v>0.03</v>
      </c>
      <c r="Z41" s="1592"/>
      <c r="AA41" s="1593">
        <f t="shared" si="2"/>
        <v>0</v>
      </c>
    </row>
    <row r="42" spans="1:27" ht="25.5" customHeight="1">
      <c r="A42" s="1681"/>
      <c r="B42" s="1682"/>
      <c r="C42" s="2853" t="str">
        <f t="shared" ref="C42:D46" si="14">R42</f>
        <v>fécule de PDT</v>
      </c>
      <c r="D42" s="2851" t="str">
        <f t="shared" si="14"/>
        <v>Kg</v>
      </c>
      <c r="E42" s="2852">
        <f t="shared" si="9"/>
        <v>0</v>
      </c>
      <c r="F42" s="2852">
        <f t="shared" si="9"/>
        <v>1.4999999999999999E-2</v>
      </c>
      <c r="G42" s="2852">
        <f t="shared" si="9"/>
        <v>0.05</v>
      </c>
      <c r="H42" s="2852">
        <f t="shared" si="9"/>
        <v>0</v>
      </c>
      <c r="I42" s="2852">
        <f t="shared" si="9"/>
        <v>0</v>
      </c>
      <c r="J42" s="2857">
        <f t="shared" si="4"/>
        <v>6.5000000000000002E-2</v>
      </c>
      <c r="K42" s="1590"/>
      <c r="L42" s="1591" t="str">
        <f t="shared" si="12"/>
        <v/>
      </c>
      <c r="M42" s="1519">
        <v>25.5</v>
      </c>
      <c r="Q42" s="1582"/>
      <c r="R42" s="1684" t="s">
        <v>2022</v>
      </c>
      <c r="S42" s="1550" t="s">
        <v>122</v>
      </c>
      <c r="T42" s="1592"/>
      <c r="U42" s="1592">
        <v>0.03</v>
      </c>
      <c r="V42" s="1592">
        <v>0.1</v>
      </c>
      <c r="W42" s="1592"/>
      <c r="X42" s="1592"/>
      <c r="Y42" s="1592">
        <f t="shared" si="13"/>
        <v>0.13</v>
      </c>
      <c r="Z42" s="1592"/>
      <c r="AA42" s="1593">
        <f t="shared" si="2"/>
        <v>0</v>
      </c>
    </row>
    <row r="43" spans="1:27" ht="25.5" customHeight="1">
      <c r="A43" s="1681"/>
      <c r="B43" s="1682"/>
      <c r="C43" s="2853" t="str">
        <f t="shared" si="14"/>
        <v>Dashi ou bouillon ja</v>
      </c>
      <c r="D43" s="2851" t="str">
        <f t="shared" si="14"/>
        <v>L</v>
      </c>
      <c r="E43" s="2852">
        <f t="shared" ref="E43:I46" si="15">IF(ISTEXT(T43),T43,(T43/$I$2)*$L$2)</f>
        <v>0</v>
      </c>
      <c r="F43" s="2852">
        <f t="shared" si="15"/>
        <v>0.2</v>
      </c>
      <c r="G43" s="2852">
        <f t="shared" si="15"/>
        <v>1</v>
      </c>
      <c r="H43" s="2852">
        <f t="shared" si="15"/>
        <v>0</v>
      </c>
      <c r="I43" s="2852">
        <f t="shared" si="15"/>
        <v>0</v>
      </c>
      <c r="J43" s="2857">
        <f t="shared" si="4"/>
        <v>1.2</v>
      </c>
      <c r="K43" s="1590"/>
      <c r="L43" s="1591" t="str">
        <f t="shared" si="12"/>
        <v/>
      </c>
      <c r="M43" s="1519">
        <v>25.5</v>
      </c>
      <c r="Q43" s="1582"/>
      <c r="R43" s="1684" t="s">
        <v>2023</v>
      </c>
      <c r="S43" s="1550" t="s">
        <v>224</v>
      </c>
      <c r="T43" s="1592"/>
      <c r="U43" s="1592">
        <v>0.4</v>
      </c>
      <c r="V43" s="1592">
        <v>2</v>
      </c>
      <c r="W43" s="1592"/>
      <c r="X43" s="1592"/>
      <c r="Y43" s="1592">
        <f t="shared" si="13"/>
        <v>2.4</v>
      </c>
      <c r="Z43" s="1592"/>
      <c r="AA43" s="1593">
        <f t="shared" si="2"/>
        <v>0</v>
      </c>
    </row>
    <row r="44" spans="1:27" ht="25.5" customHeight="1">
      <c r="A44" s="1681"/>
      <c r="B44" s="1682"/>
      <c r="C44" s="2853" t="str">
        <f t="shared" si="14"/>
        <v>feuilles spring roll</v>
      </c>
      <c r="D44" s="2851" t="str">
        <f t="shared" si="14"/>
        <v>P</v>
      </c>
      <c r="E44" s="2852">
        <f t="shared" si="15"/>
        <v>0</v>
      </c>
      <c r="F44" s="2852">
        <f t="shared" si="15"/>
        <v>2.5</v>
      </c>
      <c r="G44" s="2852">
        <f t="shared" si="15"/>
        <v>0</v>
      </c>
      <c r="H44" s="2852">
        <f t="shared" si="15"/>
        <v>0</v>
      </c>
      <c r="I44" s="2852">
        <f t="shared" si="15"/>
        <v>0</v>
      </c>
      <c r="J44" s="2857">
        <f t="shared" si="4"/>
        <v>2.5</v>
      </c>
      <c r="K44" s="1590"/>
      <c r="L44" s="1591" t="str">
        <f t="shared" si="12"/>
        <v/>
      </c>
      <c r="M44" s="1519">
        <v>25.5</v>
      </c>
      <c r="Q44" s="1582"/>
      <c r="R44" s="1684" t="s">
        <v>2024</v>
      </c>
      <c r="S44" s="1550" t="s">
        <v>318</v>
      </c>
      <c r="T44" s="1592"/>
      <c r="U44" s="1592">
        <v>5</v>
      </c>
      <c r="V44" s="1592"/>
      <c r="W44" s="1592"/>
      <c r="X44" s="1592"/>
      <c r="Y44" s="1592">
        <f t="shared" si="13"/>
        <v>5</v>
      </c>
      <c r="Z44" s="1592"/>
      <c r="AA44" s="1593">
        <f t="shared" si="2"/>
        <v>0</v>
      </c>
    </row>
    <row r="45" spans="1:27" ht="25.5" customHeight="1">
      <c r="A45" s="1681"/>
      <c r="B45" s="1682"/>
      <c r="C45" s="2853" t="str">
        <f t="shared" si="14"/>
        <v>vinaigre d'alcool coloré</v>
      </c>
      <c r="D45" s="2851" t="str">
        <f t="shared" si="14"/>
        <v>L</v>
      </c>
      <c r="E45" s="2852">
        <f t="shared" si="15"/>
        <v>0</v>
      </c>
      <c r="F45" s="2852">
        <f t="shared" si="15"/>
        <v>0</v>
      </c>
      <c r="G45" s="2852">
        <f t="shared" si="15"/>
        <v>0.1</v>
      </c>
      <c r="H45" s="2852">
        <f t="shared" si="15"/>
        <v>0</v>
      </c>
      <c r="I45" s="2852">
        <f t="shared" si="15"/>
        <v>0</v>
      </c>
      <c r="J45" s="2857">
        <f t="shared" si="4"/>
        <v>0.1</v>
      </c>
      <c r="K45" s="1590"/>
      <c r="L45" s="1591" t="str">
        <f t="shared" si="12"/>
        <v/>
      </c>
      <c r="M45" s="1519">
        <v>25.5</v>
      </c>
      <c r="Q45" s="1582"/>
      <c r="R45" s="1684" t="s">
        <v>2025</v>
      </c>
      <c r="S45" s="1550" t="s">
        <v>224</v>
      </c>
      <c r="T45" s="1592"/>
      <c r="U45" s="1592"/>
      <c r="V45" s="1592">
        <v>0.2</v>
      </c>
      <c r="W45" s="1592"/>
      <c r="X45" s="1592"/>
      <c r="Y45" s="1592">
        <f t="shared" si="13"/>
        <v>0.2</v>
      </c>
      <c r="Z45" s="1592"/>
      <c r="AA45" s="1593">
        <f t="shared" si="2"/>
        <v>0</v>
      </c>
    </row>
    <row r="46" spans="1:27" ht="25.5" customHeight="1">
      <c r="A46" s="1689"/>
      <c r="B46" s="1682"/>
      <c r="C46" s="2853">
        <f t="shared" si="14"/>
        <v>0</v>
      </c>
      <c r="D46" s="2851">
        <f t="shared" si="14"/>
        <v>0</v>
      </c>
      <c r="E46" s="2852">
        <f t="shared" si="15"/>
        <v>0</v>
      </c>
      <c r="F46" s="2852">
        <f t="shared" si="15"/>
        <v>0</v>
      </c>
      <c r="G46" s="2852">
        <f t="shared" si="15"/>
        <v>0</v>
      </c>
      <c r="H46" s="2852">
        <f t="shared" si="15"/>
        <v>0</v>
      </c>
      <c r="I46" s="2852">
        <f t="shared" si="15"/>
        <v>0</v>
      </c>
      <c r="J46" s="2857" t="str">
        <f t="shared" si="4"/>
        <v/>
      </c>
      <c r="K46" s="1590"/>
      <c r="L46" s="1591" t="str">
        <f t="shared" si="12"/>
        <v/>
      </c>
      <c r="M46" s="1519">
        <v>25.5</v>
      </c>
      <c r="Q46" s="1582"/>
      <c r="R46" s="1684"/>
      <c r="S46" s="1550"/>
      <c r="T46" s="1610"/>
      <c r="U46" s="1610"/>
      <c r="V46" s="1610"/>
      <c r="W46" s="1610"/>
      <c r="X46" s="1610"/>
      <c r="Y46" s="1610" t="str">
        <f t="shared" si="13"/>
        <v/>
      </c>
      <c r="Z46" s="1592"/>
      <c r="AA46" s="1611">
        <f t="shared" si="2"/>
        <v>0</v>
      </c>
    </row>
    <row r="47" spans="1:27" ht="25.5" customHeight="1">
      <c r="A47" s="1614"/>
      <c r="B47" s="1690" t="s">
        <v>1480</v>
      </c>
      <c r="C47" s="1615"/>
      <c r="D47" s="1615"/>
      <c r="E47" s="1615"/>
      <c r="F47" s="1615"/>
      <c r="G47" s="1614"/>
      <c r="H47" s="1615"/>
      <c r="I47" s="1615"/>
      <c r="J47" s="1615" t="str">
        <f t="shared" si="4"/>
        <v/>
      </c>
      <c r="K47" s="1615" t="s">
        <v>2411</v>
      </c>
      <c r="L47" s="1616" t="str">
        <f>IF(J47="","",(J47*K47))</f>
        <v/>
      </c>
      <c r="M47" s="1519">
        <v>25.5</v>
      </c>
      <c r="Q47" s="1691" t="s">
        <v>1456</v>
      </c>
      <c r="R47" s="1536"/>
      <c r="S47" s="1536"/>
      <c r="T47" s="1192"/>
      <c r="U47" s="1192"/>
      <c r="V47" s="1533"/>
      <c r="W47" s="1536"/>
      <c r="X47" s="1536"/>
      <c r="Y47" s="1536" t="str">
        <f t="shared" si="13"/>
        <v/>
      </c>
      <c r="Z47" s="1536" t="s">
        <v>2411</v>
      </c>
      <c r="AA47" s="1616" t="str">
        <f t="shared" ref="AA47" si="16">IF(Y47="","",(Y47*Z47))</f>
        <v/>
      </c>
    </row>
    <row r="48" spans="1:27" ht="25.5" customHeight="1">
      <c r="A48" s="1681"/>
      <c r="B48" s="1618" t="s">
        <v>2026</v>
      </c>
      <c r="C48" s="1619"/>
      <c r="D48" s="1618"/>
      <c r="E48" s="1619"/>
      <c r="F48" s="1619"/>
      <c r="G48" s="3522" t="s">
        <v>2288</v>
      </c>
      <c r="H48" s="3523"/>
      <c r="I48" s="1620">
        <f>L2</f>
        <v>5</v>
      </c>
      <c r="J48" s="1621"/>
      <c r="K48" s="1621"/>
      <c r="L48" s="1622">
        <f>SUM(L8:L46)</f>
        <v>0</v>
      </c>
      <c r="M48" s="1519">
        <v>25.5</v>
      </c>
      <c r="Q48" s="1582" t="s">
        <v>2026</v>
      </c>
      <c r="R48" s="1623"/>
      <c r="S48" s="1192"/>
      <c r="T48" s="1623"/>
      <c r="U48" s="1623"/>
      <c r="V48" s="1692" t="s">
        <v>1482</v>
      </c>
      <c r="W48" s="1625"/>
      <c r="X48" s="1625"/>
      <c r="Y48" s="1625"/>
      <c r="Z48" s="1625"/>
      <c r="AA48" s="1626">
        <f>SUM(AA8:AA47)</f>
        <v>0</v>
      </c>
    </row>
    <row r="49" spans="1:27" ht="25.5" customHeight="1">
      <c r="A49" s="1681"/>
      <c r="B49" s="1618"/>
      <c r="C49" s="1618"/>
      <c r="D49" s="1618"/>
      <c r="E49" s="1618"/>
      <c r="F49" s="1618"/>
      <c r="G49" s="3548" t="s">
        <v>1483</v>
      </c>
      <c r="H49" s="3549"/>
      <c r="I49" s="3549"/>
      <c r="J49" s="3549"/>
      <c r="K49" s="1627">
        <v>0.02</v>
      </c>
      <c r="L49" s="1622">
        <f>L48*K49</f>
        <v>0</v>
      </c>
      <c r="M49" s="1519">
        <v>25.5</v>
      </c>
      <c r="Q49" s="1582"/>
      <c r="R49" s="1192"/>
      <c r="S49" s="1192"/>
      <c r="T49" s="1192"/>
      <c r="U49" s="1192"/>
      <c r="V49" s="1628" t="s">
        <v>1483</v>
      </c>
      <c r="W49" s="1192"/>
      <c r="X49" s="1192"/>
      <c r="Y49" s="1192"/>
      <c r="Z49" s="1192"/>
      <c r="AA49" s="1693">
        <v>0.02</v>
      </c>
    </row>
    <row r="50" spans="1:27" ht="25.5" customHeight="1" thickBot="1">
      <c r="A50" s="1689"/>
      <c r="B50" s="1694"/>
      <c r="C50" s="1694"/>
      <c r="D50" s="1694"/>
      <c r="E50" s="1694"/>
      <c r="F50" s="1694"/>
      <c r="G50" s="3614" t="s">
        <v>2289</v>
      </c>
      <c r="H50" s="3615"/>
      <c r="I50" s="3615"/>
      <c r="J50" s="3615"/>
      <c r="K50" s="1630"/>
      <c r="L50" s="1631">
        <f>(L48+L49)/I48</f>
        <v>0</v>
      </c>
      <c r="M50" s="1519">
        <v>25.5</v>
      </c>
      <c r="Q50" s="1695"/>
      <c r="R50" s="1633"/>
      <c r="S50" s="1633"/>
      <c r="T50" s="1633"/>
      <c r="U50" s="1633"/>
      <c r="V50" s="1634" t="s">
        <v>2027</v>
      </c>
      <c r="W50" s="1633"/>
      <c r="X50" s="1633"/>
      <c r="Y50" s="1633"/>
      <c r="Z50" s="1635"/>
      <c r="AA50" s="1636">
        <f>AA48/X2</f>
        <v>0</v>
      </c>
    </row>
    <row r="51" spans="1:27">
      <c r="M51" s="1519"/>
    </row>
    <row r="52" spans="1:27">
      <c r="M52" s="1519"/>
    </row>
    <row r="53" spans="1:27">
      <c r="M53" s="1519"/>
    </row>
    <row r="54" spans="1:27">
      <c r="M54" s="1519"/>
    </row>
    <row r="55" spans="1:27">
      <c r="M55" s="1519"/>
    </row>
    <row r="56" spans="1:27">
      <c r="M56" s="1519"/>
    </row>
    <row r="57" spans="1:27">
      <c r="M57" s="1519"/>
    </row>
    <row r="58" spans="1:27">
      <c r="M58" s="1519"/>
    </row>
    <row r="59" spans="1:27">
      <c r="M59" s="1519"/>
    </row>
    <row r="60" spans="1:27">
      <c r="M60" s="1519"/>
    </row>
    <row r="61" spans="1:27">
      <c r="M61" s="1519"/>
    </row>
    <row r="62" spans="1:27">
      <c r="M62" s="1519"/>
    </row>
    <row r="63" spans="1:27">
      <c r="M63" s="1519"/>
    </row>
    <row r="64" spans="1:27">
      <c r="M64" s="1519"/>
    </row>
    <row r="65" spans="3:13">
      <c r="M65" s="1519"/>
    </row>
    <row r="66" spans="3:13" ht="15">
      <c r="C66" s="1696"/>
      <c r="M66" s="1519"/>
    </row>
    <row r="67" spans="3:13">
      <c r="M67" s="1519"/>
    </row>
    <row r="68" spans="3:13">
      <c r="M68" s="1519"/>
    </row>
    <row r="69" spans="3:13">
      <c r="M69" s="1519"/>
    </row>
    <row r="70" spans="3:13">
      <c r="M70" s="1519"/>
    </row>
    <row r="71" spans="3:13">
      <c r="M71" s="1519"/>
    </row>
    <row r="72" spans="3:13">
      <c r="M72" s="1519"/>
    </row>
    <row r="73" spans="3:13">
      <c r="M73" s="1519"/>
    </row>
    <row r="74" spans="3:13">
      <c r="M74" s="1519"/>
    </row>
    <row r="75" spans="3:13">
      <c r="M75" s="1519"/>
    </row>
    <row r="76" spans="3:13">
      <c r="M76" s="1519"/>
    </row>
    <row r="77" spans="3:13">
      <c r="M77" s="1519"/>
    </row>
    <row r="78" spans="3:13">
      <c r="M78" s="1519"/>
    </row>
    <row r="79" spans="3:13">
      <c r="M79" s="1519"/>
    </row>
    <row r="80" spans="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8">
    <mergeCell ref="G49:J49"/>
    <mergeCell ref="G50:J50"/>
    <mergeCell ref="Q1:AB1"/>
    <mergeCell ref="B2:G2"/>
    <mergeCell ref="Q2:V2"/>
    <mergeCell ref="B4:E4"/>
    <mergeCell ref="Q4:T4"/>
    <mergeCell ref="G48:H48"/>
  </mergeCells>
  <printOptions horizontalCentered="1" verticalCentered="1"/>
  <pageMargins left="0" right="0" top="0.15748031496062992" bottom="0" header="0" footer="0"/>
  <headerFooter>
    <oddHeader>&amp;L&amp;"Copperplate Gothic Light,Normal"&amp;8fiche technique &amp;C&amp;D &amp;T&amp;R2TSB</oddHeader>
    <oddFooter>&amp;L&amp;F</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05B0E-259F-4AD0-815B-818DC1C3FF8D}">
  <dimension ref="B2:O35"/>
  <sheetViews>
    <sheetView workbookViewId="0">
      <selection activeCell="Q20" sqref="Q20"/>
    </sheetView>
  </sheetViews>
  <sheetFormatPr baseColWidth="10" defaultRowHeight="15"/>
  <sheetData>
    <row r="2" spans="2:15">
      <c r="B2" s="2902"/>
      <c r="C2" s="2903"/>
      <c r="D2" s="2903"/>
      <c r="E2" s="2903"/>
      <c r="F2" s="2903"/>
      <c r="G2" s="2903"/>
      <c r="H2" s="2903"/>
      <c r="I2" s="2903"/>
      <c r="J2" s="2903"/>
      <c r="K2" s="2903"/>
      <c r="L2" s="2903"/>
      <c r="M2" s="2903"/>
      <c r="N2" s="2903"/>
      <c r="O2" s="2904"/>
    </row>
    <row r="3" spans="2:15" ht="21">
      <c r="B3" s="2905"/>
      <c r="C3" s="3286" t="s">
        <v>2901</v>
      </c>
      <c r="D3" s="3286"/>
      <c r="E3" s="3286"/>
      <c r="F3" s="3286"/>
      <c r="G3" s="3286"/>
      <c r="H3" s="3286"/>
      <c r="I3" s="3286"/>
      <c r="J3" s="3286"/>
      <c r="K3" s="3286"/>
      <c r="L3" s="2907"/>
      <c r="M3" s="2907"/>
      <c r="N3" s="2907"/>
      <c r="O3" s="2906"/>
    </row>
    <row r="4" spans="2:15" ht="21">
      <c r="B4" s="2905"/>
      <c r="C4" s="2911" t="s">
        <v>2888</v>
      </c>
      <c r="D4" s="2907"/>
      <c r="E4" s="2907"/>
      <c r="F4" s="2907"/>
      <c r="G4" s="2907"/>
      <c r="H4" s="2907"/>
      <c r="I4" s="2907"/>
      <c r="J4" s="2907"/>
      <c r="K4" s="2907"/>
      <c r="L4" s="2907"/>
      <c r="M4" s="2907"/>
      <c r="N4" s="2907"/>
      <c r="O4" s="2906"/>
    </row>
    <row r="5" spans="2:15" ht="21">
      <c r="B5" s="2905"/>
      <c r="C5" s="2911" t="s">
        <v>2889</v>
      </c>
      <c r="D5" s="2907"/>
      <c r="E5" s="2907"/>
      <c r="F5" s="2907"/>
      <c r="G5" s="2907"/>
      <c r="H5" s="2907"/>
      <c r="I5" s="2907"/>
      <c r="J5" s="2907"/>
      <c r="K5" s="2907"/>
      <c r="L5" s="2907"/>
      <c r="M5" s="2907"/>
      <c r="N5" s="2907"/>
      <c r="O5" s="2906"/>
    </row>
    <row r="6" spans="2:15" ht="21">
      <c r="B6" s="2905"/>
      <c r="C6" s="2911" t="s">
        <v>2890</v>
      </c>
      <c r="D6" s="2907"/>
      <c r="E6" s="2907"/>
      <c r="F6" s="2907"/>
      <c r="G6" s="2907"/>
      <c r="H6" s="2907"/>
      <c r="I6" s="2907"/>
      <c r="J6" s="2907"/>
      <c r="K6" s="2907"/>
      <c r="L6" s="2907"/>
      <c r="M6" s="2907"/>
      <c r="N6" s="2907"/>
      <c r="O6" s="2906"/>
    </row>
    <row r="7" spans="2:15" ht="21">
      <c r="B7" s="2905"/>
      <c r="C7" s="2911" t="s">
        <v>2891</v>
      </c>
      <c r="D7" s="2907"/>
      <c r="E7" s="2907"/>
      <c r="F7" s="2907"/>
      <c r="G7" s="2907"/>
      <c r="H7" s="2907"/>
      <c r="I7" s="2907"/>
      <c r="J7" s="2907"/>
      <c r="K7" s="2907"/>
      <c r="L7" s="2907"/>
      <c r="M7" s="2907"/>
      <c r="N7" s="2907"/>
      <c r="O7" s="2906"/>
    </row>
    <row r="8" spans="2:15" ht="21">
      <c r="B8" s="2905"/>
      <c r="C8" s="2911" t="s">
        <v>2892</v>
      </c>
      <c r="D8" s="2907"/>
      <c r="E8" s="2907"/>
      <c r="F8" s="2907"/>
      <c r="G8" s="2907"/>
      <c r="H8" s="2907"/>
      <c r="I8" s="2907"/>
      <c r="J8" s="2907"/>
      <c r="K8" s="2907"/>
      <c r="L8" s="2907"/>
      <c r="M8" s="2907"/>
      <c r="N8" s="2907"/>
      <c r="O8" s="2906"/>
    </row>
    <row r="9" spans="2:15" ht="21">
      <c r="B9" s="2905"/>
      <c r="C9" s="2911" t="s">
        <v>2489</v>
      </c>
      <c r="D9" s="2907"/>
      <c r="E9" s="2907"/>
      <c r="F9" s="2907"/>
      <c r="G9" s="2907"/>
      <c r="H9" s="2907"/>
      <c r="I9" s="2907"/>
      <c r="J9" s="2907"/>
      <c r="K9" s="2907"/>
      <c r="L9" s="2907"/>
      <c r="M9" s="2907"/>
      <c r="N9" s="2907"/>
      <c r="O9" s="2906"/>
    </row>
    <row r="10" spans="2:15" ht="21">
      <c r="B10" s="2905"/>
      <c r="C10" s="2911"/>
      <c r="D10" s="2907"/>
      <c r="E10" s="2907"/>
      <c r="F10" s="2907"/>
      <c r="G10" s="2907"/>
      <c r="H10" s="2907"/>
      <c r="I10" s="2907"/>
      <c r="J10" s="2907"/>
      <c r="K10" s="2907"/>
      <c r="L10" s="2907"/>
      <c r="M10" s="2907"/>
      <c r="N10" s="2907"/>
      <c r="O10" s="2906"/>
    </row>
    <row r="11" spans="2:15" ht="21">
      <c r="B11" s="2905"/>
      <c r="C11" s="2911" t="s">
        <v>206</v>
      </c>
      <c r="D11" s="2907"/>
      <c r="E11" s="2907"/>
      <c r="F11" s="2907"/>
      <c r="G11" s="2907"/>
      <c r="H11" s="2907"/>
      <c r="I11" s="2907"/>
      <c r="J11" s="2907"/>
      <c r="K11" s="2907"/>
      <c r="L11" s="2907"/>
      <c r="M11" s="2907"/>
      <c r="N11" s="2907"/>
      <c r="O11" s="2906"/>
    </row>
    <row r="12" spans="2:15" ht="21">
      <c r="B12" s="2905"/>
      <c r="C12" s="2911" t="s">
        <v>2163</v>
      </c>
      <c r="D12" s="2907"/>
      <c r="E12" s="2907"/>
      <c r="F12" s="2907"/>
      <c r="G12" s="2907"/>
      <c r="H12" s="2907"/>
      <c r="I12" s="2907"/>
      <c r="J12" s="2907"/>
      <c r="K12" s="2907"/>
      <c r="L12" s="2907"/>
      <c r="M12" s="2907"/>
      <c r="N12" s="2907"/>
      <c r="O12" s="2906"/>
    </row>
    <row r="13" spans="2:15" ht="21">
      <c r="B13" s="2905"/>
      <c r="C13" s="2911" t="s">
        <v>2028</v>
      </c>
      <c r="D13" s="2907"/>
      <c r="E13" s="2907"/>
      <c r="F13" s="2907"/>
      <c r="G13" s="2907"/>
      <c r="H13" s="2907"/>
      <c r="I13" s="2907"/>
      <c r="J13" s="2907"/>
      <c r="K13" s="2907"/>
      <c r="L13" s="2907"/>
      <c r="M13" s="2907"/>
      <c r="N13" s="2907"/>
      <c r="O13" s="2906"/>
    </row>
    <row r="14" spans="2:15" ht="21">
      <c r="B14" s="2905"/>
      <c r="C14" s="2911" t="s">
        <v>2088</v>
      </c>
      <c r="D14" s="2907"/>
      <c r="E14" s="2907"/>
      <c r="F14" s="2907"/>
      <c r="G14" s="2907"/>
      <c r="H14" s="2907"/>
      <c r="I14" s="2907"/>
      <c r="J14" s="2907"/>
      <c r="K14" s="2907"/>
      <c r="L14" s="2907"/>
      <c r="M14" s="2907"/>
      <c r="N14" s="2907"/>
      <c r="O14" s="2906"/>
    </row>
    <row r="15" spans="2:15" ht="21">
      <c r="B15" s="2905"/>
      <c r="C15" s="2911" t="s">
        <v>2080</v>
      </c>
      <c r="D15" s="2907"/>
      <c r="E15" s="2907"/>
      <c r="F15" s="2907"/>
      <c r="G15" s="2907"/>
      <c r="H15" s="2907"/>
      <c r="I15" s="2907"/>
      <c r="J15" s="2907"/>
      <c r="K15" s="2907"/>
      <c r="L15" s="2907"/>
      <c r="M15" s="2907"/>
      <c r="N15" s="2907"/>
      <c r="O15" s="2906"/>
    </row>
    <row r="16" spans="2:15" ht="21">
      <c r="B16" s="2905"/>
      <c r="C16" s="2911" t="s">
        <v>2893</v>
      </c>
      <c r="D16" s="2907"/>
      <c r="E16" s="2907"/>
      <c r="F16" s="2907"/>
      <c r="G16" s="2907"/>
      <c r="H16" s="2907"/>
      <c r="I16" s="2907"/>
      <c r="J16" s="2907"/>
      <c r="K16" s="2907"/>
      <c r="L16" s="2907"/>
      <c r="M16" s="2907"/>
      <c r="N16" s="2907"/>
      <c r="O16" s="2906"/>
    </row>
    <row r="17" spans="2:15" ht="21">
      <c r="B17" s="2905"/>
      <c r="C17" s="2911" t="s">
        <v>1443</v>
      </c>
      <c r="D17" s="2907"/>
      <c r="E17" s="2907"/>
      <c r="F17" s="2907"/>
      <c r="G17" s="2907"/>
      <c r="H17" s="2907"/>
      <c r="I17" s="2907"/>
      <c r="J17" s="2907"/>
      <c r="K17" s="2907"/>
      <c r="L17" s="2907"/>
      <c r="M17" s="2907"/>
      <c r="N17" s="2907"/>
      <c r="O17" s="2906"/>
    </row>
    <row r="18" spans="2:15" ht="21">
      <c r="B18" s="2905"/>
      <c r="C18" s="2911" t="s">
        <v>1975</v>
      </c>
      <c r="D18" s="2907"/>
      <c r="E18" s="2907"/>
      <c r="F18" s="2907"/>
      <c r="G18" s="2907"/>
      <c r="H18" s="2907"/>
      <c r="I18" s="2907"/>
      <c r="J18" s="2907"/>
      <c r="K18" s="2907"/>
      <c r="L18" s="2907"/>
      <c r="M18" s="2907"/>
      <c r="N18" s="2907"/>
      <c r="O18" s="2906"/>
    </row>
    <row r="19" spans="2:15" ht="21">
      <c r="B19" s="2905"/>
      <c r="C19" s="2911" t="s">
        <v>2894</v>
      </c>
      <c r="D19" s="2907"/>
      <c r="E19" s="2907"/>
      <c r="F19" s="2907"/>
      <c r="G19" s="2907"/>
      <c r="H19" s="2907"/>
      <c r="I19" s="2907"/>
      <c r="J19" s="2907"/>
      <c r="K19" s="2907"/>
      <c r="L19" s="2907"/>
      <c r="M19" s="2907"/>
      <c r="N19" s="2907"/>
      <c r="O19" s="2906"/>
    </row>
    <row r="20" spans="2:15" ht="21">
      <c r="B20" s="2905"/>
      <c r="C20" s="2911" t="s">
        <v>2008</v>
      </c>
      <c r="D20" s="2907"/>
      <c r="E20" s="2907"/>
      <c r="F20" s="2907"/>
      <c r="G20" s="2907"/>
      <c r="H20" s="2907"/>
      <c r="I20" s="2907"/>
      <c r="J20" s="2907"/>
      <c r="K20" s="2907"/>
      <c r="L20" s="2907"/>
      <c r="M20" s="2907"/>
      <c r="N20" s="2907"/>
      <c r="O20" s="2906"/>
    </row>
    <row r="21" spans="2:15" ht="21">
      <c r="B21" s="2905"/>
      <c r="C21" s="2911" t="s">
        <v>2066</v>
      </c>
      <c r="D21" s="2907"/>
      <c r="E21" s="2907"/>
      <c r="F21" s="2907"/>
      <c r="G21" s="2907"/>
      <c r="H21" s="2907"/>
      <c r="I21" s="2907"/>
      <c r="J21" s="2907"/>
      <c r="K21" s="2907"/>
      <c r="L21" s="2907"/>
      <c r="M21" s="2907"/>
      <c r="N21" s="2907"/>
      <c r="O21" s="2906"/>
    </row>
    <row r="22" spans="2:15" ht="21">
      <c r="B22" s="2905"/>
      <c r="C22" s="2911" t="s">
        <v>2895</v>
      </c>
      <c r="D22" s="2907"/>
      <c r="E22" s="2907"/>
      <c r="F22" s="2907"/>
      <c r="G22" s="2907"/>
      <c r="H22" s="2907"/>
      <c r="I22" s="2907"/>
      <c r="J22" s="2907"/>
      <c r="K22" s="2907"/>
      <c r="L22" s="2907"/>
      <c r="M22" s="2907"/>
      <c r="N22" s="2907"/>
      <c r="O22" s="2906"/>
    </row>
    <row r="23" spans="2:15" ht="21">
      <c r="B23" s="2905"/>
      <c r="C23" s="2911" t="s">
        <v>2106</v>
      </c>
      <c r="D23" s="2907"/>
      <c r="E23" s="2907"/>
      <c r="F23" s="2907"/>
      <c r="G23" s="2907"/>
      <c r="H23" s="2907"/>
      <c r="I23" s="2907"/>
      <c r="J23" s="2907"/>
      <c r="K23" s="2907"/>
      <c r="L23" s="2907"/>
      <c r="M23" s="2907"/>
      <c r="N23" s="2907"/>
      <c r="O23" s="2906"/>
    </row>
    <row r="24" spans="2:15" ht="21">
      <c r="B24" s="2905"/>
      <c r="C24" s="2911" t="s">
        <v>2138</v>
      </c>
      <c r="D24" s="2907"/>
      <c r="E24" s="2907"/>
      <c r="F24" s="2907"/>
      <c r="G24" s="2907"/>
      <c r="H24" s="2907"/>
      <c r="I24" s="2907"/>
      <c r="J24" s="2907"/>
      <c r="K24" s="2907"/>
      <c r="L24" s="2907"/>
      <c r="M24" s="2907"/>
      <c r="N24" s="2907"/>
      <c r="O24" s="2906"/>
    </row>
    <row r="25" spans="2:15" ht="21">
      <c r="B25" s="2905"/>
      <c r="C25" s="2911" t="s">
        <v>2178</v>
      </c>
      <c r="D25" s="2907"/>
      <c r="E25" s="2907"/>
      <c r="F25" s="2907"/>
      <c r="G25" s="2907"/>
      <c r="H25" s="2907"/>
      <c r="I25" s="2907"/>
      <c r="J25" s="2907"/>
      <c r="K25" s="2907"/>
      <c r="L25" s="2907"/>
      <c r="M25" s="2907"/>
      <c r="N25" s="2907"/>
      <c r="O25" s="2906"/>
    </row>
    <row r="26" spans="2:15" ht="21">
      <c r="B26" s="2905"/>
      <c r="C26" s="2911" t="s">
        <v>2049</v>
      </c>
      <c r="D26" s="2907"/>
      <c r="E26" s="2907"/>
      <c r="F26" s="2907"/>
      <c r="G26" s="2907"/>
      <c r="H26" s="2907"/>
      <c r="I26" s="2907"/>
      <c r="J26" s="2907"/>
      <c r="K26" s="2907"/>
      <c r="L26" s="2907"/>
      <c r="M26" s="2907"/>
      <c r="N26" s="2907"/>
      <c r="O26" s="2906"/>
    </row>
    <row r="27" spans="2:15" ht="21">
      <c r="B27" s="2905"/>
      <c r="C27" s="2911" t="s">
        <v>2190</v>
      </c>
      <c r="D27" s="2907"/>
      <c r="E27" s="2907"/>
      <c r="F27" s="2907"/>
      <c r="G27" s="2907"/>
      <c r="H27" s="2907"/>
      <c r="I27" s="2907"/>
      <c r="J27" s="2907"/>
      <c r="K27" s="2907"/>
      <c r="L27" s="2907"/>
      <c r="M27" s="2907"/>
      <c r="N27" s="2907"/>
      <c r="O27" s="2906"/>
    </row>
    <row r="28" spans="2:15" ht="21">
      <c r="B28" s="2905"/>
      <c r="C28" s="2911"/>
      <c r="D28" s="2907"/>
      <c r="E28" s="2907"/>
      <c r="F28" s="2907"/>
      <c r="G28" s="2907"/>
      <c r="H28" s="2907"/>
      <c r="I28" s="2907"/>
      <c r="J28" s="2907"/>
      <c r="K28" s="2907"/>
      <c r="L28" s="2907"/>
      <c r="M28" s="2907"/>
      <c r="N28" s="2907"/>
      <c r="O28" s="2906"/>
    </row>
    <row r="29" spans="2:15" ht="21">
      <c r="B29" s="2905"/>
      <c r="C29" s="2911" t="s">
        <v>2896</v>
      </c>
      <c r="D29" s="2907"/>
      <c r="E29" s="2907"/>
      <c r="F29" s="2907"/>
      <c r="G29" s="2907"/>
      <c r="H29" s="2907"/>
      <c r="I29" s="2907"/>
      <c r="J29" s="2907"/>
      <c r="K29" s="2907"/>
      <c r="L29" s="2907"/>
      <c r="M29" s="2907"/>
      <c r="N29" s="2907"/>
      <c r="O29" s="2906"/>
    </row>
    <row r="30" spans="2:15" ht="21">
      <c r="B30" s="2905"/>
      <c r="C30" s="2911" t="s">
        <v>2897</v>
      </c>
      <c r="D30" s="2907"/>
      <c r="E30" s="2907"/>
      <c r="F30" s="2907"/>
      <c r="G30" s="2907"/>
      <c r="H30" s="2907"/>
      <c r="I30" s="2907"/>
      <c r="J30" s="2907"/>
      <c r="K30" s="2907"/>
      <c r="L30" s="2907"/>
      <c r="M30" s="2907"/>
      <c r="N30" s="2907"/>
      <c r="O30" s="2906"/>
    </row>
    <row r="31" spans="2:15" ht="21">
      <c r="B31" s="2905"/>
      <c r="C31" s="2911" t="s">
        <v>2898</v>
      </c>
      <c r="D31" s="2907"/>
      <c r="E31" s="2907"/>
      <c r="F31" s="2907"/>
      <c r="G31" s="2907"/>
      <c r="H31" s="2907"/>
      <c r="I31" s="2907"/>
      <c r="J31" s="2907"/>
      <c r="K31" s="2907"/>
      <c r="L31" s="2907"/>
      <c r="M31" s="2907"/>
      <c r="N31" s="2907"/>
      <c r="O31" s="2906"/>
    </row>
    <row r="32" spans="2:15" ht="21">
      <c r="B32" s="2905"/>
      <c r="C32" s="2911" t="s">
        <v>2899</v>
      </c>
      <c r="D32" s="2907"/>
      <c r="E32" s="2907"/>
      <c r="F32" s="2907"/>
      <c r="G32" s="2907"/>
      <c r="H32" s="2907"/>
      <c r="I32" s="2907"/>
      <c r="J32" s="2907"/>
      <c r="K32" s="2907"/>
      <c r="L32" s="2907"/>
      <c r="M32" s="2907"/>
      <c r="N32" s="2907"/>
      <c r="O32" s="2906"/>
    </row>
    <row r="33" spans="2:15" ht="21">
      <c r="B33" s="2905"/>
      <c r="C33" s="2911" t="s">
        <v>3093</v>
      </c>
      <c r="D33" s="2907"/>
      <c r="E33" s="2907"/>
      <c r="F33" s="2907"/>
      <c r="G33" s="2907"/>
      <c r="H33" s="2907"/>
      <c r="I33" s="2907"/>
      <c r="J33" s="2907"/>
      <c r="K33" s="2907"/>
      <c r="L33" s="2907"/>
      <c r="M33" s="2907"/>
      <c r="N33" s="2907"/>
      <c r="O33" s="2906"/>
    </row>
    <row r="34" spans="2:15" ht="21">
      <c r="B34" s="2905"/>
      <c r="C34" s="2911" t="s">
        <v>2900</v>
      </c>
      <c r="D34" s="2907"/>
      <c r="E34" s="2907"/>
      <c r="F34" s="2907"/>
      <c r="G34" s="2907"/>
      <c r="H34" s="2907"/>
      <c r="I34" s="2907"/>
      <c r="J34" s="2907"/>
      <c r="K34" s="2907"/>
      <c r="L34" s="2907"/>
      <c r="M34" s="2907"/>
      <c r="N34" s="2907"/>
      <c r="O34" s="2906"/>
    </row>
    <row r="35" spans="2:15">
      <c r="B35" s="2908"/>
      <c r="C35" s="2909"/>
      <c r="D35" s="2909"/>
      <c r="E35" s="2909"/>
      <c r="F35" s="2909"/>
      <c r="G35" s="2909"/>
      <c r="H35" s="2909"/>
      <c r="I35" s="2909"/>
      <c r="J35" s="2909"/>
      <c r="K35" s="2909"/>
      <c r="L35" s="2909"/>
      <c r="M35" s="2909"/>
      <c r="N35" s="2909"/>
      <c r="O35" s="2910"/>
    </row>
  </sheetData>
  <mergeCells count="1">
    <mergeCell ref="C3:K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8"/>
  <sheetViews>
    <sheetView zoomScaleNormal="100" workbookViewId="0">
      <selection activeCell="G4" sqref="G4"/>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4" width="25.28515625" style="1281" customWidth="1"/>
    <col min="15" max="16" width="30.7109375" style="1281" customWidth="1"/>
    <col min="17" max="17" width="16.28515625" style="1281" customWidth="1"/>
    <col min="18" max="18" width="2.85546875" style="1281" customWidth="1"/>
    <col min="19" max="19" width="4.28515625" style="1281" customWidth="1"/>
    <col min="20" max="20" width="4" style="1281" customWidth="1"/>
    <col min="21" max="21" width="5.140625" style="1281" customWidth="1"/>
    <col min="22" max="22" width="4.7109375" style="1281" customWidth="1"/>
    <col min="23" max="23" width="4" style="1281" customWidth="1"/>
    <col min="24" max="24" width="4.28515625" style="1281" customWidth="1"/>
    <col min="25" max="25" width="6.28515625" style="1281" customWidth="1"/>
    <col min="26" max="26" width="5.7109375" style="1281" customWidth="1"/>
    <col min="27" max="16384" width="11.42578125" style="1281"/>
  </cols>
  <sheetData>
    <row r="1" spans="1:26"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O1" s="3611" t="s">
        <v>2874</v>
      </c>
      <c r="P1" s="3612"/>
      <c r="Q1" s="3612"/>
      <c r="R1" s="3612"/>
      <c r="S1" s="3612"/>
      <c r="T1" s="3612"/>
      <c r="U1" s="3612"/>
      <c r="V1" s="3612"/>
      <c r="W1" s="3612"/>
      <c r="X1" s="3612"/>
      <c r="Y1" s="3612"/>
      <c r="Z1" s="3613"/>
    </row>
    <row r="2" spans="1:26" ht="42.75" customHeight="1">
      <c r="A2" s="1514"/>
      <c r="B2" s="3628" t="s">
        <v>2066</v>
      </c>
      <c r="C2" s="3629"/>
      <c r="D2" s="3629"/>
      <c r="E2" s="3629"/>
      <c r="F2" s="3629"/>
      <c r="G2" s="3629"/>
      <c r="H2" s="1515" t="s">
        <v>1444</v>
      </c>
      <c r="I2" s="1516">
        <v>10</v>
      </c>
      <c r="J2" s="1517"/>
      <c r="K2" s="1517"/>
      <c r="L2" s="1518"/>
      <c r="M2" s="1675">
        <v>42.75</v>
      </c>
      <c r="O2" s="1520"/>
      <c r="P2" s="3630" t="s">
        <v>2066</v>
      </c>
      <c r="Q2" s="3631"/>
      <c r="R2" s="3631"/>
      <c r="S2" s="3631"/>
      <c r="T2" s="3631"/>
      <c r="U2" s="3632"/>
      <c r="V2" s="1521" t="s">
        <v>1444</v>
      </c>
      <c r="W2" s="1522">
        <v>10</v>
      </c>
      <c r="X2" s="1523"/>
      <c r="Y2" s="1523"/>
      <c r="Z2" s="1524"/>
    </row>
    <row r="3" spans="1:26" ht="25.5" customHeight="1">
      <c r="A3" s="1533"/>
      <c r="B3" s="1526" t="s">
        <v>1391</v>
      </c>
      <c r="C3" s="1527"/>
      <c r="D3" s="1527"/>
      <c r="E3" s="1528"/>
      <c r="F3" s="1529" t="s">
        <v>1445</v>
      </c>
      <c r="G3" s="1530"/>
      <c r="H3" s="1531"/>
      <c r="I3" s="1531"/>
      <c r="J3" s="1530"/>
      <c r="K3" s="1530"/>
      <c r="L3" s="1532"/>
      <c r="M3" s="1675">
        <v>25.5</v>
      </c>
      <c r="O3" s="1533"/>
      <c r="P3" s="1534" t="s">
        <v>1391</v>
      </c>
      <c r="Q3" s="1527"/>
      <c r="R3" s="1527"/>
      <c r="S3" s="1528"/>
      <c r="T3" s="1535" t="s">
        <v>1445</v>
      </c>
      <c r="U3" s="1536"/>
      <c r="V3" s="1192"/>
      <c r="W3" s="1192"/>
      <c r="X3" s="1536"/>
      <c r="Y3" s="1536"/>
      <c r="Z3" s="1537"/>
    </row>
    <row r="4" spans="1:26" ht="112.5" customHeight="1">
      <c r="A4" s="1539"/>
      <c r="B4" s="3633"/>
      <c r="C4" s="3633"/>
      <c r="D4" s="3633"/>
      <c r="E4" s="3634"/>
      <c r="F4" s="1539"/>
      <c r="G4" s="1540"/>
      <c r="H4" s="1540"/>
      <c r="I4" s="1540"/>
      <c r="J4" s="1531"/>
      <c r="K4" s="1531"/>
      <c r="L4" s="1532"/>
      <c r="M4" s="1675">
        <v>112.5</v>
      </c>
      <c r="O4" s="1520"/>
      <c r="P4" s="3635"/>
      <c r="Q4" s="3633"/>
      <c r="R4" s="3633"/>
      <c r="S4" s="3634"/>
      <c r="T4" s="1520"/>
      <c r="U4" s="1426"/>
      <c r="V4" s="1426"/>
      <c r="W4" s="1426"/>
      <c r="X4" s="1192"/>
      <c r="Y4" s="1192"/>
      <c r="Z4" s="1537"/>
    </row>
    <row r="5" spans="1:26" ht="63.75" customHeight="1">
      <c r="A5" s="1667"/>
      <c r="B5" s="1676" t="s">
        <v>151</v>
      </c>
      <c r="C5" s="1677" t="s">
        <v>1446</v>
      </c>
      <c r="D5" s="1544"/>
      <c r="E5" s="1545" t="s">
        <v>1447</v>
      </c>
      <c r="F5" s="1546"/>
      <c r="G5" s="1546"/>
      <c r="H5" s="1546"/>
      <c r="I5" s="1547"/>
      <c r="J5" s="1543" t="s">
        <v>1448</v>
      </c>
      <c r="K5" s="1548"/>
      <c r="L5" s="1549"/>
      <c r="M5" s="1675">
        <v>63.75</v>
      </c>
      <c r="N5" s="1192"/>
      <c r="O5" s="1550"/>
      <c r="P5" s="1551" t="s">
        <v>151</v>
      </c>
      <c r="Q5" s="1552" t="s">
        <v>1446</v>
      </c>
      <c r="R5" s="1553"/>
      <c r="S5" s="1554" t="s">
        <v>1447</v>
      </c>
      <c r="T5" s="1555"/>
      <c r="U5" s="1555"/>
      <c r="V5" s="1555"/>
      <c r="W5" s="1556"/>
      <c r="X5" s="1552" t="s">
        <v>1448</v>
      </c>
      <c r="Y5" s="1557"/>
      <c r="Z5" s="1558"/>
    </row>
    <row r="6" spans="1:26" ht="57.75" customHeight="1">
      <c r="A6" s="1614"/>
      <c r="B6" s="1679"/>
      <c r="C6" s="1560" t="s">
        <v>1449</v>
      </c>
      <c r="D6" s="1561" t="s">
        <v>1450</v>
      </c>
      <c r="E6" s="1561" t="s">
        <v>2067</v>
      </c>
      <c r="F6" s="1561" t="s">
        <v>2068</v>
      </c>
      <c r="G6" s="1561" t="s">
        <v>2069</v>
      </c>
      <c r="H6" s="1561" t="s">
        <v>2070</v>
      </c>
      <c r="I6" s="1562" t="s">
        <v>48</v>
      </c>
      <c r="J6" s="1563" t="s">
        <v>110</v>
      </c>
      <c r="K6" s="1564" t="s">
        <v>117</v>
      </c>
      <c r="L6" s="1565" t="s">
        <v>118</v>
      </c>
      <c r="M6" s="1675">
        <v>57.75</v>
      </c>
      <c r="O6" s="1533"/>
      <c r="P6" s="1566"/>
      <c r="Q6" s="1567" t="s">
        <v>1449</v>
      </c>
      <c r="R6" s="1568" t="s">
        <v>1450</v>
      </c>
      <c r="S6" s="1569" t="s">
        <v>2067</v>
      </c>
      <c r="T6" s="1569" t="s">
        <v>2068</v>
      </c>
      <c r="U6" s="1569" t="s">
        <v>2069</v>
      </c>
      <c r="V6" s="1570" t="s">
        <v>2070</v>
      </c>
      <c r="W6" s="1571" t="s">
        <v>48</v>
      </c>
      <c r="X6" s="1572" t="s">
        <v>110</v>
      </c>
      <c r="Y6" s="1572" t="s">
        <v>117</v>
      </c>
      <c r="Z6" s="1573" t="s">
        <v>118</v>
      </c>
    </row>
    <row r="7" spans="1:26" ht="25.5" customHeight="1">
      <c r="A7" s="1681"/>
      <c r="B7" s="1682"/>
      <c r="C7" s="1576" t="s">
        <v>120</v>
      </c>
      <c r="D7" s="1577" t="s">
        <v>1456</v>
      </c>
      <c r="E7" s="1578"/>
      <c r="F7" s="1578"/>
      <c r="G7" s="1578"/>
      <c r="H7" s="1578"/>
      <c r="I7" s="1577"/>
      <c r="J7" s="1674"/>
      <c r="K7" s="1579"/>
      <c r="L7" s="1580"/>
      <c r="M7" s="1519">
        <v>25.5</v>
      </c>
      <c r="O7" s="1581"/>
      <c r="P7" s="1582"/>
      <c r="Q7" s="1583" t="s">
        <v>120</v>
      </c>
      <c r="R7" s="1584" t="s">
        <v>1456</v>
      </c>
      <c r="S7" s="1585"/>
      <c r="T7" s="1585"/>
      <c r="U7" s="1585"/>
      <c r="V7" s="1585"/>
      <c r="W7" s="1585"/>
      <c r="X7" s="1585"/>
      <c r="Y7" s="1585"/>
      <c r="Z7" s="1586">
        <f t="shared" ref="Z7" si="0">IF(ISBLANK(Y7),0,Y7*X7)</f>
        <v>0</v>
      </c>
    </row>
    <row r="8" spans="1:26" ht="25.5" customHeight="1">
      <c r="A8" s="1681"/>
      <c r="B8" s="1682"/>
      <c r="C8" s="1587" t="s">
        <v>2071</v>
      </c>
      <c r="D8" s="1588" t="s">
        <v>788</v>
      </c>
      <c r="E8" s="1588">
        <v>2.5</v>
      </c>
      <c r="F8" s="1588"/>
      <c r="G8" s="1588"/>
      <c r="H8" s="1588"/>
      <c r="I8" s="1589"/>
      <c r="J8" s="1257">
        <f>IF(SUM(E8:I8)=0,"",SUM(E8:I8))</f>
        <v>2.5</v>
      </c>
      <c r="K8" s="1590">
        <v>12.5</v>
      </c>
      <c r="L8" s="1591">
        <f>IF(ISBLANK(K8),"",K8*J8)</f>
        <v>31.25</v>
      </c>
      <c r="M8" s="1519">
        <v>25.5</v>
      </c>
      <c r="O8" s="1581"/>
      <c r="P8" s="1582"/>
      <c r="Q8" s="1592" t="s">
        <v>2071</v>
      </c>
      <c r="R8" s="1550" t="s">
        <v>788</v>
      </c>
      <c r="S8" s="1592">
        <v>2.5</v>
      </c>
      <c r="T8" s="1592"/>
      <c r="U8" s="1592"/>
      <c r="V8" s="1592"/>
      <c r="W8" s="1592"/>
      <c r="X8" s="1592">
        <f>IF(SUM(S8:W8)=0,"",SUM(S8:W8))</f>
        <v>2.5</v>
      </c>
      <c r="Y8" s="1592">
        <v>12.5</v>
      </c>
      <c r="Z8" s="1593">
        <f>IF(ISBLANK(Y8),0,Y8*X8)</f>
        <v>31.25</v>
      </c>
    </row>
    <row r="9" spans="1:26" ht="25.5" customHeight="1">
      <c r="A9" s="1681"/>
      <c r="B9" s="1682"/>
      <c r="C9" s="1587"/>
      <c r="D9" s="1588"/>
      <c r="E9" s="1588"/>
      <c r="F9" s="1588"/>
      <c r="G9" s="1588"/>
      <c r="H9" s="1588"/>
      <c r="I9" s="1589"/>
      <c r="J9" s="1257" t="str">
        <f t="shared" ref="J9:J46" si="1">IF(SUM(E9:I9)=0,"",SUM(E9:I9))</f>
        <v/>
      </c>
      <c r="K9" s="1590"/>
      <c r="L9" s="1591" t="str">
        <f>IF(ISBLANK(K9),"",K9*J9)</f>
        <v/>
      </c>
      <c r="M9" s="1519">
        <v>25.5</v>
      </c>
      <c r="O9" s="1581"/>
      <c r="P9" s="1582"/>
      <c r="Q9" s="1592"/>
      <c r="R9" s="1550"/>
      <c r="S9" s="1592"/>
      <c r="T9" s="1592"/>
      <c r="U9" s="1592"/>
      <c r="V9" s="1592"/>
      <c r="W9" s="1592"/>
      <c r="X9" s="1592" t="str">
        <f t="shared" ref="X9" si="2">IF(SUM(S9:W9)=0,"",SUM(S9:W9))</f>
        <v/>
      </c>
      <c r="Y9" s="1592"/>
      <c r="Z9" s="1593">
        <f t="shared" ref="Z9:Z46" si="3">IF(ISBLANK(Y9),0,Y9*X9)</f>
        <v>0</v>
      </c>
    </row>
    <row r="10" spans="1:26" ht="25.5" customHeight="1">
      <c r="A10" s="1681"/>
      <c r="B10" s="1682"/>
      <c r="C10" s="1587" t="s">
        <v>1456</v>
      </c>
      <c r="D10" s="1588"/>
      <c r="E10" s="1588"/>
      <c r="F10" s="1588" t="s">
        <v>1456</v>
      </c>
      <c r="G10" s="1588"/>
      <c r="H10" s="1588"/>
      <c r="I10" s="1589"/>
      <c r="J10" s="1257" t="str">
        <f>IF(SUM(E10:I10)=0,"",SUM(E10:I10))</f>
        <v/>
      </c>
      <c r="K10" s="1590"/>
      <c r="L10" s="1591" t="str">
        <f>IF(ISBLANK(K10),"",K10*J10)</f>
        <v/>
      </c>
      <c r="M10" s="1519">
        <v>25.5</v>
      </c>
      <c r="O10" s="1581"/>
      <c r="P10" s="1582"/>
      <c r="Q10" s="1592" t="s">
        <v>1456</v>
      </c>
      <c r="R10" s="1550"/>
      <c r="S10" s="1592"/>
      <c r="T10" s="1592" t="s">
        <v>1456</v>
      </c>
      <c r="U10" s="1592"/>
      <c r="V10" s="1592"/>
      <c r="W10" s="1592"/>
      <c r="X10" s="1592" t="str">
        <f>IF(SUM(S10:W10)=0,"",SUM(S10:W10))</f>
        <v/>
      </c>
      <c r="Y10" s="1592"/>
      <c r="Z10" s="1593">
        <f t="shared" si="3"/>
        <v>0</v>
      </c>
    </row>
    <row r="11" spans="1:26" ht="25.5" customHeight="1">
      <c r="A11" s="1681"/>
      <c r="B11" s="1682"/>
      <c r="C11" s="1587" t="s">
        <v>1456</v>
      </c>
      <c r="D11" s="1588"/>
      <c r="E11" s="1588"/>
      <c r="F11" s="1588" t="s">
        <v>1456</v>
      </c>
      <c r="G11" s="1588"/>
      <c r="H11" s="1588"/>
      <c r="I11" s="1589"/>
      <c r="J11" s="1257" t="str">
        <f t="shared" si="1"/>
        <v/>
      </c>
      <c r="K11" s="1590"/>
      <c r="L11" s="1591" t="str">
        <f>IF(ISBLANK(K11),"",K11*J11)</f>
        <v/>
      </c>
      <c r="M11" s="1519">
        <v>25.5</v>
      </c>
      <c r="O11" s="1581"/>
      <c r="P11" s="1582"/>
      <c r="Q11" s="1594" t="s">
        <v>1456</v>
      </c>
      <c r="R11" s="1550"/>
      <c r="S11" s="1592"/>
      <c r="T11" s="1592" t="s">
        <v>1456</v>
      </c>
      <c r="U11" s="1592"/>
      <c r="V11" s="1592"/>
      <c r="W11" s="1592"/>
      <c r="X11" s="1592" t="str">
        <f t="shared" ref="X11:X24" si="4">IF(SUM(S11:W11)=0,"",SUM(S11:W11))</f>
        <v/>
      </c>
      <c r="Y11" s="1592"/>
      <c r="Z11" s="1593">
        <f t="shared" si="3"/>
        <v>0</v>
      </c>
    </row>
    <row r="12" spans="1:26" ht="25.5" customHeight="1">
      <c r="A12" s="1681"/>
      <c r="B12" s="1682"/>
      <c r="C12" s="1576" t="s">
        <v>1460</v>
      </c>
      <c r="D12" s="1577" t="s">
        <v>1456</v>
      </c>
      <c r="E12" s="1578"/>
      <c r="F12" s="1578" t="s">
        <v>1456</v>
      </c>
      <c r="G12" s="1578"/>
      <c r="H12" s="1578"/>
      <c r="I12" s="1577"/>
      <c r="J12" s="1674" t="str">
        <f t="shared" si="1"/>
        <v/>
      </c>
      <c r="K12" s="1579"/>
      <c r="L12" s="1580" t="str">
        <f t="shared" ref="L12" si="5">IF(J12="","",(J12*K12))</f>
        <v/>
      </c>
      <c r="M12" s="1519">
        <v>25.5</v>
      </c>
      <c r="O12" s="1581"/>
      <c r="P12" s="1582"/>
      <c r="Q12" s="1598" t="s">
        <v>1460</v>
      </c>
      <c r="R12" s="1584" t="s">
        <v>1456</v>
      </c>
      <c r="S12" s="1599"/>
      <c r="T12" s="1599" t="s">
        <v>1456</v>
      </c>
      <c r="U12" s="1599"/>
      <c r="V12" s="1599"/>
      <c r="W12" s="1599"/>
      <c r="X12" s="1599" t="str">
        <f t="shared" si="4"/>
        <v/>
      </c>
      <c r="Y12" s="1599"/>
      <c r="Z12" s="1600">
        <f t="shared" si="3"/>
        <v>0</v>
      </c>
    </row>
    <row r="13" spans="1:26" ht="25.5" customHeight="1">
      <c r="A13" s="1681"/>
      <c r="B13" s="1682"/>
      <c r="C13" s="1587" t="s">
        <v>1500</v>
      </c>
      <c r="D13" s="1588" t="s">
        <v>166</v>
      </c>
      <c r="E13" s="1588">
        <v>0.2</v>
      </c>
      <c r="F13" s="1588"/>
      <c r="G13" s="1588"/>
      <c r="H13" s="1588"/>
      <c r="I13" s="1589"/>
      <c r="J13" s="1257">
        <f t="shared" si="1"/>
        <v>0.2</v>
      </c>
      <c r="K13" s="1590">
        <v>1.3</v>
      </c>
      <c r="L13" s="1591">
        <f t="shared" ref="L13:L24" si="6">IF(ISBLANK(K13),"",K13*J13)</f>
        <v>0.26</v>
      </c>
      <c r="M13" s="1519">
        <v>25.5</v>
      </c>
      <c r="O13" s="1581"/>
      <c r="P13" s="1582"/>
      <c r="Q13" s="1592" t="s">
        <v>1500</v>
      </c>
      <c r="R13" s="1550" t="s">
        <v>166</v>
      </c>
      <c r="S13" s="1592">
        <v>0.2</v>
      </c>
      <c r="T13" s="1592"/>
      <c r="U13" s="1592"/>
      <c r="V13" s="1592"/>
      <c r="W13" s="1592"/>
      <c r="X13" s="1592">
        <f t="shared" si="4"/>
        <v>0.2</v>
      </c>
      <c r="Y13" s="1592">
        <v>1.3</v>
      </c>
      <c r="Z13" s="1593">
        <f t="shared" si="3"/>
        <v>0.26</v>
      </c>
    </row>
    <row r="14" spans="1:26" ht="25.5" customHeight="1">
      <c r="A14" s="1681"/>
      <c r="B14" s="1687"/>
      <c r="C14" s="1587" t="s">
        <v>1533</v>
      </c>
      <c r="D14" s="1588" t="s">
        <v>166</v>
      </c>
      <c r="E14" s="1588">
        <v>0.1</v>
      </c>
      <c r="F14" s="1588"/>
      <c r="G14" s="1588"/>
      <c r="H14" s="1588"/>
      <c r="I14" s="1589"/>
      <c r="J14" s="1257">
        <f t="shared" si="1"/>
        <v>0.1</v>
      </c>
      <c r="K14" s="1590">
        <v>0.95</v>
      </c>
      <c r="L14" s="1591">
        <f t="shared" si="6"/>
        <v>9.5000000000000001E-2</v>
      </c>
      <c r="M14" s="1519">
        <v>25.5</v>
      </c>
      <c r="O14" s="1581"/>
      <c r="P14" s="1602"/>
      <c r="Q14" s="1603" t="s">
        <v>1533</v>
      </c>
      <c r="R14" s="1550" t="s">
        <v>166</v>
      </c>
      <c r="S14" s="1604">
        <v>0.1</v>
      </c>
      <c r="T14" s="1592"/>
      <c r="U14" s="1592"/>
      <c r="V14" s="1592"/>
      <c r="W14" s="1592"/>
      <c r="X14" s="1592">
        <f t="shared" si="4"/>
        <v>0.1</v>
      </c>
      <c r="Y14" s="1592">
        <v>0.95</v>
      </c>
      <c r="Z14" s="1593">
        <f t="shared" si="3"/>
        <v>9.5000000000000001E-2</v>
      </c>
    </row>
    <row r="15" spans="1:26" ht="25.5" customHeight="1">
      <c r="A15" s="1681"/>
      <c r="B15" s="1682"/>
      <c r="C15" s="1587" t="s">
        <v>1501</v>
      </c>
      <c r="D15" s="1588" t="s">
        <v>166</v>
      </c>
      <c r="E15" s="1588">
        <v>0.1</v>
      </c>
      <c r="F15" s="1588"/>
      <c r="G15" s="1588"/>
      <c r="H15" s="1588"/>
      <c r="I15" s="1589"/>
      <c r="J15" s="1257">
        <f t="shared" si="1"/>
        <v>0.1</v>
      </c>
      <c r="K15" s="1590">
        <v>0.95</v>
      </c>
      <c r="L15" s="1591">
        <f t="shared" si="6"/>
        <v>9.5000000000000001E-2</v>
      </c>
      <c r="M15" s="1519">
        <v>25.5</v>
      </c>
      <c r="O15" s="1581"/>
      <c r="P15" s="1582"/>
      <c r="Q15" s="1592" t="s">
        <v>1501</v>
      </c>
      <c r="R15" s="1550" t="s">
        <v>166</v>
      </c>
      <c r="S15" s="1592">
        <v>0.1</v>
      </c>
      <c r="T15" s="1592"/>
      <c r="U15" s="1592"/>
      <c r="V15" s="1592"/>
      <c r="W15" s="1592"/>
      <c r="X15" s="1592">
        <f t="shared" si="4"/>
        <v>0.1</v>
      </c>
      <c r="Y15" s="1592">
        <v>0.95</v>
      </c>
      <c r="Z15" s="1593">
        <f t="shared" si="3"/>
        <v>9.5000000000000001E-2</v>
      </c>
    </row>
    <row r="16" spans="1:26" ht="25.5" customHeight="1">
      <c r="A16" s="1681"/>
      <c r="B16" s="1682"/>
      <c r="C16" s="1587" t="s">
        <v>2001</v>
      </c>
      <c r="D16" s="1588" t="s">
        <v>166</v>
      </c>
      <c r="E16" s="1588">
        <v>0.1</v>
      </c>
      <c r="F16" s="1588"/>
      <c r="G16" s="1588"/>
      <c r="H16" s="1588"/>
      <c r="I16" s="1589"/>
      <c r="J16" s="1257">
        <f t="shared" si="1"/>
        <v>0.1</v>
      </c>
      <c r="K16" s="1590">
        <v>1.95</v>
      </c>
      <c r="L16" s="1591">
        <f t="shared" si="6"/>
        <v>0.19500000000000001</v>
      </c>
      <c r="M16" s="1519">
        <v>25.5</v>
      </c>
      <c r="O16" s="1581"/>
      <c r="P16" s="1582"/>
      <c r="Q16" s="1592" t="s">
        <v>2001</v>
      </c>
      <c r="R16" s="1550" t="s">
        <v>166</v>
      </c>
      <c r="S16" s="1592">
        <v>0.1</v>
      </c>
      <c r="T16" s="1592"/>
      <c r="U16" s="1592"/>
      <c r="V16" s="1592"/>
      <c r="W16" s="1592"/>
      <c r="X16" s="1592">
        <f t="shared" si="4"/>
        <v>0.1</v>
      </c>
      <c r="Y16" s="1592">
        <v>1.95</v>
      </c>
      <c r="Z16" s="1593">
        <f t="shared" si="3"/>
        <v>0.19500000000000001</v>
      </c>
    </row>
    <row r="17" spans="1:26" ht="25.5" customHeight="1">
      <c r="A17" s="1681"/>
      <c r="B17" s="1682"/>
      <c r="C17" s="1587" t="s">
        <v>2072</v>
      </c>
      <c r="D17" s="1588" t="s">
        <v>166</v>
      </c>
      <c r="E17" s="1588"/>
      <c r="F17" s="1588"/>
      <c r="G17" s="1588"/>
      <c r="H17" s="1588">
        <v>0.5</v>
      </c>
      <c r="I17" s="1589"/>
      <c r="J17" s="1257">
        <f t="shared" si="1"/>
        <v>0.5</v>
      </c>
      <c r="K17" s="1590">
        <v>1.82</v>
      </c>
      <c r="L17" s="1591">
        <f t="shared" si="6"/>
        <v>0.91</v>
      </c>
      <c r="M17" s="1519">
        <v>25.5</v>
      </c>
      <c r="O17" s="1581"/>
      <c r="P17" s="1582"/>
      <c r="Q17" s="1592" t="s">
        <v>2072</v>
      </c>
      <c r="R17" s="1550" t="s">
        <v>166</v>
      </c>
      <c r="S17" s="1592"/>
      <c r="T17" s="1592"/>
      <c r="U17" s="1592"/>
      <c r="V17" s="1592">
        <v>0.5</v>
      </c>
      <c r="W17" s="1592"/>
      <c r="X17" s="1592">
        <f t="shared" si="4"/>
        <v>0.5</v>
      </c>
      <c r="Y17" s="1592">
        <v>1.82</v>
      </c>
      <c r="Z17" s="1593">
        <f t="shared" si="3"/>
        <v>0.91</v>
      </c>
    </row>
    <row r="18" spans="1:26" ht="25.5" customHeight="1">
      <c r="A18" s="1681"/>
      <c r="B18" s="1682"/>
      <c r="C18" s="1587" t="s">
        <v>2073</v>
      </c>
      <c r="D18" s="1588" t="s">
        <v>166</v>
      </c>
      <c r="E18" s="1588"/>
      <c r="F18" s="1588"/>
      <c r="G18" s="1588">
        <v>2</v>
      </c>
      <c r="H18" s="1588"/>
      <c r="I18" s="1589"/>
      <c r="J18" s="1257">
        <f t="shared" si="1"/>
        <v>2</v>
      </c>
      <c r="K18" s="1590">
        <v>0.85</v>
      </c>
      <c r="L18" s="1591">
        <f t="shared" si="6"/>
        <v>1.7</v>
      </c>
      <c r="M18" s="1519">
        <v>25.5</v>
      </c>
      <c r="O18" s="1581"/>
      <c r="P18" s="1582"/>
      <c r="Q18" s="1592" t="s">
        <v>2073</v>
      </c>
      <c r="R18" s="1550" t="s">
        <v>166</v>
      </c>
      <c r="S18" s="1592"/>
      <c r="T18" s="1592"/>
      <c r="U18" s="1592">
        <v>2</v>
      </c>
      <c r="V18" s="1592"/>
      <c r="W18" s="1592"/>
      <c r="X18" s="1592">
        <f t="shared" si="4"/>
        <v>2</v>
      </c>
      <c r="Y18" s="1592">
        <v>0.85</v>
      </c>
      <c r="Z18" s="1593">
        <f t="shared" si="3"/>
        <v>1.7</v>
      </c>
    </row>
    <row r="19" spans="1:26" ht="25.5" customHeight="1">
      <c r="A19" s="1681"/>
      <c r="B19" s="1682"/>
      <c r="C19" s="1587" t="s">
        <v>2074</v>
      </c>
      <c r="D19" s="1588" t="s">
        <v>166</v>
      </c>
      <c r="E19" s="1588"/>
      <c r="F19" s="1588"/>
      <c r="G19" s="1588">
        <v>0.02</v>
      </c>
      <c r="H19" s="1588"/>
      <c r="I19" s="1589">
        <v>0.04</v>
      </c>
      <c r="J19" s="1257">
        <f t="shared" si="1"/>
        <v>0.06</v>
      </c>
      <c r="K19" s="1702">
        <v>600</v>
      </c>
      <c r="L19" s="1591">
        <f t="shared" si="6"/>
        <v>36</v>
      </c>
      <c r="M19" s="1519">
        <v>25.5</v>
      </c>
      <c r="O19" s="1581"/>
      <c r="P19" s="1582"/>
      <c r="Q19" s="1592" t="s">
        <v>2074</v>
      </c>
      <c r="R19" s="1550" t="s">
        <v>166</v>
      </c>
      <c r="S19" s="1592"/>
      <c r="T19" s="1592"/>
      <c r="U19" s="1592">
        <v>0.02</v>
      </c>
      <c r="V19" s="1592"/>
      <c r="W19" s="1592">
        <v>0.04</v>
      </c>
      <c r="X19" s="1592">
        <f t="shared" si="4"/>
        <v>0.06</v>
      </c>
      <c r="Y19" s="1592">
        <v>600</v>
      </c>
      <c r="Z19" s="1593">
        <f t="shared" si="3"/>
        <v>36</v>
      </c>
    </row>
    <row r="20" spans="1:26" ht="25.5" customHeight="1">
      <c r="A20" s="1681"/>
      <c r="B20" s="1682"/>
      <c r="C20" s="1587" t="s">
        <v>1504</v>
      </c>
      <c r="D20" s="1588" t="s">
        <v>218</v>
      </c>
      <c r="E20" s="1588"/>
      <c r="F20" s="1588"/>
      <c r="G20" s="1588"/>
      <c r="H20" s="1588"/>
      <c r="I20" s="1589">
        <v>0.1</v>
      </c>
      <c r="J20" s="1257">
        <f t="shared" si="1"/>
        <v>0.1</v>
      </c>
      <c r="K20" s="1590">
        <v>0.85</v>
      </c>
      <c r="L20" s="1591">
        <f t="shared" si="6"/>
        <v>8.5000000000000006E-2</v>
      </c>
      <c r="M20" s="1519">
        <v>25.5</v>
      </c>
      <c r="O20" s="1581"/>
      <c r="P20" s="1582"/>
      <c r="Q20" s="1592" t="s">
        <v>1504</v>
      </c>
      <c r="R20" s="1550" t="s">
        <v>218</v>
      </c>
      <c r="S20" s="1592"/>
      <c r="T20" s="1592"/>
      <c r="U20" s="1592"/>
      <c r="V20" s="1592"/>
      <c r="W20" s="1592">
        <v>0.1</v>
      </c>
      <c r="X20" s="1592">
        <f t="shared" si="4"/>
        <v>0.1</v>
      </c>
      <c r="Y20" s="1592">
        <v>0.85</v>
      </c>
      <c r="Z20" s="1593">
        <f t="shared" si="3"/>
        <v>8.5000000000000006E-2</v>
      </c>
    </row>
    <row r="21" spans="1:26" ht="25.5" customHeight="1">
      <c r="A21" s="1681"/>
      <c r="B21" s="1682"/>
      <c r="C21" s="1587"/>
      <c r="D21" s="1588"/>
      <c r="E21" s="1588"/>
      <c r="F21" s="1588"/>
      <c r="G21" s="1588"/>
      <c r="H21" s="1588"/>
      <c r="I21" s="1589"/>
      <c r="J21" s="1257" t="str">
        <f t="shared" si="1"/>
        <v/>
      </c>
      <c r="K21" s="1590"/>
      <c r="L21" s="1591" t="str">
        <f t="shared" si="6"/>
        <v/>
      </c>
      <c r="M21" s="1519">
        <v>25.5</v>
      </c>
      <c r="O21" s="1581"/>
      <c r="P21" s="1582"/>
      <c r="Q21" s="1592"/>
      <c r="R21" s="1550"/>
      <c r="S21" s="1592"/>
      <c r="T21" s="1592"/>
      <c r="U21" s="1592"/>
      <c r="V21" s="1592"/>
      <c r="W21" s="1592"/>
      <c r="X21" s="1592" t="str">
        <f t="shared" si="4"/>
        <v/>
      </c>
      <c r="Y21" s="1592"/>
      <c r="Z21" s="1593">
        <f t="shared" si="3"/>
        <v>0</v>
      </c>
    </row>
    <row r="22" spans="1:26" ht="25.5" customHeight="1">
      <c r="A22" s="1681"/>
      <c r="B22" s="1682"/>
      <c r="C22" s="1587"/>
      <c r="D22" s="1588"/>
      <c r="E22" s="1588"/>
      <c r="F22" s="1588"/>
      <c r="G22" s="1588"/>
      <c r="H22" s="1588"/>
      <c r="I22" s="1589"/>
      <c r="J22" s="1257" t="str">
        <f t="shared" si="1"/>
        <v/>
      </c>
      <c r="K22" s="1590"/>
      <c r="L22" s="1591" t="str">
        <f t="shared" si="6"/>
        <v/>
      </c>
      <c r="M22" s="1519">
        <v>25.5</v>
      </c>
      <c r="O22" s="1581"/>
      <c r="P22" s="1582"/>
      <c r="Q22" s="1592"/>
      <c r="R22" s="1550"/>
      <c r="S22" s="1592"/>
      <c r="T22" s="1592"/>
      <c r="U22" s="1592"/>
      <c r="V22" s="1592"/>
      <c r="W22" s="1592"/>
      <c r="X22" s="1592" t="str">
        <f t="shared" si="4"/>
        <v/>
      </c>
      <c r="Y22" s="1592"/>
      <c r="Z22" s="1593">
        <f t="shared" si="3"/>
        <v>0</v>
      </c>
    </row>
    <row r="23" spans="1:26" ht="25.5" customHeight="1">
      <c r="A23" s="1681"/>
      <c r="B23" s="1682"/>
      <c r="C23" s="1587"/>
      <c r="D23" s="1588"/>
      <c r="E23" s="1588"/>
      <c r="F23" s="1588"/>
      <c r="G23" s="1588"/>
      <c r="H23" s="1588"/>
      <c r="I23" s="1589"/>
      <c r="J23" s="1257" t="str">
        <f t="shared" si="1"/>
        <v/>
      </c>
      <c r="K23" s="1590"/>
      <c r="L23" s="1591" t="str">
        <f t="shared" si="6"/>
        <v/>
      </c>
      <c r="M23" s="1519">
        <v>25.5</v>
      </c>
      <c r="O23" s="1581"/>
      <c r="P23" s="1582"/>
      <c r="Q23" s="1592"/>
      <c r="R23" s="1550"/>
      <c r="S23" s="1592"/>
      <c r="T23" s="1592"/>
      <c r="U23" s="1592"/>
      <c r="V23" s="1592"/>
      <c r="W23" s="1592"/>
      <c r="X23" s="1592" t="str">
        <f t="shared" si="4"/>
        <v/>
      </c>
      <c r="Y23" s="1592"/>
      <c r="Z23" s="1593">
        <f t="shared" si="3"/>
        <v>0</v>
      </c>
    </row>
    <row r="24" spans="1:26" ht="25.5" customHeight="1">
      <c r="A24" s="1681"/>
      <c r="B24" s="1682"/>
      <c r="C24" s="1587"/>
      <c r="D24" s="1588"/>
      <c r="E24" s="1588"/>
      <c r="F24" s="1588"/>
      <c r="G24" s="1588"/>
      <c r="H24" s="1588"/>
      <c r="I24" s="1589"/>
      <c r="J24" s="1257" t="str">
        <f t="shared" si="1"/>
        <v/>
      </c>
      <c r="K24" s="1590"/>
      <c r="L24" s="1591" t="str">
        <f t="shared" si="6"/>
        <v/>
      </c>
      <c r="M24" s="1519">
        <v>25.5</v>
      </c>
      <c r="O24" s="1581"/>
      <c r="P24" s="1582"/>
      <c r="Q24" s="1592"/>
      <c r="R24" s="1550"/>
      <c r="S24" s="1592"/>
      <c r="T24" s="1592"/>
      <c r="U24" s="1592"/>
      <c r="V24" s="1592"/>
      <c r="W24" s="1592"/>
      <c r="X24" s="1592" t="str">
        <f t="shared" si="4"/>
        <v/>
      </c>
      <c r="Y24" s="1592"/>
      <c r="Z24" s="1593">
        <f t="shared" si="3"/>
        <v>0</v>
      </c>
    </row>
    <row r="25" spans="1:26" ht="25.5" customHeight="1">
      <c r="A25" s="1681"/>
      <c r="B25" s="1682"/>
      <c r="C25" s="1576" t="s">
        <v>1465</v>
      </c>
      <c r="D25" s="1577" t="s">
        <v>1456</v>
      </c>
      <c r="E25" s="1578"/>
      <c r="F25" s="1578"/>
      <c r="G25" s="1578"/>
      <c r="H25" s="1578"/>
      <c r="I25" s="1577"/>
      <c r="J25" s="1674" t="s">
        <v>1456</v>
      </c>
      <c r="K25" s="1579"/>
      <c r="L25" s="1580" t="s">
        <v>1456</v>
      </c>
      <c r="M25" s="1519">
        <v>25.5</v>
      </c>
      <c r="O25" s="1581"/>
      <c r="P25" s="1582"/>
      <c r="Q25" s="1598" t="s">
        <v>1465</v>
      </c>
      <c r="R25" s="1584" t="s">
        <v>1456</v>
      </c>
      <c r="S25" s="1599"/>
      <c r="T25" s="1599"/>
      <c r="U25" s="1599"/>
      <c r="V25" s="1599"/>
      <c r="W25" s="1599"/>
      <c r="X25" s="1599" t="s">
        <v>1456</v>
      </c>
      <c r="Y25" s="1599"/>
      <c r="Z25" s="1600">
        <f t="shared" si="3"/>
        <v>0</v>
      </c>
    </row>
    <row r="26" spans="1:26" ht="25.5" customHeight="1">
      <c r="A26" s="1681"/>
      <c r="B26" s="1682"/>
      <c r="C26" s="1587" t="s">
        <v>979</v>
      </c>
      <c r="D26" s="1588" t="s">
        <v>166</v>
      </c>
      <c r="E26" s="1588">
        <v>0.12</v>
      </c>
      <c r="F26" s="1588">
        <v>7.4999999999999997E-2</v>
      </c>
      <c r="G26" s="1588">
        <v>0.1</v>
      </c>
      <c r="H26" s="1588">
        <v>0.05</v>
      </c>
      <c r="I26" s="1589"/>
      <c r="J26" s="1257">
        <f t="shared" si="1"/>
        <v>0.34500000000000003</v>
      </c>
      <c r="K26" s="1590">
        <v>3.2</v>
      </c>
      <c r="L26" s="1591">
        <f t="shared" ref="L26:L33" si="7">IF(ISBLANK(K26),"",K26*J26)</f>
        <v>1.1040000000000001</v>
      </c>
      <c r="M26" s="1519">
        <v>25.5</v>
      </c>
      <c r="O26" s="1581"/>
      <c r="P26" s="1582"/>
      <c r="Q26" s="1592" t="s">
        <v>979</v>
      </c>
      <c r="R26" s="1550" t="s">
        <v>166</v>
      </c>
      <c r="S26" s="1592">
        <v>0.12</v>
      </c>
      <c r="T26" s="1592">
        <v>7.4999999999999997E-2</v>
      </c>
      <c r="U26" s="1592">
        <v>0.1</v>
      </c>
      <c r="V26" s="1592">
        <v>0.05</v>
      </c>
      <c r="W26" s="1592"/>
      <c r="X26" s="1592">
        <f t="shared" ref="X26:X33" si="8">IF(SUM(S26:W26)=0,"",SUM(S26:W26))</f>
        <v>0.34500000000000003</v>
      </c>
      <c r="Y26" s="1592">
        <v>3.2</v>
      </c>
      <c r="Z26" s="1593">
        <f t="shared" si="3"/>
        <v>1.1040000000000001</v>
      </c>
    </row>
    <row r="27" spans="1:26" ht="25.5" customHeight="1">
      <c r="A27" s="1681"/>
      <c r="B27" s="1682"/>
      <c r="C27" s="1587" t="s">
        <v>2036</v>
      </c>
      <c r="D27" s="1588" t="s">
        <v>224</v>
      </c>
      <c r="E27" s="1588"/>
      <c r="F27" s="1588">
        <v>0.05</v>
      </c>
      <c r="G27" s="1588"/>
      <c r="H27" s="1588"/>
      <c r="I27" s="1589"/>
      <c r="J27" s="1257">
        <f t="shared" si="1"/>
        <v>0.05</v>
      </c>
      <c r="K27" s="1590">
        <v>2.9</v>
      </c>
      <c r="L27" s="1591">
        <f t="shared" si="7"/>
        <v>0.14499999999999999</v>
      </c>
      <c r="M27" s="1519">
        <v>25.5</v>
      </c>
      <c r="O27" s="1581"/>
      <c r="P27" s="1582"/>
      <c r="Q27" s="1592" t="s">
        <v>2036</v>
      </c>
      <c r="R27" s="1550" t="s">
        <v>224</v>
      </c>
      <c r="S27" s="1592"/>
      <c r="T27" s="1592">
        <v>0.05</v>
      </c>
      <c r="U27" s="1592"/>
      <c r="V27" s="1592"/>
      <c r="W27" s="1592"/>
      <c r="X27" s="1592">
        <f t="shared" si="8"/>
        <v>0.05</v>
      </c>
      <c r="Y27" s="1592">
        <v>2.9</v>
      </c>
      <c r="Z27" s="1593">
        <f t="shared" si="3"/>
        <v>0.14499999999999999</v>
      </c>
    </row>
    <row r="28" spans="1:26" ht="25.5" customHeight="1">
      <c r="A28" s="1681"/>
      <c r="B28" s="1682"/>
      <c r="C28" s="1587"/>
      <c r="D28" s="1588"/>
      <c r="E28" s="1588"/>
      <c r="F28" s="1588"/>
      <c r="G28" s="1588"/>
      <c r="H28" s="1588"/>
      <c r="I28" s="1589"/>
      <c r="J28" s="1257" t="str">
        <f t="shared" si="1"/>
        <v/>
      </c>
      <c r="K28" s="1590"/>
      <c r="L28" s="1591" t="str">
        <f t="shared" si="7"/>
        <v/>
      </c>
      <c r="M28" s="1519">
        <v>25.5</v>
      </c>
      <c r="O28" s="1581"/>
      <c r="P28" s="1582"/>
      <c r="Q28" s="1592"/>
      <c r="R28" s="1550"/>
      <c r="S28" s="1592"/>
      <c r="T28" s="1592"/>
      <c r="U28" s="1592"/>
      <c r="V28" s="1592"/>
      <c r="W28" s="1592"/>
      <c r="X28" s="1592" t="str">
        <f t="shared" si="8"/>
        <v/>
      </c>
      <c r="Y28" s="1592"/>
      <c r="Z28" s="1593">
        <f t="shared" si="3"/>
        <v>0</v>
      </c>
    </row>
    <row r="29" spans="1:26" ht="25.5" customHeight="1">
      <c r="A29" s="1681"/>
      <c r="B29" s="1682"/>
      <c r="C29" s="1587"/>
      <c r="D29" s="1588"/>
      <c r="E29" s="1588"/>
      <c r="F29" s="1588"/>
      <c r="G29" s="1588"/>
      <c r="H29" s="1588"/>
      <c r="I29" s="1589"/>
      <c r="J29" s="1257" t="str">
        <f t="shared" si="1"/>
        <v/>
      </c>
      <c r="K29" s="1590"/>
      <c r="L29" s="1591" t="str">
        <f t="shared" si="7"/>
        <v/>
      </c>
      <c r="M29" s="1519">
        <v>25.5</v>
      </c>
      <c r="O29" s="1581"/>
      <c r="P29" s="1582"/>
      <c r="Q29" s="1592"/>
      <c r="R29" s="1550"/>
      <c r="S29" s="1592"/>
      <c r="T29" s="1592"/>
      <c r="U29" s="1592"/>
      <c r="V29" s="1592"/>
      <c r="W29" s="1592"/>
      <c r="X29" s="1592" t="str">
        <f t="shared" si="8"/>
        <v/>
      </c>
      <c r="Y29" s="1592"/>
      <c r="Z29" s="1593">
        <f t="shared" si="3"/>
        <v>0</v>
      </c>
    </row>
    <row r="30" spans="1:26" ht="25.5" customHeight="1">
      <c r="A30" s="1681"/>
      <c r="B30" s="1682"/>
      <c r="C30" s="1587"/>
      <c r="D30" s="1588"/>
      <c r="E30" s="1588"/>
      <c r="F30" s="1588"/>
      <c r="G30" s="1588"/>
      <c r="H30" s="1588"/>
      <c r="I30" s="1589"/>
      <c r="J30" s="1257" t="str">
        <f t="shared" si="1"/>
        <v/>
      </c>
      <c r="K30" s="1590"/>
      <c r="L30" s="1591" t="str">
        <f t="shared" si="7"/>
        <v/>
      </c>
      <c r="M30" s="1519">
        <v>25.5</v>
      </c>
      <c r="O30" s="1581"/>
      <c r="P30" s="1582"/>
      <c r="Q30" s="1592"/>
      <c r="R30" s="1550"/>
      <c r="S30" s="1592"/>
      <c r="T30" s="1592"/>
      <c r="U30" s="1592"/>
      <c r="V30" s="1592"/>
      <c r="W30" s="1592"/>
      <c r="X30" s="1592" t="str">
        <f t="shared" si="8"/>
        <v/>
      </c>
      <c r="Y30" s="1592"/>
      <c r="Z30" s="1593">
        <f t="shared" si="3"/>
        <v>0</v>
      </c>
    </row>
    <row r="31" spans="1:26" ht="25.5" customHeight="1">
      <c r="A31" s="1681"/>
      <c r="B31" s="1682"/>
      <c r="C31" s="1587"/>
      <c r="D31" s="1588"/>
      <c r="E31" s="1588"/>
      <c r="F31" s="1588"/>
      <c r="G31" s="1588"/>
      <c r="H31" s="1588"/>
      <c r="I31" s="1589"/>
      <c r="J31" s="1257" t="str">
        <f t="shared" si="1"/>
        <v/>
      </c>
      <c r="K31" s="1590"/>
      <c r="L31" s="1591" t="str">
        <f t="shared" si="7"/>
        <v/>
      </c>
      <c r="M31" s="1519">
        <v>25.5</v>
      </c>
      <c r="O31" s="1581"/>
      <c r="P31" s="1582"/>
      <c r="Q31" s="1592"/>
      <c r="R31" s="1550"/>
      <c r="S31" s="1592"/>
      <c r="T31" s="1592"/>
      <c r="U31" s="1592"/>
      <c r="V31" s="1592"/>
      <c r="W31" s="1592"/>
      <c r="X31" s="1592" t="str">
        <f t="shared" si="8"/>
        <v/>
      </c>
      <c r="Y31" s="1592"/>
      <c r="Z31" s="1593">
        <f t="shared" si="3"/>
        <v>0</v>
      </c>
    </row>
    <row r="32" spans="1:26" ht="25.5" customHeight="1">
      <c r="A32" s="1681"/>
      <c r="B32" s="1682"/>
      <c r="C32" s="1587"/>
      <c r="D32" s="1588"/>
      <c r="E32" s="1588"/>
      <c r="F32" s="1588"/>
      <c r="G32" s="1588"/>
      <c r="H32" s="1588"/>
      <c r="I32" s="1589"/>
      <c r="J32" s="1257" t="str">
        <f t="shared" si="1"/>
        <v/>
      </c>
      <c r="K32" s="1590"/>
      <c r="L32" s="1591" t="str">
        <f t="shared" si="7"/>
        <v/>
      </c>
      <c r="M32" s="1519">
        <v>25.5</v>
      </c>
      <c r="O32" s="1581"/>
      <c r="P32" s="1582"/>
      <c r="Q32" s="1592"/>
      <c r="R32" s="1550"/>
      <c r="S32" s="1592"/>
      <c r="T32" s="1592"/>
      <c r="U32" s="1592"/>
      <c r="V32" s="1592"/>
      <c r="W32" s="1592"/>
      <c r="X32" s="1592" t="str">
        <f t="shared" si="8"/>
        <v/>
      </c>
      <c r="Y32" s="1592"/>
      <c r="Z32" s="1593">
        <f t="shared" si="3"/>
        <v>0</v>
      </c>
    </row>
    <row r="33" spans="1:26" ht="25.5" customHeight="1">
      <c r="A33" s="1681"/>
      <c r="B33" s="1682"/>
      <c r="C33" s="1587"/>
      <c r="D33" s="1588"/>
      <c r="E33" s="1588"/>
      <c r="F33" s="1588"/>
      <c r="G33" s="1588"/>
      <c r="H33" s="1588"/>
      <c r="I33" s="1589"/>
      <c r="J33" s="1257" t="str">
        <f t="shared" si="1"/>
        <v/>
      </c>
      <c r="K33" s="1590"/>
      <c r="L33" s="1591" t="str">
        <f t="shared" si="7"/>
        <v/>
      </c>
      <c r="M33" s="1519">
        <v>25.5</v>
      </c>
      <c r="O33" s="1581"/>
      <c r="P33" s="1582"/>
      <c r="Q33" s="1592"/>
      <c r="R33" s="1550"/>
      <c r="S33" s="1592"/>
      <c r="T33" s="1592"/>
      <c r="U33" s="1592"/>
      <c r="V33" s="1592"/>
      <c r="W33" s="1592"/>
      <c r="X33" s="1592" t="str">
        <f t="shared" si="8"/>
        <v/>
      </c>
      <c r="Y33" s="1592"/>
      <c r="Z33" s="1593">
        <f t="shared" si="3"/>
        <v>0</v>
      </c>
    </row>
    <row r="34" spans="1:26" ht="25.5" customHeight="1">
      <c r="A34" s="1681"/>
      <c r="B34" s="1682"/>
      <c r="C34" s="1576" t="s">
        <v>1967</v>
      </c>
      <c r="D34" s="1577" t="s">
        <v>1456</v>
      </c>
      <c r="E34" s="1578"/>
      <c r="F34" s="1578"/>
      <c r="G34" s="1578"/>
      <c r="H34" s="1578"/>
      <c r="I34" s="1577"/>
      <c r="J34" s="1674" t="s">
        <v>1456</v>
      </c>
      <c r="K34" s="1579"/>
      <c r="L34" s="1580" t="s">
        <v>1456</v>
      </c>
      <c r="M34" s="1519">
        <v>25.5</v>
      </c>
      <c r="O34" s="1581"/>
      <c r="P34" s="1582"/>
      <c r="Q34" s="1598" t="s">
        <v>1967</v>
      </c>
      <c r="R34" s="1584" t="s">
        <v>1456</v>
      </c>
      <c r="S34" s="1599"/>
      <c r="T34" s="1599"/>
      <c r="U34" s="1599"/>
      <c r="V34" s="1599"/>
      <c r="W34" s="1599"/>
      <c r="X34" s="1599" t="s">
        <v>1456</v>
      </c>
      <c r="Y34" s="1599"/>
      <c r="Z34" s="1600">
        <f t="shared" si="3"/>
        <v>0</v>
      </c>
    </row>
    <row r="35" spans="1:26" ht="25.5" customHeight="1">
      <c r="A35" s="1681"/>
      <c r="B35" s="1682"/>
      <c r="C35" s="1587" t="s">
        <v>2075</v>
      </c>
      <c r="D35" s="1588" t="s">
        <v>788</v>
      </c>
      <c r="E35" s="1588">
        <v>2</v>
      </c>
      <c r="F35" s="1588"/>
      <c r="G35" s="1588"/>
      <c r="H35" s="1588"/>
      <c r="I35" s="1589"/>
      <c r="J35" s="1257">
        <f t="shared" si="1"/>
        <v>2</v>
      </c>
      <c r="K35" s="1590"/>
      <c r="L35" s="1591" t="str">
        <f t="shared" ref="L35:L46" si="9">IF(ISBLANK(K35),"",K35*J35)</f>
        <v/>
      </c>
      <c r="M35" s="1519">
        <v>25.5</v>
      </c>
      <c r="O35" s="1581"/>
      <c r="P35" s="1582"/>
      <c r="Q35" s="1592" t="s">
        <v>2075</v>
      </c>
      <c r="R35" s="1550" t="s">
        <v>788</v>
      </c>
      <c r="S35" s="1592">
        <v>2</v>
      </c>
      <c r="T35" s="1592"/>
      <c r="U35" s="1592"/>
      <c r="V35" s="1592"/>
      <c r="W35" s="1592"/>
      <c r="X35" s="1592">
        <f t="shared" ref="X35:X47" si="10">IF(SUM(S35:W35)=0,"",SUM(S35:W35))</f>
        <v>2</v>
      </c>
      <c r="Y35" s="1592"/>
      <c r="Z35" s="1593">
        <f t="shared" si="3"/>
        <v>0</v>
      </c>
    </row>
    <row r="36" spans="1:26" ht="25.5" customHeight="1">
      <c r="A36" s="1681"/>
      <c r="B36" s="1682"/>
      <c r="C36" s="1587" t="s">
        <v>2076</v>
      </c>
      <c r="D36" s="1588" t="s">
        <v>224</v>
      </c>
      <c r="E36" s="1588">
        <v>0.75</v>
      </c>
      <c r="F36" s="1588"/>
      <c r="G36" s="1588">
        <v>0.5</v>
      </c>
      <c r="H36" s="1588"/>
      <c r="I36" s="1589"/>
      <c r="J36" s="1257">
        <f t="shared" si="1"/>
        <v>1.25</v>
      </c>
      <c r="K36" s="1590">
        <v>3.5</v>
      </c>
      <c r="L36" s="1591">
        <f t="shared" si="9"/>
        <v>4.375</v>
      </c>
      <c r="M36" s="1519">
        <v>25.5</v>
      </c>
      <c r="O36" s="1581"/>
      <c r="P36" s="1582"/>
      <c r="Q36" s="1592" t="s">
        <v>2076</v>
      </c>
      <c r="R36" s="1550" t="s">
        <v>224</v>
      </c>
      <c r="S36" s="1592">
        <v>0.75</v>
      </c>
      <c r="T36" s="1592"/>
      <c r="U36" s="1592">
        <v>0.5</v>
      </c>
      <c r="V36" s="1592"/>
      <c r="W36" s="1592"/>
      <c r="X36" s="1592">
        <f t="shared" si="10"/>
        <v>1.25</v>
      </c>
      <c r="Y36" s="1592">
        <v>3.5</v>
      </c>
      <c r="Z36" s="1593">
        <f t="shared" si="3"/>
        <v>4.375</v>
      </c>
    </row>
    <row r="37" spans="1:26" ht="25.5" customHeight="1">
      <c r="A37" s="1681"/>
      <c r="B37" s="1682"/>
      <c r="C37" s="1587" t="s">
        <v>216</v>
      </c>
      <c r="D37" s="1588" t="s">
        <v>166</v>
      </c>
      <c r="E37" s="1588"/>
      <c r="F37" s="1588"/>
      <c r="G37" s="1588"/>
      <c r="H37" s="1588">
        <v>0.02</v>
      </c>
      <c r="I37" s="1589"/>
      <c r="J37" s="1257">
        <f t="shared" si="1"/>
        <v>0.02</v>
      </c>
      <c r="K37" s="1590">
        <v>1.02</v>
      </c>
      <c r="L37" s="1591">
        <f t="shared" si="9"/>
        <v>2.0400000000000001E-2</v>
      </c>
      <c r="M37" s="1519">
        <v>25.5</v>
      </c>
      <c r="O37" s="1581"/>
      <c r="P37" s="1582"/>
      <c r="Q37" s="1592" t="s">
        <v>216</v>
      </c>
      <c r="R37" s="1550" t="s">
        <v>166</v>
      </c>
      <c r="S37" s="1592"/>
      <c r="T37" s="1592"/>
      <c r="U37" s="1592"/>
      <c r="V37" s="1592">
        <v>0.02</v>
      </c>
      <c r="W37" s="1592"/>
      <c r="X37" s="1592">
        <f t="shared" si="10"/>
        <v>0.02</v>
      </c>
      <c r="Y37" s="1592">
        <v>1.02</v>
      </c>
      <c r="Z37" s="1593">
        <f t="shared" si="3"/>
        <v>2.0400000000000001E-2</v>
      </c>
    </row>
    <row r="38" spans="1:26" ht="25.5" customHeight="1">
      <c r="A38" s="1681"/>
      <c r="B38" s="1682"/>
      <c r="C38" s="1587" t="s">
        <v>213</v>
      </c>
      <c r="D38" s="1588"/>
      <c r="E38" s="1588"/>
      <c r="F38" s="1588"/>
      <c r="G38" s="1588"/>
      <c r="H38" s="1588"/>
      <c r="I38" s="1589"/>
      <c r="J38" s="1257" t="str">
        <f t="shared" si="1"/>
        <v/>
      </c>
      <c r="K38" s="1590"/>
      <c r="L38" s="1591" t="str">
        <f t="shared" si="9"/>
        <v/>
      </c>
      <c r="M38" s="1519">
        <v>25.5</v>
      </c>
      <c r="O38" s="1581"/>
      <c r="P38" s="1582"/>
      <c r="Q38" s="1592" t="s">
        <v>213</v>
      </c>
      <c r="R38" s="1550"/>
      <c r="S38" s="1592"/>
      <c r="T38" s="1592"/>
      <c r="U38" s="1592"/>
      <c r="V38" s="1592"/>
      <c r="W38" s="1592"/>
      <c r="X38" s="1592" t="str">
        <f t="shared" si="10"/>
        <v/>
      </c>
      <c r="Y38" s="1592"/>
      <c r="Z38" s="1593">
        <f t="shared" si="3"/>
        <v>0</v>
      </c>
    </row>
    <row r="39" spans="1:26" ht="25.5" customHeight="1">
      <c r="A39" s="1681"/>
      <c r="B39" s="1682"/>
      <c r="C39" s="1587" t="s">
        <v>2077</v>
      </c>
      <c r="D39" s="1588"/>
      <c r="E39" s="1588"/>
      <c r="F39" s="1588"/>
      <c r="G39" s="1588"/>
      <c r="H39" s="1588"/>
      <c r="I39" s="1589"/>
      <c r="J39" s="1257" t="str">
        <f t="shared" si="1"/>
        <v/>
      </c>
      <c r="K39" s="1590"/>
      <c r="L39" s="1591" t="str">
        <f t="shared" si="9"/>
        <v/>
      </c>
      <c r="M39" s="1519">
        <v>25.5</v>
      </c>
      <c r="O39" s="1581"/>
      <c r="P39" s="1582"/>
      <c r="Q39" s="1592" t="s">
        <v>2077</v>
      </c>
      <c r="R39" s="1550"/>
      <c r="S39" s="1592"/>
      <c r="T39" s="1592"/>
      <c r="U39" s="1592"/>
      <c r="V39" s="1592"/>
      <c r="W39" s="1592"/>
      <c r="X39" s="1592" t="str">
        <f t="shared" si="10"/>
        <v/>
      </c>
      <c r="Y39" s="1592"/>
      <c r="Z39" s="1593">
        <f t="shared" si="3"/>
        <v>0</v>
      </c>
    </row>
    <row r="40" spans="1:26" ht="25.5" customHeight="1">
      <c r="A40" s="1681"/>
      <c r="B40" s="1682"/>
      <c r="C40" s="1587" t="s">
        <v>2078</v>
      </c>
      <c r="D40" s="1588" t="s">
        <v>214</v>
      </c>
      <c r="E40" s="1588"/>
      <c r="F40" s="1588"/>
      <c r="G40" s="1588" t="s">
        <v>214</v>
      </c>
      <c r="H40" s="1588"/>
      <c r="I40" s="1589"/>
      <c r="J40" s="1257" t="str">
        <f t="shared" si="1"/>
        <v/>
      </c>
      <c r="K40" s="1697"/>
      <c r="L40" s="1591" t="str">
        <f t="shared" si="9"/>
        <v/>
      </c>
      <c r="M40" s="1519">
        <v>25.5</v>
      </c>
      <c r="O40" s="1581"/>
      <c r="P40" s="1582"/>
      <c r="Q40" s="1592" t="s">
        <v>2078</v>
      </c>
      <c r="R40" s="1550" t="s">
        <v>214</v>
      </c>
      <c r="S40" s="1592"/>
      <c r="T40" s="1592"/>
      <c r="U40" s="1592" t="s">
        <v>214</v>
      </c>
      <c r="V40" s="1592"/>
      <c r="W40" s="1592"/>
      <c r="X40" s="1592" t="str">
        <f t="shared" si="10"/>
        <v/>
      </c>
      <c r="Y40" s="1592"/>
      <c r="Z40" s="1593">
        <f t="shared" si="3"/>
        <v>0</v>
      </c>
    </row>
    <row r="41" spans="1:26" ht="25.5" customHeight="1">
      <c r="A41" s="1681"/>
      <c r="B41" s="1682"/>
      <c r="C41" s="1587"/>
      <c r="D41" s="1588"/>
      <c r="E41" s="1588"/>
      <c r="F41" s="1588"/>
      <c r="G41" s="1588"/>
      <c r="H41" s="1588"/>
      <c r="I41" s="1589"/>
      <c r="J41" s="1257" t="str">
        <f t="shared" si="1"/>
        <v/>
      </c>
      <c r="K41" s="1590"/>
      <c r="L41" s="1591" t="str">
        <f t="shared" si="9"/>
        <v/>
      </c>
      <c r="M41" s="1519">
        <v>25.5</v>
      </c>
      <c r="O41" s="1581"/>
      <c r="P41" s="1582"/>
      <c r="Q41" s="1592"/>
      <c r="R41" s="1550"/>
      <c r="S41" s="1592"/>
      <c r="T41" s="1592"/>
      <c r="U41" s="1592"/>
      <c r="V41" s="1592"/>
      <c r="W41" s="1592"/>
      <c r="X41" s="1592" t="str">
        <f t="shared" si="10"/>
        <v/>
      </c>
      <c r="Y41" s="1592"/>
      <c r="Z41" s="1593">
        <f t="shared" si="3"/>
        <v>0</v>
      </c>
    </row>
    <row r="42" spans="1:26" ht="25.5" customHeight="1">
      <c r="A42" s="1681"/>
      <c r="B42" s="1682"/>
      <c r="C42" s="1587"/>
      <c r="D42" s="1588"/>
      <c r="E42" s="1588"/>
      <c r="F42" s="1588"/>
      <c r="G42" s="1588"/>
      <c r="H42" s="1588"/>
      <c r="I42" s="1589"/>
      <c r="J42" s="1257" t="str">
        <f t="shared" si="1"/>
        <v/>
      </c>
      <c r="K42" s="1590"/>
      <c r="L42" s="1591" t="str">
        <f t="shared" si="9"/>
        <v/>
      </c>
      <c r="M42" s="1519">
        <v>25.5</v>
      </c>
      <c r="O42" s="1581"/>
      <c r="P42" s="1582"/>
      <c r="Q42" s="1592"/>
      <c r="R42" s="1550"/>
      <c r="S42" s="1592"/>
      <c r="T42" s="1592"/>
      <c r="U42" s="1592"/>
      <c r="V42" s="1592"/>
      <c r="W42" s="1592"/>
      <c r="X42" s="1592" t="str">
        <f t="shared" si="10"/>
        <v/>
      </c>
      <c r="Y42" s="1592"/>
      <c r="Z42" s="1593">
        <f t="shared" si="3"/>
        <v>0</v>
      </c>
    </row>
    <row r="43" spans="1:26" ht="25.5" customHeight="1">
      <c r="A43" s="1681"/>
      <c r="B43" s="1682"/>
      <c r="C43" s="1587"/>
      <c r="D43" s="1588"/>
      <c r="E43" s="1588"/>
      <c r="F43" s="1588"/>
      <c r="G43" s="1588"/>
      <c r="H43" s="1588"/>
      <c r="I43" s="1589"/>
      <c r="J43" s="1257" t="str">
        <f t="shared" si="1"/>
        <v/>
      </c>
      <c r="K43" s="1590"/>
      <c r="L43" s="1591" t="str">
        <f t="shared" si="9"/>
        <v/>
      </c>
      <c r="M43" s="1519">
        <v>25.5</v>
      </c>
      <c r="O43" s="1581"/>
      <c r="P43" s="1582"/>
      <c r="Q43" s="1592"/>
      <c r="R43" s="1550"/>
      <c r="S43" s="1592"/>
      <c r="T43" s="1592"/>
      <c r="U43" s="1592"/>
      <c r="V43" s="1592"/>
      <c r="W43" s="1592"/>
      <c r="X43" s="1592" t="str">
        <f t="shared" si="10"/>
        <v/>
      </c>
      <c r="Y43" s="1592"/>
      <c r="Z43" s="1593">
        <f t="shared" si="3"/>
        <v>0</v>
      </c>
    </row>
    <row r="44" spans="1:26" ht="25.5" customHeight="1">
      <c r="A44" s="1681"/>
      <c r="B44" s="1682"/>
      <c r="C44" s="1587"/>
      <c r="D44" s="1588"/>
      <c r="E44" s="1588"/>
      <c r="F44" s="1588"/>
      <c r="G44" s="1588"/>
      <c r="H44" s="1588"/>
      <c r="I44" s="1589"/>
      <c r="J44" s="1257" t="str">
        <f t="shared" si="1"/>
        <v/>
      </c>
      <c r="K44" s="1590"/>
      <c r="L44" s="1591" t="str">
        <f t="shared" si="9"/>
        <v/>
      </c>
      <c r="M44" s="1519">
        <v>25.5</v>
      </c>
      <c r="O44" s="1581"/>
      <c r="P44" s="1582"/>
      <c r="Q44" s="1592"/>
      <c r="R44" s="1550"/>
      <c r="S44" s="1592"/>
      <c r="T44" s="1592"/>
      <c r="U44" s="1592"/>
      <c r="V44" s="1592"/>
      <c r="W44" s="1592"/>
      <c r="X44" s="1592" t="str">
        <f t="shared" si="10"/>
        <v/>
      </c>
      <c r="Y44" s="1592"/>
      <c r="Z44" s="1593">
        <f t="shared" si="3"/>
        <v>0</v>
      </c>
    </row>
    <row r="45" spans="1:26" ht="25.5" customHeight="1">
      <c r="A45" s="1681"/>
      <c r="B45" s="1682"/>
      <c r="C45" s="1587"/>
      <c r="D45" s="1588"/>
      <c r="E45" s="1588"/>
      <c r="F45" s="1588"/>
      <c r="G45" s="1588"/>
      <c r="H45" s="1588"/>
      <c r="I45" s="1589"/>
      <c r="J45" s="1257" t="str">
        <f t="shared" si="1"/>
        <v/>
      </c>
      <c r="K45" s="1590"/>
      <c r="L45" s="1591" t="str">
        <f t="shared" si="9"/>
        <v/>
      </c>
      <c r="M45" s="1519">
        <v>25.5</v>
      </c>
      <c r="O45" s="1581"/>
      <c r="P45" s="1582"/>
      <c r="Q45" s="1592"/>
      <c r="R45" s="1550"/>
      <c r="S45" s="1592"/>
      <c r="T45" s="1592"/>
      <c r="U45" s="1592"/>
      <c r="V45" s="1592"/>
      <c r="W45" s="1592"/>
      <c r="X45" s="1592" t="str">
        <f t="shared" si="10"/>
        <v/>
      </c>
      <c r="Y45" s="1592"/>
      <c r="Z45" s="1593">
        <f t="shared" si="3"/>
        <v>0</v>
      </c>
    </row>
    <row r="46" spans="1:26" ht="25.5" customHeight="1">
      <c r="A46" s="1689"/>
      <c r="B46" s="1682"/>
      <c r="C46" s="1587"/>
      <c r="D46" s="1588"/>
      <c r="E46" s="1588"/>
      <c r="F46" s="1588"/>
      <c r="G46" s="1588"/>
      <c r="H46" s="1588"/>
      <c r="I46" s="1589"/>
      <c r="J46" s="1257" t="str">
        <f t="shared" si="1"/>
        <v/>
      </c>
      <c r="K46" s="1590"/>
      <c r="L46" s="1591" t="str">
        <f t="shared" si="9"/>
        <v/>
      </c>
      <c r="M46" s="1519">
        <v>25.5</v>
      </c>
      <c r="O46" s="1520"/>
      <c r="P46" s="1582"/>
      <c r="Q46" s="1592"/>
      <c r="R46" s="1550"/>
      <c r="S46" s="1610"/>
      <c r="T46" s="1610"/>
      <c r="U46" s="1610"/>
      <c r="V46" s="1610"/>
      <c r="W46" s="1610"/>
      <c r="X46" s="1610" t="str">
        <f t="shared" si="10"/>
        <v/>
      </c>
      <c r="Y46" s="1592"/>
      <c r="Z46" s="1611">
        <f t="shared" si="3"/>
        <v>0</v>
      </c>
    </row>
    <row r="47" spans="1:26" ht="25.5" customHeight="1">
      <c r="A47" s="1614"/>
      <c r="B47" s="1690" t="s">
        <v>1480</v>
      </c>
      <c r="C47" s="1615"/>
      <c r="D47" s="1615"/>
      <c r="E47" s="1615"/>
      <c r="F47" s="1615"/>
      <c r="G47" s="1614"/>
      <c r="H47" s="1615"/>
      <c r="I47" s="1615"/>
      <c r="J47" s="1615" t="str">
        <f t="shared" ref="J47" si="11">IF(SUM(E47:I47)=0,"",SUM(E47:I47))</f>
        <v/>
      </c>
      <c r="K47" s="1615" t="s">
        <v>2411</v>
      </c>
      <c r="L47" s="1616" t="str">
        <f>IF(J47="","",(J47*K47))</f>
        <v/>
      </c>
      <c r="M47" s="1519">
        <v>25.5</v>
      </c>
      <c r="O47" s="1533"/>
      <c r="P47" s="1617" t="s">
        <v>1480</v>
      </c>
      <c r="Q47" s="1536"/>
      <c r="R47" s="1536"/>
      <c r="S47" s="1192"/>
      <c r="T47" s="1192"/>
      <c r="U47" s="1533"/>
      <c r="V47" s="1536"/>
      <c r="W47" s="1536"/>
      <c r="X47" s="1536" t="str">
        <f t="shared" si="10"/>
        <v/>
      </c>
      <c r="Y47" s="1536" t="s">
        <v>2411</v>
      </c>
      <c r="Z47" s="1616" t="str">
        <f>IF(X47="","",(X47*Y47))</f>
        <v/>
      </c>
    </row>
    <row r="48" spans="1:26" ht="25.5" customHeight="1">
      <c r="A48" s="1681"/>
      <c r="B48" s="1618" t="s">
        <v>2079</v>
      </c>
      <c r="C48" s="1619"/>
      <c r="D48" s="1618"/>
      <c r="E48" s="1619"/>
      <c r="F48" s="1619"/>
      <c r="G48" s="3522" t="s">
        <v>2288</v>
      </c>
      <c r="H48" s="3523"/>
      <c r="I48" s="1620">
        <f>I2</f>
        <v>10</v>
      </c>
      <c r="J48" s="1621"/>
      <c r="K48" s="1621"/>
      <c r="L48" s="1622">
        <f>SUM(L8:L46)</f>
        <v>76.23439999999998</v>
      </c>
      <c r="M48" s="1519">
        <v>25.5</v>
      </c>
      <c r="O48" s="1581"/>
      <c r="P48" s="1352" t="s">
        <v>2079</v>
      </c>
      <c r="Q48" s="1623"/>
      <c r="R48" s="1192"/>
      <c r="S48" s="1623"/>
      <c r="T48" s="1623"/>
      <c r="U48" s="1624" t="s">
        <v>1482</v>
      </c>
      <c r="V48" s="1625"/>
      <c r="W48" s="1625"/>
      <c r="X48" s="1625"/>
      <c r="Y48" s="1625"/>
      <c r="Z48" s="1626">
        <f>SUM(Z8:Z47)</f>
        <v>76.23439999999998</v>
      </c>
    </row>
    <row r="49" spans="1:26" ht="25.5" customHeight="1">
      <c r="A49" s="1681"/>
      <c r="B49" s="1618"/>
      <c r="C49" s="1618"/>
      <c r="D49" s="1618"/>
      <c r="E49" s="1618"/>
      <c r="F49" s="1618"/>
      <c r="G49" s="3548" t="s">
        <v>1483</v>
      </c>
      <c r="H49" s="3549"/>
      <c r="I49" s="3549"/>
      <c r="J49" s="3549"/>
      <c r="K49" s="1627">
        <v>0.02</v>
      </c>
      <c r="L49" s="1622">
        <f>L48*K49</f>
        <v>1.5246879999999996</v>
      </c>
      <c r="M49" s="1519">
        <v>25.5</v>
      </c>
      <c r="O49" s="1581"/>
      <c r="P49" s="1352"/>
      <c r="Q49" s="1192"/>
      <c r="R49" s="1192"/>
      <c r="S49" s="1192"/>
      <c r="T49" s="1192"/>
      <c r="U49" s="1628" t="s">
        <v>1483</v>
      </c>
      <c r="V49" s="1192"/>
      <c r="W49" s="1192"/>
      <c r="X49" s="1192"/>
      <c r="Y49" s="1192"/>
      <c r="Z49" s="1537"/>
    </row>
    <row r="50" spans="1:26" ht="25.5" customHeight="1" thickBot="1">
      <c r="A50" s="1689"/>
      <c r="B50" s="1694" t="s">
        <v>2048</v>
      </c>
      <c r="C50" s="1694"/>
      <c r="D50" s="1694"/>
      <c r="E50" s="1694"/>
      <c r="F50" s="1694"/>
      <c r="G50" s="3614" t="s">
        <v>2289</v>
      </c>
      <c r="H50" s="3615"/>
      <c r="I50" s="3615"/>
      <c r="J50" s="3615"/>
      <c r="K50" s="1630"/>
      <c r="L50" s="1631">
        <f>(L48+L49)/I48</f>
        <v>7.7759087999999981</v>
      </c>
      <c r="M50" s="1519">
        <v>25.5</v>
      </c>
      <c r="O50" s="1520"/>
      <c r="P50" s="1632" t="s">
        <v>2048</v>
      </c>
      <c r="Q50" s="1633"/>
      <c r="R50" s="1633"/>
      <c r="S50" s="1633"/>
      <c r="T50" s="1633"/>
      <c r="U50" s="1634" t="s">
        <v>1484</v>
      </c>
      <c r="V50" s="1633"/>
      <c r="W50" s="1633"/>
      <c r="X50" s="1633"/>
      <c r="Y50" s="1635"/>
      <c r="Z50" s="1636">
        <f>Z48/W2</f>
        <v>7.6234399999999978</v>
      </c>
    </row>
    <row r="51" spans="1:26">
      <c r="M51" s="1519"/>
    </row>
    <row r="52" spans="1:26">
      <c r="M52" s="1519"/>
    </row>
    <row r="53" spans="1:26">
      <c r="M53" s="1519"/>
    </row>
    <row r="54" spans="1:26">
      <c r="M54" s="1519"/>
    </row>
    <row r="55" spans="1:26">
      <c r="M55" s="1519"/>
    </row>
    <row r="56" spans="1:26">
      <c r="M56" s="1519"/>
    </row>
    <row r="57" spans="1:26">
      <c r="M57" s="1519"/>
    </row>
    <row r="58" spans="1:26">
      <c r="M58" s="1519"/>
    </row>
    <row r="59" spans="1:26">
      <c r="M59" s="1519"/>
    </row>
    <row r="60" spans="1:26">
      <c r="M60" s="1519"/>
    </row>
    <row r="61" spans="1:26">
      <c r="M61" s="1519"/>
    </row>
    <row r="62" spans="1:26">
      <c r="M62" s="1519"/>
    </row>
    <row r="63" spans="1:26">
      <c r="M63" s="1519"/>
    </row>
    <row r="64" spans="1:26">
      <c r="M64" s="1519"/>
    </row>
    <row r="65" spans="13:13">
      <c r="M65" s="1519"/>
    </row>
    <row r="66" spans="13:13">
      <c r="M66" s="1519"/>
    </row>
    <row r="67" spans="13:13">
      <c r="M67" s="1519"/>
    </row>
    <row r="68" spans="13:13">
      <c r="M68" s="1519"/>
    </row>
    <row r="69" spans="13:13">
      <c r="M69" s="1519"/>
    </row>
    <row r="70" spans="13:13">
      <c r="M70" s="1519"/>
    </row>
    <row r="71" spans="13:13">
      <c r="M71" s="1519"/>
    </row>
    <row r="72" spans="13:13">
      <c r="M72" s="1519"/>
    </row>
    <row r="73" spans="13:13">
      <c r="M73" s="1519"/>
    </row>
    <row r="74" spans="13:13">
      <c r="M74" s="1519"/>
    </row>
    <row r="75" spans="13:13">
      <c r="M75" s="1519"/>
    </row>
    <row r="76" spans="13:13">
      <c r="M76" s="1519"/>
    </row>
    <row r="77" spans="13:13">
      <c r="M77" s="1519"/>
    </row>
    <row r="78" spans="13:13">
      <c r="M78" s="1519"/>
    </row>
    <row r="79" spans="13:13">
      <c r="M79" s="1519"/>
    </row>
    <row r="80" spans="1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8">
    <mergeCell ref="O1:Z1"/>
    <mergeCell ref="G50:J50"/>
    <mergeCell ref="B2:G2"/>
    <mergeCell ref="B4:E4"/>
    <mergeCell ref="P2:U2"/>
    <mergeCell ref="P4:S4"/>
    <mergeCell ref="G48:H48"/>
    <mergeCell ref="G49:J49"/>
  </mergeCells>
  <printOptions horizontalCentered="1" verticalCentered="1"/>
  <pageMargins left="0.25" right="0.25" top="0.75" bottom="0.75" header="0.3" footer="0.3"/>
  <pageSetup paperSize="9" scale="51" orientation="portrait" horizontalDpi="300" verticalDpi="300" r:id="rId1"/>
  <headerFooter>
    <oddHeader>&amp;L&amp;"Copperplate Gothic Light,Normal"&amp;8fiche technique &amp;R2TSB</oddHeader>
  </headerFooter>
  <colBreaks count="1" manualBreakCount="1">
    <brk id="12" max="49"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578DF-A624-4E7D-9054-E71A4EFB8D5F}">
  <dimension ref="A1:AA98"/>
  <sheetViews>
    <sheetView showZeros="0" zoomScaleNormal="100" workbookViewId="0">
      <selection activeCell="D5" sqref="D5"/>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0.7109375" style="1281" customWidth="1"/>
    <col min="18" max="18" width="16.28515625" style="1281" customWidth="1"/>
    <col min="19" max="19" width="2.85546875" style="1281" customWidth="1"/>
    <col min="20" max="20" width="5.7109375" style="1281" customWidth="1"/>
    <col min="21" max="21" width="4.7109375" style="1281" customWidth="1"/>
    <col min="22" max="22" width="6.7109375" style="1281" customWidth="1"/>
    <col min="23" max="23" width="5.42578125" style="1281" customWidth="1"/>
    <col min="24" max="24" width="3.85546875" style="1281" customWidth="1"/>
    <col min="25" max="25" width="4.85546875" style="1281" customWidth="1"/>
    <col min="26" max="26" width="4.140625" style="1281" customWidth="1"/>
    <col min="27" max="27" width="3.42578125" style="1281" customWidth="1"/>
    <col min="28" max="256" width="11.42578125" style="1281"/>
    <col min="257" max="257" width="0" style="1281" hidden="1" customWidth="1"/>
    <col min="258" max="258" width="33.42578125" style="1281" customWidth="1"/>
    <col min="259" max="259" width="16.28515625" style="1281" customWidth="1"/>
    <col min="260" max="260" width="2.85546875" style="1281" customWidth="1"/>
    <col min="261" max="261" width="5.7109375" style="1281" customWidth="1"/>
    <col min="262" max="262" width="4.7109375" style="1281" customWidth="1"/>
    <col min="263" max="263" width="6.7109375" style="1281" customWidth="1"/>
    <col min="264" max="264" width="5.42578125" style="1281" customWidth="1"/>
    <col min="265" max="265" width="3.85546875" style="1281" customWidth="1"/>
    <col min="266" max="266" width="4.85546875" style="1281" customWidth="1"/>
    <col min="267" max="267" width="4.140625" style="1281" customWidth="1"/>
    <col min="268" max="268" width="3.42578125" style="1281" customWidth="1"/>
    <col min="269" max="512" width="11.42578125" style="1281"/>
    <col min="513" max="513" width="0" style="1281" hidden="1" customWidth="1"/>
    <col min="514" max="514" width="33.42578125" style="1281" customWidth="1"/>
    <col min="515" max="515" width="16.28515625" style="1281" customWidth="1"/>
    <col min="516" max="516" width="2.85546875" style="1281" customWidth="1"/>
    <col min="517" max="517" width="5.7109375" style="1281" customWidth="1"/>
    <col min="518" max="518" width="4.7109375" style="1281" customWidth="1"/>
    <col min="519" max="519" width="6.7109375" style="1281" customWidth="1"/>
    <col min="520" max="520" width="5.42578125" style="1281" customWidth="1"/>
    <col min="521" max="521" width="3.85546875" style="1281" customWidth="1"/>
    <col min="522" max="522" width="4.85546875" style="1281" customWidth="1"/>
    <col min="523" max="523" width="4.140625" style="1281" customWidth="1"/>
    <col min="524" max="524" width="3.42578125" style="1281" customWidth="1"/>
    <col min="525" max="768" width="11.42578125" style="1281"/>
    <col min="769" max="769" width="0" style="1281" hidden="1" customWidth="1"/>
    <col min="770" max="770" width="33.42578125" style="1281" customWidth="1"/>
    <col min="771" max="771" width="16.28515625" style="1281" customWidth="1"/>
    <col min="772" max="772" width="2.85546875" style="1281" customWidth="1"/>
    <col min="773" max="773" width="5.7109375" style="1281" customWidth="1"/>
    <col min="774" max="774" width="4.7109375" style="1281" customWidth="1"/>
    <col min="775" max="775" width="6.7109375" style="1281" customWidth="1"/>
    <col min="776" max="776" width="5.42578125" style="1281" customWidth="1"/>
    <col min="777" max="777" width="3.85546875" style="1281" customWidth="1"/>
    <col min="778" max="778" width="4.85546875" style="1281" customWidth="1"/>
    <col min="779" max="779" width="4.140625" style="1281" customWidth="1"/>
    <col min="780" max="780" width="3.42578125" style="1281" customWidth="1"/>
    <col min="781" max="1024" width="11.42578125" style="1281"/>
    <col min="1025" max="1025" width="0" style="1281" hidden="1" customWidth="1"/>
    <col min="1026" max="1026" width="33.42578125" style="1281" customWidth="1"/>
    <col min="1027" max="1027" width="16.28515625" style="1281" customWidth="1"/>
    <col min="1028" max="1028" width="2.85546875" style="1281" customWidth="1"/>
    <col min="1029" max="1029" width="5.7109375" style="1281" customWidth="1"/>
    <col min="1030" max="1030" width="4.7109375" style="1281" customWidth="1"/>
    <col min="1031" max="1031" width="6.7109375" style="1281" customWidth="1"/>
    <col min="1032" max="1032" width="5.42578125" style="1281" customWidth="1"/>
    <col min="1033" max="1033" width="3.85546875" style="1281" customWidth="1"/>
    <col min="1034" max="1034" width="4.85546875" style="1281" customWidth="1"/>
    <col min="1035" max="1035" width="4.140625" style="1281" customWidth="1"/>
    <col min="1036" max="1036" width="3.42578125" style="1281" customWidth="1"/>
    <col min="1037" max="1280" width="11.42578125" style="1281"/>
    <col min="1281" max="1281" width="0" style="1281" hidden="1" customWidth="1"/>
    <col min="1282" max="1282" width="33.42578125" style="1281" customWidth="1"/>
    <col min="1283" max="1283" width="16.28515625" style="1281" customWidth="1"/>
    <col min="1284" max="1284" width="2.85546875" style="1281" customWidth="1"/>
    <col min="1285" max="1285" width="5.7109375" style="1281" customWidth="1"/>
    <col min="1286" max="1286" width="4.7109375" style="1281" customWidth="1"/>
    <col min="1287" max="1287" width="6.7109375" style="1281" customWidth="1"/>
    <col min="1288" max="1288" width="5.42578125" style="1281" customWidth="1"/>
    <col min="1289" max="1289" width="3.85546875" style="1281" customWidth="1"/>
    <col min="1290" max="1290" width="4.85546875" style="1281" customWidth="1"/>
    <col min="1291" max="1291" width="4.140625" style="1281" customWidth="1"/>
    <col min="1292" max="1292" width="3.42578125" style="1281" customWidth="1"/>
    <col min="1293" max="1536" width="11.42578125" style="1281"/>
    <col min="1537" max="1537" width="0" style="1281" hidden="1" customWidth="1"/>
    <col min="1538" max="1538" width="33.42578125" style="1281" customWidth="1"/>
    <col min="1539" max="1539" width="16.28515625" style="1281" customWidth="1"/>
    <col min="1540" max="1540" width="2.85546875" style="1281" customWidth="1"/>
    <col min="1541" max="1541" width="5.7109375" style="1281" customWidth="1"/>
    <col min="1542" max="1542" width="4.7109375" style="1281" customWidth="1"/>
    <col min="1543" max="1543" width="6.7109375" style="1281" customWidth="1"/>
    <col min="1544" max="1544" width="5.42578125" style="1281" customWidth="1"/>
    <col min="1545" max="1545" width="3.85546875" style="1281" customWidth="1"/>
    <col min="1546" max="1546" width="4.85546875" style="1281" customWidth="1"/>
    <col min="1547" max="1547" width="4.140625" style="1281" customWidth="1"/>
    <col min="1548" max="1548" width="3.42578125" style="1281" customWidth="1"/>
    <col min="1549" max="1792" width="11.42578125" style="1281"/>
    <col min="1793" max="1793" width="0" style="1281" hidden="1" customWidth="1"/>
    <col min="1794" max="1794" width="33.42578125" style="1281" customWidth="1"/>
    <col min="1795" max="1795" width="16.28515625" style="1281" customWidth="1"/>
    <col min="1796" max="1796" width="2.85546875" style="1281" customWidth="1"/>
    <col min="1797" max="1797" width="5.7109375" style="1281" customWidth="1"/>
    <col min="1798" max="1798" width="4.7109375" style="1281" customWidth="1"/>
    <col min="1799" max="1799" width="6.7109375" style="1281" customWidth="1"/>
    <col min="1800" max="1800" width="5.42578125" style="1281" customWidth="1"/>
    <col min="1801" max="1801" width="3.85546875" style="1281" customWidth="1"/>
    <col min="1802" max="1802" width="4.85546875" style="1281" customWidth="1"/>
    <col min="1803" max="1803" width="4.140625" style="1281" customWidth="1"/>
    <col min="1804" max="1804" width="3.42578125" style="1281" customWidth="1"/>
    <col min="1805" max="2048" width="11.42578125" style="1281"/>
    <col min="2049" max="2049" width="0" style="1281" hidden="1" customWidth="1"/>
    <col min="2050" max="2050" width="33.42578125" style="1281" customWidth="1"/>
    <col min="2051" max="2051" width="16.28515625" style="1281" customWidth="1"/>
    <col min="2052" max="2052" width="2.85546875" style="1281" customWidth="1"/>
    <col min="2053" max="2053" width="5.7109375" style="1281" customWidth="1"/>
    <col min="2054" max="2054" width="4.7109375" style="1281" customWidth="1"/>
    <col min="2055" max="2055" width="6.7109375" style="1281" customWidth="1"/>
    <col min="2056" max="2056" width="5.42578125" style="1281" customWidth="1"/>
    <col min="2057" max="2057" width="3.85546875" style="1281" customWidth="1"/>
    <col min="2058" max="2058" width="4.85546875" style="1281" customWidth="1"/>
    <col min="2059" max="2059" width="4.140625" style="1281" customWidth="1"/>
    <col min="2060" max="2060" width="3.42578125" style="1281" customWidth="1"/>
    <col min="2061" max="2304" width="11.42578125" style="1281"/>
    <col min="2305" max="2305" width="0" style="1281" hidden="1" customWidth="1"/>
    <col min="2306" max="2306" width="33.42578125" style="1281" customWidth="1"/>
    <col min="2307" max="2307" width="16.28515625" style="1281" customWidth="1"/>
    <col min="2308" max="2308" width="2.85546875" style="1281" customWidth="1"/>
    <col min="2309" max="2309" width="5.7109375" style="1281" customWidth="1"/>
    <col min="2310" max="2310" width="4.7109375" style="1281" customWidth="1"/>
    <col min="2311" max="2311" width="6.7109375" style="1281" customWidth="1"/>
    <col min="2312" max="2312" width="5.42578125" style="1281" customWidth="1"/>
    <col min="2313" max="2313" width="3.85546875" style="1281" customWidth="1"/>
    <col min="2314" max="2314" width="4.85546875" style="1281" customWidth="1"/>
    <col min="2315" max="2315" width="4.140625" style="1281" customWidth="1"/>
    <col min="2316" max="2316" width="3.42578125" style="1281" customWidth="1"/>
    <col min="2317" max="2560" width="11.42578125" style="1281"/>
    <col min="2561" max="2561" width="0" style="1281" hidden="1" customWidth="1"/>
    <col min="2562" max="2562" width="33.42578125" style="1281" customWidth="1"/>
    <col min="2563" max="2563" width="16.28515625" style="1281" customWidth="1"/>
    <col min="2564" max="2564" width="2.85546875" style="1281" customWidth="1"/>
    <col min="2565" max="2565" width="5.7109375" style="1281" customWidth="1"/>
    <col min="2566" max="2566" width="4.7109375" style="1281" customWidth="1"/>
    <col min="2567" max="2567" width="6.7109375" style="1281" customWidth="1"/>
    <col min="2568" max="2568" width="5.42578125" style="1281" customWidth="1"/>
    <col min="2569" max="2569" width="3.85546875" style="1281" customWidth="1"/>
    <col min="2570" max="2570" width="4.85546875" style="1281" customWidth="1"/>
    <col min="2571" max="2571" width="4.140625" style="1281" customWidth="1"/>
    <col min="2572" max="2572" width="3.42578125" style="1281" customWidth="1"/>
    <col min="2573" max="2816" width="11.42578125" style="1281"/>
    <col min="2817" max="2817" width="0" style="1281" hidden="1" customWidth="1"/>
    <col min="2818" max="2818" width="33.42578125" style="1281" customWidth="1"/>
    <col min="2819" max="2819" width="16.28515625" style="1281" customWidth="1"/>
    <col min="2820" max="2820" width="2.85546875" style="1281" customWidth="1"/>
    <col min="2821" max="2821" width="5.7109375" style="1281" customWidth="1"/>
    <col min="2822" max="2822" width="4.7109375" style="1281" customWidth="1"/>
    <col min="2823" max="2823" width="6.7109375" style="1281" customWidth="1"/>
    <col min="2824" max="2824" width="5.42578125" style="1281" customWidth="1"/>
    <col min="2825" max="2825" width="3.85546875" style="1281" customWidth="1"/>
    <col min="2826" max="2826" width="4.85546875" style="1281" customWidth="1"/>
    <col min="2827" max="2827" width="4.140625" style="1281" customWidth="1"/>
    <col min="2828" max="2828" width="3.42578125" style="1281" customWidth="1"/>
    <col min="2829" max="3072" width="11.42578125" style="1281"/>
    <col min="3073" max="3073" width="0" style="1281" hidden="1" customWidth="1"/>
    <col min="3074" max="3074" width="33.42578125" style="1281" customWidth="1"/>
    <col min="3075" max="3075" width="16.28515625" style="1281" customWidth="1"/>
    <col min="3076" max="3076" width="2.85546875" style="1281" customWidth="1"/>
    <col min="3077" max="3077" width="5.7109375" style="1281" customWidth="1"/>
    <col min="3078" max="3078" width="4.7109375" style="1281" customWidth="1"/>
    <col min="3079" max="3079" width="6.7109375" style="1281" customWidth="1"/>
    <col min="3080" max="3080" width="5.42578125" style="1281" customWidth="1"/>
    <col min="3081" max="3081" width="3.85546875" style="1281" customWidth="1"/>
    <col min="3082" max="3082" width="4.85546875" style="1281" customWidth="1"/>
    <col min="3083" max="3083" width="4.140625" style="1281" customWidth="1"/>
    <col min="3084" max="3084" width="3.42578125" style="1281" customWidth="1"/>
    <col min="3085" max="3328" width="11.42578125" style="1281"/>
    <col min="3329" max="3329" width="0" style="1281" hidden="1" customWidth="1"/>
    <col min="3330" max="3330" width="33.42578125" style="1281" customWidth="1"/>
    <col min="3331" max="3331" width="16.28515625" style="1281" customWidth="1"/>
    <col min="3332" max="3332" width="2.85546875" style="1281" customWidth="1"/>
    <col min="3333" max="3333" width="5.7109375" style="1281" customWidth="1"/>
    <col min="3334" max="3334" width="4.7109375" style="1281" customWidth="1"/>
    <col min="3335" max="3335" width="6.7109375" style="1281" customWidth="1"/>
    <col min="3336" max="3336" width="5.42578125" style="1281" customWidth="1"/>
    <col min="3337" max="3337" width="3.85546875" style="1281" customWidth="1"/>
    <col min="3338" max="3338" width="4.85546875" style="1281" customWidth="1"/>
    <col min="3339" max="3339" width="4.140625" style="1281" customWidth="1"/>
    <col min="3340" max="3340" width="3.42578125" style="1281" customWidth="1"/>
    <col min="3341" max="3584" width="11.42578125" style="1281"/>
    <col min="3585" max="3585" width="0" style="1281" hidden="1" customWidth="1"/>
    <col min="3586" max="3586" width="33.42578125" style="1281" customWidth="1"/>
    <col min="3587" max="3587" width="16.28515625" style="1281" customWidth="1"/>
    <col min="3588" max="3588" width="2.85546875" style="1281" customWidth="1"/>
    <col min="3589" max="3589" width="5.7109375" style="1281" customWidth="1"/>
    <col min="3590" max="3590" width="4.7109375" style="1281" customWidth="1"/>
    <col min="3591" max="3591" width="6.7109375" style="1281" customWidth="1"/>
    <col min="3592" max="3592" width="5.42578125" style="1281" customWidth="1"/>
    <col min="3593" max="3593" width="3.85546875" style="1281" customWidth="1"/>
    <col min="3594" max="3594" width="4.85546875" style="1281" customWidth="1"/>
    <col min="3595" max="3595" width="4.140625" style="1281" customWidth="1"/>
    <col min="3596" max="3596" width="3.42578125" style="1281" customWidth="1"/>
    <col min="3597" max="3840" width="11.42578125" style="1281"/>
    <col min="3841" max="3841" width="0" style="1281" hidden="1" customWidth="1"/>
    <col min="3842" max="3842" width="33.42578125" style="1281" customWidth="1"/>
    <col min="3843" max="3843" width="16.28515625" style="1281" customWidth="1"/>
    <col min="3844" max="3844" width="2.85546875" style="1281" customWidth="1"/>
    <col min="3845" max="3845" width="5.7109375" style="1281" customWidth="1"/>
    <col min="3846" max="3846" width="4.7109375" style="1281" customWidth="1"/>
    <col min="3847" max="3847" width="6.7109375" style="1281" customWidth="1"/>
    <col min="3848" max="3848" width="5.42578125" style="1281" customWidth="1"/>
    <col min="3849" max="3849" width="3.85546875" style="1281" customWidth="1"/>
    <col min="3850" max="3850" width="4.85546875" style="1281" customWidth="1"/>
    <col min="3851" max="3851" width="4.140625" style="1281" customWidth="1"/>
    <col min="3852" max="3852" width="3.42578125" style="1281" customWidth="1"/>
    <col min="3853" max="4096" width="11.42578125" style="1281"/>
    <col min="4097" max="4097" width="0" style="1281" hidden="1" customWidth="1"/>
    <col min="4098" max="4098" width="33.42578125" style="1281" customWidth="1"/>
    <col min="4099" max="4099" width="16.28515625" style="1281" customWidth="1"/>
    <col min="4100" max="4100" width="2.85546875" style="1281" customWidth="1"/>
    <col min="4101" max="4101" width="5.7109375" style="1281" customWidth="1"/>
    <col min="4102" max="4102" width="4.7109375" style="1281" customWidth="1"/>
    <col min="4103" max="4103" width="6.7109375" style="1281" customWidth="1"/>
    <col min="4104" max="4104" width="5.42578125" style="1281" customWidth="1"/>
    <col min="4105" max="4105" width="3.85546875" style="1281" customWidth="1"/>
    <col min="4106" max="4106" width="4.85546875" style="1281" customWidth="1"/>
    <col min="4107" max="4107" width="4.140625" style="1281" customWidth="1"/>
    <col min="4108" max="4108" width="3.42578125" style="1281" customWidth="1"/>
    <col min="4109" max="4352" width="11.42578125" style="1281"/>
    <col min="4353" max="4353" width="0" style="1281" hidden="1" customWidth="1"/>
    <col min="4354" max="4354" width="33.42578125" style="1281" customWidth="1"/>
    <col min="4355" max="4355" width="16.28515625" style="1281" customWidth="1"/>
    <col min="4356" max="4356" width="2.85546875" style="1281" customWidth="1"/>
    <col min="4357" max="4357" width="5.7109375" style="1281" customWidth="1"/>
    <col min="4358" max="4358" width="4.7109375" style="1281" customWidth="1"/>
    <col min="4359" max="4359" width="6.7109375" style="1281" customWidth="1"/>
    <col min="4360" max="4360" width="5.42578125" style="1281" customWidth="1"/>
    <col min="4361" max="4361" width="3.85546875" style="1281" customWidth="1"/>
    <col min="4362" max="4362" width="4.85546875" style="1281" customWidth="1"/>
    <col min="4363" max="4363" width="4.140625" style="1281" customWidth="1"/>
    <col min="4364" max="4364" width="3.42578125" style="1281" customWidth="1"/>
    <col min="4365" max="4608" width="11.42578125" style="1281"/>
    <col min="4609" max="4609" width="0" style="1281" hidden="1" customWidth="1"/>
    <col min="4610" max="4610" width="33.42578125" style="1281" customWidth="1"/>
    <col min="4611" max="4611" width="16.28515625" style="1281" customWidth="1"/>
    <col min="4612" max="4612" width="2.85546875" style="1281" customWidth="1"/>
    <col min="4613" max="4613" width="5.7109375" style="1281" customWidth="1"/>
    <col min="4614" max="4614" width="4.7109375" style="1281" customWidth="1"/>
    <col min="4615" max="4615" width="6.7109375" style="1281" customWidth="1"/>
    <col min="4616" max="4616" width="5.42578125" style="1281" customWidth="1"/>
    <col min="4617" max="4617" width="3.85546875" style="1281" customWidth="1"/>
    <col min="4618" max="4618" width="4.85546875" style="1281" customWidth="1"/>
    <col min="4619" max="4619" width="4.140625" style="1281" customWidth="1"/>
    <col min="4620" max="4620" width="3.42578125" style="1281" customWidth="1"/>
    <col min="4621" max="4864" width="11.42578125" style="1281"/>
    <col min="4865" max="4865" width="0" style="1281" hidden="1" customWidth="1"/>
    <col min="4866" max="4866" width="33.42578125" style="1281" customWidth="1"/>
    <col min="4867" max="4867" width="16.28515625" style="1281" customWidth="1"/>
    <col min="4868" max="4868" width="2.85546875" style="1281" customWidth="1"/>
    <col min="4869" max="4869" width="5.7109375" style="1281" customWidth="1"/>
    <col min="4870" max="4870" width="4.7109375" style="1281" customWidth="1"/>
    <col min="4871" max="4871" width="6.7109375" style="1281" customWidth="1"/>
    <col min="4872" max="4872" width="5.42578125" style="1281" customWidth="1"/>
    <col min="4873" max="4873" width="3.85546875" style="1281" customWidth="1"/>
    <col min="4874" max="4874" width="4.85546875" style="1281" customWidth="1"/>
    <col min="4875" max="4875" width="4.140625" style="1281" customWidth="1"/>
    <col min="4876" max="4876" width="3.42578125" style="1281" customWidth="1"/>
    <col min="4877" max="5120" width="11.42578125" style="1281"/>
    <col min="5121" max="5121" width="0" style="1281" hidden="1" customWidth="1"/>
    <col min="5122" max="5122" width="33.42578125" style="1281" customWidth="1"/>
    <col min="5123" max="5123" width="16.28515625" style="1281" customWidth="1"/>
    <col min="5124" max="5124" width="2.85546875" style="1281" customWidth="1"/>
    <col min="5125" max="5125" width="5.7109375" style="1281" customWidth="1"/>
    <col min="5126" max="5126" width="4.7109375" style="1281" customWidth="1"/>
    <col min="5127" max="5127" width="6.7109375" style="1281" customWidth="1"/>
    <col min="5128" max="5128" width="5.42578125" style="1281" customWidth="1"/>
    <col min="5129" max="5129" width="3.85546875" style="1281" customWidth="1"/>
    <col min="5130" max="5130" width="4.85546875" style="1281" customWidth="1"/>
    <col min="5131" max="5131" width="4.140625" style="1281" customWidth="1"/>
    <col min="5132" max="5132" width="3.42578125" style="1281" customWidth="1"/>
    <col min="5133" max="5376" width="11.42578125" style="1281"/>
    <col min="5377" max="5377" width="0" style="1281" hidden="1" customWidth="1"/>
    <col min="5378" max="5378" width="33.42578125" style="1281" customWidth="1"/>
    <col min="5379" max="5379" width="16.28515625" style="1281" customWidth="1"/>
    <col min="5380" max="5380" width="2.85546875" style="1281" customWidth="1"/>
    <col min="5381" max="5381" width="5.7109375" style="1281" customWidth="1"/>
    <col min="5382" max="5382" width="4.7109375" style="1281" customWidth="1"/>
    <col min="5383" max="5383" width="6.7109375" style="1281" customWidth="1"/>
    <col min="5384" max="5384" width="5.42578125" style="1281" customWidth="1"/>
    <col min="5385" max="5385" width="3.85546875" style="1281" customWidth="1"/>
    <col min="5386" max="5386" width="4.85546875" style="1281" customWidth="1"/>
    <col min="5387" max="5387" width="4.140625" style="1281" customWidth="1"/>
    <col min="5388" max="5388" width="3.42578125" style="1281" customWidth="1"/>
    <col min="5389" max="5632" width="11.42578125" style="1281"/>
    <col min="5633" max="5633" width="0" style="1281" hidden="1" customWidth="1"/>
    <col min="5634" max="5634" width="33.42578125" style="1281" customWidth="1"/>
    <col min="5635" max="5635" width="16.28515625" style="1281" customWidth="1"/>
    <col min="5636" max="5636" width="2.85546875" style="1281" customWidth="1"/>
    <col min="5637" max="5637" width="5.7109375" style="1281" customWidth="1"/>
    <col min="5638" max="5638" width="4.7109375" style="1281" customWidth="1"/>
    <col min="5639" max="5639" width="6.7109375" style="1281" customWidth="1"/>
    <col min="5640" max="5640" width="5.42578125" style="1281" customWidth="1"/>
    <col min="5641" max="5641" width="3.85546875" style="1281" customWidth="1"/>
    <col min="5642" max="5642" width="4.85546875" style="1281" customWidth="1"/>
    <col min="5643" max="5643" width="4.140625" style="1281" customWidth="1"/>
    <col min="5644" max="5644" width="3.42578125" style="1281" customWidth="1"/>
    <col min="5645" max="5888" width="11.42578125" style="1281"/>
    <col min="5889" max="5889" width="0" style="1281" hidden="1" customWidth="1"/>
    <col min="5890" max="5890" width="33.42578125" style="1281" customWidth="1"/>
    <col min="5891" max="5891" width="16.28515625" style="1281" customWidth="1"/>
    <col min="5892" max="5892" width="2.85546875" style="1281" customWidth="1"/>
    <col min="5893" max="5893" width="5.7109375" style="1281" customWidth="1"/>
    <col min="5894" max="5894" width="4.7109375" style="1281" customWidth="1"/>
    <col min="5895" max="5895" width="6.7109375" style="1281" customWidth="1"/>
    <col min="5896" max="5896" width="5.42578125" style="1281" customWidth="1"/>
    <col min="5897" max="5897" width="3.85546875" style="1281" customWidth="1"/>
    <col min="5898" max="5898" width="4.85546875" style="1281" customWidth="1"/>
    <col min="5899" max="5899" width="4.140625" style="1281" customWidth="1"/>
    <col min="5900" max="5900" width="3.42578125" style="1281" customWidth="1"/>
    <col min="5901" max="6144" width="11.42578125" style="1281"/>
    <col min="6145" max="6145" width="0" style="1281" hidden="1" customWidth="1"/>
    <col min="6146" max="6146" width="33.42578125" style="1281" customWidth="1"/>
    <col min="6147" max="6147" width="16.28515625" style="1281" customWidth="1"/>
    <col min="6148" max="6148" width="2.85546875" style="1281" customWidth="1"/>
    <col min="6149" max="6149" width="5.7109375" style="1281" customWidth="1"/>
    <col min="6150" max="6150" width="4.7109375" style="1281" customWidth="1"/>
    <col min="6151" max="6151" width="6.7109375" style="1281" customWidth="1"/>
    <col min="6152" max="6152" width="5.42578125" style="1281" customWidth="1"/>
    <col min="6153" max="6153" width="3.85546875" style="1281" customWidth="1"/>
    <col min="6154" max="6154" width="4.85546875" style="1281" customWidth="1"/>
    <col min="6155" max="6155" width="4.140625" style="1281" customWidth="1"/>
    <col min="6156" max="6156" width="3.42578125" style="1281" customWidth="1"/>
    <col min="6157" max="6400" width="11.42578125" style="1281"/>
    <col min="6401" max="6401" width="0" style="1281" hidden="1" customWidth="1"/>
    <col min="6402" max="6402" width="33.42578125" style="1281" customWidth="1"/>
    <col min="6403" max="6403" width="16.28515625" style="1281" customWidth="1"/>
    <col min="6404" max="6404" width="2.85546875" style="1281" customWidth="1"/>
    <col min="6405" max="6405" width="5.7109375" style="1281" customWidth="1"/>
    <col min="6406" max="6406" width="4.7109375" style="1281" customWidth="1"/>
    <col min="6407" max="6407" width="6.7109375" style="1281" customWidth="1"/>
    <col min="6408" max="6408" width="5.42578125" style="1281" customWidth="1"/>
    <col min="6409" max="6409" width="3.85546875" style="1281" customWidth="1"/>
    <col min="6410" max="6410" width="4.85546875" style="1281" customWidth="1"/>
    <col min="6411" max="6411" width="4.140625" style="1281" customWidth="1"/>
    <col min="6412" max="6412" width="3.42578125" style="1281" customWidth="1"/>
    <col min="6413" max="6656" width="11.42578125" style="1281"/>
    <col min="6657" max="6657" width="0" style="1281" hidden="1" customWidth="1"/>
    <col min="6658" max="6658" width="33.42578125" style="1281" customWidth="1"/>
    <col min="6659" max="6659" width="16.28515625" style="1281" customWidth="1"/>
    <col min="6660" max="6660" width="2.85546875" style="1281" customWidth="1"/>
    <col min="6661" max="6661" width="5.7109375" style="1281" customWidth="1"/>
    <col min="6662" max="6662" width="4.7109375" style="1281" customWidth="1"/>
    <col min="6663" max="6663" width="6.7109375" style="1281" customWidth="1"/>
    <col min="6664" max="6664" width="5.42578125" style="1281" customWidth="1"/>
    <col min="6665" max="6665" width="3.85546875" style="1281" customWidth="1"/>
    <col min="6666" max="6666" width="4.85546875" style="1281" customWidth="1"/>
    <col min="6667" max="6667" width="4.140625" style="1281" customWidth="1"/>
    <col min="6668" max="6668" width="3.42578125" style="1281" customWidth="1"/>
    <col min="6669" max="6912" width="11.42578125" style="1281"/>
    <col min="6913" max="6913" width="0" style="1281" hidden="1" customWidth="1"/>
    <col min="6914" max="6914" width="33.42578125" style="1281" customWidth="1"/>
    <col min="6915" max="6915" width="16.28515625" style="1281" customWidth="1"/>
    <col min="6916" max="6916" width="2.85546875" style="1281" customWidth="1"/>
    <col min="6917" max="6917" width="5.7109375" style="1281" customWidth="1"/>
    <col min="6918" max="6918" width="4.7109375" style="1281" customWidth="1"/>
    <col min="6919" max="6919" width="6.7109375" style="1281" customWidth="1"/>
    <col min="6920" max="6920" width="5.42578125" style="1281" customWidth="1"/>
    <col min="6921" max="6921" width="3.85546875" style="1281" customWidth="1"/>
    <col min="6922" max="6922" width="4.85546875" style="1281" customWidth="1"/>
    <col min="6923" max="6923" width="4.140625" style="1281" customWidth="1"/>
    <col min="6924" max="6924" width="3.42578125" style="1281" customWidth="1"/>
    <col min="6925" max="7168" width="11.42578125" style="1281"/>
    <col min="7169" max="7169" width="0" style="1281" hidden="1" customWidth="1"/>
    <col min="7170" max="7170" width="33.42578125" style="1281" customWidth="1"/>
    <col min="7171" max="7171" width="16.28515625" style="1281" customWidth="1"/>
    <col min="7172" max="7172" width="2.85546875" style="1281" customWidth="1"/>
    <col min="7173" max="7173" width="5.7109375" style="1281" customWidth="1"/>
    <col min="7174" max="7174" width="4.7109375" style="1281" customWidth="1"/>
    <col min="7175" max="7175" width="6.7109375" style="1281" customWidth="1"/>
    <col min="7176" max="7176" width="5.42578125" style="1281" customWidth="1"/>
    <col min="7177" max="7177" width="3.85546875" style="1281" customWidth="1"/>
    <col min="7178" max="7178" width="4.85546875" style="1281" customWidth="1"/>
    <col min="7179" max="7179" width="4.140625" style="1281" customWidth="1"/>
    <col min="7180" max="7180" width="3.42578125" style="1281" customWidth="1"/>
    <col min="7181" max="7424" width="11.42578125" style="1281"/>
    <col min="7425" max="7425" width="0" style="1281" hidden="1" customWidth="1"/>
    <col min="7426" max="7426" width="33.42578125" style="1281" customWidth="1"/>
    <col min="7427" max="7427" width="16.28515625" style="1281" customWidth="1"/>
    <col min="7428" max="7428" width="2.85546875" style="1281" customWidth="1"/>
    <col min="7429" max="7429" width="5.7109375" style="1281" customWidth="1"/>
    <col min="7430" max="7430" width="4.7109375" style="1281" customWidth="1"/>
    <col min="7431" max="7431" width="6.7109375" style="1281" customWidth="1"/>
    <col min="7432" max="7432" width="5.42578125" style="1281" customWidth="1"/>
    <col min="7433" max="7433" width="3.85546875" style="1281" customWidth="1"/>
    <col min="7434" max="7434" width="4.85546875" style="1281" customWidth="1"/>
    <col min="7435" max="7435" width="4.140625" style="1281" customWidth="1"/>
    <col min="7436" max="7436" width="3.42578125" style="1281" customWidth="1"/>
    <col min="7437" max="7680" width="11.42578125" style="1281"/>
    <col min="7681" max="7681" width="0" style="1281" hidden="1" customWidth="1"/>
    <col min="7682" max="7682" width="33.42578125" style="1281" customWidth="1"/>
    <col min="7683" max="7683" width="16.28515625" style="1281" customWidth="1"/>
    <col min="7684" max="7684" width="2.85546875" style="1281" customWidth="1"/>
    <col min="7685" max="7685" width="5.7109375" style="1281" customWidth="1"/>
    <col min="7686" max="7686" width="4.7109375" style="1281" customWidth="1"/>
    <col min="7687" max="7687" width="6.7109375" style="1281" customWidth="1"/>
    <col min="7688" max="7688" width="5.42578125" style="1281" customWidth="1"/>
    <col min="7689" max="7689" width="3.85546875" style="1281" customWidth="1"/>
    <col min="7690" max="7690" width="4.85546875" style="1281" customWidth="1"/>
    <col min="7691" max="7691" width="4.140625" style="1281" customWidth="1"/>
    <col min="7692" max="7692" width="3.42578125" style="1281" customWidth="1"/>
    <col min="7693" max="7936" width="11.42578125" style="1281"/>
    <col min="7937" max="7937" width="0" style="1281" hidden="1" customWidth="1"/>
    <col min="7938" max="7938" width="33.42578125" style="1281" customWidth="1"/>
    <col min="7939" max="7939" width="16.28515625" style="1281" customWidth="1"/>
    <col min="7940" max="7940" width="2.85546875" style="1281" customWidth="1"/>
    <col min="7941" max="7941" width="5.7109375" style="1281" customWidth="1"/>
    <col min="7942" max="7942" width="4.7109375" style="1281" customWidth="1"/>
    <col min="7943" max="7943" width="6.7109375" style="1281" customWidth="1"/>
    <col min="7944" max="7944" width="5.42578125" style="1281" customWidth="1"/>
    <col min="7945" max="7945" width="3.85546875" style="1281" customWidth="1"/>
    <col min="7946" max="7946" width="4.85546875" style="1281" customWidth="1"/>
    <col min="7947" max="7947" width="4.140625" style="1281" customWidth="1"/>
    <col min="7948" max="7948" width="3.42578125" style="1281" customWidth="1"/>
    <col min="7949" max="8192" width="11.42578125" style="1281"/>
    <col min="8193" max="8193" width="0" style="1281" hidden="1" customWidth="1"/>
    <col min="8194" max="8194" width="33.42578125" style="1281" customWidth="1"/>
    <col min="8195" max="8195" width="16.28515625" style="1281" customWidth="1"/>
    <col min="8196" max="8196" width="2.85546875" style="1281" customWidth="1"/>
    <col min="8197" max="8197" width="5.7109375" style="1281" customWidth="1"/>
    <col min="8198" max="8198" width="4.7109375" style="1281" customWidth="1"/>
    <col min="8199" max="8199" width="6.7109375" style="1281" customWidth="1"/>
    <col min="8200" max="8200" width="5.42578125" style="1281" customWidth="1"/>
    <col min="8201" max="8201" width="3.85546875" style="1281" customWidth="1"/>
    <col min="8202" max="8202" width="4.85546875" style="1281" customWidth="1"/>
    <col min="8203" max="8203" width="4.140625" style="1281" customWidth="1"/>
    <col min="8204" max="8204" width="3.42578125" style="1281" customWidth="1"/>
    <col min="8205" max="8448" width="11.42578125" style="1281"/>
    <col min="8449" max="8449" width="0" style="1281" hidden="1" customWidth="1"/>
    <col min="8450" max="8450" width="33.42578125" style="1281" customWidth="1"/>
    <col min="8451" max="8451" width="16.28515625" style="1281" customWidth="1"/>
    <col min="8452" max="8452" width="2.85546875" style="1281" customWidth="1"/>
    <col min="8453" max="8453" width="5.7109375" style="1281" customWidth="1"/>
    <col min="8454" max="8454" width="4.7109375" style="1281" customWidth="1"/>
    <col min="8455" max="8455" width="6.7109375" style="1281" customWidth="1"/>
    <col min="8456" max="8456" width="5.42578125" style="1281" customWidth="1"/>
    <col min="8457" max="8457" width="3.85546875" style="1281" customWidth="1"/>
    <col min="8458" max="8458" width="4.85546875" style="1281" customWidth="1"/>
    <col min="8459" max="8459" width="4.140625" style="1281" customWidth="1"/>
    <col min="8460" max="8460" width="3.42578125" style="1281" customWidth="1"/>
    <col min="8461" max="8704" width="11.42578125" style="1281"/>
    <col min="8705" max="8705" width="0" style="1281" hidden="1" customWidth="1"/>
    <col min="8706" max="8706" width="33.42578125" style="1281" customWidth="1"/>
    <col min="8707" max="8707" width="16.28515625" style="1281" customWidth="1"/>
    <col min="8708" max="8708" width="2.85546875" style="1281" customWidth="1"/>
    <col min="8709" max="8709" width="5.7109375" style="1281" customWidth="1"/>
    <col min="8710" max="8710" width="4.7109375" style="1281" customWidth="1"/>
    <col min="8711" max="8711" width="6.7109375" style="1281" customWidth="1"/>
    <col min="8712" max="8712" width="5.42578125" style="1281" customWidth="1"/>
    <col min="8713" max="8713" width="3.85546875" style="1281" customWidth="1"/>
    <col min="8714" max="8714" width="4.85546875" style="1281" customWidth="1"/>
    <col min="8715" max="8715" width="4.140625" style="1281" customWidth="1"/>
    <col min="8716" max="8716" width="3.42578125" style="1281" customWidth="1"/>
    <col min="8717" max="8960" width="11.42578125" style="1281"/>
    <col min="8961" max="8961" width="0" style="1281" hidden="1" customWidth="1"/>
    <col min="8962" max="8962" width="33.42578125" style="1281" customWidth="1"/>
    <col min="8963" max="8963" width="16.28515625" style="1281" customWidth="1"/>
    <col min="8964" max="8964" width="2.85546875" style="1281" customWidth="1"/>
    <col min="8965" max="8965" width="5.7109375" style="1281" customWidth="1"/>
    <col min="8966" max="8966" width="4.7109375" style="1281" customWidth="1"/>
    <col min="8967" max="8967" width="6.7109375" style="1281" customWidth="1"/>
    <col min="8968" max="8968" width="5.42578125" style="1281" customWidth="1"/>
    <col min="8969" max="8969" width="3.85546875" style="1281" customWidth="1"/>
    <col min="8970" max="8970" width="4.85546875" style="1281" customWidth="1"/>
    <col min="8971" max="8971" width="4.140625" style="1281" customWidth="1"/>
    <col min="8972" max="8972" width="3.42578125" style="1281" customWidth="1"/>
    <col min="8973" max="9216" width="11.42578125" style="1281"/>
    <col min="9217" max="9217" width="0" style="1281" hidden="1" customWidth="1"/>
    <col min="9218" max="9218" width="33.42578125" style="1281" customWidth="1"/>
    <col min="9219" max="9219" width="16.28515625" style="1281" customWidth="1"/>
    <col min="9220" max="9220" width="2.85546875" style="1281" customWidth="1"/>
    <col min="9221" max="9221" width="5.7109375" style="1281" customWidth="1"/>
    <col min="9222" max="9222" width="4.7109375" style="1281" customWidth="1"/>
    <col min="9223" max="9223" width="6.7109375" style="1281" customWidth="1"/>
    <col min="9224" max="9224" width="5.42578125" style="1281" customWidth="1"/>
    <col min="9225" max="9225" width="3.85546875" style="1281" customWidth="1"/>
    <col min="9226" max="9226" width="4.85546875" style="1281" customWidth="1"/>
    <col min="9227" max="9227" width="4.140625" style="1281" customWidth="1"/>
    <col min="9228" max="9228" width="3.42578125" style="1281" customWidth="1"/>
    <col min="9229" max="9472" width="11.42578125" style="1281"/>
    <col min="9473" max="9473" width="0" style="1281" hidden="1" customWidth="1"/>
    <col min="9474" max="9474" width="33.42578125" style="1281" customWidth="1"/>
    <col min="9475" max="9475" width="16.28515625" style="1281" customWidth="1"/>
    <col min="9476" max="9476" width="2.85546875" style="1281" customWidth="1"/>
    <col min="9477" max="9477" width="5.7109375" style="1281" customWidth="1"/>
    <col min="9478" max="9478" width="4.7109375" style="1281" customWidth="1"/>
    <col min="9479" max="9479" width="6.7109375" style="1281" customWidth="1"/>
    <col min="9480" max="9480" width="5.42578125" style="1281" customWidth="1"/>
    <col min="9481" max="9481" width="3.85546875" style="1281" customWidth="1"/>
    <col min="9482" max="9482" width="4.85546875" style="1281" customWidth="1"/>
    <col min="9483" max="9483" width="4.140625" style="1281" customWidth="1"/>
    <col min="9484" max="9484" width="3.42578125" style="1281" customWidth="1"/>
    <col min="9485" max="9728" width="11.42578125" style="1281"/>
    <col min="9729" max="9729" width="0" style="1281" hidden="1" customWidth="1"/>
    <col min="9730" max="9730" width="33.42578125" style="1281" customWidth="1"/>
    <col min="9731" max="9731" width="16.28515625" style="1281" customWidth="1"/>
    <col min="9732" max="9732" width="2.85546875" style="1281" customWidth="1"/>
    <col min="9733" max="9733" width="5.7109375" style="1281" customWidth="1"/>
    <col min="9734" max="9734" width="4.7109375" style="1281" customWidth="1"/>
    <col min="9735" max="9735" width="6.7109375" style="1281" customWidth="1"/>
    <col min="9736" max="9736" width="5.42578125" style="1281" customWidth="1"/>
    <col min="9737" max="9737" width="3.85546875" style="1281" customWidth="1"/>
    <col min="9738" max="9738" width="4.85546875" style="1281" customWidth="1"/>
    <col min="9739" max="9739" width="4.140625" style="1281" customWidth="1"/>
    <col min="9740" max="9740" width="3.42578125" style="1281" customWidth="1"/>
    <col min="9741" max="9984" width="11.42578125" style="1281"/>
    <col min="9985" max="9985" width="0" style="1281" hidden="1" customWidth="1"/>
    <col min="9986" max="9986" width="33.42578125" style="1281" customWidth="1"/>
    <col min="9987" max="9987" width="16.28515625" style="1281" customWidth="1"/>
    <col min="9988" max="9988" width="2.85546875" style="1281" customWidth="1"/>
    <col min="9989" max="9989" width="5.7109375" style="1281" customWidth="1"/>
    <col min="9990" max="9990" width="4.7109375" style="1281" customWidth="1"/>
    <col min="9991" max="9991" width="6.7109375" style="1281" customWidth="1"/>
    <col min="9992" max="9992" width="5.42578125" style="1281" customWidth="1"/>
    <col min="9993" max="9993" width="3.85546875" style="1281" customWidth="1"/>
    <col min="9994" max="9994" width="4.85546875" style="1281" customWidth="1"/>
    <col min="9995" max="9995" width="4.140625" style="1281" customWidth="1"/>
    <col min="9996" max="9996" width="3.42578125" style="1281" customWidth="1"/>
    <col min="9997" max="10240" width="11.42578125" style="1281"/>
    <col min="10241" max="10241" width="0" style="1281" hidden="1" customWidth="1"/>
    <col min="10242" max="10242" width="33.42578125" style="1281" customWidth="1"/>
    <col min="10243" max="10243" width="16.28515625" style="1281" customWidth="1"/>
    <col min="10244" max="10244" width="2.85546875" style="1281" customWidth="1"/>
    <col min="10245" max="10245" width="5.7109375" style="1281" customWidth="1"/>
    <col min="10246" max="10246" width="4.7109375" style="1281" customWidth="1"/>
    <col min="10247" max="10247" width="6.7109375" style="1281" customWidth="1"/>
    <col min="10248" max="10248" width="5.42578125" style="1281" customWidth="1"/>
    <col min="10249" max="10249" width="3.85546875" style="1281" customWidth="1"/>
    <col min="10250" max="10250" width="4.85546875" style="1281" customWidth="1"/>
    <col min="10251" max="10251" width="4.140625" style="1281" customWidth="1"/>
    <col min="10252" max="10252" width="3.42578125" style="1281" customWidth="1"/>
    <col min="10253" max="10496" width="11.42578125" style="1281"/>
    <col min="10497" max="10497" width="0" style="1281" hidden="1" customWidth="1"/>
    <col min="10498" max="10498" width="33.42578125" style="1281" customWidth="1"/>
    <col min="10499" max="10499" width="16.28515625" style="1281" customWidth="1"/>
    <col min="10500" max="10500" width="2.85546875" style="1281" customWidth="1"/>
    <col min="10501" max="10501" width="5.7109375" style="1281" customWidth="1"/>
    <col min="10502" max="10502" width="4.7109375" style="1281" customWidth="1"/>
    <col min="10503" max="10503" width="6.7109375" style="1281" customWidth="1"/>
    <col min="10504" max="10504" width="5.42578125" style="1281" customWidth="1"/>
    <col min="10505" max="10505" width="3.85546875" style="1281" customWidth="1"/>
    <col min="10506" max="10506" width="4.85546875" style="1281" customWidth="1"/>
    <col min="10507" max="10507" width="4.140625" style="1281" customWidth="1"/>
    <col min="10508" max="10508" width="3.42578125" style="1281" customWidth="1"/>
    <col min="10509" max="10752" width="11.42578125" style="1281"/>
    <col min="10753" max="10753" width="0" style="1281" hidden="1" customWidth="1"/>
    <col min="10754" max="10754" width="33.42578125" style="1281" customWidth="1"/>
    <col min="10755" max="10755" width="16.28515625" style="1281" customWidth="1"/>
    <col min="10756" max="10756" width="2.85546875" style="1281" customWidth="1"/>
    <col min="10757" max="10757" width="5.7109375" style="1281" customWidth="1"/>
    <col min="10758" max="10758" width="4.7109375" style="1281" customWidth="1"/>
    <col min="10759" max="10759" width="6.7109375" style="1281" customWidth="1"/>
    <col min="10760" max="10760" width="5.42578125" style="1281" customWidth="1"/>
    <col min="10761" max="10761" width="3.85546875" style="1281" customWidth="1"/>
    <col min="10762" max="10762" width="4.85546875" style="1281" customWidth="1"/>
    <col min="10763" max="10763" width="4.140625" style="1281" customWidth="1"/>
    <col min="10764" max="10764" width="3.42578125" style="1281" customWidth="1"/>
    <col min="10765" max="11008" width="11.42578125" style="1281"/>
    <col min="11009" max="11009" width="0" style="1281" hidden="1" customWidth="1"/>
    <col min="11010" max="11010" width="33.42578125" style="1281" customWidth="1"/>
    <col min="11011" max="11011" width="16.28515625" style="1281" customWidth="1"/>
    <col min="11012" max="11012" width="2.85546875" style="1281" customWidth="1"/>
    <col min="11013" max="11013" width="5.7109375" style="1281" customWidth="1"/>
    <col min="11014" max="11014" width="4.7109375" style="1281" customWidth="1"/>
    <col min="11015" max="11015" width="6.7109375" style="1281" customWidth="1"/>
    <col min="11016" max="11016" width="5.42578125" style="1281" customWidth="1"/>
    <col min="11017" max="11017" width="3.85546875" style="1281" customWidth="1"/>
    <col min="11018" max="11018" width="4.85546875" style="1281" customWidth="1"/>
    <col min="11019" max="11019" width="4.140625" style="1281" customWidth="1"/>
    <col min="11020" max="11020" width="3.42578125" style="1281" customWidth="1"/>
    <col min="11021" max="11264" width="11.42578125" style="1281"/>
    <col min="11265" max="11265" width="0" style="1281" hidden="1" customWidth="1"/>
    <col min="11266" max="11266" width="33.42578125" style="1281" customWidth="1"/>
    <col min="11267" max="11267" width="16.28515625" style="1281" customWidth="1"/>
    <col min="11268" max="11268" width="2.85546875" style="1281" customWidth="1"/>
    <col min="11269" max="11269" width="5.7109375" style="1281" customWidth="1"/>
    <col min="11270" max="11270" width="4.7109375" style="1281" customWidth="1"/>
    <col min="11271" max="11271" width="6.7109375" style="1281" customWidth="1"/>
    <col min="11272" max="11272" width="5.42578125" style="1281" customWidth="1"/>
    <col min="11273" max="11273" width="3.85546875" style="1281" customWidth="1"/>
    <col min="11274" max="11274" width="4.85546875" style="1281" customWidth="1"/>
    <col min="11275" max="11275" width="4.140625" style="1281" customWidth="1"/>
    <col min="11276" max="11276" width="3.42578125" style="1281" customWidth="1"/>
    <col min="11277" max="11520" width="11.42578125" style="1281"/>
    <col min="11521" max="11521" width="0" style="1281" hidden="1" customWidth="1"/>
    <col min="11522" max="11522" width="33.42578125" style="1281" customWidth="1"/>
    <col min="11523" max="11523" width="16.28515625" style="1281" customWidth="1"/>
    <col min="11524" max="11524" width="2.85546875" style="1281" customWidth="1"/>
    <col min="11525" max="11525" width="5.7109375" style="1281" customWidth="1"/>
    <col min="11526" max="11526" width="4.7109375" style="1281" customWidth="1"/>
    <col min="11527" max="11527" width="6.7109375" style="1281" customWidth="1"/>
    <col min="11528" max="11528" width="5.42578125" style="1281" customWidth="1"/>
    <col min="11529" max="11529" width="3.85546875" style="1281" customWidth="1"/>
    <col min="11530" max="11530" width="4.85546875" style="1281" customWidth="1"/>
    <col min="11531" max="11531" width="4.140625" style="1281" customWidth="1"/>
    <col min="11532" max="11532" width="3.42578125" style="1281" customWidth="1"/>
    <col min="11533" max="11776" width="11.42578125" style="1281"/>
    <col min="11777" max="11777" width="0" style="1281" hidden="1" customWidth="1"/>
    <col min="11778" max="11778" width="33.42578125" style="1281" customWidth="1"/>
    <col min="11779" max="11779" width="16.28515625" style="1281" customWidth="1"/>
    <col min="11780" max="11780" width="2.85546875" style="1281" customWidth="1"/>
    <col min="11781" max="11781" width="5.7109375" style="1281" customWidth="1"/>
    <col min="11782" max="11782" width="4.7109375" style="1281" customWidth="1"/>
    <col min="11783" max="11783" width="6.7109375" style="1281" customWidth="1"/>
    <col min="11784" max="11784" width="5.42578125" style="1281" customWidth="1"/>
    <col min="11785" max="11785" width="3.85546875" style="1281" customWidth="1"/>
    <col min="11786" max="11786" width="4.85546875" style="1281" customWidth="1"/>
    <col min="11787" max="11787" width="4.140625" style="1281" customWidth="1"/>
    <col min="11788" max="11788" width="3.42578125" style="1281" customWidth="1"/>
    <col min="11789" max="12032" width="11.42578125" style="1281"/>
    <col min="12033" max="12033" width="0" style="1281" hidden="1" customWidth="1"/>
    <col min="12034" max="12034" width="33.42578125" style="1281" customWidth="1"/>
    <col min="12035" max="12035" width="16.28515625" style="1281" customWidth="1"/>
    <col min="12036" max="12036" width="2.85546875" style="1281" customWidth="1"/>
    <col min="12037" max="12037" width="5.7109375" style="1281" customWidth="1"/>
    <col min="12038" max="12038" width="4.7109375" style="1281" customWidth="1"/>
    <col min="12039" max="12039" width="6.7109375" style="1281" customWidth="1"/>
    <col min="12040" max="12040" width="5.42578125" style="1281" customWidth="1"/>
    <col min="12041" max="12041" width="3.85546875" style="1281" customWidth="1"/>
    <col min="12042" max="12042" width="4.85546875" style="1281" customWidth="1"/>
    <col min="12043" max="12043" width="4.140625" style="1281" customWidth="1"/>
    <col min="12044" max="12044" width="3.42578125" style="1281" customWidth="1"/>
    <col min="12045" max="12288" width="11.42578125" style="1281"/>
    <col min="12289" max="12289" width="0" style="1281" hidden="1" customWidth="1"/>
    <col min="12290" max="12290" width="33.42578125" style="1281" customWidth="1"/>
    <col min="12291" max="12291" width="16.28515625" style="1281" customWidth="1"/>
    <col min="12292" max="12292" width="2.85546875" style="1281" customWidth="1"/>
    <col min="12293" max="12293" width="5.7109375" style="1281" customWidth="1"/>
    <col min="12294" max="12294" width="4.7109375" style="1281" customWidth="1"/>
    <col min="12295" max="12295" width="6.7109375" style="1281" customWidth="1"/>
    <col min="12296" max="12296" width="5.42578125" style="1281" customWidth="1"/>
    <col min="12297" max="12297" width="3.85546875" style="1281" customWidth="1"/>
    <col min="12298" max="12298" width="4.85546875" style="1281" customWidth="1"/>
    <col min="12299" max="12299" width="4.140625" style="1281" customWidth="1"/>
    <col min="12300" max="12300" width="3.42578125" style="1281" customWidth="1"/>
    <col min="12301" max="12544" width="11.42578125" style="1281"/>
    <col min="12545" max="12545" width="0" style="1281" hidden="1" customWidth="1"/>
    <col min="12546" max="12546" width="33.42578125" style="1281" customWidth="1"/>
    <col min="12547" max="12547" width="16.28515625" style="1281" customWidth="1"/>
    <col min="12548" max="12548" width="2.85546875" style="1281" customWidth="1"/>
    <col min="12549" max="12549" width="5.7109375" style="1281" customWidth="1"/>
    <col min="12550" max="12550" width="4.7109375" style="1281" customWidth="1"/>
    <col min="12551" max="12551" width="6.7109375" style="1281" customWidth="1"/>
    <col min="12552" max="12552" width="5.42578125" style="1281" customWidth="1"/>
    <col min="12553" max="12553" width="3.85546875" style="1281" customWidth="1"/>
    <col min="12554" max="12554" width="4.85546875" style="1281" customWidth="1"/>
    <col min="12555" max="12555" width="4.140625" style="1281" customWidth="1"/>
    <col min="12556" max="12556" width="3.42578125" style="1281" customWidth="1"/>
    <col min="12557" max="12800" width="11.42578125" style="1281"/>
    <col min="12801" max="12801" width="0" style="1281" hidden="1" customWidth="1"/>
    <col min="12802" max="12802" width="33.42578125" style="1281" customWidth="1"/>
    <col min="12803" max="12803" width="16.28515625" style="1281" customWidth="1"/>
    <col min="12804" max="12804" width="2.85546875" style="1281" customWidth="1"/>
    <col min="12805" max="12805" width="5.7109375" style="1281" customWidth="1"/>
    <col min="12806" max="12806" width="4.7109375" style="1281" customWidth="1"/>
    <col min="12807" max="12807" width="6.7109375" style="1281" customWidth="1"/>
    <col min="12808" max="12808" width="5.42578125" style="1281" customWidth="1"/>
    <col min="12809" max="12809" width="3.85546875" style="1281" customWidth="1"/>
    <col min="12810" max="12810" width="4.85546875" style="1281" customWidth="1"/>
    <col min="12811" max="12811" width="4.140625" style="1281" customWidth="1"/>
    <col min="12812" max="12812" width="3.42578125" style="1281" customWidth="1"/>
    <col min="12813" max="13056" width="11.42578125" style="1281"/>
    <col min="13057" max="13057" width="0" style="1281" hidden="1" customWidth="1"/>
    <col min="13058" max="13058" width="33.42578125" style="1281" customWidth="1"/>
    <col min="13059" max="13059" width="16.28515625" style="1281" customWidth="1"/>
    <col min="13060" max="13060" width="2.85546875" style="1281" customWidth="1"/>
    <col min="13061" max="13061" width="5.7109375" style="1281" customWidth="1"/>
    <col min="13062" max="13062" width="4.7109375" style="1281" customWidth="1"/>
    <col min="13063" max="13063" width="6.7109375" style="1281" customWidth="1"/>
    <col min="13064" max="13064" width="5.42578125" style="1281" customWidth="1"/>
    <col min="13065" max="13065" width="3.85546875" style="1281" customWidth="1"/>
    <col min="13066" max="13066" width="4.85546875" style="1281" customWidth="1"/>
    <col min="13067" max="13067" width="4.140625" style="1281" customWidth="1"/>
    <col min="13068" max="13068" width="3.42578125" style="1281" customWidth="1"/>
    <col min="13069" max="13312" width="11.42578125" style="1281"/>
    <col min="13313" max="13313" width="0" style="1281" hidden="1" customWidth="1"/>
    <col min="13314" max="13314" width="33.42578125" style="1281" customWidth="1"/>
    <col min="13315" max="13315" width="16.28515625" style="1281" customWidth="1"/>
    <col min="13316" max="13316" width="2.85546875" style="1281" customWidth="1"/>
    <col min="13317" max="13317" width="5.7109375" style="1281" customWidth="1"/>
    <col min="13318" max="13318" width="4.7109375" style="1281" customWidth="1"/>
    <col min="13319" max="13319" width="6.7109375" style="1281" customWidth="1"/>
    <col min="13320" max="13320" width="5.42578125" style="1281" customWidth="1"/>
    <col min="13321" max="13321" width="3.85546875" style="1281" customWidth="1"/>
    <col min="13322" max="13322" width="4.85546875" style="1281" customWidth="1"/>
    <col min="13323" max="13323" width="4.140625" style="1281" customWidth="1"/>
    <col min="13324" max="13324" width="3.42578125" style="1281" customWidth="1"/>
    <col min="13325" max="13568" width="11.42578125" style="1281"/>
    <col min="13569" max="13569" width="0" style="1281" hidden="1" customWidth="1"/>
    <col min="13570" max="13570" width="33.42578125" style="1281" customWidth="1"/>
    <col min="13571" max="13571" width="16.28515625" style="1281" customWidth="1"/>
    <col min="13572" max="13572" width="2.85546875" style="1281" customWidth="1"/>
    <col min="13573" max="13573" width="5.7109375" style="1281" customWidth="1"/>
    <col min="13574" max="13574" width="4.7109375" style="1281" customWidth="1"/>
    <col min="13575" max="13575" width="6.7109375" style="1281" customWidth="1"/>
    <col min="13576" max="13576" width="5.42578125" style="1281" customWidth="1"/>
    <col min="13577" max="13577" width="3.85546875" style="1281" customWidth="1"/>
    <col min="13578" max="13578" width="4.85546875" style="1281" customWidth="1"/>
    <col min="13579" max="13579" width="4.140625" style="1281" customWidth="1"/>
    <col min="13580" max="13580" width="3.42578125" style="1281" customWidth="1"/>
    <col min="13581" max="13824" width="11.42578125" style="1281"/>
    <col min="13825" max="13825" width="0" style="1281" hidden="1" customWidth="1"/>
    <col min="13826" max="13826" width="33.42578125" style="1281" customWidth="1"/>
    <col min="13827" max="13827" width="16.28515625" style="1281" customWidth="1"/>
    <col min="13828" max="13828" width="2.85546875" style="1281" customWidth="1"/>
    <col min="13829" max="13829" width="5.7109375" style="1281" customWidth="1"/>
    <col min="13830" max="13830" width="4.7109375" style="1281" customWidth="1"/>
    <col min="13831" max="13831" width="6.7109375" style="1281" customWidth="1"/>
    <col min="13832" max="13832" width="5.42578125" style="1281" customWidth="1"/>
    <col min="13833" max="13833" width="3.85546875" style="1281" customWidth="1"/>
    <col min="13834" max="13834" width="4.85546875" style="1281" customWidth="1"/>
    <col min="13835" max="13835" width="4.140625" style="1281" customWidth="1"/>
    <col min="13836" max="13836" width="3.42578125" style="1281" customWidth="1"/>
    <col min="13837" max="14080" width="11.42578125" style="1281"/>
    <col min="14081" max="14081" width="0" style="1281" hidden="1" customWidth="1"/>
    <col min="14082" max="14082" width="33.42578125" style="1281" customWidth="1"/>
    <col min="14083" max="14083" width="16.28515625" style="1281" customWidth="1"/>
    <col min="14084" max="14084" width="2.85546875" style="1281" customWidth="1"/>
    <col min="14085" max="14085" width="5.7109375" style="1281" customWidth="1"/>
    <col min="14086" max="14086" width="4.7109375" style="1281" customWidth="1"/>
    <col min="14087" max="14087" width="6.7109375" style="1281" customWidth="1"/>
    <col min="14088" max="14088" width="5.42578125" style="1281" customWidth="1"/>
    <col min="14089" max="14089" width="3.85546875" style="1281" customWidth="1"/>
    <col min="14090" max="14090" width="4.85546875" style="1281" customWidth="1"/>
    <col min="14091" max="14091" width="4.140625" style="1281" customWidth="1"/>
    <col min="14092" max="14092" width="3.42578125" style="1281" customWidth="1"/>
    <col min="14093" max="14336" width="11.42578125" style="1281"/>
    <col min="14337" max="14337" width="0" style="1281" hidden="1" customWidth="1"/>
    <col min="14338" max="14338" width="33.42578125" style="1281" customWidth="1"/>
    <col min="14339" max="14339" width="16.28515625" style="1281" customWidth="1"/>
    <col min="14340" max="14340" width="2.85546875" style="1281" customWidth="1"/>
    <col min="14341" max="14341" width="5.7109375" style="1281" customWidth="1"/>
    <col min="14342" max="14342" width="4.7109375" style="1281" customWidth="1"/>
    <col min="14343" max="14343" width="6.7109375" style="1281" customWidth="1"/>
    <col min="14344" max="14344" width="5.42578125" style="1281" customWidth="1"/>
    <col min="14345" max="14345" width="3.85546875" style="1281" customWidth="1"/>
    <col min="14346" max="14346" width="4.85546875" style="1281" customWidth="1"/>
    <col min="14347" max="14347" width="4.140625" style="1281" customWidth="1"/>
    <col min="14348" max="14348" width="3.42578125" style="1281" customWidth="1"/>
    <col min="14349" max="14592" width="11.42578125" style="1281"/>
    <col min="14593" max="14593" width="0" style="1281" hidden="1" customWidth="1"/>
    <col min="14594" max="14594" width="33.42578125" style="1281" customWidth="1"/>
    <col min="14595" max="14595" width="16.28515625" style="1281" customWidth="1"/>
    <col min="14596" max="14596" width="2.85546875" style="1281" customWidth="1"/>
    <col min="14597" max="14597" width="5.7109375" style="1281" customWidth="1"/>
    <col min="14598" max="14598" width="4.7109375" style="1281" customWidth="1"/>
    <col min="14599" max="14599" width="6.7109375" style="1281" customWidth="1"/>
    <col min="14600" max="14600" width="5.42578125" style="1281" customWidth="1"/>
    <col min="14601" max="14601" width="3.85546875" style="1281" customWidth="1"/>
    <col min="14602" max="14602" width="4.85546875" style="1281" customWidth="1"/>
    <col min="14603" max="14603" width="4.140625" style="1281" customWidth="1"/>
    <col min="14604" max="14604" width="3.42578125" style="1281" customWidth="1"/>
    <col min="14605" max="14848" width="11.42578125" style="1281"/>
    <col min="14849" max="14849" width="0" style="1281" hidden="1" customWidth="1"/>
    <col min="14850" max="14850" width="33.42578125" style="1281" customWidth="1"/>
    <col min="14851" max="14851" width="16.28515625" style="1281" customWidth="1"/>
    <col min="14852" max="14852" width="2.85546875" style="1281" customWidth="1"/>
    <col min="14853" max="14853" width="5.7109375" style="1281" customWidth="1"/>
    <col min="14854" max="14854" width="4.7109375" style="1281" customWidth="1"/>
    <col min="14855" max="14855" width="6.7109375" style="1281" customWidth="1"/>
    <col min="14856" max="14856" width="5.42578125" style="1281" customWidth="1"/>
    <col min="14857" max="14857" width="3.85546875" style="1281" customWidth="1"/>
    <col min="14858" max="14858" width="4.85546875" style="1281" customWidth="1"/>
    <col min="14859" max="14859" width="4.140625" style="1281" customWidth="1"/>
    <col min="14860" max="14860" width="3.42578125" style="1281" customWidth="1"/>
    <col min="14861" max="15104" width="11.42578125" style="1281"/>
    <col min="15105" max="15105" width="0" style="1281" hidden="1" customWidth="1"/>
    <col min="15106" max="15106" width="33.42578125" style="1281" customWidth="1"/>
    <col min="15107" max="15107" width="16.28515625" style="1281" customWidth="1"/>
    <col min="15108" max="15108" width="2.85546875" style="1281" customWidth="1"/>
    <col min="15109" max="15109" width="5.7109375" style="1281" customWidth="1"/>
    <col min="15110" max="15110" width="4.7109375" style="1281" customWidth="1"/>
    <col min="15111" max="15111" width="6.7109375" style="1281" customWidth="1"/>
    <col min="15112" max="15112" width="5.42578125" style="1281" customWidth="1"/>
    <col min="15113" max="15113" width="3.85546875" style="1281" customWidth="1"/>
    <col min="15114" max="15114" width="4.85546875" style="1281" customWidth="1"/>
    <col min="15115" max="15115" width="4.140625" style="1281" customWidth="1"/>
    <col min="15116" max="15116" width="3.42578125" style="1281" customWidth="1"/>
    <col min="15117" max="15360" width="11.42578125" style="1281"/>
    <col min="15361" max="15361" width="0" style="1281" hidden="1" customWidth="1"/>
    <col min="15362" max="15362" width="33.42578125" style="1281" customWidth="1"/>
    <col min="15363" max="15363" width="16.28515625" style="1281" customWidth="1"/>
    <col min="15364" max="15364" width="2.85546875" style="1281" customWidth="1"/>
    <col min="15365" max="15365" width="5.7109375" style="1281" customWidth="1"/>
    <col min="15366" max="15366" width="4.7109375" style="1281" customWidth="1"/>
    <col min="15367" max="15367" width="6.7109375" style="1281" customWidth="1"/>
    <col min="15368" max="15368" width="5.42578125" style="1281" customWidth="1"/>
    <col min="15369" max="15369" width="3.85546875" style="1281" customWidth="1"/>
    <col min="15370" max="15370" width="4.85546875" style="1281" customWidth="1"/>
    <col min="15371" max="15371" width="4.140625" style="1281" customWidth="1"/>
    <col min="15372" max="15372" width="3.42578125" style="1281" customWidth="1"/>
    <col min="15373" max="15616" width="11.42578125" style="1281"/>
    <col min="15617" max="15617" width="0" style="1281" hidden="1" customWidth="1"/>
    <col min="15618" max="15618" width="33.42578125" style="1281" customWidth="1"/>
    <col min="15619" max="15619" width="16.28515625" style="1281" customWidth="1"/>
    <col min="15620" max="15620" width="2.85546875" style="1281" customWidth="1"/>
    <col min="15621" max="15621" width="5.7109375" style="1281" customWidth="1"/>
    <col min="15622" max="15622" width="4.7109375" style="1281" customWidth="1"/>
    <col min="15623" max="15623" width="6.7109375" style="1281" customWidth="1"/>
    <col min="15624" max="15624" width="5.42578125" style="1281" customWidth="1"/>
    <col min="15625" max="15625" width="3.85546875" style="1281" customWidth="1"/>
    <col min="15626" max="15626" width="4.85546875" style="1281" customWidth="1"/>
    <col min="15627" max="15627" width="4.140625" style="1281" customWidth="1"/>
    <col min="15628" max="15628" width="3.42578125" style="1281" customWidth="1"/>
    <col min="15629" max="15872" width="11.42578125" style="1281"/>
    <col min="15873" max="15873" width="0" style="1281" hidden="1" customWidth="1"/>
    <col min="15874" max="15874" width="33.42578125" style="1281" customWidth="1"/>
    <col min="15875" max="15875" width="16.28515625" style="1281" customWidth="1"/>
    <col min="15876" max="15876" width="2.85546875" style="1281" customWidth="1"/>
    <col min="15877" max="15877" width="5.7109375" style="1281" customWidth="1"/>
    <col min="15878" max="15878" width="4.7109375" style="1281" customWidth="1"/>
    <col min="15879" max="15879" width="6.7109375" style="1281" customWidth="1"/>
    <col min="15880" max="15880" width="5.42578125" style="1281" customWidth="1"/>
    <col min="15881" max="15881" width="3.85546875" style="1281" customWidth="1"/>
    <col min="15882" max="15882" width="4.85546875" style="1281" customWidth="1"/>
    <col min="15883" max="15883" width="4.140625" style="1281" customWidth="1"/>
    <col min="15884" max="15884" width="3.42578125" style="1281" customWidth="1"/>
    <col min="15885" max="16128" width="11.42578125" style="1281"/>
    <col min="16129" max="16129" width="0" style="1281" hidden="1" customWidth="1"/>
    <col min="16130" max="16130" width="33.42578125" style="1281" customWidth="1"/>
    <col min="16131" max="16131" width="16.28515625" style="1281" customWidth="1"/>
    <col min="16132" max="16132" width="2.85546875" style="1281" customWidth="1"/>
    <col min="16133" max="16133" width="5.7109375" style="1281" customWidth="1"/>
    <col min="16134" max="16134" width="4.7109375" style="1281" customWidth="1"/>
    <col min="16135" max="16135" width="6.7109375" style="1281" customWidth="1"/>
    <col min="16136" max="16136" width="5.42578125" style="1281" customWidth="1"/>
    <col min="16137" max="16137" width="3.85546875" style="1281" customWidth="1"/>
    <col min="16138" max="16138" width="4.85546875" style="1281" customWidth="1"/>
    <col min="16139" max="16139" width="4.140625" style="1281" customWidth="1"/>
    <col min="16140" max="16140" width="3.42578125" style="1281" customWidth="1"/>
    <col min="16141"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2117</v>
      </c>
      <c r="C2" s="3629"/>
      <c r="D2" s="3629"/>
      <c r="E2" s="3629"/>
      <c r="F2" s="3629"/>
      <c r="G2" s="3629"/>
      <c r="H2" s="2844" t="s">
        <v>1444</v>
      </c>
      <c r="I2" s="2845">
        <f>X2</f>
        <v>10</v>
      </c>
      <c r="J2" s="2841"/>
      <c r="K2" s="2843" t="s">
        <v>2873</v>
      </c>
      <c r="L2" s="2842">
        <v>10</v>
      </c>
      <c r="M2" s="1675">
        <v>42.75</v>
      </c>
      <c r="P2" s="1520"/>
      <c r="Q2" s="3636" t="s">
        <v>2117</v>
      </c>
      <c r="R2" s="3637"/>
      <c r="S2" s="3637"/>
      <c r="T2" s="3637"/>
      <c r="U2" s="3637"/>
      <c r="V2" s="3638"/>
      <c r="W2" s="1521" t="s">
        <v>1444</v>
      </c>
      <c r="X2" s="1522">
        <v>10</v>
      </c>
      <c r="Y2" s="1523"/>
      <c r="Z2" s="1523"/>
      <c r="AA2" s="1524"/>
    </row>
    <row r="3" spans="1:27" ht="25.5" customHeight="1">
      <c r="A3" s="1533"/>
      <c r="B3" s="1526" t="s">
        <v>1391</v>
      </c>
      <c r="C3" s="1527"/>
      <c r="D3" s="1527"/>
      <c r="E3" s="1528"/>
      <c r="F3" s="1529" t="s">
        <v>1445</v>
      </c>
      <c r="G3" s="1530"/>
      <c r="H3" s="1531"/>
      <c r="I3" s="1531"/>
      <c r="J3" s="1530"/>
      <c r="K3" s="1530"/>
      <c r="L3" s="1532"/>
      <c r="M3" s="1675">
        <v>25.5</v>
      </c>
      <c r="P3" s="1533"/>
      <c r="Q3" s="1534" t="s">
        <v>1391</v>
      </c>
      <c r="R3" s="1527"/>
      <c r="S3" s="1527"/>
      <c r="T3" s="1528"/>
      <c r="U3" s="1535" t="s">
        <v>1445</v>
      </c>
      <c r="V3" s="1536"/>
      <c r="W3" s="1192"/>
      <c r="X3" s="1192"/>
      <c r="Y3" s="1536"/>
      <c r="Z3" s="1536"/>
      <c r="AA3" s="1537"/>
    </row>
    <row r="4" spans="1:27" ht="112.5" customHeight="1">
      <c r="A4" s="1539"/>
      <c r="B4" s="3633"/>
      <c r="C4" s="3633"/>
      <c r="D4" s="3633"/>
      <c r="E4" s="3634"/>
      <c r="F4" s="1539"/>
      <c r="G4" s="1540"/>
      <c r="H4" s="1540"/>
      <c r="I4" s="1540"/>
      <c r="J4" s="1531"/>
      <c r="K4" s="1531"/>
      <c r="L4" s="1532"/>
      <c r="M4" s="1675">
        <v>112.5</v>
      </c>
      <c r="P4" s="1520"/>
      <c r="Q4" s="3635"/>
      <c r="R4" s="3633"/>
      <c r="S4" s="3633"/>
      <c r="T4" s="3634"/>
      <c r="U4" s="1520"/>
      <c r="V4" s="1426"/>
      <c r="W4" s="1426"/>
      <c r="X4" s="1426"/>
      <c r="Y4" s="1192"/>
      <c r="Z4" s="1192"/>
      <c r="AA4" s="1537"/>
    </row>
    <row r="5" spans="1:27" ht="63.75" customHeight="1">
      <c r="A5" s="1667"/>
      <c r="B5" s="1676" t="s">
        <v>151</v>
      </c>
      <c r="C5" s="1677" t="s">
        <v>1446</v>
      </c>
      <c r="D5" s="1544"/>
      <c r="E5" s="1545" t="s">
        <v>1447</v>
      </c>
      <c r="F5" s="1546"/>
      <c r="G5" s="1546"/>
      <c r="H5" s="1546"/>
      <c r="I5" s="1547"/>
      <c r="J5" s="1543" t="s">
        <v>1448</v>
      </c>
      <c r="K5" s="1548"/>
      <c r="L5" s="1549"/>
      <c r="M5" s="1675">
        <v>63.75</v>
      </c>
      <c r="N5" s="1192"/>
      <c r="P5" s="1550"/>
      <c r="Q5" s="1678" t="s">
        <v>151</v>
      </c>
      <c r="R5" s="1552" t="s">
        <v>1446</v>
      </c>
      <c r="S5" s="1553"/>
      <c r="T5" s="1554" t="s">
        <v>1447</v>
      </c>
      <c r="U5" s="1555"/>
      <c r="V5" s="1555"/>
      <c r="W5" s="1555"/>
      <c r="X5" s="1556"/>
      <c r="Y5" s="1552" t="s">
        <v>1448</v>
      </c>
      <c r="Z5" s="1557"/>
      <c r="AA5" s="1558"/>
    </row>
    <row r="6" spans="1:27" ht="57.75" customHeight="1">
      <c r="A6" s="1614"/>
      <c r="B6" s="1679"/>
      <c r="C6" s="1560" t="s">
        <v>1449</v>
      </c>
      <c r="D6" s="1561" t="str">
        <f t="shared" ref="D6" si="0">S6</f>
        <v>unite</v>
      </c>
      <c r="E6" s="1561" t="str">
        <f t="shared" ref="E6" si="1">IF(ISTEXT(T6),T6,(T6/$I$2)*$L$2)</f>
        <v>ragout de cuisses</v>
      </c>
      <c r="F6" s="1561" t="str">
        <f t="shared" ref="F6" si="2">IF(ISTEXT(U6),U6,(U6/$I$2)*$L$2)</f>
        <v>poitrine</v>
      </c>
      <c r="G6" s="1561" t="str">
        <f t="shared" ref="G6" si="3">IF(ISTEXT(V6),V6,(V6/$I$2)*$L$2)</f>
        <v>brochette</v>
      </c>
      <c r="H6" s="1561" t="str">
        <f t="shared" ref="H6" si="4">IF(ISTEXT(W6),W6,(W6/$I$2)*$L$2)</f>
        <v>garniture</v>
      </c>
      <c r="I6" s="1562" t="str">
        <f t="shared" ref="I6" si="5">IF(ISTEXT(X6),X6,(X6/$I$2)*$L$2)</f>
        <v>finition</v>
      </c>
      <c r="J6" s="1563" t="s">
        <v>110</v>
      </c>
      <c r="K6" s="1564" t="s">
        <v>117</v>
      </c>
      <c r="L6" s="1565" t="s">
        <v>118</v>
      </c>
      <c r="M6" s="1675">
        <v>57.75</v>
      </c>
      <c r="P6" s="1533"/>
      <c r="Q6" s="1566"/>
      <c r="R6" s="1680" t="s">
        <v>1449</v>
      </c>
      <c r="S6" s="1568" t="s">
        <v>1450</v>
      </c>
      <c r="T6" s="1569" t="s">
        <v>2118</v>
      </c>
      <c r="U6" s="1569" t="s">
        <v>2119</v>
      </c>
      <c r="V6" s="1569" t="s">
        <v>2120</v>
      </c>
      <c r="W6" s="1570" t="s">
        <v>2121</v>
      </c>
      <c r="X6" s="1571" t="s">
        <v>48</v>
      </c>
      <c r="Y6" s="1572" t="s">
        <v>110</v>
      </c>
      <c r="Z6" s="1572" t="s">
        <v>117</v>
      </c>
      <c r="AA6" s="1573" t="s">
        <v>118</v>
      </c>
    </row>
    <row r="7" spans="1:27" ht="25.5" customHeight="1">
      <c r="A7" s="1681"/>
      <c r="B7" s="1682"/>
      <c r="C7" s="1576" t="str">
        <f t="shared" ref="C7:D46" si="6">R7</f>
        <v>Viandes/Poissons</v>
      </c>
      <c r="D7" s="2850" t="str">
        <f t="shared" si="6"/>
        <v xml:space="preserve"> </v>
      </c>
      <c r="E7" s="2850">
        <f t="shared" ref="E7:I46" si="7">IF(ISTEXT(T7),T7,(T7/$I$2)*$L$2)</f>
        <v>0</v>
      </c>
      <c r="F7" s="2850">
        <f t="shared" si="7"/>
        <v>0</v>
      </c>
      <c r="G7" s="2850">
        <f t="shared" si="7"/>
        <v>0</v>
      </c>
      <c r="H7" s="2850">
        <f t="shared" si="7"/>
        <v>0</v>
      </c>
      <c r="I7" s="2850">
        <f t="shared" si="7"/>
        <v>0</v>
      </c>
      <c r="J7" s="1674" t="str">
        <f t="shared" ref="J7:J46" si="8">IF(SUM(E7:I7)=0,"",SUM(E7:I7))</f>
        <v/>
      </c>
      <c r="K7" s="1579"/>
      <c r="L7" s="1580" t="str">
        <f t="shared" ref="L7:L46" si="9">IF(ISBLANK(K7),"",K7*J7)</f>
        <v/>
      </c>
      <c r="M7" s="1519">
        <v>25.5</v>
      </c>
      <c r="P7" s="1581"/>
      <c r="Q7" s="1582"/>
      <c r="R7" s="1683" t="s">
        <v>120</v>
      </c>
      <c r="S7" s="1584" t="s">
        <v>1456</v>
      </c>
      <c r="T7" s="1585"/>
      <c r="U7" s="1585"/>
      <c r="V7" s="1585"/>
      <c r="W7" s="1585"/>
      <c r="X7" s="1585"/>
      <c r="Y7" s="1585"/>
      <c r="Z7" s="1585"/>
      <c r="AA7" s="1586"/>
    </row>
    <row r="8" spans="1:27" ht="25.5" customHeight="1">
      <c r="A8" s="1681"/>
      <c r="B8" s="1682"/>
      <c r="C8" s="2853" t="str">
        <f t="shared" si="6"/>
        <v>pigeonneaux 0,5 k</v>
      </c>
      <c r="D8" s="2851" t="str">
        <f t="shared" si="6"/>
        <v>p</v>
      </c>
      <c r="E8" s="2852">
        <f t="shared" si="7"/>
        <v>5</v>
      </c>
      <c r="F8" s="2852">
        <f t="shared" si="7"/>
        <v>0</v>
      </c>
      <c r="G8" s="2852">
        <f t="shared" si="7"/>
        <v>0</v>
      </c>
      <c r="H8" s="2852">
        <f t="shared" si="7"/>
        <v>0</v>
      </c>
      <c r="I8" s="2852">
        <f t="shared" si="7"/>
        <v>0</v>
      </c>
      <c r="J8" s="2857">
        <f t="shared" si="8"/>
        <v>5</v>
      </c>
      <c r="K8" s="1590"/>
      <c r="L8" s="1591" t="str">
        <f t="shared" si="9"/>
        <v/>
      </c>
      <c r="M8" s="1519">
        <v>25.5</v>
      </c>
      <c r="P8" s="1581"/>
      <c r="Q8" s="1582"/>
      <c r="R8" s="1684" t="s">
        <v>2122</v>
      </c>
      <c r="S8" s="1550" t="s">
        <v>788</v>
      </c>
      <c r="T8" s="1592">
        <v>5</v>
      </c>
      <c r="U8" s="1592"/>
      <c r="V8" s="1592"/>
      <c r="W8" s="1592"/>
      <c r="X8" s="1592"/>
      <c r="Y8" s="1592">
        <f>IF(SUM(T8:X8)=0,"",SUM(T8:X8))</f>
        <v>5</v>
      </c>
      <c r="Z8" s="1592" t="s">
        <v>1456</v>
      </c>
      <c r="AA8" s="1593" t="s">
        <v>1456</v>
      </c>
    </row>
    <row r="9" spans="1:27" ht="25.5" customHeight="1">
      <c r="A9" s="1681"/>
      <c r="B9" s="1682"/>
      <c r="C9" s="2853" t="str">
        <f t="shared" si="6"/>
        <v>poitrine salée</v>
      </c>
      <c r="D9" s="2851" t="str">
        <f t="shared" si="6"/>
        <v>kg</v>
      </c>
      <c r="E9" s="2852">
        <f t="shared" si="7"/>
        <v>0</v>
      </c>
      <c r="F9" s="2852">
        <f t="shared" si="7"/>
        <v>0</v>
      </c>
      <c r="G9" s="2852">
        <f t="shared" si="7"/>
        <v>0.15</v>
      </c>
      <c r="H9" s="2852">
        <f t="shared" si="7"/>
        <v>0</v>
      </c>
      <c r="I9" s="2852">
        <f t="shared" si="7"/>
        <v>0</v>
      </c>
      <c r="J9" s="2857">
        <f t="shared" si="8"/>
        <v>0.15</v>
      </c>
      <c r="K9" s="1590"/>
      <c r="L9" s="1591" t="str">
        <f t="shared" si="9"/>
        <v/>
      </c>
      <c r="M9" s="1519">
        <v>25.5</v>
      </c>
      <c r="P9" s="1581"/>
      <c r="Q9" s="1582"/>
      <c r="R9" s="1684" t="s">
        <v>2123</v>
      </c>
      <c r="S9" s="1550" t="s">
        <v>166</v>
      </c>
      <c r="T9" s="1592"/>
      <c r="U9" s="1592"/>
      <c r="V9" s="1592">
        <v>0.15</v>
      </c>
      <c r="W9" s="1592"/>
      <c r="X9" s="1592"/>
      <c r="Y9" s="1592">
        <f t="shared" ref="Y9" si="10">IF(SUM(T9:X9)=0,"",SUM(T9:X9))</f>
        <v>0.15</v>
      </c>
      <c r="Z9" s="1592" t="s">
        <v>1456</v>
      </c>
      <c r="AA9" s="1593" t="s">
        <v>1456</v>
      </c>
    </row>
    <row r="10" spans="1:27" ht="25.5" customHeight="1">
      <c r="A10" s="1681"/>
      <c r="B10" s="1682"/>
      <c r="C10" s="2853" t="str">
        <f t="shared" si="6"/>
        <v>graisse de canard</v>
      </c>
      <c r="D10" s="2851" t="str">
        <f t="shared" si="6"/>
        <v>kg</v>
      </c>
      <c r="E10" s="2852">
        <f t="shared" si="7"/>
        <v>0</v>
      </c>
      <c r="F10" s="2852">
        <f t="shared" si="7"/>
        <v>0</v>
      </c>
      <c r="G10" s="2852">
        <f t="shared" si="7"/>
        <v>0</v>
      </c>
      <c r="H10" s="2852">
        <f t="shared" si="7"/>
        <v>0.2</v>
      </c>
      <c r="I10" s="2852">
        <f t="shared" si="7"/>
        <v>0</v>
      </c>
      <c r="J10" s="2857">
        <f t="shared" si="8"/>
        <v>0.2</v>
      </c>
      <c r="K10" s="1590"/>
      <c r="L10" s="1591" t="str">
        <f t="shared" si="9"/>
        <v/>
      </c>
      <c r="M10" s="1519">
        <v>25.5</v>
      </c>
      <c r="P10" s="1581"/>
      <c r="Q10" s="1582"/>
      <c r="R10" s="1684" t="s">
        <v>2124</v>
      </c>
      <c r="S10" s="1550" t="s">
        <v>166</v>
      </c>
      <c r="T10" s="1592"/>
      <c r="U10" s="1592"/>
      <c r="V10" s="1592"/>
      <c r="W10" s="1592">
        <v>0.2</v>
      </c>
      <c r="X10" s="1592"/>
      <c r="Y10" s="1592">
        <f>IF(SUM(T10:X10)=0,"",SUM(T10:X10))</f>
        <v>0.2</v>
      </c>
      <c r="Z10" s="1592" t="s">
        <v>1456</v>
      </c>
      <c r="AA10" s="1593" t="s">
        <v>1456</v>
      </c>
    </row>
    <row r="11" spans="1:27" ht="25.5" customHeight="1">
      <c r="A11" s="1681"/>
      <c r="B11" s="1682"/>
      <c r="C11" s="2853" t="str">
        <f t="shared" si="6"/>
        <v xml:space="preserve"> </v>
      </c>
      <c r="D11" s="2851">
        <f t="shared" si="6"/>
        <v>0</v>
      </c>
      <c r="E11" s="2852">
        <f t="shared" si="7"/>
        <v>0</v>
      </c>
      <c r="F11" s="2852">
        <f t="shared" si="7"/>
        <v>0</v>
      </c>
      <c r="G11" s="2852">
        <f t="shared" si="7"/>
        <v>0</v>
      </c>
      <c r="H11" s="2852">
        <f t="shared" si="7"/>
        <v>0</v>
      </c>
      <c r="I11" s="2852">
        <f t="shared" si="7"/>
        <v>0</v>
      </c>
      <c r="J11" s="2857" t="str">
        <f t="shared" si="8"/>
        <v/>
      </c>
      <c r="K11" s="1590"/>
      <c r="L11" s="1591" t="str">
        <f t="shared" si="9"/>
        <v/>
      </c>
      <c r="M11" s="1519">
        <v>25.5</v>
      </c>
      <c r="P11" s="1581"/>
      <c r="Q11" s="1582"/>
      <c r="R11" s="1685" t="s">
        <v>1456</v>
      </c>
      <c r="S11" s="1550"/>
      <c r="T11" s="1592"/>
      <c r="U11" s="1592"/>
      <c r="V11" s="1592"/>
      <c r="W11" s="1592"/>
      <c r="X11" s="1592"/>
      <c r="Y11" s="1592" t="str">
        <f t="shared" ref="Y11:Y24" si="11">IF(SUM(T11:X11)=0,"",SUM(T11:X11))</f>
        <v/>
      </c>
      <c r="Z11" s="1592" t="s">
        <v>2411</v>
      </c>
      <c r="AA11" s="1593" t="str">
        <f>IF(Y11="","",(Y11*Z11))</f>
        <v/>
      </c>
    </row>
    <row r="12" spans="1:27" ht="25.5" customHeight="1">
      <c r="A12" s="1681"/>
      <c r="B12" s="1682"/>
      <c r="C12" s="2854" t="str">
        <f t="shared" si="6"/>
        <v>LEGUMERIE</v>
      </c>
      <c r="D12" s="2855" t="str">
        <f t="shared" si="6"/>
        <v xml:space="preserve"> </v>
      </c>
      <c r="E12" s="2855">
        <f t="shared" si="7"/>
        <v>0</v>
      </c>
      <c r="F12" s="2855" t="str">
        <f t="shared" si="7"/>
        <v xml:space="preserve"> </v>
      </c>
      <c r="G12" s="2855">
        <f t="shared" si="7"/>
        <v>0</v>
      </c>
      <c r="H12" s="2855">
        <f t="shared" si="7"/>
        <v>0</v>
      </c>
      <c r="I12" s="2855">
        <f t="shared" si="7"/>
        <v>0</v>
      </c>
      <c r="J12" s="2856" t="str">
        <f t="shared" si="8"/>
        <v/>
      </c>
      <c r="K12" s="1579"/>
      <c r="L12" s="1580" t="str">
        <f t="shared" si="9"/>
        <v/>
      </c>
      <c r="M12" s="1519">
        <v>25.5</v>
      </c>
      <c r="P12" s="1581"/>
      <c r="Q12" s="1582"/>
      <c r="R12" s="1686" t="s">
        <v>1460</v>
      </c>
      <c r="S12" s="1584" t="s">
        <v>1456</v>
      </c>
      <c r="T12" s="1599"/>
      <c r="U12" s="1599" t="s">
        <v>1456</v>
      </c>
      <c r="V12" s="1599"/>
      <c r="W12" s="1599"/>
      <c r="X12" s="1599"/>
      <c r="Y12" s="1599" t="str">
        <f t="shared" si="11"/>
        <v/>
      </c>
      <c r="Z12" s="1599" t="s">
        <v>1456</v>
      </c>
      <c r="AA12" s="1600" t="str">
        <f>IF(Y12="","",(Y12*Z12))</f>
        <v/>
      </c>
    </row>
    <row r="13" spans="1:27" ht="25.5" customHeight="1">
      <c r="A13" s="1681"/>
      <c r="B13" s="1682"/>
      <c r="C13" s="2853" t="str">
        <f t="shared" si="6"/>
        <v>pommes golden</v>
      </c>
      <c r="D13" s="2851" t="str">
        <f t="shared" si="6"/>
        <v>p</v>
      </c>
      <c r="E13" s="2852">
        <f t="shared" si="7"/>
        <v>0</v>
      </c>
      <c r="F13" s="2852">
        <f t="shared" si="7"/>
        <v>0</v>
      </c>
      <c r="G13" s="2852">
        <f t="shared" si="7"/>
        <v>0.5</v>
      </c>
      <c r="H13" s="2852">
        <f t="shared" si="7"/>
        <v>0</v>
      </c>
      <c r="I13" s="2852">
        <f t="shared" si="7"/>
        <v>0</v>
      </c>
      <c r="J13" s="2857">
        <f t="shared" si="8"/>
        <v>0.5</v>
      </c>
      <c r="K13" s="1590"/>
      <c r="L13" s="1591" t="str">
        <f t="shared" si="9"/>
        <v/>
      </c>
      <c r="M13" s="1519">
        <v>25.5</v>
      </c>
      <c r="P13" s="1581"/>
      <c r="Q13" s="1582"/>
      <c r="R13" s="1684" t="s">
        <v>2125</v>
      </c>
      <c r="S13" s="1550" t="s">
        <v>788</v>
      </c>
      <c r="T13" s="1592"/>
      <c r="U13" s="1592"/>
      <c r="V13" s="1703">
        <v>0.5</v>
      </c>
      <c r="W13" s="1592"/>
      <c r="X13" s="1592"/>
      <c r="Y13" s="1592">
        <f t="shared" si="11"/>
        <v>0.5</v>
      </c>
      <c r="Z13" s="1592" t="s">
        <v>1456</v>
      </c>
      <c r="AA13" s="1593" t="s">
        <v>1456</v>
      </c>
    </row>
    <row r="14" spans="1:27" ht="25.5" customHeight="1">
      <c r="A14" s="1681"/>
      <c r="B14" s="1687"/>
      <c r="C14" s="2853" t="str">
        <f t="shared" si="6"/>
        <v>pommes de terre</v>
      </c>
      <c r="D14" s="2851" t="str">
        <f t="shared" si="6"/>
        <v>kg</v>
      </c>
      <c r="E14" s="2852">
        <f t="shared" si="7"/>
        <v>0</v>
      </c>
      <c r="F14" s="2852">
        <f t="shared" si="7"/>
        <v>0</v>
      </c>
      <c r="G14" s="2852">
        <f t="shared" si="7"/>
        <v>0</v>
      </c>
      <c r="H14" s="2852">
        <f t="shared" si="7"/>
        <v>2</v>
      </c>
      <c r="I14" s="2852">
        <f t="shared" si="7"/>
        <v>0</v>
      </c>
      <c r="J14" s="2857">
        <f t="shared" si="8"/>
        <v>2</v>
      </c>
      <c r="K14" s="1590"/>
      <c r="L14" s="1591" t="str">
        <f t="shared" si="9"/>
        <v/>
      </c>
      <c r="M14" s="1519">
        <v>25.5</v>
      </c>
      <c r="P14" s="1581"/>
      <c r="Q14" s="1602"/>
      <c r="R14" s="1688" t="s">
        <v>1963</v>
      </c>
      <c r="S14" s="1550" t="s">
        <v>166</v>
      </c>
      <c r="T14" s="1604"/>
      <c r="U14" s="1592"/>
      <c r="V14" s="1592"/>
      <c r="W14" s="1592">
        <v>2</v>
      </c>
      <c r="X14" s="1592"/>
      <c r="Y14" s="1592">
        <f t="shared" si="11"/>
        <v>2</v>
      </c>
      <c r="Z14" s="1592" t="s">
        <v>1456</v>
      </c>
      <c r="AA14" s="1593" t="s">
        <v>1456</v>
      </c>
    </row>
    <row r="15" spans="1:27" ht="25.5" customHeight="1">
      <c r="A15" s="1681"/>
      <c r="B15" s="1682"/>
      <c r="C15" s="2853">
        <f t="shared" si="6"/>
        <v>0</v>
      </c>
      <c r="D15" s="2851" t="str">
        <f t="shared" si="6"/>
        <v>p</v>
      </c>
      <c r="E15" s="2852">
        <f t="shared" si="7"/>
        <v>0</v>
      </c>
      <c r="F15" s="2852">
        <f t="shared" si="7"/>
        <v>0</v>
      </c>
      <c r="G15" s="2852">
        <f t="shared" si="7"/>
        <v>0</v>
      </c>
      <c r="H15" s="2852">
        <f t="shared" si="7"/>
        <v>0</v>
      </c>
      <c r="I15" s="2852">
        <f t="shared" si="7"/>
        <v>0</v>
      </c>
      <c r="J15" s="2857" t="str">
        <f t="shared" si="8"/>
        <v/>
      </c>
      <c r="K15" s="1590"/>
      <c r="L15" s="1591" t="str">
        <f t="shared" si="9"/>
        <v/>
      </c>
      <c r="M15" s="1519">
        <v>25.5</v>
      </c>
      <c r="P15" s="1581"/>
      <c r="Q15" s="1582"/>
      <c r="R15" s="1684"/>
      <c r="S15" s="1550" t="s">
        <v>788</v>
      </c>
      <c r="T15" s="1592"/>
      <c r="U15" s="1592"/>
      <c r="V15" s="1592"/>
      <c r="W15" s="1592"/>
      <c r="X15" s="1592"/>
      <c r="Y15" s="1592" t="str">
        <f t="shared" si="11"/>
        <v/>
      </c>
      <c r="Z15" s="1592" t="s">
        <v>1456</v>
      </c>
      <c r="AA15" s="1593" t="s">
        <v>1456</v>
      </c>
    </row>
    <row r="16" spans="1:27" ht="25.5" customHeight="1">
      <c r="A16" s="1681"/>
      <c r="B16" s="1682"/>
      <c r="C16" s="2853" t="str">
        <f t="shared" si="6"/>
        <v>carottes</v>
      </c>
      <c r="D16" s="2851" t="str">
        <f t="shared" si="6"/>
        <v>kg</v>
      </c>
      <c r="E16" s="2852">
        <f t="shared" si="7"/>
        <v>0.2</v>
      </c>
      <c r="F16" s="2852">
        <f t="shared" si="7"/>
        <v>0</v>
      </c>
      <c r="G16" s="2852">
        <f t="shared" si="7"/>
        <v>0</v>
      </c>
      <c r="H16" s="2852" t="str">
        <f t="shared" si="7"/>
        <v xml:space="preserve"> </v>
      </c>
      <c r="I16" s="2852">
        <f t="shared" si="7"/>
        <v>0</v>
      </c>
      <c r="J16" s="2857">
        <f t="shared" si="8"/>
        <v>0.2</v>
      </c>
      <c r="K16" s="1590"/>
      <c r="L16" s="1591" t="str">
        <f t="shared" si="9"/>
        <v/>
      </c>
      <c r="M16" s="1519">
        <v>25.5</v>
      </c>
      <c r="P16" s="1581"/>
      <c r="Q16" s="1582"/>
      <c r="R16" s="1684" t="s">
        <v>1500</v>
      </c>
      <c r="S16" s="1550" t="s">
        <v>166</v>
      </c>
      <c r="T16" s="1592">
        <v>0.2</v>
      </c>
      <c r="U16" s="1592"/>
      <c r="V16" s="1592"/>
      <c r="W16" s="1592" t="s">
        <v>1456</v>
      </c>
      <c r="X16" s="1592"/>
      <c r="Y16" s="1592">
        <f t="shared" si="11"/>
        <v>0.2</v>
      </c>
      <c r="Z16" s="1592" t="s">
        <v>1456</v>
      </c>
      <c r="AA16" s="1593" t="s">
        <v>1456</v>
      </c>
    </row>
    <row r="17" spans="1:27" ht="25.5" customHeight="1">
      <c r="A17" s="1681"/>
      <c r="B17" s="1682"/>
      <c r="C17" s="2853" t="str">
        <f t="shared" si="6"/>
        <v>oignons</v>
      </c>
      <c r="D17" s="2851" t="str">
        <f t="shared" si="6"/>
        <v>kg</v>
      </c>
      <c r="E17" s="2852">
        <f t="shared" si="7"/>
        <v>0.15</v>
      </c>
      <c r="F17" s="2852">
        <f t="shared" si="7"/>
        <v>0</v>
      </c>
      <c r="G17" s="2852">
        <f t="shared" si="7"/>
        <v>0</v>
      </c>
      <c r="H17" s="2852" t="str">
        <f t="shared" si="7"/>
        <v xml:space="preserve"> </v>
      </c>
      <c r="I17" s="2852">
        <f t="shared" si="7"/>
        <v>0</v>
      </c>
      <c r="J17" s="2857">
        <f t="shared" si="8"/>
        <v>0.15</v>
      </c>
      <c r="K17" s="1590"/>
      <c r="L17" s="1591" t="str">
        <f t="shared" si="9"/>
        <v/>
      </c>
      <c r="M17" s="1519">
        <v>25.5</v>
      </c>
      <c r="P17" s="1581"/>
      <c r="Q17" s="1582"/>
      <c r="R17" s="1684" t="s">
        <v>1533</v>
      </c>
      <c r="S17" s="1550" t="s">
        <v>166</v>
      </c>
      <c r="T17" s="1592">
        <v>0.15</v>
      </c>
      <c r="U17" s="1592"/>
      <c r="V17" s="1592"/>
      <c r="W17" s="1592" t="s">
        <v>1456</v>
      </c>
      <c r="X17" s="1592"/>
      <c r="Y17" s="1592">
        <f t="shared" si="11"/>
        <v>0.15</v>
      </c>
      <c r="Z17" s="1592" t="s">
        <v>1456</v>
      </c>
      <c r="AA17" s="1593" t="s">
        <v>1456</v>
      </c>
    </row>
    <row r="18" spans="1:27" ht="25.5" customHeight="1">
      <c r="A18" s="1681"/>
      <c r="B18" s="1682"/>
      <c r="C18" s="2853" t="str">
        <f t="shared" si="6"/>
        <v>tomates cerises</v>
      </c>
      <c r="D18" s="2851" t="str">
        <f t="shared" si="6"/>
        <v>p</v>
      </c>
      <c r="E18" s="2852">
        <f t="shared" si="7"/>
        <v>0</v>
      </c>
      <c r="F18" s="2852">
        <f t="shared" si="7"/>
        <v>0</v>
      </c>
      <c r="G18" s="2852">
        <f t="shared" si="7"/>
        <v>0</v>
      </c>
      <c r="H18" s="2852">
        <f t="shared" si="7"/>
        <v>30</v>
      </c>
      <c r="I18" s="2852">
        <f t="shared" si="7"/>
        <v>0</v>
      </c>
      <c r="J18" s="2857">
        <f t="shared" si="8"/>
        <v>30</v>
      </c>
      <c r="K18" s="1590"/>
      <c r="L18" s="1591" t="str">
        <f t="shared" si="9"/>
        <v/>
      </c>
      <c r="M18" s="1519">
        <v>25.5</v>
      </c>
      <c r="P18" s="1581"/>
      <c r="Q18" s="1582"/>
      <c r="R18" s="1684" t="s">
        <v>2126</v>
      </c>
      <c r="S18" s="1550" t="s">
        <v>788</v>
      </c>
      <c r="T18" s="1592"/>
      <c r="U18" s="1592"/>
      <c r="V18" s="1592"/>
      <c r="W18" s="1592">
        <v>30</v>
      </c>
      <c r="X18" s="1592"/>
      <c r="Y18" s="1592">
        <f t="shared" si="11"/>
        <v>30</v>
      </c>
      <c r="Z18" s="1592" t="s">
        <v>1456</v>
      </c>
      <c r="AA18" s="1593" t="s">
        <v>1456</v>
      </c>
    </row>
    <row r="19" spans="1:27" ht="25.5" customHeight="1">
      <c r="A19" s="1681"/>
      <c r="B19" s="1682"/>
      <c r="C19" s="2853" t="str">
        <f t="shared" si="6"/>
        <v>ail</v>
      </c>
      <c r="D19" s="2851" t="str">
        <f t="shared" si="6"/>
        <v>kg</v>
      </c>
      <c r="E19" s="2852">
        <f t="shared" si="7"/>
        <v>0</v>
      </c>
      <c r="F19" s="2852">
        <f t="shared" si="7"/>
        <v>0</v>
      </c>
      <c r="G19" s="2852">
        <f t="shared" si="7"/>
        <v>0</v>
      </c>
      <c r="H19" s="2852">
        <f t="shared" si="7"/>
        <v>0.01</v>
      </c>
      <c r="I19" s="2852">
        <f t="shared" si="7"/>
        <v>0</v>
      </c>
      <c r="J19" s="2857">
        <f t="shared" si="8"/>
        <v>0.01</v>
      </c>
      <c r="K19" s="1702"/>
      <c r="L19" s="1591" t="str">
        <f t="shared" si="9"/>
        <v/>
      </c>
      <c r="M19" s="1519">
        <v>25.5</v>
      </c>
      <c r="P19" s="1581"/>
      <c r="Q19" s="1582"/>
      <c r="R19" s="1684" t="s">
        <v>1485</v>
      </c>
      <c r="S19" s="1550" t="s">
        <v>166</v>
      </c>
      <c r="T19" s="1592"/>
      <c r="U19" s="1592"/>
      <c r="V19" s="1592"/>
      <c r="W19" s="1592">
        <v>0.01</v>
      </c>
      <c r="X19" s="1592"/>
      <c r="Y19" s="1592">
        <f t="shared" si="11"/>
        <v>0.01</v>
      </c>
      <c r="Z19" s="1592" t="s">
        <v>1456</v>
      </c>
      <c r="AA19" s="1593" t="s">
        <v>1456</v>
      </c>
    </row>
    <row r="20" spans="1:27" ht="25.5" customHeight="1">
      <c r="A20" s="1681"/>
      <c r="B20" s="1682"/>
      <c r="C20" s="2853" t="str">
        <f t="shared" si="6"/>
        <v>thym</v>
      </c>
      <c r="D20" s="2851" t="str">
        <f t="shared" si="6"/>
        <v>pm</v>
      </c>
      <c r="E20" s="2852">
        <f t="shared" si="7"/>
        <v>0</v>
      </c>
      <c r="F20" s="2852">
        <f t="shared" si="7"/>
        <v>0</v>
      </c>
      <c r="G20" s="2852">
        <f t="shared" si="7"/>
        <v>0</v>
      </c>
      <c r="H20" s="2852" t="str">
        <f t="shared" si="7"/>
        <v>pm</v>
      </c>
      <c r="I20" s="2852">
        <f t="shared" si="7"/>
        <v>0</v>
      </c>
      <c r="J20" s="2857" t="str">
        <f t="shared" si="8"/>
        <v/>
      </c>
      <c r="K20" s="1590"/>
      <c r="L20" s="1591" t="str">
        <f t="shared" si="9"/>
        <v/>
      </c>
      <c r="M20" s="1519">
        <v>25.5</v>
      </c>
      <c r="P20" s="1581"/>
      <c r="Q20" s="1582"/>
      <c r="R20" s="1684" t="s">
        <v>1706</v>
      </c>
      <c r="S20" s="1550" t="s">
        <v>214</v>
      </c>
      <c r="T20" s="1592"/>
      <c r="U20" s="1592"/>
      <c r="V20" s="1592"/>
      <c r="W20" s="1592" t="s">
        <v>214</v>
      </c>
      <c r="X20" s="1592"/>
      <c r="Y20" s="1592" t="str">
        <f t="shared" si="11"/>
        <v/>
      </c>
      <c r="Z20" s="1592" t="s">
        <v>1456</v>
      </c>
      <c r="AA20" s="1593" t="s">
        <v>1456</v>
      </c>
    </row>
    <row r="21" spans="1:27" ht="25.5" customHeight="1">
      <c r="A21" s="1681"/>
      <c r="B21" s="1682"/>
      <c r="C21" s="2853">
        <f t="shared" si="6"/>
        <v>0</v>
      </c>
      <c r="D21" s="2851">
        <f t="shared" si="6"/>
        <v>0</v>
      </c>
      <c r="E21" s="2852">
        <f t="shared" si="7"/>
        <v>0</v>
      </c>
      <c r="F21" s="2852">
        <f t="shared" si="7"/>
        <v>0</v>
      </c>
      <c r="G21" s="2852">
        <f t="shared" si="7"/>
        <v>0</v>
      </c>
      <c r="H21" s="2852">
        <f t="shared" si="7"/>
        <v>0</v>
      </c>
      <c r="I21" s="2852">
        <f t="shared" si="7"/>
        <v>0</v>
      </c>
      <c r="J21" s="2857" t="str">
        <f t="shared" si="8"/>
        <v/>
      </c>
      <c r="K21" s="1590"/>
      <c r="L21" s="1591" t="str">
        <f t="shared" si="9"/>
        <v/>
      </c>
      <c r="M21" s="1519">
        <v>25.5</v>
      </c>
      <c r="P21" s="1581"/>
      <c r="Q21" s="1582"/>
      <c r="R21" s="1684"/>
      <c r="S21" s="1550"/>
      <c r="T21" s="1592"/>
      <c r="U21" s="1592"/>
      <c r="V21" s="1592"/>
      <c r="W21" s="1592"/>
      <c r="X21" s="1592"/>
      <c r="Y21" s="1592" t="str">
        <f t="shared" si="11"/>
        <v/>
      </c>
      <c r="Z21" s="1592" t="s">
        <v>2411</v>
      </c>
      <c r="AA21" s="1593" t="str">
        <f>IF(Y21="","",(Y21*Z21))</f>
        <v/>
      </c>
    </row>
    <row r="22" spans="1:27" ht="25.5" customHeight="1">
      <c r="A22" s="1681"/>
      <c r="B22" s="1682"/>
      <c r="C22" s="2853">
        <f t="shared" si="6"/>
        <v>0</v>
      </c>
      <c r="D22" s="2851">
        <f t="shared" si="6"/>
        <v>0</v>
      </c>
      <c r="E22" s="2852">
        <f t="shared" si="7"/>
        <v>0</v>
      </c>
      <c r="F22" s="2852">
        <f t="shared" si="7"/>
        <v>0</v>
      </c>
      <c r="G22" s="2852">
        <f t="shared" si="7"/>
        <v>0</v>
      </c>
      <c r="H22" s="2852">
        <f t="shared" si="7"/>
        <v>0</v>
      </c>
      <c r="I22" s="2852">
        <f t="shared" si="7"/>
        <v>0</v>
      </c>
      <c r="J22" s="2857" t="str">
        <f t="shared" si="8"/>
        <v/>
      </c>
      <c r="K22" s="1590"/>
      <c r="L22" s="1591" t="str">
        <f t="shared" si="9"/>
        <v/>
      </c>
      <c r="M22" s="1519">
        <v>25.5</v>
      </c>
      <c r="P22" s="1581"/>
      <c r="Q22" s="1582"/>
      <c r="R22" s="1684"/>
      <c r="S22" s="1550"/>
      <c r="T22" s="1592"/>
      <c r="U22" s="1592"/>
      <c r="V22" s="1592"/>
      <c r="W22" s="1592"/>
      <c r="X22" s="1592"/>
      <c r="Y22" s="1592" t="str">
        <f t="shared" si="11"/>
        <v/>
      </c>
      <c r="Z22" s="1592" t="s">
        <v>2411</v>
      </c>
      <c r="AA22" s="1593" t="str">
        <f>IF(Y22="","",(Y22*Z22))</f>
        <v/>
      </c>
    </row>
    <row r="23" spans="1:27" ht="25.5" customHeight="1">
      <c r="A23" s="1681"/>
      <c r="B23" s="1682"/>
      <c r="C23" s="2853">
        <f t="shared" si="6"/>
        <v>0</v>
      </c>
      <c r="D23" s="2851">
        <f t="shared" si="6"/>
        <v>0</v>
      </c>
      <c r="E23" s="2852">
        <f t="shared" si="7"/>
        <v>0</v>
      </c>
      <c r="F23" s="2852">
        <f t="shared" si="7"/>
        <v>0</v>
      </c>
      <c r="G23" s="2852">
        <f t="shared" si="7"/>
        <v>0</v>
      </c>
      <c r="H23" s="2852">
        <f t="shared" si="7"/>
        <v>0</v>
      </c>
      <c r="I23" s="2852">
        <f t="shared" si="7"/>
        <v>0</v>
      </c>
      <c r="J23" s="2857" t="str">
        <f t="shared" si="8"/>
        <v/>
      </c>
      <c r="K23" s="1590"/>
      <c r="L23" s="1591" t="str">
        <f t="shared" si="9"/>
        <v/>
      </c>
      <c r="M23" s="1519">
        <v>25.5</v>
      </c>
      <c r="P23" s="1581"/>
      <c r="Q23" s="1582"/>
      <c r="R23" s="1684"/>
      <c r="S23" s="1550"/>
      <c r="T23" s="1592"/>
      <c r="U23" s="1592"/>
      <c r="V23" s="1592"/>
      <c r="W23" s="1592"/>
      <c r="X23" s="1592"/>
      <c r="Y23" s="1592" t="str">
        <f t="shared" si="11"/>
        <v/>
      </c>
      <c r="Z23" s="1592" t="s">
        <v>2411</v>
      </c>
      <c r="AA23" s="1593" t="str">
        <f>IF(Y23="","",(Y23*Z23))</f>
        <v/>
      </c>
    </row>
    <row r="24" spans="1:27" ht="25.5" customHeight="1">
      <c r="A24" s="1681"/>
      <c r="B24" s="1682"/>
      <c r="C24" s="2853">
        <f t="shared" si="6"/>
        <v>0</v>
      </c>
      <c r="D24" s="2851">
        <f t="shared" si="6"/>
        <v>0</v>
      </c>
      <c r="E24" s="2852">
        <f t="shared" si="7"/>
        <v>0</v>
      </c>
      <c r="F24" s="2852">
        <f t="shared" si="7"/>
        <v>0</v>
      </c>
      <c r="G24" s="2852">
        <f t="shared" si="7"/>
        <v>0</v>
      </c>
      <c r="H24" s="2852">
        <f t="shared" si="7"/>
        <v>0</v>
      </c>
      <c r="I24" s="2852">
        <f t="shared" si="7"/>
        <v>0</v>
      </c>
      <c r="J24" s="2857" t="str">
        <f t="shared" si="8"/>
        <v/>
      </c>
      <c r="K24" s="1590"/>
      <c r="L24" s="1591" t="str">
        <f t="shared" si="9"/>
        <v/>
      </c>
      <c r="M24" s="1519">
        <v>25.5</v>
      </c>
      <c r="P24" s="1581"/>
      <c r="Q24" s="1582"/>
      <c r="R24" s="1684"/>
      <c r="S24" s="1550"/>
      <c r="T24" s="1592"/>
      <c r="U24" s="1592"/>
      <c r="V24" s="1592"/>
      <c r="W24" s="1592"/>
      <c r="X24" s="1592"/>
      <c r="Y24" s="1592" t="str">
        <f t="shared" si="11"/>
        <v/>
      </c>
      <c r="Z24" s="1592" t="s">
        <v>2411</v>
      </c>
      <c r="AA24" s="1593" t="str">
        <f>IF(Y24="","",(Y24*Z24))</f>
        <v/>
      </c>
    </row>
    <row r="25" spans="1:27" ht="25.5" customHeight="1">
      <c r="A25" s="1681"/>
      <c r="B25" s="1682"/>
      <c r="C25" s="2854" t="str">
        <f t="shared" si="6"/>
        <v>B.O.F</v>
      </c>
      <c r="D25" s="2855" t="str">
        <f t="shared" si="6"/>
        <v xml:space="preserve"> </v>
      </c>
      <c r="E25" s="2855">
        <f t="shared" si="7"/>
        <v>0</v>
      </c>
      <c r="F25" s="2855">
        <f t="shared" si="7"/>
        <v>0</v>
      </c>
      <c r="G25" s="2855">
        <f t="shared" si="7"/>
        <v>0</v>
      </c>
      <c r="H25" s="2855">
        <f t="shared" si="7"/>
        <v>0</v>
      </c>
      <c r="I25" s="2855">
        <f t="shared" si="7"/>
        <v>0</v>
      </c>
      <c r="J25" s="1674" t="str">
        <f t="shared" si="8"/>
        <v/>
      </c>
      <c r="K25" s="1579"/>
      <c r="L25" s="1580" t="str">
        <f t="shared" si="9"/>
        <v/>
      </c>
      <c r="M25" s="1519">
        <v>25.5</v>
      </c>
      <c r="P25" s="1581"/>
      <c r="Q25" s="1582"/>
      <c r="R25" s="1686" t="s">
        <v>1465</v>
      </c>
      <c r="S25" s="1584" t="s">
        <v>1456</v>
      </c>
      <c r="T25" s="1599"/>
      <c r="U25" s="1599"/>
      <c r="V25" s="1599"/>
      <c r="W25" s="1599"/>
      <c r="X25" s="1599"/>
      <c r="Y25" s="1599" t="s">
        <v>1456</v>
      </c>
      <c r="Z25" s="1599" t="s">
        <v>1456</v>
      </c>
      <c r="AA25" s="1600" t="s">
        <v>1456</v>
      </c>
    </row>
    <row r="26" spans="1:27" ht="25.5" customHeight="1">
      <c r="A26" s="1681"/>
      <c r="B26" s="1682"/>
      <c r="C26" s="2853" t="str">
        <f t="shared" si="6"/>
        <v>beurre</v>
      </c>
      <c r="D26" s="2851" t="str">
        <f t="shared" si="6"/>
        <v>kg</v>
      </c>
      <c r="E26" s="2852">
        <f t="shared" si="7"/>
        <v>0</v>
      </c>
      <c r="F26" s="2852">
        <f t="shared" si="7"/>
        <v>0.15</v>
      </c>
      <c r="G26" s="2852">
        <f t="shared" si="7"/>
        <v>0.05</v>
      </c>
      <c r="H26" s="2852">
        <f t="shared" si="7"/>
        <v>0.1</v>
      </c>
      <c r="I26" s="2852">
        <f t="shared" si="7"/>
        <v>0</v>
      </c>
      <c r="J26" s="2857">
        <f t="shared" si="8"/>
        <v>0.30000000000000004</v>
      </c>
      <c r="K26" s="1590"/>
      <c r="L26" s="1591" t="str">
        <f t="shared" si="9"/>
        <v/>
      </c>
      <c r="M26" s="1519">
        <v>25.5</v>
      </c>
      <c r="P26" s="1581"/>
      <c r="Q26" s="1582"/>
      <c r="R26" s="1684" t="s">
        <v>979</v>
      </c>
      <c r="S26" s="1550" t="s">
        <v>166</v>
      </c>
      <c r="T26" s="1592"/>
      <c r="U26" s="1592">
        <v>0.15</v>
      </c>
      <c r="V26" s="1592">
        <v>0.05</v>
      </c>
      <c r="W26" s="1592">
        <v>0.1</v>
      </c>
      <c r="X26" s="1592"/>
      <c r="Y26" s="1592">
        <f t="shared" ref="Y26:Y28" si="12">IF(SUM(T26:X26)=0,"",SUM(T26:X26))</f>
        <v>0.30000000000000004</v>
      </c>
      <c r="Z26" s="1592" t="s">
        <v>1456</v>
      </c>
      <c r="AA26" s="1593" t="s">
        <v>1456</v>
      </c>
    </row>
    <row r="27" spans="1:27" ht="25.5" customHeight="1">
      <c r="A27" s="1681"/>
      <c r="B27" s="1682"/>
      <c r="C27" s="2853">
        <f t="shared" si="6"/>
        <v>0</v>
      </c>
      <c r="D27" s="2851">
        <f t="shared" si="6"/>
        <v>0</v>
      </c>
      <c r="E27" s="2852">
        <f t="shared" si="7"/>
        <v>0</v>
      </c>
      <c r="F27" s="2852">
        <f t="shared" si="7"/>
        <v>0</v>
      </c>
      <c r="G27" s="2852">
        <f t="shared" si="7"/>
        <v>0</v>
      </c>
      <c r="H27" s="2852">
        <f t="shared" si="7"/>
        <v>0</v>
      </c>
      <c r="I27" s="2852">
        <f t="shared" si="7"/>
        <v>0</v>
      </c>
      <c r="J27" s="2857" t="str">
        <f t="shared" si="8"/>
        <v/>
      </c>
      <c r="K27" s="1590"/>
      <c r="L27" s="1591" t="str">
        <f t="shared" si="9"/>
        <v/>
      </c>
      <c r="M27" s="1519">
        <v>25.5</v>
      </c>
      <c r="P27" s="1581"/>
      <c r="Q27" s="1582"/>
      <c r="R27" s="1684"/>
      <c r="S27" s="1550"/>
      <c r="T27" s="1592"/>
      <c r="U27" s="1592"/>
      <c r="V27" s="1592"/>
      <c r="W27" s="1592"/>
      <c r="X27" s="1592"/>
      <c r="Y27" s="1592" t="str">
        <f t="shared" si="12"/>
        <v/>
      </c>
      <c r="Z27" s="1592" t="s">
        <v>1456</v>
      </c>
      <c r="AA27" s="1593" t="s">
        <v>1456</v>
      </c>
    </row>
    <row r="28" spans="1:27" ht="25.5" customHeight="1">
      <c r="A28" s="1681"/>
      <c r="B28" s="1682"/>
      <c r="C28" s="2853">
        <f t="shared" si="6"/>
        <v>0</v>
      </c>
      <c r="D28" s="2851">
        <f t="shared" si="6"/>
        <v>0</v>
      </c>
      <c r="E28" s="2852">
        <f t="shared" si="7"/>
        <v>0</v>
      </c>
      <c r="F28" s="2852">
        <f t="shared" si="7"/>
        <v>0</v>
      </c>
      <c r="G28" s="2852">
        <f t="shared" si="7"/>
        <v>0</v>
      </c>
      <c r="H28" s="2852">
        <f t="shared" si="7"/>
        <v>0</v>
      </c>
      <c r="I28" s="2852">
        <f t="shared" si="7"/>
        <v>0</v>
      </c>
      <c r="J28" s="2857" t="str">
        <f t="shared" si="8"/>
        <v/>
      </c>
      <c r="K28" s="1590"/>
      <c r="L28" s="1591" t="str">
        <f t="shared" si="9"/>
        <v/>
      </c>
      <c r="M28" s="1519">
        <v>25.5</v>
      </c>
      <c r="P28" s="1581"/>
      <c r="Q28" s="1582"/>
      <c r="R28" s="1684"/>
      <c r="S28" s="1550"/>
      <c r="T28" s="1592"/>
      <c r="U28" s="1592"/>
      <c r="V28" s="1592"/>
      <c r="W28" s="1592"/>
      <c r="X28" s="1592"/>
      <c r="Y28" s="1592" t="str">
        <f t="shared" si="12"/>
        <v/>
      </c>
      <c r="Z28" s="1592" t="s">
        <v>2411</v>
      </c>
      <c r="AA28" s="1593" t="str">
        <f>IF(Y28="","",(Y28*Z28))</f>
        <v/>
      </c>
    </row>
    <row r="29" spans="1:27" ht="25.5" customHeight="1">
      <c r="A29" s="1681"/>
      <c r="B29" s="1682"/>
      <c r="C29" s="2853" t="str">
        <f t="shared" si="6"/>
        <v>ECONOMAT/CAVE</v>
      </c>
      <c r="D29" s="2851" t="str">
        <f t="shared" si="6"/>
        <v xml:space="preserve"> </v>
      </c>
      <c r="E29" s="2852">
        <f t="shared" si="7"/>
        <v>0</v>
      </c>
      <c r="F29" s="2852">
        <f t="shared" si="7"/>
        <v>0</v>
      </c>
      <c r="G29" s="2852">
        <f t="shared" si="7"/>
        <v>0</v>
      </c>
      <c r="H29" s="2852">
        <f t="shared" si="7"/>
        <v>0</v>
      </c>
      <c r="I29" s="2852">
        <f t="shared" si="7"/>
        <v>0</v>
      </c>
      <c r="J29" s="2857" t="str">
        <f t="shared" si="8"/>
        <v/>
      </c>
      <c r="K29" s="1579"/>
      <c r="L29" s="1591" t="str">
        <f t="shared" si="9"/>
        <v/>
      </c>
      <c r="M29" s="1519">
        <v>25.5</v>
      </c>
      <c r="P29" s="1581"/>
      <c r="Q29" s="1582"/>
      <c r="R29" s="1686" t="s">
        <v>1967</v>
      </c>
      <c r="S29" s="1584" t="s">
        <v>1456</v>
      </c>
      <c r="T29" s="1599"/>
      <c r="U29" s="1599"/>
      <c r="V29" s="1599"/>
      <c r="W29" s="1599"/>
      <c r="X29" s="1599"/>
      <c r="Y29" s="1599" t="s">
        <v>1456</v>
      </c>
      <c r="Z29" s="1599" t="s">
        <v>1456</v>
      </c>
      <c r="AA29" s="1600" t="s">
        <v>1456</v>
      </c>
    </row>
    <row r="30" spans="1:27" ht="25.5" customHeight="1">
      <c r="A30" s="1681"/>
      <c r="B30" s="1682"/>
      <c r="C30" s="2853" t="str">
        <f t="shared" si="6"/>
        <v>piques en bois</v>
      </c>
      <c r="D30" s="2851">
        <f t="shared" si="6"/>
        <v>0</v>
      </c>
      <c r="E30" s="2852">
        <f t="shared" si="7"/>
        <v>0</v>
      </c>
      <c r="F30" s="2852">
        <f t="shared" si="7"/>
        <v>0</v>
      </c>
      <c r="G30" s="2852" t="str">
        <f t="shared" si="7"/>
        <v>pm</v>
      </c>
      <c r="H30" s="2852">
        <f t="shared" si="7"/>
        <v>0</v>
      </c>
      <c r="I30" s="2852">
        <f t="shared" si="7"/>
        <v>0</v>
      </c>
      <c r="J30" s="2857" t="str">
        <f t="shared" si="8"/>
        <v/>
      </c>
      <c r="K30" s="1590"/>
      <c r="L30" s="1591" t="str">
        <f t="shared" si="9"/>
        <v/>
      </c>
      <c r="M30" s="1519">
        <v>25.5</v>
      </c>
      <c r="P30" s="1581"/>
      <c r="Q30" s="1582"/>
      <c r="R30" s="1684" t="s">
        <v>221</v>
      </c>
      <c r="S30" s="1550"/>
      <c r="T30" s="1592"/>
      <c r="U30" s="1592"/>
      <c r="V30" s="1592" t="s">
        <v>214</v>
      </c>
      <c r="W30" s="1592"/>
      <c r="X30" s="1592"/>
      <c r="Y30" s="1592" t="str">
        <f t="shared" ref="Y30:Y33" si="13">IF(SUM(T30:X30)=0,"",SUM(T30:X30))</f>
        <v/>
      </c>
      <c r="Z30" s="1592" t="s">
        <v>1456</v>
      </c>
      <c r="AA30" s="1593" t="s">
        <v>1456</v>
      </c>
    </row>
    <row r="31" spans="1:27" ht="25.5" customHeight="1">
      <c r="A31" s="1681"/>
      <c r="B31" s="1682"/>
      <c r="C31" s="2853" t="str">
        <f t="shared" si="6"/>
        <v xml:space="preserve">pain de mie </v>
      </c>
      <c r="D31" s="2851" t="str">
        <f t="shared" si="6"/>
        <v>p</v>
      </c>
      <c r="E31" s="2852">
        <f t="shared" si="7"/>
        <v>0</v>
      </c>
      <c r="F31" s="2852">
        <f t="shared" si="7"/>
        <v>0.5</v>
      </c>
      <c r="G31" s="2852">
        <f t="shared" si="7"/>
        <v>0</v>
      </c>
      <c r="H31" s="2852">
        <f t="shared" si="7"/>
        <v>0</v>
      </c>
      <c r="I31" s="2852">
        <f t="shared" si="7"/>
        <v>0</v>
      </c>
      <c r="J31" s="2857">
        <f t="shared" si="8"/>
        <v>0.5</v>
      </c>
      <c r="K31" s="1590"/>
      <c r="L31" s="1591" t="str">
        <f t="shared" si="9"/>
        <v/>
      </c>
      <c r="M31" s="1519">
        <v>25.5</v>
      </c>
      <c r="P31" s="1581"/>
      <c r="Q31" s="1582"/>
      <c r="R31" s="1684" t="s">
        <v>2127</v>
      </c>
      <c r="S31" s="1550" t="s">
        <v>788</v>
      </c>
      <c r="T31" s="1592"/>
      <c r="U31" s="1592">
        <v>0.5</v>
      </c>
      <c r="V31" s="1592"/>
      <c r="W31" s="1592"/>
      <c r="X31" s="1592"/>
      <c r="Y31" s="1592">
        <f t="shared" si="13"/>
        <v>0.5</v>
      </c>
      <c r="Z31" s="1592" t="s">
        <v>1456</v>
      </c>
      <c r="AA31" s="1593" t="s">
        <v>1456</v>
      </c>
    </row>
    <row r="32" spans="1:27" ht="25.5" customHeight="1">
      <c r="A32" s="1681"/>
      <c r="B32" s="1682"/>
      <c r="C32" s="2853" t="str">
        <f t="shared" si="6"/>
        <v>curry</v>
      </c>
      <c r="D32" s="2851">
        <f t="shared" si="6"/>
        <v>0</v>
      </c>
      <c r="E32" s="2852" t="str">
        <f t="shared" si="7"/>
        <v>pm</v>
      </c>
      <c r="F32" s="2852" t="str">
        <f t="shared" si="7"/>
        <v>pm</v>
      </c>
      <c r="G32" s="2852">
        <f t="shared" si="7"/>
        <v>0</v>
      </c>
      <c r="H32" s="2852">
        <f t="shared" si="7"/>
        <v>0</v>
      </c>
      <c r="I32" s="2852">
        <f t="shared" si="7"/>
        <v>0</v>
      </c>
      <c r="J32" s="2857" t="str">
        <f t="shared" si="8"/>
        <v/>
      </c>
      <c r="K32" s="1590"/>
      <c r="L32" s="1591" t="str">
        <f t="shared" si="9"/>
        <v/>
      </c>
      <c r="M32" s="1519">
        <v>25.5</v>
      </c>
      <c r="P32" s="1581"/>
      <c r="Q32" s="1582"/>
      <c r="R32" s="1684" t="s">
        <v>1606</v>
      </c>
      <c r="S32" s="1550"/>
      <c r="T32" s="1592" t="s">
        <v>214</v>
      </c>
      <c r="U32" s="1592" t="s">
        <v>214</v>
      </c>
      <c r="V32" s="1592"/>
      <c r="W32" s="1592"/>
      <c r="X32" s="1592"/>
      <c r="Y32" s="1592" t="str">
        <f t="shared" si="13"/>
        <v/>
      </c>
      <c r="Z32" s="1592" t="s">
        <v>1456</v>
      </c>
      <c r="AA32" s="1593" t="s">
        <v>1456</v>
      </c>
    </row>
    <row r="33" spans="1:27" ht="25.5" customHeight="1">
      <c r="A33" s="1681"/>
      <c r="B33" s="1682"/>
      <c r="C33" s="2853" t="str">
        <f t="shared" si="6"/>
        <v>cumin</v>
      </c>
      <c r="D33" s="2851">
        <f t="shared" si="6"/>
        <v>0</v>
      </c>
      <c r="E33" s="2852" t="str">
        <f t="shared" si="7"/>
        <v>pm</v>
      </c>
      <c r="F33" s="2852" t="str">
        <f t="shared" si="7"/>
        <v>pm</v>
      </c>
      <c r="G33" s="2852">
        <f t="shared" si="7"/>
        <v>0</v>
      </c>
      <c r="H33" s="2852">
        <f t="shared" si="7"/>
        <v>0</v>
      </c>
      <c r="I33" s="2852">
        <f t="shared" si="7"/>
        <v>0</v>
      </c>
      <c r="J33" s="2857" t="str">
        <f t="shared" si="8"/>
        <v/>
      </c>
      <c r="K33" s="1590"/>
      <c r="L33" s="1591" t="str">
        <f t="shared" si="9"/>
        <v/>
      </c>
      <c r="M33" s="1519">
        <v>25.5</v>
      </c>
      <c r="P33" s="1581"/>
      <c r="Q33" s="1582"/>
      <c r="R33" s="1684" t="s">
        <v>1605</v>
      </c>
      <c r="S33" s="1550"/>
      <c r="T33" s="1592" t="s">
        <v>214</v>
      </c>
      <c r="U33" s="1592" t="s">
        <v>214</v>
      </c>
      <c r="V33" s="1592"/>
      <c r="W33" s="1592"/>
      <c r="X33" s="1592"/>
      <c r="Y33" s="1592" t="str">
        <f t="shared" si="13"/>
        <v/>
      </c>
      <c r="Z33" s="1592" t="s">
        <v>1456</v>
      </c>
      <c r="AA33" s="1593" t="s">
        <v>1456</v>
      </c>
    </row>
    <row r="34" spans="1:27" ht="25.5" customHeight="1">
      <c r="A34" s="1681"/>
      <c r="B34" s="1682"/>
      <c r="C34" s="2854" t="str">
        <f t="shared" si="6"/>
        <v>huile olives</v>
      </c>
      <c r="D34" s="2855" t="str">
        <f t="shared" si="6"/>
        <v>L</v>
      </c>
      <c r="E34" s="2855">
        <f t="shared" si="7"/>
        <v>0</v>
      </c>
      <c r="F34" s="2855">
        <f t="shared" si="7"/>
        <v>0</v>
      </c>
      <c r="G34" s="2855">
        <f t="shared" si="7"/>
        <v>0</v>
      </c>
      <c r="H34" s="2855">
        <f t="shared" si="7"/>
        <v>0.1</v>
      </c>
      <c r="I34" s="2855">
        <f t="shared" si="7"/>
        <v>0</v>
      </c>
      <c r="J34" s="1674">
        <f t="shared" si="8"/>
        <v>0.1</v>
      </c>
      <c r="K34" s="1590"/>
      <c r="L34" s="1580" t="str">
        <f t="shared" si="9"/>
        <v/>
      </c>
      <c r="M34" s="1519">
        <v>25.5</v>
      </c>
      <c r="P34" s="1581"/>
      <c r="Q34" s="1582"/>
      <c r="R34" s="1684" t="s">
        <v>2128</v>
      </c>
      <c r="S34" s="1550" t="s">
        <v>224</v>
      </c>
      <c r="T34" s="1592"/>
      <c r="U34" s="1592"/>
      <c r="V34" s="1592"/>
      <c r="W34" s="1592">
        <v>0.1</v>
      </c>
      <c r="X34" s="1592"/>
      <c r="Y34" s="1592"/>
      <c r="Z34" s="1592"/>
      <c r="AA34" s="1593"/>
    </row>
    <row r="35" spans="1:27" ht="25.5" customHeight="1">
      <c r="A35" s="1681"/>
      <c r="B35" s="1682"/>
      <c r="C35" s="2853" t="str">
        <f t="shared" si="6"/>
        <v>sucre morceaux</v>
      </c>
      <c r="D35" s="2851">
        <f t="shared" si="6"/>
        <v>0</v>
      </c>
      <c r="E35" s="2852">
        <f t="shared" si="7"/>
        <v>0</v>
      </c>
      <c r="F35" s="2852">
        <f t="shared" si="7"/>
        <v>0</v>
      </c>
      <c r="G35" s="2852">
        <f t="shared" si="7"/>
        <v>0</v>
      </c>
      <c r="H35" s="2852" t="str">
        <f t="shared" si="7"/>
        <v>pm</v>
      </c>
      <c r="I35" s="2852">
        <f t="shared" si="7"/>
        <v>0</v>
      </c>
      <c r="J35" s="2857" t="str">
        <f t="shared" si="8"/>
        <v/>
      </c>
      <c r="K35" s="1590"/>
      <c r="L35" s="1591" t="str">
        <f t="shared" si="9"/>
        <v/>
      </c>
      <c r="M35" s="1519">
        <v>25.5</v>
      </c>
      <c r="P35" s="1581"/>
      <c r="Q35" s="1582"/>
      <c r="R35" s="1684" t="s">
        <v>2129</v>
      </c>
      <c r="S35" s="1550"/>
      <c r="T35" s="1592"/>
      <c r="U35" s="1592"/>
      <c r="V35" s="1592"/>
      <c r="W35" s="1592" t="s">
        <v>214</v>
      </c>
      <c r="X35" s="1592"/>
      <c r="Y35" s="1592"/>
      <c r="Z35" s="1592"/>
      <c r="AA35" s="1593"/>
    </row>
    <row r="36" spans="1:27" ht="25.5" customHeight="1">
      <c r="A36" s="1681"/>
      <c r="B36" s="1682"/>
      <c r="C36" s="2853" t="str">
        <f t="shared" si="6"/>
        <v>paprika</v>
      </c>
      <c r="D36" s="2851">
        <f t="shared" si="6"/>
        <v>0</v>
      </c>
      <c r="E36" s="2852">
        <f t="shared" si="7"/>
        <v>0</v>
      </c>
      <c r="F36" s="2852" t="str">
        <f t="shared" si="7"/>
        <v>pm</v>
      </c>
      <c r="G36" s="2852">
        <f t="shared" si="7"/>
        <v>0</v>
      </c>
      <c r="H36" s="2852">
        <f t="shared" si="7"/>
        <v>0</v>
      </c>
      <c r="I36" s="2852">
        <f t="shared" si="7"/>
        <v>0</v>
      </c>
      <c r="J36" s="2857" t="str">
        <f t="shared" si="8"/>
        <v/>
      </c>
      <c r="K36" s="1590"/>
      <c r="L36" s="1591" t="str">
        <f t="shared" si="9"/>
        <v/>
      </c>
      <c r="M36" s="1519">
        <v>25.5</v>
      </c>
      <c r="P36" s="1581"/>
      <c r="Q36" s="1582"/>
      <c r="R36" s="1684" t="s">
        <v>2130</v>
      </c>
      <c r="S36" s="1550"/>
      <c r="T36" s="1592"/>
      <c r="U36" s="1592" t="s">
        <v>214</v>
      </c>
      <c r="V36" s="1592"/>
      <c r="W36" s="1592"/>
      <c r="X36" s="1592"/>
      <c r="Y36" s="1592" t="str">
        <f t="shared" ref="Y36" si="14">IF(SUM(T36:X36)=0,"",SUM(T36:X36))</f>
        <v/>
      </c>
      <c r="Z36" s="1592" t="s">
        <v>1456</v>
      </c>
      <c r="AA36" s="1593" t="s">
        <v>1456</v>
      </c>
    </row>
    <row r="37" spans="1:27" ht="25.5" customHeight="1">
      <c r="A37" s="1681"/>
      <c r="B37" s="1682"/>
      <c r="C37" s="2853" t="str">
        <f t="shared" si="6"/>
        <v>fonds blanc volail</v>
      </c>
      <c r="D37" s="2851" t="str">
        <f t="shared" si="6"/>
        <v>L</v>
      </c>
      <c r="E37" s="2852">
        <f t="shared" si="7"/>
        <v>0</v>
      </c>
      <c r="F37" s="2852">
        <f t="shared" si="7"/>
        <v>0</v>
      </c>
      <c r="G37" s="2852">
        <f t="shared" si="7"/>
        <v>0</v>
      </c>
      <c r="H37" s="2852">
        <f t="shared" si="7"/>
        <v>0.5</v>
      </c>
      <c r="I37" s="2852">
        <f t="shared" si="7"/>
        <v>0</v>
      </c>
      <c r="J37" s="2857">
        <f t="shared" si="8"/>
        <v>0.5</v>
      </c>
      <c r="K37" s="1590"/>
      <c r="L37" s="1591" t="str">
        <f t="shared" si="9"/>
        <v/>
      </c>
      <c r="M37" s="1519">
        <v>25.5</v>
      </c>
      <c r="P37" s="1581"/>
      <c r="Q37" s="1582"/>
      <c r="R37" s="1684" t="s">
        <v>2131</v>
      </c>
      <c r="S37" s="1550" t="s">
        <v>224</v>
      </c>
      <c r="T37" s="1592"/>
      <c r="U37" s="1592"/>
      <c r="V37" s="1592"/>
      <c r="W37" s="1592">
        <v>0.5</v>
      </c>
      <c r="X37" s="1592"/>
      <c r="Y37" s="1592"/>
      <c r="Z37" s="1592"/>
      <c r="AA37" s="1593"/>
    </row>
    <row r="38" spans="1:27" ht="25.5" customHeight="1">
      <c r="A38" s="1681"/>
      <c r="B38" s="1682"/>
      <c r="C38" s="2853" t="str">
        <f t="shared" si="6"/>
        <v>sel fin</v>
      </c>
      <c r="D38" s="2851">
        <f t="shared" si="6"/>
        <v>0</v>
      </c>
      <c r="E38" s="2852">
        <f t="shared" si="7"/>
        <v>0</v>
      </c>
      <c r="F38" s="2852" t="str">
        <f t="shared" si="7"/>
        <v>pm</v>
      </c>
      <c r="G38" s="2852">
        <f t="shared" si="7"/>
        <v>0</v>
      </c>
      <c r="H38" s="2852">
        <f t="shared" si="7"/>
        <v>0</v>
      </c>
      <c r="I38" s="2852">
        <f t="shared" si="7"/>
        <v>0</v>
      </c>
      <c r="J38" s="2857" t="str">
        <f t="shared" si="8"/>
        <v/>
      </c>
      <c r="K38" s="1590"/>
      <c r="L38" s="1591" t="str">
        <f t="shared" si="9"/>
        <v/>
      </c>
      <c r="M38" s="1519">
        <v>25.5</v>
      </c>
      <c r="P38" s="1581"/>
      <c r="Q38" s="1582"/>
      <c r="R38" s="1684" t="s">
        <v>213</v>
      </c>
      <c r="S38" s="1550"/>
      <c r="T38" s="1592"/>
      <c r="U38" s="1592" t="s">
        <v>214</v>
      </c>
      <c r="V38" s="1592"/>
      <c r="W38" s="1592"/>
      <c r="X38" s="1592"/>
      <c r="Y38" s="1592" t="str">
        <f t="shared" ref="Y38:Y45" si="15">IF(SUM(T38:X38)=0,"",SUM(T38:X38))</f>
        <v/>
      </c>
      <c r="Z38" s="1592" t="s">
        <v>1456</v>
      </c>
      <c r="AA38" s="1593" t="s">
        <v>1456</v>
      </c>
    </row>
    <row r="39" spans="1:27" ht="25.5" customHeight="1">
      <c r="A39" s="1681"/>
      <c r="B39" s="1682"/>
      <c r="C39" s="2853" t="str">
        <f t="shared" si="6"/>
        <v xml:space="preserve">poivre blanc </v>
      </c>
      <c r="D39" s="2851">
        <f t="shared" si="6"/>
        <v>0</v>
      </c>
      <c r="E39" s="2852">
        <f t="shared" si="7"/>
        <v>0</v>
      </c>
      <c r="F39" s="2852" t="str">
        <f t="shared" si="7"/>
        <v>pm</v>
      </c>
      <c r="G39" s="2852">
        <f t="shared" si="7"/>
        <v>0</v>
      </c>
      <c r="H39" s="2852">
        <f t="shared" si="7"/>
        <v>0</v>
      </c>
      <c r="I39" s="2852">
        <f t="shared" si="7"/>
        <v>0</v>
      </c>
      <c r="J39" s="2857" t="str">
        <f t="shared" si="8"/>
        <v/>
      </c>
      <c r="K39" s="1590"/>
      <c r="L39" s="1591" t="str">
        <f t="shared" si="9"/>
        <v/>
      </c>
      <c r="M39" s="1519">
        <v>25.5</v>
      </c>
      <c r="P39" s="1581"/>
      <c r="Q39" s="1582"/>
      <c r="R39" s="1684" t="s">
        <v>2132</v>
      </c>
      <c r="S39" s="1550"/>
      <c r="T39" s="1592"/>
      <c r="U39" s="1592" t="s">
        <v>214</v>
      </c>
      <c r="V39" s="1592"/>
      <c r="W39" s="1592"/>
      <c r="X39" s="1592"/>
      <c r="Y39" s="1592" t="str">
        <f t="shared" si="15"/>
        <v/>
      </c>
      <c r="Z39" s="1592" t="s">
        <v>2411</v>
      </c>
      <c r="AA39" s="1593" t="str">
        <f>IF(Y39="","",(Y39*Z39))</f>
        <v/>
      </c>
    </row>
    <row r="40" spans="1:27" ht="25.5" customHeight="1">
      <c r="A40" s="1681"/>
      <c r="B40" s="1682"/>
      <c r="C40" s="2853" t="str">
        <f t="shared" si="6"/>
        <v>fonds brun 1/2 gl</v>
      </c>
      <c r="D40" s="2851" t="str">
        <f t="shared" si="6"/>
        <v>L</v>
      </c>
      <c r="E40" s="2852">
        <f t="shared" si="7"/>
        <v>0</v>
      </c>
      <c r="F40" s="2852">
        <f t="shared" si="7"/>
        <v>0.4</v>
      </c>
      <c r="G40" s="2852">
        <f t="shared" si="7"/>
        <v>0</v>
      </c>
      <c r="H40" s="2852">
        <f t="shared" si="7"/>
        <v>0</v>
      </c>
      <c r="I40" s="2852">
        <f t="shared" si="7"/>
        <v>0</v>
      </c>
      <c r="J40" s="2857">
        <f t="shared" si="8"/>
        <v>0.4</v>
      </c>
      <c r="K40" s="1697"/>
      <c r="L40" s="1591" t="str">
        <f t="shared" si="9"/>
        <v/>
      </c>
      <c r="M40" s="1519">
        <v>25.5</v>
      </c>
      <c r="P40" s="1581"/>
      <c r="Q40" s="1582"/>
      <c r="R40" s="1684" t="s">
        <v>2133</v>
      </c>
      <c r="S40" s="1550" t="s">
        <v>224</v>
      </c>
      <c r="T40" s="1592"/>
      <c r="U40" s="1592">
        <v>0.4</v>
      </c>
      <c r="V40" s="1592"/>
      <c r="W40" s="1592"/>
      <c r="X40" s="1592"/>
      <c r="Y40" s="1592">
        <f t="shared" si="15"/>
        <v>0.4</v>
      </c>
      <c r="Z40" s="1592" t="s">
        <v>1456</v>
      </c>
      <c r="AA40" s="1593" t="s">
        <v>1456</v>
      </c>
    </row>
    <row r="41" spans="1:27" ht="25.5" customHeight="1">
      <c r="A41" s="1681"/>
      <c r="B41" s="1682"/>
      <c r="C41" s="2853" t="str">
        <f t="shared" si="6"/>
        <v>miel</v>
      </c>
      <c r="D41" s="2851" t="str">
        <f t="shared" si="6"/>
        <v>kg</v>
      </c>
      <c r="E41" s="2852">
        <f t="shared" si="7"/>
        <v>0.2</v>
      </c>
      <c r="F41" s="2852">
        <f t="shared" si="7"/>
        <v>0</v>
      </c>
      <c r="G41" s="2852">
        <f t="shared" si="7"/>
        <v>0</v>
      </c>
      <c r="H41" s="2852">
        <f t="shared" si="7"/>
        <v>0</v>
      </c>
      <c r="I41" s="2852">
        <f t="shared" si="7"/>
        <v>0</v>
      </c>
      <c r="J41" s="2857">
        <f t="shared" si="8"/>
        <v>0.2</v>
      </c>
      <c r="K41" s="1590">
        <v>50.4</v>
      </c>
      <c r="L41" s="1591">
        <f t="shared" si="9"/>
        <v>10.08</v>
      </c>
      <c r="M41" s="1519">
        <v>25.5</v>
      </c>
      <c r="P41" s="1581"/>
      <c r="Q41" s="1582"/>
      <c r="R41" s="1684" t="s">
        <v>1648</v>
      </c>
      <c r="S41" s="1550" t="s">
        <v>166</v>
      </c>
      <c r="T41" s="1592">
        <v>0.2</v>
      </c>
      <c r="U41" s="1592"/>
      <c r="V41" s="1592"/>
      <c r="W41" s="1592"/>
      <c r="X41" s="1592"/>
      <c r="Y41" s="1592">
        <f t="shared" si="15"/>
        <v>0.2</v>
      </c>
      <c r="Z41" s="1592">
        <v>50.4</v>
      </c>
      <c r="AA41" s="1593">
        <f>IF(Y41="","",(Y41*Z41))</f>
        <v>10.08</v>
      </c>
    </row>
    <row r="42" spans="1:27" ht="25.5" customHeight="1">
      <c r="A42" s="1681"/>
      <c r="B42" s="1682"/>
      <c r="C42" s="2853" t="str">
        <f t="shared" si="6"/>
        <v>vinaigre xéres</v>
      </c>
      <c r="D42" s="2851" t="str">
        <f t="shared" si="6"/>
        <v>L</v>
      </c>
      <c r="E42" s="2852">
        <f t="shared" si="7"/>
        <v>0.2</v>
      </c>
      <c r="F42" s="2852">
        <f t="shared" si="7"/>
        <v>0</v>
      </c>
      <c r="G42" s="2852">
        <f t="shared" si="7"/>
        <v>0</v>
      </c>
      <c r="H42" s="2852">
        <f t="shared" si="7"/>
        <v>0</v>
      </c>
      <c r="I42" s="2852">
        <f t="shared" si="7"/>
        <v>0</v>
      </c>
      <c r="J42" s="2857">
        <f t="shared" si="8"/>
        <v>0.2</v>
      </c>
      <c r="K42" s="1590"/>
      <c r="L42" s="1591" t="str">
        <f t="shared" si="9"/>
        <v/>
      </c>
      <c r="M42" s="1519">
        <v>25.5</v>
      </c>
      <c r="P42" s="1581"/>
      <c r="Q42" s="1582"/>
      <c r="R42" s="1684" t="s">
        <v>2134</v>
      </c>
      <c r="S42" s="1550" t="s">
        <v>224</v>
      </c>
      <c r="T42" s="1592">
        <v>0.2</v>
      </c>
      <c r="U42" s="1592"/>
      <c r="V42" s="1592"/>
      <c r="W42" s="1592"/>
      <c r="X42" s="1592"/>
      <c r="Y42" s="1592">
        <f t="shared" si="15"/>
        <v>0.2</v>
      </c>
      <c r="Z42" s="1592" t="s">
        <v>1456</v>
      </c>
      <c r="AA42" s="1593" t="s">
        <v>1456</v>
      </c>
    </row>
    <row r="43" spans="1:27" ht="25.5" customHeight="1">
      <c r="A43" s="1681"/>
      <c r="B43" s="1682"/>
      <c r="C43" s="2853" t="str">
        <f t="shared" si="6"/>
        <v>anis étoile</v>
      </c>
      <c r="D43" s="2851">
        <f t="shared" si="6"/>
        <v>0</v>
      </c>
      <c r="E43" s="2852" t="str">
        <f t="shared" si="7"/>
        <v>pm</v>
      </c>
      <c r="F43" s="2852">
        <f t="shared" si="7"/>
        <v>0</v>
      </c>
      <c r="G43" s="2852">
        <f t="shared" si="7"/>
        <v>0</v>
      </c>
      <c r="H43" s="2852">
        <f t="shared" si="7"/>
        <v>0</v>
      </c>
      <c r="I43" s="2852">
        <f t="shared" si="7"/>
        <v>0</v>
      </c>
      <c r="J43" s="2857" t="str">
        <f t="shared" si="8"/>
        <v/>
      </c>
      <c r="K43" s="1590"/>
      <c r="L43" s="1591" t="str">
        <f t="shared" si="9"/>
        <v/>
      </c>
      <c r="M43" s="1519">
        <v>25.5</v>
      </c>
      <c r="P43" s="1581"/>
      <c r="Q43" s="1582"/>
      <c r="R43" s="1684" t="s">
        <v>2135</v>
      </c>
      <c r="S43" s="1550"/>
      <c r="T43" s="1592" t="s">
        <v>214</v>
      </c>
      <c r="U43" s="1592"/>
      <c r="V43" s="1592"/>
      <c r="W43" s="1592"/>
      <c r="X43" s="1592"/>
      <c r="Y43" s="1592" t="str">
        <f t="shared" si="15"/>
        <v/>
      </c>
      <c r="Z43" s="1592" t="s">
        <v>2411</v>
      </c>
      <c r="AA43" s="1593" t="str">
        <f>IF(Y43="","",(Y43*Z43))</f>
        <v/>
      </c>
    </row>
    <row r="44" spans="1:27" ht="25.5" customHeight="1">
      <c r="A44" s="1681"/>
      <c r="B44" s="1682"/>
      <c r="C44" s="2853" t="str">
        <f t="shared" si="6"/>
        <v>fonds brun clair</v>
      </c>
      <c r="D44" s="2851" t="str">
        <f t="shared" si="6"/>
        <v>L</v>
      </c>
      <c r="E44" s="2852">
        <f t="shared" si="7"/>
        <v>1</v>
      </c>
      <c r="F44" s="2852">
        <f t="shared" si="7"/>
        <v>0</v>
      </c>
      <c r="G44" s="2852">
        <f t="shared" si="7"/>
        <v>0</v>
      </c>
      <c r="H44" s="2852">
        <f t="shared" si="7"/>
        <v>0</v>
      </c>
      <c r="I44" s="2852">
        <f t="shared" si="7"/>
        <v>0</v>
      </c>
      <c r="J44" s="2857">
        <f t="shared" si="8"/>
        <v>1</v>
      </c>
      <c r="K44" s="1590"/>
      <c r="L44" s="1591" t="str">
        <f t="shared" si="9"/>
        <v/>
      </c>
      <c r="M44" s="1519">
        <v>25.5</v>
      </c>
      <c r="P44" s="1520"/>
      <c r="Q44" s="1582"/>
      <c r="R44" s="1684" t="s">
        <v>2136</v>
      </c>
      <c r="S44" s="1550" t="s">
        <v>224</v>
      </c>
      <c r="T44" s="1610">
        <v>1</v>
      </c>
      <c r="U44" s="1610"/>
      <c r="V44" s="1610"/>
      <c r="W44" s="1610"/>
      <c r="X44" s="1610"/>
      <c r="Y44" s="1610">
        <f t="shared" si="15"/>
        <v>1</v>
      </c>
      <c r="Z44" s="1592" t="s">
        <v>1456</v>
      </c>
      <c r="AA44" s="1611" t="s">
        <v>1456</v>
      </c>
    </row>
    <row r="45" spans="1:27" ht="25.5" customHeight="1">
      <c r="A45" s="1681"/>
      <c r="B45" s="1682" t="s">
        <v>1456</v>
      </c>
      <c r="C45" s="2853">
        <f t="shared" si="6"/>
        <v>0</v>
      </c>
      <c r="D45" s="2851">
        <f t="shared" si="6"/>
        <v>0</v>
      </c>
      <c r="E45" s="2852">
        <f t="shared" si="7"/>
        <v>0</v>
      </c>
      <c r="F45" s="2852">
        <f t="shared" si="7"/>
        <v>0</v>
      </c>
      <c r="G45" s="2852">
        <f t="shared" si="7"/>
        <v>0</v>
      </c>
      <c r="H45" s="2852">
        <f t="shared" si="7"/>
        <v>0</v>
      </c>
      <c r="I45" s="2852">
        <f t="shared" si="7"/>
        <v>0</v>
      </c>
      <c r="J45" s="2857" t="str">
        <f t="shared" si="8"/>
        <v/>
      </c>
      <c r="K45" s="1590"/>
      <c r="L45" s="1591" t="str">
        <f t="shared" si="9"/>
        <v/>
      </c>
      <c r="M45" s="1519">
        <v>25.5</v>
      </c>
      <c r="P45" s="1533"/>
      <c r="Q45" s="1691" t="s">
        <v>1456</v>
      </c>
      <c r="R45" s="1536"/>
      <c r="S45" s="1536"/>
      <c r="T45" s="1192"/>
      <c r="U45" s="1192"/>
      <c r="V45" s="1533"/>
      <c r="W45" s="1536"/>
      <c r="X45" s="1536"/>
      <c r="Y45" s="1536" t="str">
        <f t="shared" si="15"/>
        <v/>
      </c>
      <c r="Z45" s="1536" t="s">
        <v>2411</v>
      </c>
      <c r="AA45" s="1616" t="str">
        <f>IF(Y45="","",(Y45*Z45))</f>
        <v/>
      </c>
    </row>
    <row r="46" spans="1:27" ht="25.5" customHeight="1">
      <c r="A46" s="1689"/>
      <c r="B46" s="1618"/>
      <c r="C46" s="2853">
        <f t="shared" si="6"/>
        <v>0</v>
      </c>
      <c r="D46" s="2851">
        <f t="shared" si="6"/>
        <v>0</v>
      </c>
      <c r="E46" s="2852">
        <f t="shared" si="7"/>
        <v>0</v>
      </c>
      <c r="F46" s="2852">
        <f t="shared" si="7"/>
        <v>0</v>
      </c>
      <c r="G46" s="2852" t="str">
        <f t="shared" si="7"/>
        <v xml:space="preserve">TOTAL </v>
      </c>
      <c r="H46" s="2852">
        <f t="shared" si="7"/>
        <v>0</v>
      </c>
      <c r="I46" s="2852">
        <f t="shared" si="7"/>
        <v>0</v>
      </c>
      <c r="J46" s="2857" t="str">
        <f t="shared" si="8"/>
        <v/>
      </c>
      <c r="K46" s="1590"/>
      <c r="L46" s="1591" t="str">
        <f t="shared" si="9"/>
        <v/>
      </c>
      <c r="M46" s="1519">
        <v>25.5</v>
      </c>
      <c r="P46" s="1581"/>
      <c r="Q46" s="1582" t="s">
        <v>2137</v>
      </c>
      <c r="R46" s="1623"/>
      <c r="S46" s="1192"/>
      <c r="T46" s="1623"/>
      <c r="U46" s="1623"/>
      <c r="V46" s="1692" t="s">
        <v>1482</v>
      </c>
      <c r="W46" s="1625"/>
      <c r="X46" s="1625"/>
      <c r="Y46" s="1625"/>
      <c r="Z46" s="1625"/>
      <c r="AA46" s="1626" t="s">
        <v>1456</v>
      </c>
    </row>
    <row r="47" spans="1:27" ht="25.5" customHeight="1">
      <c r="A47" s="1614"/>
      <c r="B47" s="1690" t="s">
        <v>1480</v>
      </c>
      <c r="C47" s="1615"/>
      <c r="D47" s="1615"/>
      <c r="E47" s="1615"/>
      <c r="F47" s="1615"/>
      <c r="G47" s="1614"/>
      <c r="H47" s="1615"/>
      <c r="I47" s="1615"/>
      <c r="J47" s="1615" t="str">
        <f t="shared" ref="J47" si="16">IF(SUM(E47:I47)=0,"",SUM(E47:I47))</f>
        <v/>
      </c>
      <c r="K47" s="1615" t="s">
        <v>2411</v>
      </c>
      <c r="L47" s="1616" t="str">
        <f>IF(J47="","",(J47*K47))</f>
        <v/>
      </c>
      <c r="M47" s="1519">
        <v>25.5</v>
      </c>
      <c r="P47" s="1581"/>
      <c r="Q47" s="1582"/>
      <c r="R47" s="1192"/>
      <c r="S47" s="1192"/>
      <c r="T47" s="1192"/>
      <c r="U47" s="1192"/>
      <c r="V47" s="1628" t="s">
        <v>1483</v>
      </c>
      <c r="W47" s="1192"/>
      <c r="X47" s="1192"/>
      <c r="Y47" s="1192"/>
      <c r="Z47" s="1192"/>
      <c r="AA47" s="1693">
        <v>0.02</v>
      </c>
    </row>
    <row r="48" spans="1:27" ht="25.5" customHeight="1" thickBot="1">
      <c r="A48" s="1681"/>
      <c r="B48" s="1618" t="s">
        <v>2137</v>
      </c>
      <c r="C48" s="1619"/>
      <c r="D48" s="1618"/>
      <c r="E48" s="1619"/>
      <c r="F48" s="1619"/>
      <c r="G48" s="3522" t="s">
        <v>2288</v>
      </c>
      <c r="H48" s="3523"/>
      <c r="I48" s="1620">
        <f>I2</f>
        <v>10</v>
      </c>
      <c r="J48" s="1621"/>
      <c r="K48" s="1621"/>
      <c r="L48" s="1622">
        <f>SUM(L8:L46)</f>
        <v>10.08</v>
      </c>
      <c r="M48" s="1519">
        <v>25.5</v>
      </c>
      <c r="P48" s="1520"/>
      <c r="Q48" s="1695"/>
      <c r="R48" s="1633"/>
      <c r="S48" s="1633"/>
      <c r="T48" s="1633"/>
      <c r="U48" s="1633"/>
      <c r="V48" s="1634" t="s">
        <v>2027</v>
      </c>
      <c r="W48" s="1633"/>
      <c r="X48" s="1633"/>
      <c r="Y48" s="1633"/>
      <c r="Z48" s="1635"/>
      <c r="AA48" s="1636" t="s">
        <v>1456</v>
      </c>
    </row>
    <row r="49" spans="1:13" ht="25.5" customHeight="1">
      <c r="A49" s="1681"/>
      <c r="B49" s="1618"/>
      <c r="C49" s="1618"/>
      <c r="D49" s="1618"/>
      <c r="E49" s="1618"/>
      <c r="F49" s="1618"/>
      <c r="G49" s="3548" t="s">
        <v>1483</v>
      </c>
      <c r="H49" s="3549"/>
      <c r="I49" s="3549"/>
      <c r="J49" s="3549"/>
      <c r="K49" s="1627">
        <v>0.02</v>
      </c>
      <c r="L49" s="1622">
        <f>L48*K49</f>
        <v>0.2016</v>
      </c>
      <c r="M49" s="1519">
        <v>25.5</v>
      </c>
    </row>
    <row r="50" spans="1:13" ht="25.5" customHeight="1">
      <c r="A50" s="1689"/>
      <c r="B50" s="1694"/>
      <c r="C50" s="1694"/>
      <c r="D50" s="1694"/>
      <c r="E50" s="1694"/>
      <c r="F50" s="1694"/>
      <c r="G50" s="3614" t="s">
        <v>2289</v>
      </c>
      <c r="H50" s="3615"/>
      <c r="I50" s="3615"/>
      <c r="J50" s="3615"/>
      <c r="K50" s="1630"/>
      <c r="L50" s="1631">
        <f>(L48+L49)/I48</f>
        <v>1.0281600000000002</v>
      </c>
      <c r="M50" s="1519">
        <v>25.5</v>
      </c>
    </row>
    <row r="51" spans="1:13">
      <c r="M51" s="1519"/>
    </row>
    <row r="52" spans="1:13">
      <c r="L52" s="1519"/>
      <c r="M52" s="1519"/>
    </row>
    <row r="53" spans="1:13">
      <c r="L53" s="1519"/>
      <c r="M53" s="1519"/>
    </row>
    <row r="54" spans="1:13">
      <c r="M54" s="1519"/>
    </row>
    <row r="55" spans="1:13">
      <c r="M55" s="1519"/>
    </row>
    <row r="56" spans="1:13">
      <c r="M56" s="1519"/>
    </row>
    <row r="57" spans="1:13">
      <c r="M57" s="1519"/>
    </row>
    <row r="58" spans="1:13">
      <c r="M58" s="1519"/>
    </row>
    <row r="59" spans="1:13">
      <c r="M59" s="1519"/>
    </row>
    <row r="60" spans="1:13">
      <c r="M60" s="1519"/>
    </row>
    <row r="61" spans="1:13">
      <c r="M61" s="1519"/>
    </row>
    <row r="62" spans="1:13">
      <c r="M62" s="1519"/>
    </row>
    <row r="63" spans="1:13">
      <c r="M63" s="1519"/>
    </row>
    <row r="64" spans="1:13">
      <c r="M64" s="1519"/>
    </row>
    <row r="65" spans="13:13">
      <c r="M65" s="1519"/>
    </row>
    <row r="66" spans="13:13">
      <c r="M66" s="1519"/>
    </row>
    <row r="67" spans="13:13">
      <c r="M67" s="1519"/>
    </row>
    <row r="68" spans="13:13">
      <c r="M68" s="1519"/>
    </row>
    <row r="69" spans="13:13">
      <c r="M69" s="1519"/>
    </row>
    <row r="70" spans="13:13">
      <c r="M70" s="1519"/>
    </row>
    <row r="71" spans="13:13">
      <c r="M71" s="1519"/>
    </row>
    <row r="72" spans="13:13">
      <c r="M72" s="1519"/>
    </row>
    <row r="73" spans="13:13">
      <c r="M73" s="1519"/>
    </row>
    <row r="74" spans="13:13">
      <c r="M74" s="1519"/>
    </row>
    <row r="75" spans="13:13">
      <c r="M75" s="1519"/>
    </row>
    <row r="76" spans="13:13">
      <c r="M76" s="1519"/>
    </row>
    <row r="77" spans="13:13">
      <c r="M77" s="1519"/>
    </row>
    <row r="78" spans="13:13">
      <c r="M78" s="1519"/>
    </row>
    <row r="79" spans="13:13">
      <c r="M79" s="1519"/>
    </row>
    <row r="80" spans="1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8">
    <mergeCell ref="P1:AA1"/>
    <mergeCell ref="G49:J49"/>
    <mergeCell ref="G50:J50"/>
    <mergeCell ref="B2:G2"/>
    <mergeCell ref="Q2:V2"/>
    <mergeCell ref="B4:E4"/>
    <mergeCell ref="Q4:T4"/>
    <mergeCell ref="G48:H48"/>
  </mergeCell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&amp;C&amp;D &amp;T&amp;R2TSB</oddHeader>
    <oddFooter>&amp;L&amp;F</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4CC1A-3132-427A-9D33-6DB155BC8B0C}">
  <dimension ref="A1:AA98"/>
  <sheetViews>
    <sheetView showZeros="0" zoomScaleNormal="100" workbookViewId="0">
      <selection activeCell="D5" sqref="D5"/>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5.140625" style="1281" customWidth="1"/>
    <col min="24" max="24" width="3.28515625" style="1281" customWidth="1"/>
    <col min="25" max="25" width="6" style="1281" customWidth="1"/>
    <col min="26" max="26" width="5.42578125" style="1281" customWidth="1"/>
    <col min="27" max="27" width="5.7109375" style="1281" customWidth="1"/>
    <col min="28" max="256" width="11.42578125" style="1281"/>
    <col min="257" max="257" width="0" style="1281" hidden="1" customWidth="1"/>
    <col min="258" max="258" width="28.28515625" style="1281" customWidth="1"/>
    <col min="259" max="259" width="16.28515625" style="1281" customWidth="1"/>
    <col min="260" max="260" width="3.42578125" style="1281" customWidth="1"/>
    <col min="261" max="261" width="5.7109375" style="1281" customWidth="1"/>
    <col min="262" max="262" width="5.85546875" style="1281" customWidth="1"/>
    <col min="263" max="263" width="6.7109375" style="1281" customWidth="1"/>
    <col min="264" max="264" width="5.140625" style="1281" customWidth="1"/>
    <col min="265" max="265" width="3.28515625" style="1281" customWidth="1"/>
    <col min="266" max="266" width="6" style="1281" customWidth="1"/>
    <col min="267" max="267" width="5.42578125" style="1281" customWidth="1"/>
    <col min="268" max="268" width="5.7109375" style="1281" customWidth="1"/>
    <col min="269" max="512" width="11.42578125" style="1281"/>
    <col min="513" max="513" width="0" style="1281" hidden="1" customWidth="1"/>
    <col min="514" max="514" width="28.28515625" style="1281" customWidth="1"/>
    <col min="515" max="515" width="16.28515625" style="1281" customWidth="1"/>
    <col min="516" max="516" width="3.42578125" style="1281" customWidth="1"/>
    <col min="517" max="517" width="5.7109375" style="1281" customWidth="1"/>
    <col min="518" max="518" width="5.85546875" style="1281" customWidth="1"/>
    <col min="519" max="519" width="6.7109375" style="1281" customWidth="1"/>
    <col min="520" max="520" width="5.140625" style="1281" customWidth="1"/>
    <col min="521" max="521" width="3.28515625" style="1281" customWidth="1"/>
    <col min="522" max="522" width="6" style="1281" customWidth="1"/>
    <col min="523" max="523" width="5.42578125" style="1281" customWidth="1"/>
    <col min="524" max="524" width="5.7109375" style="1281" customWidth="1"/>
    <col min="525" max="768" width="11.42578125" style="1281"/>
    <col min="769" max="769" width="0" style="1281" hidden="1" customWidth="1"/>
    <col min="770" max="770" width="28.28515625" style="1281" customWidth="1"/>
    <col min="771" max="771" width="16.28515625" style="1281" customWidth="1"/>
    <col min="772" max="772" width="3.42578125" style="1281" customWidth="1"/>
    <col min="773" max="773" width="5.7109375" style="1281" customWidth="1"/>
    <col min="774" max="774" width="5.85546875" style="1281" customWidth="1"/>
    <col min="775" max="775" width="6.7109375" style="1281" customWidth="1"/>
    <col min="776" max="776" width="5.140625" style="1281" customWidth="1"/>
    <col min="777" max="777" width="3.28515625" style="1281" customWidth="1"/>
    <col min="778" max="778" width="6" style="1281" customWidth="1"/>
    <col min="779" max="779" width="5.42578125" style="1281" customWidth="1"/>
    <col min="780" max="780" width="5.7109375" style="1281" customWidth="1"/>
    <col min="781" max="1024" width="11.42578125" style="1281"/>
    <col min="1025" max="1025" width="0" style="1281" hidden="1" customWidth="1"/>
    <col min="1026" max="1026" width="28.28515625" style="1281" customWidth="1"/>
    <col min="1027" max="1027" width="16.28515625" style="1281" customWidth="1"/>
    <col min="1028" max="1028" width="3.42578125" style="1281" customWidth="1"/>
    <col min="1029" max="1029" width="5.7109375" style="1281" customWidth="1"/>
    <col min="1030" max="1030" width="5.85546875" style="1281" customWidth="1"/>
    <col min="1031" max="1031" width="6.7109375" style="1281" customWidth="1"/>
    <col min="1032" max="1032" width="5.140625" style="1281" customWidth="1"/>
    <col min="1033" max="1033" width="3.28515625" style="1281" customWidth="1"/>
    <col min="1034" max="1034" width="6" style="1281" customWidth="1"/>
    <col min="1035" max="1035" width="5.42578125" style="1281" customWidth="1"/>
    <col min="1036" max="1036" width="5.7109375" style="1281" customWidth="1"/>
    <col min="1037" max="1280" width="11.42578125" style="1281"/>
    <col min="1281" max="1281" width="0" style="1281" hidden="1" customWidth="1"/>
    <col min="1282" max="1282" width="28.28515625" style="1281" customWidth="1"/>
    <col min="1283" max="1283" width="16.28515625" style="1281" customWidth="1"/>
    <col min="1284" max="1284" width="3.42578125" style="1281" customWidth="1"/>
    <col min="1285" max="1285" width="5.7109375" style="1281" customWidth="1"/>
    <col min="1286" max="1286" width="5.85546875" style="1281" customWidth="1"/>
    <col min="1287" max="1287" width="6.7109375" style="1281" customWidth="1"/>
    <col min="1288" max="1288" width="5.140625" style="1281" customWidth="1"/>
    <col min="1289" max="1289" width="3.28515625" style="1281" customWidth="1"/>
    <col min="1290" max="1290" width="6" style="1281" customWidth="1"/>
    <col min="1291" max="1291" width="5.42578125" style="1281" customWidth="1"/>
    <col min="1292" max="1292" width="5.7109375" style="1281" customWidth="1"/>
    <col min="1293" max="1536" width="11.42578125" style="1281"/>
    <col min="1537" max="1537" width="0" style="1281" hidden="1" customWidth="1"/>
    <col min="1538" max="1538" width="28.28515625" style="1281" customWidth="1"/>
    <col min="1539" max="1539" width="16.28515625" style="1281" customWidth="1"/>
    <col min="1540" max="1540" width="3.42578125" style="1281" customWidth="1"/>
    <col min="1541" max="1541" width="5.7109375" style="1281" customWidth="1"/>
    <col min="1542" max="1542" width="5.85546875" style="1281" customWidth="1"/>
    <col min="1543" max="1543" width="6.7109375" style="1281" customWidth="1"/>
    <col min="1544" max="1544" width="5.140625" style="1281" customWidth="1"/>
    <col min="1545" max="1545" width="3.28515625" style="1281" customWidth="1"/>
    <col min="1546" max="1546" width="6" style="1281" customWidth="1"/>
    <col min="1547" max="1547" width="5.42578125" style="1281" customWidth="1"/>
    <col min="1548" max="1548" width="5.7109375" style="1281" customWidth="1"/>
    <col min="1549" max="1792" width="11.42578125" style="1281"/>
    <col min="1793" max="1793" width="0" style="1281" hidden="1" customWidth="1"/>
    <col min="1794" max="1794" width="28.28515625" style="1281" customWidth="1"/>
    <col min="1795" max="1795" width="16.28515625" style="1281" customWidth="1"/>
    <col min="1796" max="1796" width="3.42578125" style="1281" customWidth="1"/>
    <col min="1797" max="1797" width="5.7109375" style="1281" customWidth="1"/>
    <col min="1798" max="1798" width="5.85546875" style="1281" customWidth="1"/>
    <col min="1799" max="1799" width="6.7109375" style="1281" customWidth="1"/>
    <col min="1800" max="1800" width="5.140625" style="1281" customWidth="1"/>
    <col min="1801" max="1801" width="3.28515625" style="1281" customWidth="1"/>
    <col min="1802" max="1802" width="6" style="1281" customWidth="1"/>
    <col min="1803" max="1803" width="5.42578125" style="1281" customWidth="1"/>
    <col min="1804" max="1804" width="5.7109375" style="1281" customWidth="1"/>
    <col min="1805" max="2048" width="11.42578125" style="1281"/>
    <col min="2049" max="2049" width="0" style="1281" hidden="1" customWidth="1"/>
    <col min="2050" max="2050" width="28.28515625" style="1281" customWidth="1"/>
    <col min="2051" max="2051" width="16.28515625" style="1281" customWidth="1"/>
    <col min="2052" max="2052" width="3.42578125" style="1281" customWidth="1"/>
    <col min="2053" max="2053" width="5.7109375" style="1281" customWidth="1"/>
    <col min="2054" max="2054" width="5.85546875" style="1281" customWidth="1"/>
    <col min="2055" max="2055" width="6.7109375" style="1281" customWidth="1"/>
    <col min="2056" max="2056" width="5.140625" style="1281" customWidth="1"/>
    <col min="2057" max="2057" width="3.28515625" style="1281" customWidth="1"/>
    <col min="2058" max="2058" width="6" style="1281" customWidth="1"/>
    <col min="2059" max="2059" width="5.42578125" style="1281" customWidth="1"/>
    <col min="2060" max="2060" width="5.7109375" style="1281" customWidth="1"/>
    <col min="2061" max="2304" width="11.42578125" style="1281"/>
    <col min="2305" max="2305" width="0" style="1281" hidden="1" customWidth="1"/>
    <col min="2306" max="2306" width="28.28515625" style="1281" customWidth="1"/>
    <col min="2307" max="2307" width="16.28515625" style="1281" customWidth="1"/>
    <col min="2308" max="2308" width="3.42578125" style="1281" customWidth="1"/>
    <col min="2309" max="2309" width="5.7109375" style="1281" customWidth="1"/>
    <col min="2310" max="2310" width="5.85546875" style="1281" customWidth="1"/>
    <col min="2311" max="2311" width="6.7109375" style="1281" customWidth="1"/>
    <col min="2312" max="2312" width="5.140625" style="1281" customWidth="1"/>
    <col min="2313" max="2313" width="3.28515625" style="1281" customWidth="1"/>
    <col min="2314" max="2314" width="6" style="1281" customWidth="1"/>
    <col min="2315" max="2315" width="5.42578125" style="1281" customWidth="1"/>
    <col min="2316" max="2316" width="5.7109375" style="1281" customWidth="1"/>
    <col min="2317" max="2560" width="11.42578125" style="1281"/>
    <col min="2561" max="2561" width="0" style="1281" hidden="1" customWidth="1"/>
    <col min="2562" max="2562" width="28.28515625" style="1281" customWidth="1"/>
    <col min="2563" max="2563" width="16.28515625" style="1281" customWidth="1"/>
    <col min="2564" max="2564" width="3.42578125" style="1281" customWidth="1"/>
    <col min="2565" max="2565" width="5.7109375" style="1281" customWidth="1"/>
    <col min="2566" max="2566" width="5.85546875" style="1281" customWidth="1"/>
    <col min="2567" max="2567" width="6.7109375" style="1281" customWidth="1"/>
    <col min="2568" max="2568" width="5.140625" style="1281" customWidth="1"/>
    <col min="2569" max="2569" width="3.28515625" style="1281" customWidth="1"/>
    <col min="2570" max="2570" width="6" style="1281" customWidth="1"/>
    <col min="2571" max="2571" width="5.42578125" style="1281" customWidth="1"/>
    <col min="2572" max="2572" width="5.7109375" style="1281" customWidth="1"/>
    <col min="2573" max="2816" width="11.42578125" style="1281"/>
    <col min="2817" max="2817" width="0" style="1281" hidden="1" customWidth="1"/>
    <col min="2818" max="2818" width="28.28515625" style="1281" customWidth="1"/>
    <col min="2819" max="2819" width="16.28515625" style="1281" customWidth="1"/>
    <col min="2820" max="2820" width="3.42578125" style="1281" customWidth="1"/>
    <col min="2821" max="2821" width="5.7109375" style="1281" customWidth="1"/>
    <col min="2822" max="2822" width="5.85546875" style="1281" customWidth="1"/>
    <col min="2823" max="2823" width="6.7109375" style="1281" customWidth="1"/>
    <col min="2824" max="2824" width="5.140625" style="1281" customWidth="1"/>
    <col min="2825" max="2825" width="3.28515625" style="1281" customWidth="1"/>
    <col min="2826" max="2826" width="6" style="1281" customWidth="1"/>
    <col min="2827" max="2827" width="5.42578125" style="1281" customWidth="1"/>
    <col min="2828" max="2828" width="5.7109375" style="1281" customWidth="1"/>
    <col min="2829" max="3072" width="11.42578125" style="1281"/>
    <col min="3073" max="3073" width="0" style="1281" hidden="1" customWidth="1"/>
    <col min="3074" max="3074" width="28.28515625" style="1281" customWidth="1"/>
    <col min="3075" max="3075" width="16.28515625" style="1281" customWidth="1"/>
    <col min="3076" max="3076" width="3.42578125" style="1281" customWidth="1"/>
    <col min="3077" max="3077" width="5.7109375" style="1281" customWidth="1"/>
    <col min="3078" max="3078" width="5.85546875" style="1281" customWidth="1"/>
    <col min="3079" max="3079" width="6.7109375" style="1281" customWidth="1"/>
    <col min="3080" max="3080" width="5.140625" style="1281" customWidth="1"/>
    <col min="3081" max="3081" width="3.28515625" style="1281" customWidth="1"/>
    <col min="3082" max="3082" width="6" style="1281" customWidth="1"/>
    <col min="3083" max="3083" width="5.42578125" style="1281" customWidth="1"/>
    <col min="3084" max="3084" width="5.7109375" style="1281" customWidth="1"/>
    <col min="3085" max="3328" width="11.42578125" style="1281"/>
    <col min="3329" max="3329" width="0" style="1281" hidden="1" customWidth="1"/>
    <col min="3330" max="3330" width="28.28515625" style="1281" customWidth="1"/>
    <col min="3331" max="3331" width="16.28515625" style="1281" customWidth="1"/>
    <col min="3332" max="3332" width="3.42578125" style="1281" customWidth="1"/>
    <col min="3333" max="3333" width="5.7109375" style="1281" customWidth="1"/>
    <col min="3334" max="3334" width="5.85546875" style="1281" customWidth="1"/>
    <col min="3335" max="3335" width="6.7109375" style="1281" customWidth="1"/>
    <col min="3336" max="3336" width="5.140625" style="1281" customWidth="1"/>
    <col min="3337" max="3337" width="3.28515625" style="1281" customWidth="1"/>
    <col min="3338" max="3338" width="6" style="1281" customWidth="1"/>
    <col min="3339" max="3339" width="5.42578125" style="1281" customWidth="1"/>
    <col min="3340" max="3340" width="5.7109375" style="1281" customWidth="1"/>
    <col min="3341" max="3584" width="11.42578125" style="1281"/>
    <col min="3585" max="3585" width="0" style="1281" hidden="1" customWidth="1"/>
    <col min="3586" max="3586" width="28.28515625" style="1281" customWidth="1"/>
    <col min="3587" max="3587" width="16.28515625" style="1281" customWidth="1"/>
    <col min="3588" max="3588" width="3.42578125" style="1281" customWidth="1"/>
    <col min="3589" max="3589" width="5.7109375" style="1281" customWidth="1"/>
    <col min="3590" max="3590" width="5.85546875" style="1281" customWidth="1"/>
    <col min="3591" max="3591" width="6.7109375" style="1281" customWidth="1"/>
    <col min="3592" max="3592" width="5.140625" style="1281" customWidth="1"/>
    <col min="3593" max="3593" width="3.28515625" style="1281" customWidth="1"/>
    <col min="3594" max="3594" width="6" style="1281" customWidth="1"/>
    <col min="3595" max="3595" width="5.42578125" style="1281" customWidth="1"/>
    <col min="3596" max="3596" width="5.7109375" style="1281" customWidth="1"/>
    <col min="3597" max="3840" width="11.42578125" style="1281"/>
    <col min="3841" max="3841" width="0" style="1281" hidden="1" customWidth="1"/>
    <col min="3842" max="3842" width="28.28515625" style="1281" customWidth="1"/>
    <col min="3843" max="3843" width="16.28515625" style="1281" customWidth="1"/>
    <col min="3844" max="3844" width="3.42578125" style="1281" customWidth="1"/>
    <col min="3845" max="3845" width="5.7109375" style="1281" customWidth="1"/>
    <col min="3846" max="3846" width="5.85546875" style="1281" customWidth="1"/>
    <col min="3847" max="3847" width="6.7109375" style="1281" customWidth="1"/>
    <col min="3848" max="3848" width="5.140625" style="1281" customWidth="1"/>
    <col min="3849" max="3849" width="3.28515625" style="1281" customWidth="1"/>
    <col min="3850" max="3850" width="6" style="1281" customWidth="1"/>
    <col min="3851" max="3851" width="5.42578125" style="1281" customWidth="1"/>
    <col min="3852" max="3852" width="5.7109375" style="1281" customWidth="1"/>
    <col min="3853" max="4096" width="11.42578125" style="1281"/>
    <col min="4097" max="4097" width="0" style="1281" hidden="1" customWidth="1"/>
    <col min="4098" max="4098" width="28.28515625" style="1281" customWidth="1"/>
    <col min="4099" max="4099" width="16.28515625" style="1281" customWidth="1"/>
    <col min="4100" max="4100" width="3.42578125" style="1281" customWidth="1"/>
    <col min="4101" max="4101" width="5.7109375" style="1281" customWidth="1"/>
    <col min="4102" max="4102" width="5.85546875" style="1281" customWidth="1"/>
    <col min="4103" max="4103" width="6.7109375" style="1281" customWidth="1"/>
    <col min="4104" max="4104" width="5.140625" style="1281" customWidth="1"/>
    <col min="4105" max="4105" width="3.28515625" style="1281" customWidth="1"/>
    <col min="4106" max="4106" width="6" style="1281" customWidth="1"/>
    <col min="4107" max="4107" width="5.42578125" style="1281" customWidth="1"/>
    <col min="4108" max="4108" width="5.7109375" style="1281" customWidth="1"/>
    <col min="4109" max="4352" width="11.42578125" style="1281"/>
    <col min="4353" max="4353" width="0" style="1281" hidden="1" customWidth="1"/>
    <col min="4354" max="4354" width="28.28515625" style="1281" customWidth="1"/>
    <col min="4355" max="4355" width="16.28515625" style="1281" customWidth="1"/>
    <col min="4356" max="4356" width="3.42578125" style="1281" customWidth="1"/>
    <col min="4357" max="4357" width="5.7109375" style="1281" customWidth="1"/>
    <col min="4358" max="4358" width="5.85546875" style="1281" customWidth="1"/>
    <col min="4359" max="4359" width="6.7109375" style="1281" customWidth="1"/>
    <col min="4360" max="4360" width="5.140625" style="1281" customWidth="1"/>
    <col min="4361" max="4361" width="3.28515625" style="1281" customWidth="1"/>
    <col min="4362" max="4362" width="6" style="1281" customWidth="1"/>
    <col min="4363" max="4363" width="5.42578125" style="1281" customWidth="1"/>
    <col min="4364" max="4364" width="5.7109375" style="1281" customWidth="1"/>
    <col min="4365" max="4608" width="11.42578125" style="1281"/>
    <col min="4609" max="4609" width="0" style="1281" hidden="1" customWidth="1"/>
    <col min="4610" max="4610" width="28.28515625" style="1281" customWidth="1"/>
    <col min="4611" max="4611" width="16.28515625" style="1281" customWidth="1"/>
    <col min="4612" max="4612" width="3.42578125" style="1281" customWidth="1"/>
    <col min="4613" max="4613" width="5.7109375" style="1281" customWidth="1"/>
    <col min="4614" max="4614" width="5.85546875" style="1281" customWidth="1"/>
    <col min="4615" max="4615" width="6.7109375" style="1281" customWidth="1"/>
    <col min="4616" max="4616" width="5.140625" style="1281" customWidth="1"/>
    <col min="4617" max="4617" width="3.28515625" style="1281" customWidth="1"/>
    <col min="4618" max="4618" width="6" style="1281" customWidth="1"/>
    <col min="4619" max="4619" width="5.42578125" style="1281" customWidth="1"/>
    <col min="4620" max="4620" width="5.7109375" style="1281" customWidth="1"/>
    <col min="4621" max="4864" width="11.42578125" style="1281"/>
    <col min="4865" max="4865" width="0" style="1281" hidden="1" customWidth="1"/>
    <col min="4866" max="4866" width="28.28515625" style="1281" customWidth="1"/>
    <col min="4867" max="4867" width="16.28515625" style="1281" customWidth="1"/>
    <col min="4868" max="4868" width="3.42578125" style="1281" customWidth="1"/>
    <col min="4869" max="4869" width="5.7109375" style="1281" customWidth="1"/>
    <col min="4870" max="4870" width="5.85546875" style="1281" customWidth="1"/>
    <col min="4871" max="4871" width="6.7109375" style="1281" customWidth="1"/>
    <col min="4872" max="4872" width="5.140625" style="1281" customWidth="1"/>
    <col min="4873" max="4873" width="3.28515625" style="1281" customWidth="1"/>
    <col min="4874" max="4874" width="6" style="1281" customWidth="1"/>
    <col min="4875" max="4875" width="5.42578125" style="1281" customWidth="1"/>
    <col min="4876" max="4876" width="5.7109375" style="1281" customWidth="1"/>
    <col min="4877" max="5120" width="11.42578125" style="1281"/>
    <col min="5121" max="5121" width="0" style="1281" hidden="1" customWidth="1"/>
    <col min="5122" max="5122" width="28.28515625" style="1281" customWidth="1"/>
    <col min="5123" max="5123" width="16.28515625" style="1281" customWidth="1"/>
    <col min="5124" max="5124" width="3.42578125" style="1281" customWidth="1"/>
    <col min="5125" max="5125" width="5.7109375" style="1281" customWidth="1"/>
    <col min="5126" max="5126" width="5.85546875" style="1281" customWidth="1"/>
    <col min="5127" max="5127" width="6.7109375" style="1281" customWidth="1"/>
    <col min="5128" max="5128" width="5.140625" style="1281" customWidth="1"/>
    <col min="5129" max="5129" width="3.28515625" style="1281" customWidth="1"/>
    <col min="5130" max="5130" width="6" style="1281" customWidth="1"/>
    <col min="5131" max="5131" width="5.42578125" style="1281" customWidth="1"/>
    <col min="5132" max="5132" width="5.7109375" style="1281" customWidth="1"/>
    <col min="5133" max="5376" width="11.42578125" style="1281"/>
    <col min="5377" max="5377" width="0" style="1281" hidden="1" customWidth="1"/>
    <col min="5378" max="5378" width="28.28515625" style="1281" customWidth="1"/>
    <col min="5379" max="5379" width="16.28515625" style="1281" customWidth="1"/>
    <col min="5380" max="5380" width="3.42578125" style="1281" customWidth="1"/>
    <col min="5381" max="5381" width="5.7109375" style="1281" customWidth="1"/>
    <col min="5382" max="5382" width="5.85546875" style="1281" customWidth="1"/>
    <col min="5383" max="5383" width="6.7109375" style="1281" customWidth="1"/>
    <col min="5384" max="5384" width="5.140625" style="1281" customWidth="1"/>
    <col min="5385" max="5385" width="3.28515625" style="1281" customWidth="1"/>
    <col min="5386" max="5386" width="6" style="1281" customWidth="1"/>
    <col min="5387" max="5387" width="5.42578125" style="1281" customWidth="1"/>
    <col min="5388" max="5388" width="5.7109375" style="1281" customWidth="1"/>
    <col min="5389" max="5632" width="11.42578125" style="1281"/>
    <col min="5633" max="5633" width="0" style="1281" hidden="1" customWidth="1"/>
    <col min="5634" max="5634" width="28.28515625" style="1281" customWidth="1"/>
    <col min="5635" max="5635" width="16.28515625" style="1281" customWidth="1"/>
    <col min="5636" max="5636" width="3.42578125" style="1281" customWidth="1"/>
    <col min="5637" max="5637" width="5.7109375" style="1281" customWidth="1"/>
    <col min="5638" max="5638" width="5.85546875" style="1281" customWidth="1"/>
    <col min="5639" max="5639" width="6.7109375" style="1281" customWidth="1"/>
    <col min="5640" max="5640" width="5.140625" style="1281" customWidth="1"/>
    <col min="5641" max="5641" width="3.28515625" style="1281" customWidth="1"/>
    <col min="5642" max="5642" width="6" style="1281" customWidth="1"/>
    <col min="5643" max="5643" width="5.42578125" style="1281" customWidth="1"/>
    <col min="5644" max="5644" width="5.7109375" style="1281" customWidth="1"/>
    <col min="5645" max="5888" width="11.42578125" style="1281"/>
    <col min="5889" max="5889" width="0" style="1281" hidden="1" customWidth="1"/>
    <col min="5890" max="5890" width="28.28515625" style="1281" customWidth="1"/>
    <col min="5891" max="5891" width="16.28515625" style="1281" customWidth="1"/>
    <col min="5892" max="5892" width="3.42578125" style="1281" customWidth="1"/>
    <col min="5893" max="5893" width="5.7109375" style="1281" customWidth="1"/>
    <col min="5894" max="5894" width="5.85546875" style="1281" customWidth="1"/>
    <col min="5895" max="5895" width="6.7109375" style="1281" customWidth="1"/>
    <col min="5896" max="5896" width="5.140625" style="1281" customWidth="1"/>
    <col min="5897" max="5897" width="3.28515625" style="1281" customWidth="1"/>
    <col min="5898" max="5898" width="6" style="1281" customWidth="1"/>
    <col min="5899" max="5899" width="5.42578125" style="1281" customWidth="1"/>
    <col min="5900" max="5900" width="5.7109375" style="1281" customWidth="1"/>
    <col min="5901" max="6144" width="11.42578125" style="1281"/>
    <col min="6145" max="6145" width="0" style="1281" hidden="1" customWidth="1"/>
    <col min="6146" max="6146" width="28.28515625" style="1281" customWidth="1"/>
    <col min="6147" max="6147" width="16.28515625" style="1281" customWidth="1"/>
    <col min="6148" max="6148" width="3.42578125" style="1281" customWidth="1"/>
    <col min="6149" max="6149" width="5.7109375" style="1281" customWidth="1"/>
    <col min="6150" max="6150" width="5.85546875" style="1281" customWidth="1"/>
    <col min="6151" max="6151" width="6.7109375" style="1281" customWidth="1"/>
    <col min="6152" max="6152" width="5.140625" style="1281" customWidth="1"/>
    <col min="6153" max="6153" width="3.28515625" style="1281" customWidth="1"/>
    <col min="6154" max="6154" width="6" style="1281" customWidth="1"/>
    <col min="6155" max="6155" width="5.42578125" style="1281" customWidth="1"/>
    <col min="6156" max="6156" width="5.7109375" style="1281" customWidth="1"/>
    <col min="6157" max="6400" width="11.42578125" style="1281"/>
    <col min="6401" max="6401" width="0" style="1281" hidden="1" customWidth="1"/>
    <col min="6402" max="6402" width="28.28515625" style="1281" customWidth="1"/>
    <col min="6403" max="6403" width="16.28515625" style="1281" customWidth="1"/>
    <col min="6404" max="6404" width="3.42578125" style="1281" customWidth="1"/>
    <col min="6405" max="6405" width="5.7109375" style="1281" customWidth="1"/>
    <col min="6406" max="6406" width="5.85546875" style="1281" customWidth="1"/>
    <col min="6407" max="6407" width="6.7109375" style="1281" customWidth="1"/>
    <col min="6408" max="6408" width="5.140625" style="1281" customWidth="1"/>
    <col min="6409" max="6409" width="3.28515625" style="1281" customWidth="1"/>
    <col min="6410" max="6410" width="6" style="1281" customWidth="1"/>
    <col min="6411" max="6411" width="5.42578125" style="1281" customWidth="1"/>
    <col min="6412" max="6412" width="5.7109375" style="1281" customWidth="1"/>
    <col min="6413" max="6656" width="11.42578125" style="1281"/>
    <col min="6657" max="6657" width="0" style="1281" hidden="1" customWidth="1"/>
    <col min="6658" max="6658" width="28.28515625" style="1281" customWidth="1"/>
    <col min="6659" max="6659" width="16.28515625" style="1281" customWidth="1"/>
    <col min="6660" max="6660" width="3.42578125" style="1281" customWidth="1"/>
    <col min="6661" max="6661" width="5.7109375" style="1281" customWidth="1"/>
    <col min="6662" max="6662" width="5.85546875" style="1281" customWidth="1"/>
    <col min="6663" max="6663" width="6.7109375" style="1281" customWidth="1"/>
    <col min="6664" max="6664" width="5.140625" style="1281" customWidth="1"/>
    <col min="6665" max="6665" width="3.28515625" style="1281" customWidth="1"/>
    <col min="6666" max="6666" width="6" style="1281" customWidth="1"/>
    <col min="6667" max="6667" width="5.42578125" style="1281" customWidth="1"/>
    <col min="6668" max="6668" width="5.7109375" style="1281" customWidth="1"/>
    <col min="6669" max="6912" width="11.42578125" style="1281"/>
    <col min="6913" max="6913" width="0" style="1281" hidden="1" customWidth="1"/>
    <col min="6914" max="6914" width="28.28515625" style="1281" customWidth="1"/>
    <col min="6915" max="6915" width="16.28515625" style="1281" customWidth="1"/>
    <col min="6916" max="6916" width="3.42578125" style="1281" customWidth="1"/>
    <col min="6917" max="6917" width="5.7109375" style="1281" customWidth="1"/>
    <col min="6918" max="6918" width="5.85546875" style="1281" customWidth="1"/>
    <col min="6919" max="6919" width="6.7109375" style="1281" customWidth="1"/>
    <col min="6920" max="6920" width="5.140625" style="1281" customWidth="1"/>
    <col min="6921" max="6921" width="3.28515625" style="1281" customWidth="1"/>
    <col min="6922" max="6922" width="6" style="1281" customWidth="1"/>
    <col min="6923" max="6923" width="5.42578125" style="1281" customWidth="1"/>
    <col min="6924" max="6924" width="5.7109375" style="1281" customWidth="1"/>
    <col min="6925" max="7168" width="11.42578125" style="1281"/>
    <col min="7169" max="7169" width="0" style="1281" hidden="1" customWidth="1"/>
    <col min="7170" max="7170" width="28.28515625" style="1281" customWidth="1"/>
    <col min="7171" max="7171" width="16.28515625" style="1281" customWidth="1"/>
    <col min="7172" max="7172" width="3.42578125" style="1281" customWidth="1"/>
    <col min="7173" max="7173" width="5.7109375" style="1281" customWidth="1"/>
    <col min="7174" max="7174" width="5.85546875" style="1281" customWidth="1"/>
    <col min="7175" max="7175" width="6.7109375" style="1281" customWidth="1"/>
    <col min="7176" max="7176" width="5.140625" style="1281" customWidth="1"/>
    <col min="7177" max="7177" width="3.28515625" style="1281" customWidth="1"/>
    <col min="7178" max="7178" width="6" style="1281" customWidth="1"/>
    <col min="7179" max="7179" width="5.42578125" style="1281" customWidth="1"/>
    <col min="7180" max="7180" width="5.7109375" style="1281" customWidth="1"/>
    <col min="7181" max="7424" width="11.42578125" style="1281"/>
    <col min="7425" max="7425" width="0" style="1281" hidden="1" customWidth="1"/>
    <col min="7426" max="7426" width="28.28515625" style="1281" customWidth="1"/>
    <col min="7427" max="7427" width="16.28515625" style="1281" customWidth="1"/>
    <col min="7428" max="7428" width="3.42578125" style="1281" customWidth="1"/>
    <col min="7429" max="7429" width="5.7109375" style="1281" customWidth="1"/>
    <col min="7430" max="7430" width="5.85546875" style="1281" customWidth="1"/>
    <col min="7431" max="7431" width="6.7109375" style="1281" customWidth="1"/>
    <col min="7432" max="7432" width="5.140625" style="1281" customWidth="1"/>
    <col min="7433" max="7433" width="3.28515625" style="1281" customWidth="1"/>
    <col min="7434" max="7434" width="6" style="1281" customWidth="1"/>
    <col min="7435" max="7435" width="5.42578125" style="1281" customWidth="1"/>
    <col min="7436" max="7436" width="5.7109375" style="1281" customWidth="1"/>
    <col min="7437" max="7680" width="11.42578125" style="1281"/>
    <col min="7681" max="7681" width="0" style="1281" hidden="1" customWidth="1"/>
    <col min="7682" max="7682" width="28.28515625" style="1281" customWidth="1"/>
    <col min="7683" max="7683" width="16.28515625" style="1281" customWidth="1"/>
    <col min="7684" max="7684" width="3.42578125" style="1281" customWidth="1"/>
    <col min="7685" max="7685" width="5.7109375" style="1281" customWidth="1"/>
    <col min="7686" max="7686" width="5.85546875" style="1281" customWidth="1"/>
    <col min="7687" max="7687" width="6.7109375" style="1281" customWidth="1"/>
    <col min="7688" max="7688" width="5.140625" style="1281" customWidth="1"/>
    <col min="7689" max="7689" width="3.28515625" style="1281" customWidth="1"/>
    <col min="7690" max="7690" width="6" style="1281" customWidth="1"/>
    <col min="7691" max="7691" width="5.42578125" style="1281" customWidth="1"/>
    <col min="7692" max="7692" width="5.7109375" style="1281" customWidth="1"/>
    <col min="7693" max="7936" width="11.42578125" style="1281"/>
    <col min="7937" max="7937" width="0" style="1281" hidden="1" customWidth="1"/>
    <col min="7938" max="7938" width="28.28515625" style="1281" customWidth="1"/>
    <col min="7939" max="7939" width="16.28515625" style="1281" customWidth="1"/>
    <col min="7940" max="7940" width="3.42578125" style="1281" customWidth="1"/>
    <col min="7941" max="7941" width="5.7109375" style="1281" customWidth="1"/>
    <col min="7942" max="7942" width="5.85546875" style="1281" customWidth="1"/>
    <col min="7943" max="7943" width="6.7109375" style="1281" customWidth="1"/>
    <col min="7944" max="7944" width="5.140625" style="1281" customWidth="1"/>
    <col min="7945" max="7945" width="3.28515625" style="1281" customWidth="1"/>
    <col min="7946" max="7946" width="6" style="1281" customWidth="1"/>
    <col min="7947" max="7947" width="5.42578125" style="1281" customWidth="1"/>
    <col min="7948" max="7948" width="5.7109375" style="1281" customWidth="1"/>
    <col min="7949" max="8192" width="11.42578125" style="1281"/>
    <col min="8193" max="8193" width="0" style="1281" hidden="1" customWidth="1"/>
    <col min="8194" max="8194" width="28.28515625" style="1281" customWidth="1"/>
    <col min="8195" max="8195" width="16.28515625" style="1281" customWidth="1"/>
    <col min="8196" max="8196" width="3.42578125" style="1281" customWidth="1"/>
    <col min="8197" max="8197" width="5.7109375" style="1281" customWidth="1"/>
    <col min="8198" max="8198" width="5.85546875" style="1281" customWidth="1"/>
    <col min="8199" max="8199" width="6.7109375" style="1281" customWidth="1"/>
    <col min="8200" max="8200" width="5.140625" style="1281" customWidth="1"/>
    <col min="8201" max="8201" width="3.28515625" style="1281" customWidth="1"/>
    <col min="8202" max="8202" width="6" style="1281" customWidth="1"/>
    <col min="8203" max="8203" width="5.42578125" style="1281" customWidth="1"/>
    <col min="8204" max="8204" width="5.7109375" style="1281" customWidth="1"/>
    <col min="8205" max="8448" width="11.42578125" style="1281"/>
    <col min="8449" max="8449" width="0" style="1281" hidden="1" customWidth="1"/>
    <col min="8450" max="8450" width="28.28515625" style="1281" customWidth="1"/>
    <col min="8451" max="8451" width="16.28515625" style="1281" customWidth="1"/>
    <col min="8452" max="8452" width="3.42578125" style="1281" customWidth="1"/>
    <col min="8453" max="8453" width="5.7109375" style="1281" customWidth="1"/>
    <col min="8454" max="8454" width="5.85546875" style="1281" customWidth="1"/>
    <col min="8455" max="8455" width="6.7109375" style="1281" customWidth="1"/>
    <col min="8456" max="8456" width="5.140625" style="1281" customWidth="1"/>
    <col min="8457" max="8457" width="3.28515625" style="1281" customWidth="1"/>
    <col min="8458" max="8458" width="6" style="1281" customWidth="1"/>
    <col min="8459" max="8459" width="5.42578125" style="1281" customWidth="1"/>
    <col min="8460" max="8460" width="5.7109375" style="1281" customWidth="1"/>
    <col min="8461" max="8704" width="11.42578125" style="1281"/>
    <col min="8705" max="8705" width="0" style="1281" hidden="1" customWidth="1"/>
    <col min="8706" max="8706" width="28.28515625" style="1281" customWidth="1"/>
    <col min="8707" max="8707" width="16.28515625" style="1281" customWidth="1"/>
    <col min="8708" max="8708" width="3.42578125" style="1281" customWidth="1"/>
    <col min="8709" max="8709" width="5.7109375" style="1281" customWidth="1"/>
    <col min="8710" max="8710" width="5.85546875" style="1281" customWidth="1"/>
    <col min="8711" max="8711" width="6.7109375" style="1281" customWidth="1"/>
    <col min="8712" max="8712" width="5.140625" style="1281" customWidth="1"/>
    <col min="8713" max="8713" width="3.28515625" style="1281" customWidth="1"/>
    <col min="8714" max="8714" width="6" style="1281" customWidth="1"/>
    <col min="8715" max="8715" width="5.42578125" style="1281" customWidth="1"/>
    <col min="8716" max="8716" width="5.7109375" style="1281" customWidth="1"/>
    <col min="8717" max="8960" width="11.42578125" style="1281"/>
    <col min="8961" max="8961" width="0" style="1281" hidden="1" customWidth="1"/>
    <col min="8962" max="8962" width="28.28515625" style="1281" customWidth="1"/>
    <col min="8963" max="8963" width="16.28515625" style="1281" customWidth="1"/>
    <col min="8964" max="8964" width="3.42578125" style="1281" customWidth="1"/>
    <col min="8965" max="8965" width="5.7109375" style="1281" customWidth="1"/>
    <col min="8966" max="8966" width="5.85546875" style="1281" customWidth="1"/>
    <col min="8967" max="8967" width="6.7109375" style="1281" customWidth="1"/>
    <col min="8968" max="8968" width="5.140625" style="1281" customWidth="1"/>
    <col min="8969" max="8969" width="3.28515625" style="1281" customWidth="1"/>
    <col min="8970" max="8970" width="6" style="1281" customWidth="1"/>
    <col min="8971" max="8971" width="5.42578125" style="1281" customWidth="1"/>
    <col min="8972" max="8972" width="5.7109375" style="1281" customWidth="1"/>
    <col min="8973" max="9216" width="11.42578125" style="1281"/>
    <col min="9217" max="9217" width="0" style="1281" hidden="1" customWidth="1"/>
    <col min="9218" max="9218" width="28.28515625" style="1281" customWidth="1"/>
    <col min="9219" max="9219" width="16.28515625" style="1281" customWidth="1"/>
    <col min="9220" max="9220" width="3.42578125" style="1281" customWidth="1"/>
    <col min="9221" max="9221" width="5.7109375" style="1281" customWidth="1"/>
    <col min="9222" max="9222" width="5.85546875" style="1281" customWidth="1"/>
    <col min="9223" max="9223" width="6.7109375" style="1281" customWidth="1"/>
    <col min="9224" max="9224" width="5.140625" style="1281" customWidth="1"/>
    <col min="9225" max="9225" width="3.28515625" style="1281" customWidth="1"/>
    <col min="9226" max="9226" width="6" style="1281" customWidth="1"/>
    <col min="9227" max="9227" width="5.42578125" style="1281" customWidth="1"/>
    <col min="9228" max="9228" width="5.7109375" style="1281" customWidth="1"/>
    <col min="9229" max="9472" width="11.42578125" style="1281"/>
    <col min="9473" max="9473" width="0" style="1281" hidden="1" customWidth="1"/>
    <col min="9474" max="9474" width="28.28515625" style="1281" customWidth="1"/>
    <col min="9475" max="9475" width="16.28515625" style="1281" customWidth="1"/>
    <col min="9476" max="9476" width="3.42578125" style="1281" customWidth="1"/>
    <col min="9477" max="9477" width="5.7109375" style="1281" customWidth="1"/>
    <col min="9478" max="9478" width="5.85546875" style="1281" customWidth="1"/>
    <col min="9479" max="9479" width="6.7109375" style="1281" customWidth="1"/>
    <col min="9480" max="9480" width="5.140625" style="1281" customWidth="1"/>
    <col min="9481" max="9481" width="3.28515625" style="1281" customWidth="1"/>
    <col min="9482" max="9482" width="6" style="1281" customWidth="1"/>
    <col min="9483" max="9483" width="5.42578125" style="1281" customWidth="1"/>
    <col min="9484" max="9484" width="5.7109375" style="1281" customWidth="1"/>
    <col min="9485" max="9728" width="11.42578125" style="1281"/>
    <col min="9729" max="9729" width="0" style="1281" hidden="1" customWidth="1"/>
    <col min="9730" max="9730" width="28.28515625" style="1281" customWidth="1"/>
    <col min="9731" max="9731" width="16.28515625" style="1281" customWidth="1"/>
    <col min="9732" max="9732" width="3.42578125" style="1281" customWidth="1"/>
    <col min="9733" max="9733" width="5.7109375" style="1281" customWidth="1"/>
    <col min="9734" max="9734" width="5.85546875" style="1281" customWidth="1"/>
    <col min="9735" max="9735" width="6.7109375" style="1281" customWidth="1"/>
    <col min="9736" max="9736" width="5.140625" style="1281" customWidth="1"/>
    <col min="9737" max="9737" width="3.28515625" style="1281" customWidth="1"/>
    <col min="9738" max="9738" width="6" style="1281" customWidth="1"/>
    <col min="9739" max="9739" width="5.42578125" style="1281" customWidth="1"/>
    <col min="9740" max="9740" width="5.7109375" style="1281" customWidth="1"/>
    <col min="9741" max="9984" width="11.42578125" style="1281"/>
    <col min="9985" max="9985" width="0" style="1281" hidden="1" customWidth="1"/>
    <col min="9986" max="9986" width="28.28515625" style="1281" customWidth="1"/>
    <col min="9987" max="9987" width="16.28515625" style="1281" customWidth="1"/>
    <col min="9988" max="9988" width="3.42578125" style="1281" customWidth="1"/>
    <col min="9989" max="9989" width="5.7109375" style="1281" customWidth="1"/>
    <col min="9990" max="9990" width="5.85546875" style="1281" customWidth="1"/>
    <col min="9991" max="9991" width="6.7109375" style="1281" customWidth="1"/>
    <col min="9992" max="9992" width="5.140625" style="1281" customWidth="1"/>
    <col min="9993" max="9993" width="3.28515625" style="1281" customWidth="1"/>
    <col min="9994" max="9994" width="6" style="1281" customWidth="1"/>
    <col min="9995" max="9995" width="5.42578125" style="1281" customWidth="1"/>
    <col min="9996" max="9996" width="5.7109375" style="1281" customWidth="1"/>
    <col min="9997" max="10240" width="11.42578125" style="1281"/>
    <col min="10241" max="10241" width="0" style="1281" hidden="1" customWidth="1"/>
    <col min="10242" max="10242" width="28.28515625" style="1281" customWidth="1"/>
    <col min="10243" max="10243" width="16.28515625" style="1281" customWidth="1"/>
    <col min="10244" max="10244" width="3.42578125" style="1281" customWidth="1"/>
    <col min="10245" max="10245" width="5.7109375" style="1281" customWidth="1"/>
    <col min="10246" max="10246" width="5.85546875" style="1281" customWidth="1"/>
    <col min="10247" max="10247" width="6.7109375" style="1281" customWidth="1"/>
    <col min="10248" max="10248" width="5.140625" style="1281" customWidth="1"/>
    <col min="10249" max="10249" width="3.28515625" style="1281" customWidth="1"/>
    <col min="10250" max="10250" width="6" style="1281" customWidth="1"/>
    <col min="10251" max="10251" width="5.42578125" style="1281" customWidth="1"/>
    <col min="10252" max="10252" width="5.7109375" style="1281" customWidth="1"/>
    <col min="10253" max="10496" width="11.42578125" style="1281"/>
    <col min="10497" max="10497" width="0" style="1281" hidden="1" customWidth="1"/>
    <col min="10498" max="10498" width="28.28515625" style="1281" customWidth="1"/>
    <col min="10499" max="10499" width="16.28515625" style="1281" customWidth="1"/>
    <col min="10500" max="10500" width="3.42578125" style="1281" customWidth="1"/>
    <col min="10501" max="10501" width="5.7109375" style="1281" customWidth="1"/>
    <col min="10502" max="10502" width="5.85546875" style="1281" customWidth="1"/>
    <col min="10503" max="10503" width="6.7109375" style="1281" customWidth="1"/>
    <col min="10504" max="10504" width="5.140625" style="1281" customWidth="1"/>
    <col min="10505" max="10505" width="3.28515625" style="1281" customWidth="1"/>
    <col min="10506" max="10506" width="6" style="1281" customWidth="1"/>
    <col min="10507" max="10507" width="5.42578125" style="1281" customWidth="1"/>
    <col min="10508" max="10508" width="5.7109375" style="1281" customWidth="1"/>
    <col min="10509" max="10752" width="11.42578125" style="1281"/>
    <col min="10753" max="10753" width="0" style="1281" hidden="1" customWidth="1"/>
    <col min="10754" max="10754" width="28.28515625" style="1281" customWidth="1"/>
    <col min="10755" max="10755" width="16.28515625" style="1281" customWidth="1"/>
    <col min="10756" max="10756" width="3.42578125" style="1281" customWidth="1"/>
    <col min="10757" max="10757" width="5.7109375" style="1281" customWidth="1"/>
    <col min="10758" max="10758" width="5.85546875" style="1281" customWidth="1"/>
    <col min="10759" max="10759" width="6.7109375" style="1281" customWidth="1"/>
    <col min="10760" max="10760" width="5.140625" style="1281" customWidth="1"/>
    <col min="10761" max="10761" width="3.28515625" style="1281" customWidth="1"/>
    <col min="10762" max="10762" width="6" style="1281" customWidth="1"/>
    <col min="10763" max="10763" width="5.42578125" style="1281" customWidth="1"/>
    <col min="10764" max="10764" width="5.7109375" style="1281" customWidth="1"/>
    <col min="10765" max="11008" width="11.42578125" style="1281"/>
    <col min="11009" max="11009" width="0" style="1281" hidden="1" customWidth="1"/>
    <col min="11010" max="11010" width="28.28515625" style="1281" customWidth="1"/>
    <col min="11011" max="11011" width="16.28515625" style="1281" customWidth="1"/>
    <col min="11012" max="11012" width="3.42578125" style="1281" customWidth="1"/>
    <col min="11013" max="11013" width="5.7109375" style="1281" customWidth="1"/>
    <col min="11014" max="11014" width="5.85546875" style="1281" customWidth="1"/>
    <col min="11015" max="11015" width="6.7109375" style="1281" customWidth="1"/>
    <col min="11016" max="11016" width="5.140625" style="1281" customWidth="1"/>
    <col min="11017" max="11017" width="3.28515625" style="1281" customWidth="1"/>
    <col min="11018" max="11018" width="6" style="1281" customWidth="1"/>
    <col min="11019" max="11019" width="5.42578125" style="1281" customWidth="1"/>
    <col min="11020" max="11020" width="5.7109375" style="1281" customWidth="1"/>
    <col min="11021" max="11264" width="11.42578125" style="1281"/>
    <col min="11265" max="11265" width="0" style="1281" hidden="1" customWidth="1"/>
    <col min="11266" max="11266" width="28.28515625" style="1281" customWidth="1"/>
    <col min="11267" max="11267" width="16.28515625" style="1281" customWidth="1"/>
    <col min="11268" max="11268" width="3.42578125" style="1281" customWidth="1"/>
    <col min="11269" max="11269" width="5.7109375" style="1281" customWidth="1"/>
    <col min="11270" max="11270" width="5.85546875" style="1281" customWidth="1"/>
    <col min="11271" max="11271" width="6.7109375" style="1281" customWidth="1"/>
    <col min="11272" max="11272" width="5.140625" style="1281" customWidth="1"/>
    <col min="11273" max="11273" width="3.28515625" style="1281" customWidth="1"/>
    <col min="11274" max="11274" width="6" style="1281" customWidth="1"/>
    <col min="11275" max="11275" width="5.42578125" style="1281" customWidth="1"/>
    <col min="11276" max="11276" width="5.7109375" style="1281" customWidth="1"/>
    <col min="11277" max="11520" width="11.42578125" style="1281"/>
    <col min="11521" max="11521" width="0" style="1281" hidden="1" customWidth="1"/>
    <col min="11522" max="11522" width="28.28515625" style="1281" customWidth="1"/>
    <col min="11523" max="11523" width="16.28515625" style="1281" customWidth="1"/>
    <col min="11524" max="11524" width="3.42578125" style="1281" customWidth="1"/>
    <col min="11525" max="11525" width="5.7109375" style="1281" customWidth="1"/>
    <col min="11526" max="11526" width="5.85546875" style="1281" customWidth="1"/>
    <col min="11527" max="11527" width="6.7109375" style="1281" customWidth="1"/>
    <col min="11528" max="11528" width="5.140625" style="1281" customWidth="1"/>
    <col min="11529" max="11529" width="3.28515625" style="1281" customWidth="1"/>
    <col min="11530" max="11530" width="6" style="1281" customWidth="1"/>
    <col min="11531" max="11531" width="5.42578125" style="1281" customWidth="1"/>
    <col min="11532" max="11532" width="5.7109375" style="1281" customWidth="1"/>
    <col min="11533" max="11776" width="11.42578125" style="1281"/>
    <col min="11777" max="11777" width="0" style="1281" hidden="1" customWidth="1"/>
    <col min="11778" max="11778" width="28.28515625" style="1281" customWidth="1"/>
    <col min="11779" max="11779" width="16.28515625" style="1281" customWidth="1"/>
    <col min="11780" max="11780" width="3.42578125" style="1281" customWidth="1"/>
    <col min="11781" max="11781" width="5.7109375" style="1281" customWidth="1"/>
    <col min="11782" max="11782" width="5.85546875" style="1281" customWidth="1"/>
    <col min="11783" max="11783" width="6.7109375" style="1281" customWidth="1"/>
    <col min="11784" max="11784" width="5.140625" style="1281" customWidth="1"/>
    <col min="11785" max="11785" width="3.28515625" style="1281" customWidth="1"/>
    <col min="11786" max="11786" width="6" style="1281" customWidth="1"/>
    <col min="11787" max="11787" width="5.42578125" style="1281" customWidth="1"/>
    <col min="11788" max="11788" width="5.7109375" style="1281" customWidth="1"/>
    <col min="11789" max="12032" width="11.42578125" style="1281"/>
    <col min="12033" max="12033" width="0" style="1281" hidden="1" customWidth="1"/>
    <col min="12034" max="12034" width="28.28515625" style="1281" customWidth="1"/>
    <col min="12035" max="12035" width="16.28515625" style="1281" customWidth="1"/>
    <col min="12036" max="12036" width="3.42578125" style="1281" customWidth="1"/>
    <col min="12037" max="12037" width="5.7109375" style="1281" customWidth="1"/>
    <col min="12038" max="12038" width="5.85546875" style="1281" customWidth="1"/>
    <col min="12039" max="12039" width="6.7109375" style="1281" customWidth="1"/>
    <col min="12040" max="12040" width="5.140625" style="1281" customWidth="1"/>
    <col min="12041" max="12041" width="3.28515625" style="1281" customWidth="1"/>
    <col min="12042" max="12042" width="6" style="1281" customWidth="1"/>
    <col min="12043" max="12043" width="5.42578125" style="1281" customWidth="1"/>
    <col min="12044" max="12044" width="5.7109375" style="1281" customWidth="1"/>
    <col min="12045" max="12288" width="11.42578125" style="1281"/>
    <col min="12289" max="12289" width="0" style="1281" hidden="1" customWidth="1"/>
    <col min="12290" max="12290" width="28.28515625" style="1281" customWidth="1"/>
    <col min="12291" max="12291" width="16.28515625" style="1281" customWidth="1"/>
    <col min="12292" max="12292" width="3.42578125" style="1281" customWidth="1"/>
    <col min="12293" max="12293" width="5.7109375" style="1281" customWidth="1"/>
    <col min="12294" max="12294" width="5.85546875" style="1281" customWidth="1"/>
    <col min="12295" max="12295" width="6.7109375" style="1281" customWidth="1"/>
    <col min="12296" max="12296" width="5.140625" style="1281" customWidth="1"/>
    <col min="12297" max="12297" width="3.28515625" style="1281" customWidth="1"/>
    <col min="12298" max="12298" width="6" style="1281" customWidth="1"/>
    <col min="12299" max="12299" width="5.42578125" style="1281" customWidth="1"/>
    <col min="12300" max="12300" width="5.7109375" style="1281" customWidth="1"/>
    <col min="12301" max="12544" width="11.42578125" style="1281"/>
    <col min="12545" max="12545" width="0" style="1281" hidden="1" customWidth="1"/>
    <col min="12546" max="12546" width="28.28515625" style="1281" customWidth="1"/>
    <col min="12547" max="12547" width="16.28515625" style="1281" customWidth="1"/>
    <col min="12548" max="12548" width="3.42578125" style="1281" customWidth="1"/>
    <col min="12549" max="12549" width="5.7109375" style="1281" customWidth="1"/>
    <col min="12550" max="12550" width="5.85546875" style="1281" customWidth="1"/>
    <col min="12551" max="12551" width="6.7109375" style="1281" customWidth="1"/>
    <col min="12552" max="12552" width="5.140625" style="1281" customWidth="1"/>
    <col min="12553" max="12553" width="3.28515625" style="1281" customWidth="1"/>
    <col min="12554" max="12554" width="6" style="1281" customWidth="1"/>
    <col min="12555" max="12555" width="5.42578125" style="1281" customWidth="1"/>
    <col min="12556" max="12556" width="5.7109375" style="1281" customWidth="1"/>
    <col min="12557" max="12800" width="11.42578125" style="1281"/>
    <col min="12801" max="12801" width="0" style="1281" hidden="1" customWidth="1"/>
    <col min="12802" max="12802" width="28.28515625" style="1281" customWidth="1"/>
    <col min="12803" max="12803" width="16.28515625" style="1281" customWidth="1"/>
    <col min="12804" max="12804" width="3.42578125" style="1281" customWidth="1"/>
    <col min="12805" max="12805" width="5.7109375" style="1281" customWidth="1"/>
    <col min="12806" max="12806" width="5.85546875" style="1281" customWidth="1"/>
    <col min="12807" max="12807" width="6.7109375" style="1281" customWidth="1"/>
    <col min="12808" max="12808" width="5.140625" style="1281" customWidth="1"/>
    <col min="12809" max="12809" width="3.28515625" style="1281" customWidth="1"/>
    <col min="12810" max="12810" width="6" style="1281" customWidth="1"/>
    <col min="12811" max="12811" width="5.42578125" style="1281" customWidth="1"/>
    <col min="12812" max="12812" width="5.7109375" style="1281" customWidth="1"/>
    <col min="12813" max="13056" width="11.42578125" style="1281"/>
    <col min="13057" max="13057" width="0" style="1281" hidden="1" customWidth="1"/>
    <col min="13058" max="13058" width="28.28515625" style="1281" customWidth="1"/>
    <col min="13059" max="13059" width="16.28515625" style="1281" customWidth="1"/>
    <col min="13060" max="13060" width="3.42578125" style="1281" customWidth="1"/>
    <col min="13061" max="13061" width="5.7109375" style="1281" customWidth="1"/>
    <col min="13062" max="13062" width="5.85546875" style="1281" customWidth="1"/>
    <col min="13063" max="13063" width="6.7109375" style="1281" customWidth="1"/>
    <col min="13064" max="13064" width="5.140625" style="1281" customWidth="1"/>
    <col min="13065" max="13065" width="3.28515625" style="1281" customWidth="1"/>
    <col min="13066" max="13066" width="6" style="1281" customWidth="1"/>
    <col min="13067" max="13067" width="5.42578125" style="1281" customWidth="1"/>
    <col min="13068" max="13068" width="5.7109375" style="1281" customWidth="1"/>
    <col min="13069" max="13312" width="11.42578125" style="1281"/>
    <col min="13313" max="13313" width="0" style="1281" hidden="1" customWidth="1"/>
    <col min="13314" max="13314" width="28.28515625" style="1281" customWidth="1"/>
    <col min="13315" max="13315" width="16.28515625" style="1281" customWidth="1"/>
    <col min="13316" max="13316" width="3.42578125" style="1281" customWidth="1"/>
    <col min="13317" max="13317" width="5.7109375" style="1281" customWidth="1"/>
    <col min="13318" max="13318" width="5.85546875" style="1281" customWidth="1"/>
    <col min="13319" max="13319" width="6.7109375" style="1281" customWidth="1"/>
    <col min="13320" max="13320" width="5.140625" style="1281" customWidth="1"/>
    <col min="13321" max="13321" width="3.28515625" style="1281" customWidth="1"/>
    <col min="13322" max="13322" width="6" style="1281" customWidth="1"/>
    <col min="13323" max="13323" width="5.42578125" style="1281" customWidth="1"/>
    <col min="13324" max="13324" width="5.7109375" style="1281" customWidth="1"/>
    <col min="13325" max="13568" width="11.42578125" style="1281"/>
    <col min="13569" max="13569" width="0" style="1281" hidden="1" customWidth="1"/>
    <col min="13570" max="13570" width="28.28515625" style="1281" customWidth="1"/>
    <col min="13571" max="13571" width="16.28515625" style="1281" customWidth="1"/>
    <col min="13572" max="13572" width="3.42578125" style="1281" customWidth="1"/>
    <col min="13573" max="13573" width="5.7109375" style="1281" customWidth="1"/>
    <col min="13574" max="13574" width="5.85546875" style="1281" customWidth="1"/>
    <col min="13575" max="13575" width="6.7109375" style="1281" customWidth="1"/>
    <col min="13576" max="13576" width="5.140625" style="1281" customWidth="1"/>
    <col min="13577" max="13577" width="3.28515625" style="1281" customWidth="1"/>
    <col min="13578" max="13578" width="6" style="1281" customWidth="1"/>
    <col min="13579" max="13579" width="5.42578125" style="1281" customWidth="1"/>
    <col min="13580" max="13580" width="5.7109375" style="1281" customWidth="1"/>
    <col min="13581" max="13824" width="11.42578125" style="1281"/>
    <col min="13825" max="13825" width="0" style="1281" hidden="1" customWidth="1"/>
    <col min="13826" max="13826" width="28.28515625" style="1281" customWidth="1"/>
    <col min="13827" max="13827" width="16.28515625" style="1281" customWidth="1"/>
    <col min="13828" max="13828" width="3.42578125" style="1281" customWidth="1"/>
    <col min="13829" max="13829" width="5.7109375" style="1281" customWidth="1"/>
    <col min="13830" max="13830" width="5.85546875" style="1281" customWidth="1"/>
    <col min="13831" max="13831" width="6.7109375" style="1281" customWidth="1"/>
    <col min="13832" max="13832" width="5.140625" style="1281" customWidth="1"/>
    <col min="13833" max="13833" width="3.28515625" style="1281" customWidth="1"/>
    <col min="13834" max="13834" width="6" style="1281" customWidth="1"/>
    <col min="13835" max="13835" width="5.42578125" style="1281" customWidth="1"/>
    <col min="13836" max="13836" width="5.7109375" style="1281" customWidth="1"/>
    <col min="13837" max="14080" width="11.42578125" style="1281"/>
    <col min="14081" max="14081" width="0" style="1281" hidden="1" customWidth="1"/>
    <col min="14082" max="14082" width="28.28515625" style="1281" customWidth="1"/>
    <col min="14083" max="14083" width="16.28515625" style="1281" customWidth="1"/>
    <col min="14084" max="14084" width="3.42578125" style="1281" customWidth="1"/>
    <col min="14085" max="14085" width="5.7109375" style="1281" customWidth="1"/>
    <col min="14086" max="14086" width="5.85546875" style="1281" customWidth="1"/>
    <col min="14087" max="14087" width="6.7109375" style="1281" customWidth="1"/>
    <col min="14088" max="14088" width="5.140625" style="1281" customWidth="1"/>
    <col min="14089" max="14089" width="3.28515625" style="1281" customWidth="1"/>
    <col min="14090" max="14090" width="6" style="1281" customWidth="1"/>
    <col min="14091" max="14091" width="5.42578125" style="1281" customWidth="1"/>
    <col min="14092" max="14092" width="5.7109375" style="1281" customWidth="1"/>
    <col min="14093" max="14336" width="11.42578125" style="1281"/>
    <col min="14337" max="14337" width="0" style="1281" hidden="1" customWidth="1"/>
    <col min="14338" max="14338" width="28.28515625" style="1281" customWidth="1"/>
    <col min="14339" max="14339" width="16.28515625" style="1281" customWidth="1"/>
    <col min="14340" max="14340" width="3.42578125" style="1281" customWidth="1"/>
    <col min="14341" max="14341" width="5.7109375" style="1281" customWidth="1"/>
    <col min="14342" max="14342" width="5.85546875" style="1281" customWidth="1"/>
    <col min="14343" max="14343" width="6.7109375" style="1281" customWidth="1"/>
    <col min="14344" max="14344" width="5.140625" style="1281" customWidth="1"/>
    <col min="14345" max="14345" width="3.28515625" style="1281" customWidth="1"/>
    <col min="14346" max="14346" width="6" style="1281" customWidth="1"/>
    <col min="14347" max="14347" width="5.42578125" style="1281" customWidth="1"/>
    <col min="14348" max="14348" width="5.7109375" style="1281" customWidth="1"/>
    <col min="14349" max="14592" width="11.42578125" style="1281"/>
    <col min="14593" max="14593" width="0" style="1281" hidden="1" customWidth="1"/>
    <col min="14594" max="14594" width="28.28515625" style="1281" customWidth="1"/>
    <col min="14595" max="14595" width="16.28515625" style="1281" customWidth="1"/>
    <col min="14596" max="14596" width="3.42578125" style="1281" customWidth="1"/>
    <col min="14597" max="14597" width="5.7109375" style="1281" customWidth="1"/>
    <col min="14598" max="14598" width="5.85546875" style="1281" customWidth="1"/>
    <col min="14599" max="14599" width="6.7109375" style="1281" customWidth="1"/>
    <col min="14600" max="14600" width="5.140625" style="1281" customWidth="1"/>
    <col min="14601" max="14601" width="3.28515625" style="1281" customWidth="1"/>
    <col min="14602" max="14602" width="6" style="1281" customWidth="1"/>
    <col min="14603" max="14603" width="5.42578125" style="1281" customWidth="1"/>
    <col min="14604" max="14604" width="5.7109375" style="1281" customWidth="1"/>
    <col min="14605" max="14848" width="11.42578125" style="1281"/>
    <col min="14849" max="14849" width="0" style="1281" hidden="1" customWidth="1"/>
    <col min="14850" max="14850" width="28.28515625" style="1281" customWidth="1"/>
    <col min="14851" max="14851" width="16.28515625" style="1281" customWidth="1"/>
    <col min="14852" max="14852" width="3.42578125" style="1281" customWidth="1"/>
    <col min="14853" max="14853" width="5.7109375" style="1281" customWidth="1"/>
    <col min="14854" max="14854" width="5.85546875" style="1281" customWidth="1"/>
    <col min="14855" max="14855" width="6.7109375" style="1281" customWidth="1"/>
    <col min="14856" max="14856" width="5.140625" style="1281" customWidth="1"/>
    <col min="14857" max="14857" width="3.28515625" style="1281" customWidth="1"/>
    <col min="14858" max="14858" width="6" style="1281" customWidth="1"/>
    <col min="14859" max="14859" width="5.42578125" style="1281" customWidth="1"/>
    <col min="14860" max="14860" width="5.7109375" style="1281" customWidth="1"/>
    <col min="14861" max="15104" width="11.42578125" style="1281"/>
    <col min="15105" max="15105" width="0" style="1281" hidden="1" customWidth="1"/>
    <col min="15106" max="15106" width="28.28515625" style="1281" customWidth="1"/>
    <col min="15107" max="15107" width="16.28515625" style="1281" customWidth="1"/>
    <col min="15108" max="15108" width="3.42578125" style="1281" customWidth="1"/>
    <col min="15109" max="15109" width="5.7109375" style="1281" customWidth="1"/>
    <col min="15110" max="15110" width="5.85546875" style="1281" customWidth="1"/>
    <col min="15111" max="15111" width="6.7109375" style="1281" customWidth="1"/>
    <col min="15112" max="15112" width="5.140625" style="1281" customWidth="1"/>
    <col min="15113" max="15113" width="3.28515625" style="1281" customWidth="1"/>
    <col min="15114" max="15114" width="6" style="1281" customWidth="1"/>
    <col min="15115" max="15115" width="5.42578125" style="1281" customWidth="1"/>
    <col min="15116" max="15116" width="5.7109375" style="1281" customWidth="1"/>
    <col min="15117" max="15360" width="11.42578125" style="1281"/>
    <col min="15361" max="15361" width="0" style="1281" hidden="1" customWidth="1"/>
    <col min="15362" max="15362" width="28.28515625" style="1281" customWidth="1"/>
    <col min="15363" max="15363" width="16.28515625" style="1281" customWidth="1"/>
    <col min="15364" max="15364" width="3.42578125" style="1281" customWidth="1"/>
    <col min="15365" max="15365" width="5.7109375" style="1281" customWidth="1"/>
    <col min="15366" max="15366" width="5.85546875" style="1281" customWidth="1"/>
    <col min="15367" max="15367" width="6.7109375" style="1281" customWidth="1"/>
    <col min="15368" max="15368" width="5.140625" style="1281" customWidth="1"/>
    <col min="15369" max="15369" width="3.28515625" style="1281" customWidth="1"/>
    <col min="15370" max="15370" width="6" style="1281" customWidth="1"/>
    <col min="15371" max="15371" width="5.42578125" style="1281" customWidth="1"/>
    <col min="15372" max="15372" width="5.7109375" style="1281" customWidth="1"/>
    <col min="15373" max="15616" width="11.42578125" style="1281"/>
    <col min="15617" max="15617" width="0" style="1281" hidden="1" customWidth="1"/>
    <col min="15618" max="15618" width="28.28515625" style="1281" customWidth="1"/>
    <col min="15619" max="15619" width="16.28515625" style="1281" customWidth="1"/>
    <col min="15620" max="15620" width="3.42578125" style="1281" customWidth="1"/>
    <col min="15621" max="15621" width="5.7109375" style="1281" customWidth="1"/>
    <col min="15622" max="15622" width="5.85546875" style="1281" customWidth="1"/>
    <col min="15623" max="15623" width="6.7109375" style="1281" customWidth="1"/>
    <col min="15624" max="15624" width="5.140625" style="1281" customWidth="1"/>
    <col min="15625" max="15625" width="3.28515625" style="1281" customWidth="1"/>
    <col min="15626" max="15626" width="6" style="1281" customWidth="1"/>
    <col min="15627" max="15627" width="5.42578125" style="1281" customWidth="1"/>
    <col min="15628" max="15628" width="5.7109375" style="1281" customWidth="1"/>
    <col min="15629" max="15872" width="11.42578125" style="1281"/>
    <col min="15873" max="15873" width="0" style="1281" hidden="1" customWidth="1"/>
    <col min="15874" max="15874" width="28.28515625" style="1281" customWidth="1"/>
    <col min="15875" max="15875" width="16.28515625" style="1281" customWidth="1"/>
    <col min="15876" max="15876" width="3.42578125" style="1281" customWidth="1"/>
    <col min="15877" max="15877" width="5.7109375" style="1281" customWidth="1"/>
    <col min="15878" max="15878" width="5.85546875" style="1281" customWidth="1"/>
    <col min="15879" max="15879" width="6.7109375" style="1281" customWidth="1"/>
    <col min="15880" max="15880" width="5.140625" style="1281" customWidth="1"/>
    <col min="15881" max="15881" width="3.28515625" style="1281" customWidth="1"/>
    <col min="15882" max="15882" width="6" style="1281" customWidth="1"/>
    <col min="15883" max="15883" width="5.42578125" style="1281" customWidth="1"/>
    <col min="15884" max="15884" width="5.7109375" style="1281" customWidth="1"/>
    <col min="15885" max="16128" width="11.42578125" style="1281"/>
    <col min="16129" max="16129" width="0" style="1281" hidden="1" customWidth="1"/>
    <col min="16130" max="16130" width="28.28515625" style="1281" customWidth="1"/>
    <col min="16131" max="16131" width="16.28515625" style="1281" customWidth="1"/>
    <col min="16132" max="16132" width="3.42578125" style="1281" customWidth="1"/>
    <col min="16133" max="16133" width="5.7109375" style="1281" customWidth="1"/>
    <col min="16134" max="16134" width="5.85546875" style="1281" customWidth="1"/>
    <col min="16135" max="16135" width="6.7109375" style="1281" customWidth="1"/>
    <col min="16136" max="16136" width="5.140625" style="1281" customWidth="1"/>
    <col min="16137" max="16137" width="3.28515625" style="1281" customWidth="1"/>
    <col min="16138" max="16138" width="6" style="1281" customWidth="1"/>
    <col min="16139" max="16139" width="5.42578125" style="1281" customWidth="1"/>
    <col min="16140" max="16140" width="5.7109375" style="1281" customWidth="1"/>
    <col min="16141"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2106</v>
      </c>
      <c r="C2" s="3629"/>
      <c r="D2" s="3629"/>
      <c r="E2" s="3629"/>
      <c r="F2" s="3629"/>
      <c r="G2" s="3629"/>
      <c r="H2" s="2844" t="s">
        <v>1444</v>
      </c>
      <c r="I2" s="2845">
        <f>X2</f>
        <v>10</v>
      </c>
      <c r="J2" s="2841"/>
      <c r="K2" s="2843" t="s">
        <v>2873</v>
      </c>
      <c r="L2" s="2842">
        <v>10</v>
      </c>
      <c r="M2" s="1675">
        <v>42.75</v>
      </c>
      <c r="P2" s="1520"/>
      <c r="Q2" s="3630" t="s">
        <v>2106</v>
      </c>
      <c r="R2" s="3631"/>
      <c r="S2" s="3631"/>
      <c r="T2" s="3631"/>
      <c r="U2" s="3631"/>
      <c r="V2" s="3632"/>
      <c r="W2" s="1521" t="s">
        <v>1444</v>
      </c>
      <c r="X2" s="1522">
        <v>10</v>
      </c>
      <c r="Y2" s="1523"/>
      <c r="Z2" s="1523"/>
      <c r="AA2" s="1524"/>
    </row>
    <row r="3" spans="1:27" ht="25.5" customHeight="1">
      <c r="A3" s="1533"/>
      <c r="B3" s="1526" t="s">
        <v>1391</v>
      </c>
      <c r="C3" s="1527"/>
      <c r="D3" s="1527"/>
      <c r="E3" s="1528"/>
      <c r="F3" s="1529" t="s">
        <v>1445</v>
      </c>
      <c r="G3" s="1530"/>
      <c r="H3" s="1531"/>
      <c r="I3" s="1531"/>
      <c r="J3" s="1530"/>
      <c r="K3" s="1530"/>
      <c r="L3" s="1532"/>
      <c r="M3" s="1675">
        <v>25.5</v>
      </c>
      <c r="P3" s="1533"/>
      <c r="Q3" s="1534" t="s">
        <v>1391</v>
      </c>
      <c r="R3" s="1527"/>
      <c r="S3" s="1527"/>
      <c r="T3" s="1528"/>
      <c r="U3" s="1535" t="s">
        <v>1445</v>
      </c>
      <c r="V3" s="1536"/>
      <c r="W3" s="1192"/>
      <c r="X3" s="1192"/>
      <c r="Y3" s="1536"/>
      <c r="Z3" s="1536"/>
      <c r="AA3" s="1537"/>
    </row>
    <row r="4" spans="1:27" ht="112.5" customHeight="1">
      <c r="A4" s="1539"/>
      <c r="B4" s="3633"/>
      <c r="C4" s="3633"/>
      <c r="D4" s="3633"/>
      <c r="E4" s="3634"/>
      <c r="F4" s="1539"/>
      <c r="G4" s="1540"/>
      <c r="H4" s="1540"/>
      <c r="I4" s="1540"/>
      <c r="J4" s="1531"/>
      <c r="K4" s="1531"/>
      <c r="L4" s="1532"/>
      <c r="M4" s="1675">
        <v>112.5</v>
      </c>
      <c r="P4" s="1520"/>
      <c r="Q4" s="3635"/>
      <c r="R4" s="3633"/>
      <c r="S4" s="3633"/>
      <c r="T4" s="3634"/>
      <c r="U4" s="1520"/>
      <c r="V4" s="1426"/>
      <c r="W4" s="1426"/>
      <c r="X4" s="1426"/>
      <c r="Y4" s="1192"/>
      <c r="Z4" s="1192"/>
      <c r="AA4" s="1537"/>
    </row>
    <row r="5" spans="1:27" ht="63.75" customHeight="1">
      <c r="A5" s="1667"/>
      <c r="B5" s="1676" t="s">
        <v>151</v>
      </c>
      <c r="C5" s="1677" t="s">
        <v>1446</v>
      </c>
      <c r="D5" s="1544"/>
      <c r="E5" s="1545" t="s">
        <v>1447</v>
      </c>
      <c r="F5" s="1546"/>
      <c r="G5" s="1546"/>
      <c r="H5" s="1546"/>
      <c r="I5" s="1547"/>
      <c r="J5" s="1543" t="s">
        <v>1448</v>
      </c>
      <c r="K5" s="1548"/>
      <c r="L5" s="1549"/>
      <c r="M5" s="1675">
        <v>63.75</v>
      </c>
      <c r="N5" s="1192"/>
      <c r="P5" s="1550"/>
      <c r="Q5" s="1551" t="s">
        <v>151</v>
      </c>
      <c r="R5" s="1552" t="s">
        <v>1446</v>
      </c>
      <c r="S5" s="1553"/>
      <c r="T5" s="1554" t="s">
        <v>1447</v>
      </c>
      <c r="U5" s="1555"/>
      <c r="V5" s="1555"/>
      <c r="W5" s="1555"/>
      <c r="X5" s="1556"/>
      <c r="Y5" s="1552" t="s">
        <v>1448</v>
      </c>
      <c r="Z5" s="1557"/>
      <c r="AA5" s="1558"/>
    </row>
    <row r="6" spans="1:27" ht="57.75" customHeight="1">
      <c r="A6" s="1614"/>
      <c r="B6" s="1679"/>
      <c r="C6" s="1560" t="str">
        <f t="shared" ref="C6:I6" si="0">R6</f>
        <v>NATURE</v>
      </c>
      <c r="D6" s="1561" t="str">
        <f t="shared" si="0"/>
        <v>unite</v>
      </c>
      <c r="E6" s="1561" t="str">
        <f t="shared" si="0"/>
        <v>Risotto</v>
      </c>
      <c r="F6" s="1561" t="str">
        <f t="shared" si="0"/>
        <v>saint jacques</v>
      </c>
      <c r="G6" s="1561" t="str">
        <f t="shared" si="0"/>
        <v>jus tranché</v>
      </c>
      <c r="H6" s="1561" t="str">
        <f t="shared" si="0"/>
        <v>finition</v>
      </c>
      <c r="I6" s="1562">
        <f t="shared" si="0"/>
        <v>0</v>
      </c>
      <c r="J6" s="1563" t="s">
        <v>110</v>
      </c>
      <c r="K6" s="1564" t="s">
        <v>117</v>
      </c>
      <c r="L6" s="1565" t="s">
        <v>118</v>
      </c>
      <c r="M6" s="1675">
        <v>57.75</v>
      </c>
      <c r="P6" s="1533"/>
      <c r="Q6" s="1566"/>
      <c r="R6" s="1567" t="s">
        <v>1449</v>
      </c>
      <c r="S6" s="1568" t="s">
        <v>1450</v>
      </c>
      <c r="T6" s="1569" t="s">
        <v>2107</v>
      </c>
      <c r="U6" s="1569" t="s">
        <v>2108</v>
      </c>
      <c r="V6" s="1569" t="s">
        <v>2109</v>
      </c>
      <c r="W6" s="1570" t="s">
        <v>48</v>
      </c>
      <c r="X6" s="1571"/>
      <c r="Y6" s="1572" t="s">
        <v>110</v>
      </c>
      <c r="Z6" s="1572" t="s">
        <v>117</v>
      </c>
      <c r="AA6" s="1573" t="s">
        <v>118</v>
      </c>
    </row>
    <row r="7" spans="1:27" ht="25.5" customHeight="1">
      <c r="A7" s="1681"/>
      <c r="B7" s="1682"/>
      <c r="C7" s="1576" t="str">
        <f t="shared" ref="C7:D46" si="1">R7</f>
        <v>Viandes/Poissons</v>
      </c>
      <c r="D7" s="2850" t="str">
        <f t="shared" si="1"/>
        <v xml:space="preserve"> </v>
      </c>
      <c r="E7" s="2850">
        <f t="shared" ref="E7:I46" si="2">IF(ISTEXT(T7),T7,(T7/$I$2)*$L$2)</f>
        <v>0</v>
      </c>
      <c r="F7" s="2850">
        <f t="shared" si="2"/>
        <v>0</v>
      </c>
      <c r="G7" s="2850">
        <f t="shared" si="2"/>
        <v>0</v>
      </c>
      <c r="H7" s="2850">
        <f t="shared" si="2"/>
        <v>0</v>
      </c>
      <c r="I7" s="2850">
        <f t="shared" si="2"/>
        <v>0</v>
      </c>
      <c r="J7" s="1674" t="str">
        <f t="shared" ref="J7:J46" si="3">IF(SUM(E7:I7)=0,"",SUM(E7:I7))</f>
        <v/>
      </c>
      <c r="K7" s="1579"/>
      <c r="L7" s="1580" t="str">
        <f t="shared" ref="L7:L46" si="4">IF(ISBLANK(K7),"",K7*J7)</f>
        <v/>
      </c>
      <c r="M7" s="1519">
        <v>25.5</v>
      </c>
      <c r="P7" s="1581"/>
      <c r="Q7" s="1582"/>
      <c r="R7" s="1583" t="s">
        <v>120</v>
      </c>
      <c r="S7" s="1584" t="s">
        <v>1456</v>
      </c>
      <c r="T7" s="1585"/>
      <c r="U7" s="1585"/>
      <c r="V7" s="1585"/>
      <c r="W7" s="1585"/>
      <c r="X7" s="1585"/>
      <c r="Y7" s="1585"/>
      <c r="Z7" s="1585"/>
      <c r="AA7" s="1586">
        <f t="shared" ref="AA7" si="5">IF(ISBLANK(Z7),0,Z7*Y7)</f>
        <v>0</v>
      </c>
    </row>
    <row r="8" spans="1:27" ht="25.5" customHeight="1">
      <c r="A8" s="1681"/>
      <c r="B8" s="1682"/>
      <c r="C8" s="2853" t="str">
        <f t="shared" si="1"/>
        <v>carcasses de volaille</v>
      </c>
      <c r="D8" s="2851" t="str">
        <f t="shared" si="1"/>
        <v>Pm</v>
      </c>
      <c r="E8" s="2852">
        <f t="shared" si="2"/>
        <v>0</v>
      </c>
      <c r="F8" s="2852" t="str">
        <f t="shared" si="2"/>
        <v xml:space="preserve"> </v>
      </c>
      <c r="G8" s="2852" t="str">
        <f t="shared" si="2"/>
        <v>Pm</v>
      </c>
      <c r="H8" s="2852">
        <f t="shared" si="2"/>
        <v>0</v>
      </c>
      <c r="I8" s="2852">
        <f t="shared" si="2"/>
        <v>0</v>
      </c>
      <c r="J8" s="2857" t="str">
        <f t="shared" si="3"/>
        <v/>
      </c>
      <c r="K8" s="1590"/>
      <c r="L8" s="1591" t="str">
        <f t="shared" si="4"/>
        <v/>
      </c>
      <c r="M8" s="1519">
        <v>25.5</v>
      </c>
      <c r="P8" s="1581"/>
      <c r="Q8" s="1582"/>
      <c r="R8" s="1592" t="s">
        <v>2110</v>
      </c>
      <c r="S8" s="1550" t="s">
        <v>1472</v>
      </c>
      <c r="T8" s="1592"/>
      <c r="U8" s="1592" t="s">
        <v>1456</v>
      </c>
      <c r="V8" s="1592" t="s">
        <v>1472</v>
      </c>
      <c r="W8" s="1592"/>
      <c r="X8" s="1592"/>
      <c r="Y8" s="1592" t="str">
        <f>IF(SUM(T8:X8)=0,"",SUM(T8:X8))</f>
        <v/>
      </c>
      <c r="Z8" s="1592"/>
      <c r="AA8" s="1593">
        <f>IF(ISBLANK(Z8),0,Z8*Y8)</f>
        <v>0</v>
      </c>
    </row>
    <row r="9" spans="1:27" ht="25.5" customHeight="1">
      <c r="A9" s="1681"/>
      <c r="B9" s="1682"/>
      <c r="C9" s="2853" t="str">
        <f t="shared" si="1"/>
        <v xml:space="preserve"> </v>
      </c>
      <c r="D9" s="2851">
        <f t="shared" si="1"/>
        <v>0</v>
      </c>
      <c r="E9" s="2852">
        <f t="shared" si="2"/>
        <v>0</v>
      </c>
      <c r="F9" s="2852" t="str">
        <f t="shared" si="2"/>
        <v xml:space="preserve"> </v>
      </c>
      <c r="G9" s="2852">
        <f t="shared" si="2"/>
        <v>0</v>
      </c>
      <c r="H9" s="2852">
        <f t="shared" si="2"/>
        <v>0</v>
      </c>
      <c r="I9" s="2852">
        <f t="shared" si="2"/>
        <v>0</v>
      </c>
      <c r="J9" s="2857" t="str">
        <f t="shared" si="3"/>
        <v/>
      </c>
      <c r="K9" s="1590"/>
      <c r="L9" s="1591" t="str">
        <f t="shared" si="4"/>
        <v/>
      </c>
      <c r="M9" s="1519">
        <v>25.5</v>
      </c>
      <c r="P9" s="1581"/>
      <c r="Q9" s="1582"/>
      <c r="R9" s="1592" t="s">
        <v>1456</v>
      </c>
      <c r="S9" s="1550"/>
      <c r="T9" s="1592"/>
      <c r="U9" s="1592" t="s">
        <v>1456</v>
      </c>
      <c r="V9" s="1592"/>
      <c r="W9" s="1592"/>
      <c r="X9" s="1592"/>
      <c r="Y9" s="1592" t="str">
        <f t="shared" ref="Y9" si="6">IF(SUM(T9:X9)=0,"",SUM(T9:X9))</f>
        <v/>
      </c>
      <c r="Z9" s="1592"/>
      <c r="AA9" s="1593">
        <f t="shared" ref="AA9:AA46" si="7">IF(ISBLANK(Z9),0,Z9*Y9)</f>
        <v>0</v>
      </c>
    </row>
    <row r="10" spans="1:27" ht="25.5" customHeight="1">
      <c r="A10" s="1681"/>
      <c r="B10" s="1682"/>
      <c r="C10" s="2853" t="str">
        <f t="shared" si="1"/>
        <v xml:space="preserve"> </v>
      </c>
      <c r="D10" s="2851">
        <f t="shared" si="1"/>
        <v>0</v>
      </c>
      <c r="E10" s="2852">
        <f t="shared" si="2"/>
        <v>0</v>
      </c>
      <c r="F10" s="2852" t="str">
        <f t="shared" si="2"/>
        <v xml:space="preserve"> </v>
      </c>
      <c r="G10" s="2852">
        <f t="shared" si="2"/>
        <v>0</v>
      </c>
      <c r="H10" s="2852">
        <f t="shared" si="2"/>
        <v>0</v>
      </c>
      <c r="I10" s="2852">
        <f t="shared" si="2"/>
        <v>0</v>
      </c>
      <c r="J10" s="2857" t="str">
        <f t="shared" si="3"/>
        <v/>
      </c>
      <c r="K10" s="1590"/>
      <c r="L10" s="1591" t="str">
        <f t="shared" si="4"/>
        <v/>
      </c>
      <c r="M10" s="1519">
        <v>25.5</v>
      </c>
      <c r="P10" s="1581"/>
      <c r="Q10" s="1582"/>
      <c r="R10" s="1592" t="s">
        <v>1456</v>
      </c>
      <c r="S10" s="1550"/>
      <c r="T10" s="1592"/>
      <c r="U10" s="1592" t="s">
        <v>1456</v>
      </c>
      <c r="V10" s="1592"/>
      <c r="W10" s="1592"/>
      <c r="X10" s="1592"/>
      <c r="Y10" s="1592" t="str">
        <f>IF(SUM(T10:X10)=0,"",SUM(T10:X10))</f>
        <v/>
      </c>
      <c r="Z10" s="1592"/>
      <c r="AA10" s="1593">
        <f t="shared" si="7"/>
        <v>0</v>
      </c>
    </row>
    <row r="11" spans="1:27" ht="25.5" customHeight="1">
      <c r="A11" s="1681"/>
      <c r="B11" s="1682"/>
      <c r="C11" s="2853" t="str">
        <f t="shared" si="1"/>
        <v xml:space="preserve"> </v>
      </c>
      <c r="D11" s="2851">
        <f t="shared" si="1"/>
        <v>0</v>
      </c>
      <c r="E11" s="2852">
        <f t="shared" si="2"/>
        <v>0</v>
      </c>
      <c r="F11" s="2852" t="str">
        <f t="shared" si="2"/>
        <v xml:space="preserve"> </v>
      </c>
      <c r="G11" s="2852">
        <f t="shared" si="2"/>
        <v>0</v>
      </c>
      <c r="H11" s="2852">
        <f t="shared" si="2"/>
        <v>0</v>
      </c>
      <c r="I11" s="2852">
        <f t="shared" si="2"/>
        <v>0</v>
      </c>
      <c r="J11" s="2857" t="str">
        <f t="shared" si="3"/>
        <v/>
      </c>
      <c r="K11" s="1590"/>
      <c r="L11" s="1591" t="str">
        <f t="shared" si="4"/>
        <v/>
      </c>
      <c r="M11" s="1519">
        <v>25.5</v>
      </c>
      <c r="P11" s="1581"/>
      <c r="Q11" s="1582"/>
      <c r="R11" s="1594" t="s">
        <v>1456</v>
      </c>
      <c r="S11" s="1550"/>
      <c r="T11" s="1592"/>
      <c r="U11" s="1592" t="s">
        <v>1456</v>
      </c>
      <c r="V11" s="1592"/>
      <c r="W11" s="1592"/>
      <c r="X11" s="1592"/>
      <c r="Y11" s="1592" t="str">
        <f t="shared" ref="Y11:Y24" si="8">IF(SUM(T11:X11)=0,"",SUM(T11:X11))</f>
        <v/>
      </c>
      <c r="Z11" s="1592"/>
      <c r="AA11" s="1593">
        <f t="shared" si="7"/>
        <v>0</v>
      </c>
    </row>
    <row r="12" spans="1:27" ht="25.5" customHeight="1">
      <c r="A12" s="1681"/>
      <c r="B12" s="1682"/>
      <c r="C12" s="2854" t="str">
        <f t="shared" si="1"/>
        <v>LEGUMERIE</v>
      </c>
      <c r="D12" s="2855" t="str">
        <f t="shared" si="1"/>
        <v xml:space="preserve"> </v>
      </c>
      <c r="E12" s="2855">
        <f t="shared" si="2"/>
        <v>0</v>
      </c>
      <c r="F12" s="2855" t="str">
        <f t="shared" si="2"/>
        <v xml:space="preserve"> </v>
      </c>
      <c r="G12" s="2855">
        <f t="shared" si="2"/>
        <v>0</v>
      </c>
      <c r="H12" s="2855">
        <f t="shared" si="2"/>
        <v>0</v>
      </c>
      <c r="I12" s="2855">
        <f t="shared" si="2"/>
        <v>0</v>
      </c>
      <c r="J12" s="2856" t="str">
        <f t="shared" si="3"/>
        <v/>
      </c>
      <c r="K12" s="1579"/>
      <c r="L12" s="1580" t="str">
        <f t="shared" si="4"/>
        <v/>
      </c>
      <c r="M12" s="1519">
        <v>25.5</v>
      </c>
      <c r="P12" s="1581"/>
      <c r="Q12" s="1582"/>
      <c r="R12" s="1598" t="s">
        <v>1460</v>
      </c>
      <c r="S12" s="1584" t="s">
        <v>1456</v>
      </c>
      <c r="T12" s="1599"/>
      <c r="U12" s="1599" t="s">
        <v>1456</v>
      </c>
      <c r="V12" s="1599"/>
      <c r="W12" s="1599"/>
      <c r="X12" s="1599"/>
      <c r="Y12" s="1599" t="str">
        <f t="shared" si="8"/>
        <v/>
      </c>
      <c r="Z12" s="1599"/>
      <c r="AA12" s="1600">
        <f t="shared" si="7"/>
        <v>0</v>
      </c>
    </row>
    <row r="13" spans="1:27" ht="25.5" customHeight="1">
      <c r="A13" s="1681"/>
      <c r="B13" s="1682"/>
      <c r="C13" s="2853" t="str">
        <f t="shared" si="1"/>
        <v>truffes mélanosporum</v>
      </c>
      <c r="D13" s="2851" t="str">
        <f t="shared" si="1"/>
        <v>kg</v>
      </c>
      <c r="E13" s="2852">
        <f t="shared" si="2"/>
        <v>0</v>
      </c>
      <c r="F13" s="2852">
        <f t="shared" si="2"/>
        <v>0.04</v>
      </c>
      <c r="G13" s="2852">
        <f t="shared" si="2"/>
        <v>0</v>
      </c>
      <c r="H13" s="2852">
        <f t="shared" si="2"/>
        <v>0</v>
      </c>
      <c r="I13" s="2852">
        <f t="shared" si="2"/>
        <v>0</v>
      </c>
      <c r="J13" s="2857">
        <f t="shared" si="3"/>
        <v>0.04</v>
      </c>
      <c r="K13" s="1590">
        <v>1</v>
      </c>
      <c r="L13" s="1591">
        <f t="shared" si="4"/>
        <v>0.04</v>
      </c>
      <c r="M13" s="1519">
        <v>25.5</v>
      </c>
      <c r="P13" s="1581"/>
      <c r="Q13" s="1582"/>
      <c r="R13" s="1592" t="s">
        <v>2082</v>
      </c>
      <c r="S13" s="1550" t="s">
        <v>166</v>
      </c>
      <c r="T13" s="1592"/>
      <c r="U13" s="1592">
        <v>0.04</v>
      </c>
      <c r="V13" s="1592"/>
      <c r="W13" s="1592"/>
      <c r="X13" s="1592"/>
      <c r="Y13" s="1592">
        <f t="shared" si="8"/>
        <v>0.04</v>
      </c>
      <c r="Z13" s="1592"/>
      <c r="AA13" s="1593">
        <f t="shared" si="7"/>
        <v>0</v>
      </c>
    </row>
    <row r="14" spans="1:27" ht="25.5" customHeight="1">
      <c r="A14" s="1681"/>
      <c r="B14" s="1687"/>
      <c r="C14" s="2853" t="str">
        <f t="shared" si="1"/>
        <v>carottes</v>
      </c>
      <c r="D14" s="2851" t="str">
        <f t="shared" si="1"/>
        <v>kg</v>
      </c>
      <c r="E14" s="2852">
        <f t="shared" si="2"/>
        <v>0</v>
      </c>
      <c r="F14" s="2852">
        <f t="shared" si="2"/>
        <v>0</v>
      </c>
      <c r="G14" s="2852">
        <f t="shared" si="2"/>
        <v>0.2</v>
      </c>
      <c r="H14" s="2852">
        <f t="shared" si="2"/>
        <v>0</v>
      </c>
      <c r="I14" s="2852">
        <f t="shared" si="2"/>
        <v>0</v>
      </c>
      <c r="J14" s="2857">
        <f t="shared" si="3"/>
        <v>0.2</v>
      </c>
      <c r="K14" s="1590"/>
      <c r="L14" s="1591" t="str">
        <f t="shared" si="4"/>
        <v/>
      </c>
      <c r="M14" s="1519">
        <v>25.5</v>
      </c>
      <c r="P14" s="1581"/>
      <c r="Q14" s="1602"/>
      <c r="R14" s="1603" t="s">
        <v>1500</v>
      </c>
      <c r="S14" s="1550" t="s">
        <v>166</v>
      </c>
      <c r="T14" s="1604"/>
      <c r="U14" s="1592"/>
      <c r="V14" s="1592">
        <v>0.2</v>
      </c>
      <c r="W14" s="1592"/>
      <c r="X14" s="1592"/>
      <c r="Y14" s="1592">
        <f t="shared" si="8"/>
        <v>0.2</v>
      </c>
      <c r="Z14" s="1592"/>
      <c r="AA14" s="1593">
        <f t="shared" si="7"/>
        <v>0</v>
      </c>
    </row>
    <row r="15" spans="1:27" ht="25.5" customHeight="1">
      <c r="A15" s="1681"/>
      <c r="B15" s="1682"/>
      <c r="C15" s="2853" t="str">
        <f t="shared" si="1"/>
        <v>oignons</v>
      </c>
      <c r="D15" s="2851" t="str">
        <f t="shared" si="1"/>
        <v>kg</v>
      </c>
      <c r="E15" s="2852">
        <f t="shared" si="2"/>
        <v>0.15</v>
      </c>
      <c r="F15" s="2852">
        <f t="shared" si="2"/>
        <v>0</v>
      </c>
      <c r="G15" s="2852">
        <f t="shared" si="2"/>
        <v>0.15</v>
      </c>
      <c r="H15" s="2852">
        <f t="shared" si="2"/>
        <v>0</v>
      </c>
      <c r="I15" s="2852">
        <f t="shared" si="2"/>
        <v>0</v>
      </c>
      <c r="J15" s="2857">
        <f t="shared" si="3"/>
        <v>0.3</v>
      </c>
      <c r="K15" s="1590"/>
      <c r="L15" s="1591" t="str">
        <f t="shared" si="4"/>
        <v/>
      </c>
      <c r="M15" s="1519">
        <v>25.5</v>
      </c>
      <c r="P15" s="1581"/>
      <c r="Q15" s="1582"/>
      <c r="R15" s="1592" t="s">
        <v>1533</v>
      </c>
      <c r="S15" s="1550" t="s">
        <v>166</v>
      </c>
      <c r="T15" s="1592">
        <v>0.15</v>
      </c>
      <c r="U15" s="1592"/>
      <c r="V15" s="1592">
        <v>0.15</v>
      </c>
      <c r="W15" s="1592"/>
      <c r="X15" s="1592"/>
      <c r="Y15" s="1592">
        <f t="shared" si="8"/>
        <v>0.3</v>
      </c>
      <c r="Z15" s="1592"/>
      <c r="AA15" s="1593">
        <f t="shared" si="7"/>
        <v>0</v>
      </c>
    </row>
    <row r="16" spans="1:27" ht="25.5" customHeight="1">
      <c r="A16" s="1681"/>
      <c r="B16" s="1682"/>
      <c r="C16" s="2853" t="str">
        <f t="shared" si="1"/>
        <v>celeri branche</v>
      </c>
      <c r="D16" s="2851" t="str">
        <f t="shared" si="1"/>
        <v>kg</v>
      </c>
      <c r="E16" s="2852">
        <f t="shared" si="2"/>
        <v>0</v>
      </c>
      <c r="F16" s="2852">
        <f t="shared" si="2"/>
        <v>0</v>
      </c>
      <c r="G16" s="2852">
        <f t="shared" si="2"/>
        <v>0.1</v>
      </c>
      <c r="H16" s="2852">
        <f t="shared" si="2"/>
        <v>0</v>
      </c>
      <c r="I16" s="2852">
        <f t="shared" si="2"/>
        <v>0</v>
      </c>
      <c r="J16" s="2857">
        <f t="shared" si="3"/>
        <v>0.1</v>
      </c>
      <c r="K16" s="1590"/>
      <c r="L16" s="1591" t="str">
        <f t="shared" si="4"/>
        <v/>
      </c>
      <c r="M16" s="1519">
        <v>25.5</v>
      </c>
      <c r="P16" s="1581"/>
      <c r="Q16" s="1582"/>
      <c r="R16" s="1592" t="s">
        <v>1501</v>
      </c>
      <c r="S16" s="1550" t="s">
        <v>166</v>
      </c>
      <c r="T16" s="1592"/>
      <c r="U16" s="1592"/>
      <c r="V16" s="1592">
        <v>0.1</v>
      </c>
      <c r="W16" s="1592"/>
      <c r="X16" s="1592"/>
      <c r="Y16" s="1592">
        <f t="shared" si="8"/>
        <v>0.1</v>
      </c>
      <c r="Z16" s="1592"/>
      <c r="AA16" s="1593">
        <f t="shared" si="7"/>
        <v>0</v>
      </c>
    </row>
    <row r="17" spans="1:27" ht="25.5" customHeight="1">
      <c r="A17" s="1681"/>
      <c r="B17" s="1682"/>
      <c r="C17" s="2853" t="str">
        <f t="shared" si="1"/>
        <v>poireau</v>
      </c>
      <c r="D17" s="2851" t="str">
        <f t="shared" si="1"/>
        <v>kg</v>
      </c>
      <c r="E17" s="2852">
        <f t="shared" si="2"/>
        <v>0</v>
      </c>
      <c r="F17" s="2852">
        <f t="shared" si="2"/>
        <v>0</v>
      </c>
      <c r="G17" s="2852">
        <f t="shared" si="2"/>
        <v>0.15</v>
      </c>
      <c r="H17" s="2852">
        <f t="shared" si="2"/>
        <v>0</v>
      </c>
      <c r="I17" s="2852">
        <f t="shared" si="2"/>
        <v>0</v>
      </c>
      <c r="J17" s="2857">
        <f t="shared" si="3"/>
        <v>0.15</v>
      </c>
      <c r="K17" s="1590"/>
      <c r="L17" s="1591" t="str">
        <f t="shared" si="4"/>
        <v/>
      </c>
      <c r="M17" s="1519">
        <v>25.5</v>
      </c>
      <c r="P17" s="1581"/>
      <c r="Q17" s="1582"/>
      <c r="R17" s="1592" t="s">
        <v>2001</v>
      </c>
      <c r="S17" s="1550" t="s">
        <v>166</v>
      </c>
      <c r="T17" s="1592"/>
      <c r="U17" s="1592"/>
      <c r="V17" s="1592">
        <v>0.15</v>
      </c>
      <c r="W17" s="1592"/>
      <c r="X17" s="1592"/>
      <c r="Y17" s="1592">
        <f t="shared" si="8"/>
        <v>0.15</v>
      </c>
      <c r="Z17" s="1592"/>
      <c r="AA17" s="1593">
        <f t="shared" si="7"/>
        <v>0</v>
      </c>
    </row>
    <row r="18" spans="1:27" ht="25.5" customHeight="1">
      <c r="A18" s="1681"/>
      <c r="B18" s="1682"/>
      <c r="C18" s="2853" t="str">
        <f t="shared" si="1"/>
        <v>cerfeuil</v>
      </c>
      <c r="D18" s="2851" t="str">
        <f t="shared" si="1"/>
        <v>bte</v>
      </c>
      <c r="E18" s="2852">
        <f t="shared" si="2"/>
        <v>0</v>
      </c>
      <c r="F18" s="2852">
        <f t="shared" si="2"/>
        <v>0</v>
      </c>
      <c r="G18" s="2852">
        <f t="shared" si="2"/>
        <v>0</v>
      </c>
      <c r="H18" s="2852">
        <f t="shared" si="2"/>
        <v>0.25</v>
      </c>
      <c r="I18" s="2852">
        <f t="shared" si="2"/>
        <v>0</v>
      </c>
      <c r="J18" s="2857">
        <f t="shared" si="3"/>
        <v>0.25</v>
      </c>
      <c r="K18" s="1590"/>
      <c r="L18" s="1591" t="str">
        <f t="shared" si="4"/>
        <v/>
      </c>
      <c r="M18" s="1519">
        <v>25.5</v>
      </c>
      <c r="P18" s="1581"/>
      <c r="Q18" s="1582"/>
      <c r="R18" s="1592" t="s">
        <v>1504</v>
      </c>
      <c r="S18" s="1550" t="s">
        <v>218</v>
      </c>
      <c r="T18" s="1592"/>
      <c r="U18" s="1592"/>
      <c r="V18" s="1592"/>
      <c r="W18" s="1592">
        <v>0.25</v>
      </c>
      <c r="X18" s="1592"/>
      <c r="Y18" s="1592">
        <f t="shared" si="8"/>
        <v>0.25</v>
      </c>
      <c r="Z18" s="1592"/>
      <c r="AA18" s="1593">
        <f t="shared" si="7"/>
        <v>0</v>
      </c>
    </row>
    <row r="19" spans="1:27" ht="25.5" customHeight="1">
      <c r="A19" s="1681"/>
      <c r="B19" s="1682"/>
      <c r="C19" s="2853">
        <f t="shared" si="1"/>
        <v>0</v>
      </c>
      <c r="D19" s="2851">
        <f t="shared" si="1"/>
        <v>0</v>
      </c>
      <c r="E19" s="2852">
        <f t="shared" si="2"/>
        <v>0</v>
      </c>
      <c r="F19" s="2852">
        <f t="shared" si="2"/>
        <v>0</v>
      </c>
      <c r="G19" s="2852">
        <f t="shared" si="2"/>
        <v>0</v>
      </c>
      <c r="H19" s="2852">
        <f t="shared" si="2"/>
        <v>0</v>
      </c>
      <c r="I19" s="2852">
        <f t="shared" si="2"/>
        <v>0</v>
      </c>
      <c r="J19" s="2857" t="str">
        <f t="shared" si="3"/>
        <v/>
      </c>
      <c r="K19" s="1702"/>
      <c r="L19" s="1591" t="str">
        <f t="shared" si="4"/>
        <v/>
      </c>
      <c r="M19" s="1519">
        <v>25.5</v>
      </c>
      <c r="P19" s="1581"/>
      <c r="Q19" s="1582"/>
      <c r="R19" s="1592"/>
      <c r="S19" s="1550"/>
      <c r="T19" s="1592"/>
      <c r="U19" s="1592"/>
      <c r="V19" s="1592"/>
      <c r="W19" s="1592"/>
      <c r="X19" s="1592"/>
      <c r="Y19" s="1592" t="str">
        <f t="shared" si="8"/>
        <v/>
      </c>
      <c r="Z19" s="1592"/>
      <c r="AA19" s="1593">
        <f t="shared" si="7"/>
        <v>0</v>
      </c>
    </row>
    <row r="20" spans="1:27" ht="25.5" customHeight="1">
      <c r="A20" s="1681"/>
      <c r="B20" s="1682"/>
      <c r="C20" s="2853">
        <f t="shared" si="1"/>
        <v>0</v>
      </c>
      <c r="D20" s="2851">
        <f t="shared" si="1"/>
        <v>0</v>
      </c>
      <c r="E20" s="2852">
        <f t="shared" si="2"/>
        <v>0</v>
      </c>
      <c r="F20" s="2852">
        <f t="shared" si="2"/>
        <v>0</v>
      </c>
      <c r="G20" s="2852">
        <f t="shared" si="2"/>
        <v>0</v>
      </c>
      <c r="H20" s="2852">
        <f t="shared" si="2"/>
        <v>0</v>
      </c>
      <c r="I20" s="2852">
        <f t="shared" si="2"/>
        <v>0</v>
      </c>
      <c r="J20" s="2857" t="str">
        <f t="shared" si="3"/>
        <v/>
      </c>
      <c r="K20" s="1590"/>
      <c r="L20" s="1591" t="str">
        <f t="shared" si="4"/>
        <v/>
      </c>
      <c r="M20" s="1519">
        <v>25.5</v>
      </c>
      <c r="P20" s="1581"/>
      <c r="Q20" s="1582"/>
      <c r="R20" s="1592"/>
      <c r="S20" s="1550"/>
      <c r="T20" s="1592"/>
      <c r="U20" s="1592"/>
      <c r="V20" s="1592"/>
      <c r="W20" s="1592"/>
      <c r="X20" s="1592"/>
      <c r="Y20" s="1592" t="str">
        <f t="shared" si="8"/>
        <v/>
      </c>
      <c r="Z20" s="1592"/>
      <c r="AA20" s="1593">
        <f t="shared" si="7"/>
        <v>0</v>
      </c>
    </row>
    <row r="21" spans="1:27" ht="25.5" customHeight="1">
      <c r="A21" s="1681"/>
      <c r="B21" s="1682"/>
      <c r="C21" s="2853">
        <f t="shared" si="1"/>
        <v>0</v>
      </c>
      <c r="D21" s="2851">
        <f t="shared" si="1"/>
        <v>0</v>
      </c>
      <c r="E21" s="2852">
        <f t="shared" si="2"/>
        <v>0</v>
      </c>
      <c r="F21" s="2852">
        <f t="shared" si="2"/>
        <v>0</v>
      </c>
      <c r="G21" s="2852">
        <f t="shared" si="2"/>
        <v>0</v>
      </c>
      <c r="H21" s="2852">
        <f t="shared" si="2"/>
        <v>0</v>
      </c>
      <c r="I21" s="2852">
        <f t="shared" si="2"/>
        <v>0</v>
      </c>
      <c r="J21" s="2857" t="str">
        <f t="shared" si="3"/>
        <v/>
      </c>
      <c r="K21" s="1590"/>
      <c r="L21" s="1591" t="str">
        <f t="shared" si="4"/>
        <v/>
      </c>
      <c r="M21" s="1519">
        <v>25.5</v>
      </c>
      <c r="P21" s="1581"/>
      <c r="Q21" s="1582"/>
      <c r="R21" s="1592"/>
      <c r="S21" s="1550"/>
      <c r="T21" s="1592"/>
      <c r="U21" s="1592"/>
      <c r="V21" s="1592"/>
      <c r="W21" s="1592"/>
      <c r="X21" s="1592"/>
      <c r="Y21" s="1592" t="str">
        <f t="shared" si="8"/>
        <v/>
      </c>
      <c r="Z21" s="1592"/>
      <c r="AA21" s="1593">
        <f t="shared" si="7"/>
        <v>0</v>
      </c>
    </row>
    <row r="22" spans="1:27" ht="25.5" customHeight="1">
      <c r="A22" s="1681"/>
      <c r="B22" s="1682"/>
      <c r="C22" s="2853">
        <f t="shared" si="1"/>
        <v>0</v>
      </c>
      <c r="D22" s="2851">
        <f t="shared" si="1"/>
        <v>0</v>
      </c>
      <c r="E22" s="2852">
        <f t="shared" si="2"/>
        <v>0</v>
      </c>
      <c r="F22" s="2852">
        <f t="shared" si="2"/>
        <v>0</v>
      </c>
      <c r="G22" s="2852">
        <f t="shared" si="2"/>
        <v>0</v>
      </c>
      <c r="H22" s="2852">
        <f t="shared" si="2"/>
        <v>0</v>
      </c>
      <c r="I22" s="2852">
        <f t="shared" si="2"/>
        <v>0</v>
      </c>
      <c r="J22" s="2857" t="str">
        <f t="shared" si="3"/>
        <v/>
      </c>
      <c r="K22" s="1590"/>
      <c r="L22" s="1591" t="str">
        <f t="shared" si="4"/>
        <v/>
      </c>
      <c r="M22" s="1519">
        <v>25.5</v>
      </c>
      <c r="P22" s="1581"/>
      <c r="Q22" s="1582"/>
      <c r="R22" s="1592"/>
      <c r="S22" s="1550"/>
      <c r="T22" s="1592"/>
      <c r="U22" s="1592"/>
      <c r="V22" s="1592"/>
      <c r="W22" s="1592"/>
      <c r="X22" s="1592"/>
      <c r="Y22" s="1592" t="str">
        <f t="shared" si="8"/>
        <v/>
      </c>
      <c r="Z22" s="1592"/>
      <c r="AA22" s="1593">
        <f t="shared" si="7"/>
        <v>0</v>
      </c>
    </row>
    <row r="23" spans="1:27" ht="25.5" customHeight="1">
      <c r="A23" s="1681"/>
      <c r="B23" s="1682"/>
      <c r="C23" s="2853">
        <f t="shared" si="1"/>
        <v>0</v>
      </c>
      <c r="D23" s="2851">
        <f t="shared" si="1"/>
        <v>0</v>
      </c>
      <c r="E23" s="2852">
        <f t="shared" si="2"/>
        <v>0</v>
      </c>
      <c r="F23" s="2852">
        <f t="shared" si="2"/>
        <v>0</v>
      </c>
      <c r="G23" s="2852">
        <f t="shared" si="2"/>
        <v>0</v>
      </c>
      <c r="H23" s="2852">
        <f t="shared" si="2"/>
        <v>0</v>
      </c>
      <c r="I23" s="2852">
        <f t="shared" si="2"/>
        <v>0</v>
      </c>
      <c r="J23" s="2857" t="str">
        <f t="shared" si="3"/>
        <v/>
      </c>
      <c r="K23" s="1590"/>
      <c r="L23" s="1591" t="str">
        <f t="shared" si="4"/>
        <v/>
      </c>
      <c r="M23" s="1519">
        <v>25.5</v>
      </c>
      <c r="P23" s="1581"/>
      <c r="Q23" s="1582"/>
      <c r="R23" s="1592"/>
      <c r="S23" s="1550"/>
      <c r="T23" s="1592"/>
      <c r="U23" s="1592"/>
      <c r="V23" s="1592"/>
      <c r="W23" s="1592"/>
      <c r="X23" s="1592"/>
      <c r="Y23" s="1592" t="str">
        <f t="shared" si="8"/>
        <v/>
      </c>
      <c r="Z23" s="1592"/>
      <c r="AA23" s="1593">
        <f t="shared" si="7"/>
        <v>0</v>
      </c>
    </row>
    <row r="24" spans="1:27" ht="25.5" customHeight="1">
      <c r="A24" s="1681"/>
      <c r="B24" s="1682"/>
      <c r="C24" s="2853">
        <f t="shared" si="1"/>
        <v>0</v>
      </c>
      <c r="D24" s="2851">
        <f t="shared" si="1"/>
        <v>0</v>
      </c>
      <c r="E24" s="2852">
        <f t="shared" si="2"/>
        <v>0</v>
      </c>
      <c r="F24" s="2852">
        <f t="shared" si="2"/>
        <v>0</v>
      </c>
      <c r="G24" s="2852">
        <f t="shared" si="2"/>
        <v>0</v>
      </c>
      <c r="H24" s="2852">
        <f t="shared" si="2"/>
        <v>0</v>
      </c>
      <c r="I24" s="2852">
        <f t="shared" si="2"/>
        <v>0</v>
      </c>
      <c r="J24" s="2857" t="str">
        <f t="shared" si="3"/>
        <v/>
      </c>
      <c r="K24" s="1590"/>
      <c r="L24" s="1591" t="str">
        <f t="shared" si="4"/>
        <v/>
      </c>
      <c r="M24" s="1519">
        <v>25.5</v>
      </c>
      <c r="P24" s="1581"/>
      <c r="Q24" s="1582"/>
      <c r="R24" s="1592"/>
      <c r="S24" s="1550"/>
      <c r="T24" s="1592"/>
      <c r="U24" s="1592"/>
      <c r="V24" s="1592"/>
      <c r="W24" s="1592"/>
      <c r="X24" s="1592"/>
      <c r="Y24" s="1592" t="str">
        <f t="shared" si="8"/>
        <v/>
      </c>
      <c r="Z24" s="1592"/>
      <c r="AA24" s="1593">
        <f t="shared" si="7"/>
        <v>0</v>
      </c>
    </row>
    <row r="25" spans="1:27" ht="25.5" customHeight="1">
      <c r="A25" s="1681"/>
      <c r="B25" s="1682"/>
      <c r="C25" s="2854" t="str">
        <f t="shared" si="1"/>
        <v>B.O.F</v>
      </c>
      <c r="D25" s="2855" t="str">
        <f t="shared" si="1"/>
        <v xml:space="preserve"> </v>
      </c>
      <c r="E25" s="2855">
        <f t="shared" si="2"/>
        <v>0</v>
      </c>
      <c r="F25" s="2855">
        <f t="shared" si="2"/>
        <v>0</v>
      </c>
      <c r="G25" s="2855">
        <f t="shared" si="2"/>
        <v>0</v>
      </c>
      <c r="H25" s="2855">
        <f t="shared" si="2"/>
        <v>0</v>
      </c>
      <c r="I25" s="2855">
        <f t="shared" si="2"/>
        <v>0</v>
      </c>
      <c r="J25" s="1674" t="str">
        <f t="shared" si="3"/>
        <v/>
      </c>
      <c r="K25" s="1579"/>
      <c r="L25" s="1580" t="str">
        <f t="shared" si="4"/>
        <v/>
      </c>
      <c r="M25" s="1519">
        <v>25.5</v>
      </c>
      <c r="P25" s="1581"/>
      <c r="Q25" s="1582"/>
      <c r="R25" s="1598" t="s">
        <v>1465</v>
      </c>
      <c r="S25" s="1584" t="s">
        <v>1456</v>
      </c>
      <c r="T25" s="1599"/>
      <c r="U25" s="1599"/>
      <c r="V25" s="1599"/>
      <c r="W25" s="1599"/>
      <c r="X25" s="1599"/>
      <c r="Y25" s="1599" t="s">
        <v>1456</v>
      </c>
      <c r="Z25" s="1599"/>
      <c r="AA25" s="1600">
        <f t="shared" si="7"/>
        <v>0</v>
      </c>
    </row>
    <row r="26" spans="1:27" ht="25.5" customHeight="1">
      <c r="A26" s="1681"/>
      <c r="B26" s="1682"/>
      <c r="C26" s="2853" t="str">
        <f t="shared" si="1"/>
        <v>crème 35%</v>
      </c>
      <c r="D26" s="2851" t="str">
        <f t="shared" si="1"/>
        <v>L</v>
      </c>
      <c r="E26" s="2852">
        <f t="shared" si="2"/>
        <v>0.1</v>
      </c>
      <c r="F26" s="2852">
        <f t="shared" si="2"/>
        <v>0</v>
      </c>
      <c r="G26" s="2852">
        <f t="shared" si="2"/>
        <v>0</v>
      </c>
      <c r="H26" s="2852">
        <f t="shared" si="2"/>
        <v>0</v>
      </c>
      <c r="I26" s="2852">
        <f t="shared" si="2"/>
        <v>0</v>
      </c>
      <c r="J26" s="2857">
        <f t="shared" si="3"/>
        <v>0.1</v>
      </c>
      <c r="K26" s="1590"/>
      <c r="L26" s="1591" t="str">
        <f t="shared" si="4"/>
        <v/>
      </c>
      <c r="M26" s="1519">
        <v>25.5</v>
      </c>
      <c r="P26" s="1581"/>
      <c r="Q26" s="1582"/>
      <c r="R26" s="1592" t="s">
        <v>2111</v>
      </c>
      <c r="S26" s="1550" t="s">
        <v>224</v>
      </c>
      <c r="T26" s="1592">
        <v>0.1</v>
      </c>
      <c r="U26" s="1592"/>
      <c r="V26" s="1592"/>
      <c r="W26" s="1592"/>
      <c r="X26" s="1592"/>
      <c r="Y26" s="1592">
        <f t="shared" ref="Y26:Y33" si="9">IF(SUM(T26:X26)=0,"",SUM(T26:X26))</f>
        <v>0.1</v>
      </c>
      <c r="Z26" s="1592"/>
      <c r="AA26" s="1593">
        <f t="shared" si="7"/>
        <v>0</v>
      </c>
    </row>
    <row r="27" spans="1:27" ht="25.5" customHeight="1">
      <c r="A27" s="1681"/>
      <c r="B27" s="1682"/>
      <c r="C27" s="2853" t="str">
        <f t="shared" si="1"/>
        <v>parmiggiano réggiano</v>
      </c>
      <c r="D27" s="2851" t="str">
        <f t="shared" si="1"/>
        <v>Kg</v>
      </c>
      <c r="E27" s="2852">
        <f t="shared" si="2"/>
        <v>0.04</v>
      </c>
      <c r="F27" s="2852">
        <f t="shared" si="2"/>
        <v>0</v>
      </c>
      <c r="G27" s="2852">
        <f t="shared" si="2"/>
        <v>0</v>
      </c>
      <c r="H27" s="2852">
        <f t="shared" si="2"/>
        <v>0</v>
      </c>
      <c r="I27" s="2852">
        <f t="shared" si="2"/>
        <v>0</v>
      </c>
      <c r="J27" s="2857">
        <f t="shared" si="3"/>
        <v>0.04</v>
      </c>
      <c r="K27" s="1590"/>
      <c r="L27" s="1591" t="str">
        <f t="shared" si="4"/>
        <v/>
      </c>
      <c r="M27" s="1519">
        <v>25.5</v>
      </c>
      <c r="P27" s="1581"/>
      <c r="Q27" s="1582"/>
      <c r="R27" s="1592" t="s">
        <v>2112</v>
      </c>
      <c r="S27" s="1550" t="s">
        <v>122</v>
      </c>
      <c r="T27" s="1592">
        <v>0.04</v>
      </c>
      <c r="U27" s="1592"/>
      <c r="V27" s="1592"/>
      <c r="W27" s="1592"/>
      <c r="X27" s="1592"/>
      <c r="Y27" s="1592">
        <f t="shared" si="9"/>
        <v>0.04</v>
      </c>
      <c r="Z27" s="1592"/>
      <c r="AA27" s="1593">
        <f t="shared" si="7"/>
        <v>0</v>
      </c>
    </row>
    <row r="28" spans="1:27" ht="25.5" customHeight="1">
      <c r="A28" s="1681"/>
      <c r="B28" s="1682"/>
      <c r="C28" s="2853">
        <f t="shared" si="1"/>
        <v>0</v>
      </c>
      <c r="D28" s="2851">
        <f t="shared" si="1"/>
        <v>0</v>
      </c>
      <c r="E28" s="2852">
        <f t="shared" si="2"/>
        <v>0</v>
      </c>
      <c r="F28" s="2852">
        <f t="shared" si="2"/>
        <v>0</v>
      </c>
      <c r="G28" s="2852">
        <f t="shared" si="2"/>
        <v>0</v>
      </c>
      <c r="H28" s="2852">
        <f t="shared" si="2"/>
        <v>0</v>
      </c>
      <c r="I28" s="2852">
        <f t="shared" si="2"/>
        <v>0</v>
      </c>
      <c r="J28" s="2857" t="str">
        <f t="shared" si="3"/>
        <v/>
      </c>
      <c r="K28" s="1590"/>
      <c r="L28" s="1591" t="str">
        <f t="shared" si="4"/>
        <v/>
      </c>
      <c r="M28" s="1519">
        <v>25.5</v>
      </c>
      <c r="P28" s="1581"/>
      <c r="Q28" s="1582"/>
      <c r="R28" s="1592"/>
      <c r="S28" s="1550"/>
      <c r="T28" s="1592"/>
      <c r="U28" s="1592"/>
      <c r="V28" s="1592"/>
      <c r="W28" s="1592"/>
      <c r="X28" s="1592"/>
      <c r="Y28" s="1592" t="str">
        <f t="shared" si="9"/>
        <v/>
      </c>
      <c r="Z28" s="1592"/>
      <c r="AA28" s="1593">
        <f t="shared" si="7"/>
        <v>0</v>
      </c>
    </row>
    <row r="29" spans="1:27" ht="25.5" customHeight="1">
      <c r="A29" s="1681"/>
      <c r="B29" s="1682"/>
      <c r="C29" s="2853">
        <f t="shared" si="1"/>
        <v>0</v>
      </c>
      <c r="D29" s="2851">
        <f t="shared" si="1"/>
        <v>0</v>
      </c>
      <c r="E29" s="2852">
        <f t="shared" si="2"/>
        <v>0</v>
      </c>
      <c r="F29" s="2852">
        <f t="shared" si="2"/>
        <v>0</v>
      </c>
      <c r="G29" s="2852">
        <f t="shared" si="2"/>
        <v>0</v>
      </c>
      <c r="H29" s="2852">
        <f t="shared" si="2"/>
        <v>0</v>
      </c>
      <c r="I29" s="2852">
        <f t="shared" si="2"/>
        <v>0</v>
      </c>
      <c r="J29" s="2857" t="str">
        <f t="shared" si="3"/>
        <v/>
      </c>
      <c r="K29" s="1590"/>
      <c r="L29" s="1591" t="str">
        <f t="shared" si="4"/>
        <v/>
      </c>
      <c r="M29" s="1519">
        <v>25.5</v>
      </c>
      <c r="P29" s="1581"/>
      <c r="Q29" s="1582"/>
      <c r="R29" s="1592"/>
      <c r="S29" s="1550"/>
      <c r="T29" s="1592"/>
      <c r="U29" s="1592"/>
      <c r="V29" s="1592"/>
      <c r="W29" s="1592"/>
      <c r="X29" s="1592"/>
      <c r="Y29" s="1592" t="str">
        <f t="shared" si="9"/>
        <v/>
      </c>
      <c r="Z29" s="1592"/>
      <c r="AA29" s="1593">
        <f t="shared" si="7"/>
        <v>0</v>
      </c>
    </row>
    <row r="30" spans="1:27" ht="25.5" customHeight="1">
      <c r="A30" s="1681"/>
      <c r="B30" s="1682"/>
      <c r="C30" s="2853">
        <f t="shared" si="1"/>
        <v>0</v>
      </c>
      <c r="D30" s="2851">
        <f t="shared" si="1"/>
        <v>0</v>
      </c>
      <c r="E30" s="2852">
        <f t="shared" si="2"/>
        <v>0</v>
      </c>
      <c r="F30" s="2852">
        <f t="shared" si="2"/>
        <v>0</v>
      </c>
      <c r="G30" s="2852">
        <f t="shared" si="2"/>
        <v>0</v>
      </c>
      <c r="H30" s="2852">
        <f t="shared" si="2"/>
        <v>0</v>
      </c>
      <c r="I30" s="2852">
        <f t="shared" si="2"/>
        <v>0</v>
      </c>
      <c r="J30" s="2857" t="str">
        <f t="shared" si="3"/>
        <v/>
      </c>
      <c r="K30" s="1590"/>
      <c r="L30" s="1591" t="str">
        <f t="shared" si="4"/>
        <v/>
      </c>
      <c r="M30" s="1519">
        <v>25.5</v>
      </c>
      <c r="P30" s="1581"/>
      <c r="Q30" s="1582"/>
      <c r="R30" s="1592"/>
      <c r="S30" s="1550"/>
      <c r="T30" s="1592"/>
      <c r="U30" s="1592"/>
      <c r="V30" s="1592"/>
      <c r="W30" s="1592"/>
      <c r="X30" s="1592"/>
      <c r="Y30" s="1592" t="str">
        <f t="shared" si="9"/>
        <v/>
      </c>
      <c r="Z30" s="1592"/>
      <c r="AA30" s="1593">
        <f t="shared" si="7"/>
        <v>0</v>
      </c>
    </row>
    <row r="31" spans="1:27" ht="25.5" customHeight="1">
      <c r="A31" s="1681"/>
      <c r="B31" s="1682"/>
      <c r="C31" s="2853">
        <f t="shared" si="1"/>
        <v>0</v>
      </c>
      <c r="D31" s="2851">
        <f t="shared" si="1"/>
        <v>0</v>
      </c>
      <c r="E31" s="2852">
        <f t="shared" si="2"/>
        <v>0</v>
      </c>
      <c r="F31" s="2852">
        <f t="shared" si="2"/>
        <v>0</v>
      </c>
      <c r="G31" s="2852">
        <f t="shared" si="2"/>
        <v>0</v>
      </c>
      <c r="H31" s="2852">
        <f t="shared" si="2"/>
        <v>0</v>
      </c>
      <c r="I31" s="2852">
        <f t="shared" si="2"/>
        <v>0</v>
      </c>
      <c r="J31" s="2857" t="str">
        <f t="shared" si="3"/>
        <v/>
      </c>
      <c r="K31" s="1590"/>
      <c r="L31" s="1591" t="str">
        <f t="shared" si="4"/>
        <v/>
      </c>
      <c r="M31" s="1519">
        <v>25.5</v>
      </c>
      <c r="P31" s="1581"/>
      <c r="Q31" s="1582"/>
      <c r="R31" s="1592"/>
      <c r="S31" s="1550"/>
      <c r="T31" s="1592"/>
      <c r="U31" s="1592"/>
      <c r="V31" s="1592"/>
      <c r="W31" s="1592"/>
      <c r="X31" s="1592"/>
      <c r="Y31" s="1592" t="str">
        <f t="shared" si="9"/>
        <v/>
      </c>
      <c r="Z31" s="1592"/>
      <c r="AA31" s="1593">
        <f t="shared" si="7"/>
        <v>0</v>
      </c>
    </row>
    <row r="32" spans="1:27" ht="25.5" customHeight="1">
      <c r="A32" s="1681"/>
      <c r="B32" s="1682"/>
      <c r="C32" s="2853">
        <f t="shared" si="1"/>
        <v>0</v>
      </c>
      <c r="D32" s="2851">
        <f t="shared" si="1"/>
        <v>0</v>
      </c>
      <c r="E32" s="2852">
        <f t="shared" si="2"/>
        <v>0</v>
      </c>
      <c r="F32" s="2852">
        <f t="shared" si="2"/>
        <v>0</v>
      </c>
      <c r="G32" s="2852">
        <f t="shared" si="2"/>
        <v>0</v>
      </c>
      <c r="H32" s="2852">
        <f t="shared" si="2"/>
        <v>0</v>
      </c>
      <c r="I32" s="2852">
        <f t="shared" si="2"/>
        <v>0</v>
      </c>
      <c r="J32" s="2857" t="str">
        <f t="shared" si="3"/>
        <v/>
      </c>
      <c r="K32" s="1590"/>
      <c r="L32" s="1591" t="str">
        <f t="shared" si="4"/>
        <v/>
      </c>
      <c r="M32" s="1519">
        <v>25.5</v>
      </c>
      <c r="P32" s="1581"/>
      <c r="Q32" s="1582"/>
      <c r="R32" s="1592"/>
      <c r="S32" s="1550"/>
      <c r="T32" s="1592"/>
      <c r="U32" s="1592"/>
      <c r="V32" s="1592"/>
      <c r="W32" s="1592"/>
      <c r="X32" s="1592"/>
      <c r="Y32" s="1592" t="str">
        <f t="shared" si="9"/>
        <v/>
      </c>
      <c r="Z32" s="1592"/>
      <c r="AA32" s="1593">
        <f t="shared" si="7"/>
        <v>0</v>
      </c>
    </row>
    <row r="33" spans="1:27" ht="25.5" customHeight="1">
      <c r="A33" s="1681"/>
      <c r="B33" s="1682"/>
      <c r="C33" s="2853">
        <f t="shared" si="1"/>
        <v>0</v>
      </c>
      <c r="D33" s="2851">
        <f t="shared" si="1"/>
        <v>0</v>
      </c>
      <c r="E33" s="2852">
        <f t="shared" si="2"/>
        <v>0</v>
      </c>
      <c r="F33" s="2852">
        <f t="shared" si="2"/>
        <v>0</v>
      </c>
      <c r="G33" s="2852">
        <f t="shared" si="2"/>
        <v>0</v>
      </c>
      <c r="H33" s="2852">
        <f t="shared" si="2"/>
        <v>0</v>
      </c>
      <c r="I33" s="2852">
        <f t="shared" si="2"/>
        <v>0</v>
      </c>
      <c r="J33" s="2857" t="str">
        <f t="shared" si="3"/>
        <v/>
      </c>
      <c r="K33" s="1590"/>
      <c r="L33" s="1591" t="str">
        <f t="shared" si="4"/>
        <v/>
      </c>
      <c r="M33" s="1519">
        <v>25.5</v>
      </c>
      <c r="P33" s="1581"/>
      <c r="Q33" s="1582"/>
      <c r="R33" s="1592"/>
      <c r="S33" s="1550"/>
      <c r="T33" s="1592"/>
      <c r="U33" s="1592"/>
      <c r="V33" s="1592"/>
      <c r="W33" s="1592"/>
      <c r="X33" s="1592"/>
      <c r="Y33" s="1592" t="str">
        <f t="shared" si="9"/>
        <v/>
      </c>
      <c r="Z33" s="1592"/>
      <c r="AA33" s="1593">
        <f t="shared" si="7"/>
        <v>0</v>
      </c>
    </row>
    <row r="34" spans="1:27" ht="25.5" customHeight="1">
      <c r="A34" s="1681"/>
      <c r="B34" s="1682"/>
      <c r="C34" s="2854" t="str">
        <f t="shared" si="1"/>
        <v>ECONOMAT/CAVE</v>
      </c>
      <c r="D34" s="2855" t="str">
        <f t="shared" si="1"/>
        <v xml:space="preserve"> </v>
      </c>
      <c r="E34" s="2855">
        <f t="shared" si="2"/>
        <v>0</v>
      </c>
      <c r="F34" s="2855">
        <f t="shared" si="2"/>
        <v>0</v>
      </c>
      <c r="G34" s="2855">
        <f t="shared" si="2"/>
        <v>0</v>
      </c>
      <c r="H34" s="2855">
        <f t="shared" si="2"/>
        <v>0</v>
      </c>
      <c r="I34" s="2855">
        <f t="shared" si="2"/>
        <v>0</v>
      </c>
      <c r="J34" s="1674" t="str">
        <f t="shared" si="3"/>
        <v/>
      </c>
      <c r="K34" s="1579"/>
      <c r="L34" s="1580" t="str">
        <f t="shared" si="4"/>
        <v/>
      </c>
      <c r="M34" s="1519">
        <v>25.5</v>
      </c>
      <c r="P34" s="1581"/>
      <c r="Q34" s="1582"/>
      <c r="R34" s="1598" t="s">
        <v>1967</v>
      </c>
      <c r="S34" s="1584" t="s">
        <v>1456</v>
      </c>
      <c r="T34" s="1599"/>
      <c r="U34" s="1599"/>
      <c r="V34" s="1599"/>
      <c r="W34" s="1599"/>
      <c r="X34" s="1599"/>
      <c r="Y34" s="1599" t="s">
        <v>1456</v>
      </c>
      <c r="Z34" s="1599"/>
      <c r="AA34" s="1600">
        <f t="shared" si="7"/>
        <v>0</v>
      </c>
    </row>
    <row r="35" spans="1:27" ht="25.5" customHeight="1">
      <c r="A35" s="1681"/>
      <c r="B35" s="1682"/>
      <c r="C35" s="2853" t="str">
        <f t="shared" si="1"/>
        <v>clou de girofle</v>
      </c>
      <c r="D35" s="2851" t="str">
        <f t="shared" si="1"/>
        <v>P</v>
      </c>
      <c r="E35" s="2852">
        <f t="shared" si="2"/>
        <v>0</v>
      </c>
      <c r="F35" s="2852">
        <f t="shared" si="2"/>
        <v>0</v>
      </c>
      <c r="G35" s="2852">
        <f t="shared" si="2"/>
        <v>1</v>
      </c>
      <c r="H35" s="2852">
        <f t="shared" si="2"/>
        <v>0</v>
      </c>
      <c r="I35" s="2852">
        <f t="shared" si="2"/>
        <v>0</v>
      </c>
      <c r="J35" s="2857">
        <f t="shared" si="3"/>
        <v>1</v>
      </c>
      <c r="K35" s="1590"/>
      <c r="L35" s="1591" t="str">
        <f t="shared" si="4"/>
        <v/>
      </c>
      <c r="M35" s="1519">
        <v>25.5</v>
      </c>
      <c r="P35" s="1581"/>
      <c r="Q35" s="1582"/>
      <c r="R35" s="1592" t="s">
        <v>1628</v>
      </c>
      <c r="S35" s="1550" t="s">
        <v>318</v>
      </c>
      <c r="T35" s="1592"/>
      <c r="U35" s="1592"/>
      <c r="V35" s="1592">
        <v>1</v>
      </c>
      <c r="W35" s="1592"/>
      <c r="X35" s="1592"/>
      <c r="Y35" s="1592">
        <f t="shared" ref="Y35:Y39" si="10">IF(SUM(T35:X35)=0,"",SUM(T35:X35))</f>
        <v>1</v>
      </c>
      <c r="Z35" s="1592"/>
      <c r="AA35" s="1593">
        <f t="shared" si="7"/>
        <v>0</v>
      </c>
    </row>
    <row r="36" spans="1:27" ht="25.5" customHeight="1">
      <c r="A36" s="1681"/>
      <c r="B36" s="1682"/>
      <c r="C36" s="2853" t="str">
        <f t="shared" si="1"/>
        <v>riz arborio</v>
      </c>
      <c r="D36" s="2851" t="str">
        <f t="shared" si="1"/>
        <v>Kg</v>
      </c>
      <c r="E36" s="2852">
        <f t="shared" si="2"/>
        <v>0.4</v>
      </c>
      <c r="F36" s="2852">
        <f t="shared" si="2"/>
        <v>0</v>
      </c>
      <c r="G36" s="2852">
        <f t="shared" si="2"/>
        <v>0</v>
      </c>
      <c r="H36" s="2852">
        <f t="shared" si="2"/>
        <v>0</v>
      </c>
      <c r="I36" s="2852">
        <f t="shared" si="2"/>
        <v>0</v>
      </c>
      <c r="J36" s="2857">
        <f t="shared" si="3"/>
        <v>0.4</v>
      </c>
      <c r="K36" s="1590"/>
      <c r="L36" s="1591" t="str">
        <f t="shared" si="4"/>
        <v/>
      </c>
      <c r="M36" s="1519">
        <v>25.5</v>
      </c>
      <c r="P36" s="1581"/>
      <c r="Q36" s="1582"/>
      <c r="R36" s="1592" t="s">
        <v>2113</v>
      </c>
      <c r="S36" s="1550" t="s">
        <v>122</v>
      </c>
      <c r="T36" s="1592">
        <v>0.4</v>
      </c>
      <c r="U36" s="1592"/>
      <c r="V36" s="1592"/>
      <c r="W36" s="1592"/>
      <c r="X36" s="1592"/>
      <c r="Y36" s="1592">
        <f t="shared" si="10"/>
        <v>0.4</v>
      </c>
      <c r="Z36" s="1592"/>
      <c r="AA36" s="1593">
        <f t="shared" si="7"/>
        <v>0</v>
      </c>
    </row>
    <row r="37" spans="1:27" ht="25.5" customHeight="1">
      <c r="A37" s="1681"/>
      <c r="B37" s="1682"/>
      <c r="C37" s="2853" t="str">
        <f t="shared" si="1"/>
        <v xml:space="preserve">huile </v>
      </c>
      <c r="D37" s="2851" t="str">
        <f t="shared" si="1"/>
        <v>L</v>
      </c>
      <c r="E37" s="2852">
        <f t="shared" si="2"/>
        <v>0</v>
      </c>
      <c r="F37" s="2852">
        <f t="shared" si="2"/>
        <v>0.1</v>
      </c>
      <c r="G37" s="2852">
        <f t="shared" si="2"/>
        <v>0</v>
      </c>
      <c r="H37" s="2852">
        <f t="shared" si="2"/>
        <v>0</v>
      </c>
      <c r="I37" s="2852">
        <f t="shared" si="2"/>
        <v>0</v>
      </c>
      <c r="J37" s="2857">
        <f t="shared" si="3"/>
        <v>0.1</v>
      </c>
      <c r="K37" s="1590"/>
      <c r="L37" s="1591" t="str">
        <f t="shared" si="4"/>
        <v/>
      </c>
      <c r="M37" s="1519">
        <v>25.5</v>
      </c>
      <c r="P37" s="1581"/>
      <c r="Q37" s="1582"/>
      <c r="R37" s="1592" t="s">
        <v>2114</v>
      </c>
      <c r="S37" s="1550" t="s">
        <v>224</v>
      </c>
      <c r="T37" s="1592"/>
      <c r="U37" s="1592">
        <v>0.1</v>
      </c>
      <c r="V37" s="1592"/>
      <c r="W37" s="1592"/>
      <c r="X37" s="1592"/>
      <c r="Y37" s="1592">
        <f t="shared" si="10"/>
        <v>0.1</v>
      </c>
      <c r="Z37" s="1592"/>
      <c r="AA37" s="1593">
        <f t="shared" si="7"/>
        <v>0</v>
      </c>
    </row>
    <row r="38" spans="1:27" ht="25.5" customHeight="1">
      <c r="A38" s="1681"/>
      <c r="B38" s="1682"/>
      <c r="C38" s="2853" t="str">
        <f t="shared" si="1"/>
        <v>sel fin</v>
      </c>
      <c r="D38" s="2851" t="str">
        <f t="shared" si="1"/>
        <v>pm</v>
      </c>
      <c r="E38" s="2852">
        <f t="shared" si="2"/>
        <v>0</v>
      </c>
      <c r="F38" s="2852">
        <f t="shared" si="2"/>
        <v>0</v>
      </c>
      <c r="G38" s="2852">
        <f t="shared" si="2"/>
        <v>0</v>
      </c>
      <c r="H38" s="2852">
        <f t="shared" si="2"/>
        <v>0</v>
      </c>
      <c r="I38" s="2852">
        <f t="shared" si="2"/>
        <v>0</v>
      </c>
      <c r="J38" s="2857" t="str">
        <f t="shared" si="3"/>
        <v/>
      </c>
      <c r="K38" s="1590"/>
      <c r="L38" s="1591" t="str">
        <f t="shared" si="4"/>
        <v/>
      </c>
      <c r="M38" s="1519">
        <v>25.5</v>
      </c>
      <c r="P38" s="1581"/>
      <c r="Q38" s="1582"/>
      <c r="R38" s="1592" t="s">
        <v>213</v>
      </c>
      <c r="S38" s="1550" t="s">
        <v>214</v>
      </c>
      <c r="T38" s="1592"/>
      <c r="U38" s="1592"/>
      <c r="V38" s="1592"/>
      <c r="W38" s="1592"/>
      <c r="X38" s="1592"/>
      <c r="Y38" s="1592" t="str">
        <f t="shared" si="10"/>
        <v/>
      </c>
      <c r="Z38" s="1592"/>
      <c r="AA38" s="1593">
        <f t="shared" si="7"/>
        <v>0</v>
      </c>
    </row>
    <row r="39" spans="1:27" ht="25.5" customHeight="1">
      <c r="A39" s="1681"/>
      <c r="B39" s="1682"/>
      <c r="C39" s="2853" t="str">
        <f t="shared" si="1"/>
        <v>poivre blanc moulu</v>
      </c>
      <c r="D39" s="2851" t="str">
        <f t="shared" si="1"/>
        <v>pm</v>
      </c>
      <c r="E39" s="2852">
        <f t="shared" si="2"/>
        <v>0</v>
      </c>
      <c r="F39" s="2852">
        <f t="shared" si="2"/>
        <v>0</v>
      </c>
      <c r="G39" s="2852">
        <f t="shared" si="2"/>
        <v>0</v>
      </c>
      <c r="H39" s="2852">
        <f t="shared" si="2"/>
        <v>0</v>
      </c>
      <c r="I39" s="2852">
        <f t="shared" si="2"/>
        <v>0</v>
      </c>
      <c r="J39" s="2857" t="str">
        <f t="shared" si="3"/>
        <v/>
      </c>
      <c r="K39" s="1590"/>
      <c r="L39" s="1591" t="str">
        <f t="shared" si="4"/>
        <v/>
      </c>
      <c r="M39" s="1519">
        <v>25.5</v>
      </c>
      <c r="P39" s="1581"/>
      <c r="Q39" s="1582"/>
      <c r="R39" s="1592" t="s">
        <v>2115</v>
      </c>
      <c r="S39" s="1550" t="s">
        <v>214</v>
      </c>
      <c r="T39" s="1592"/>
      <c r="U39" s="1592"/>
      <c r="V39" s="1592"/>
      <c r="W39" s="1592"/>
      <c r="X39" s="1592"/>
      <c r="Y39" s="1592" t="str">
        <f t="shared" si="10"/>
        <v/>
      </c>
      <c r="Z39" s="1592"/>
      <c r="AA39" s="1593">
        <f t="shared" si="7"/>
        <v>0</v>
      </c>
    </row>
    <row r="40" spans="1:27" ht="25.5" customHeight="1">
      <c r="A40" s="1681"/>
      <c r="B40" s="1682"/>
      <c r="C40" s="2853" t="str">
        <f t="shared" si="1"/>
        <v>huile de pépins de ra</v>
      </c>
      <c r="D40" s="2851" t="str">
        <f t="shared" si="1"/>
        <v>L</v>
      </c>
      <c r="E40" s="2852">
        <f t="shared" si="2"/>
        <v>0</v>
      </c>
      <c r="F40" s="2852">
        <f t="shared" si="2"/>
        <v>0</v>
      </c>
      <c r="G40" s="2852">
        <f t="shared" si="2"/>
        <v>0.1</v>
      </c>
      <c r="H40" s="2852">
        <f t="shared" si="2"/>
        <v>0</v>
      </c>
      <c r="I40" s="2852">
        <f t="shared" si="2"/>
        <v>0</v>
      </c>
      <c r="J40" s="2857">
        <f t="shared" si="3"/>
        <v>0.1</v>
      </c>
      <c r="K40" s="1697"/>
      <c r="L40" s="1591" t="str">
        <f t="shared" si="4"/>
        <v/>
      </c>
      <c r="M40" s="1519">
        <v>25.5</v>
      </c>
      <c r="P40" s="1581"/>
      <c r="Q40" s="1582"/>
      <c r="R40" s="1592" t="s">
        <v>2101</v>
      </c>
      <c r="S40" s="1550" t="s">
        <v>224</v>
      </c>
      <c r="T40" s="1592"/>
      <c r="U40" s="1592"/>
      <c r="V40" s="1592">
        <v>0.1</v>
      </c>
      <c r="W40" s="1592"/>
      <c r="X40" s="1592"/>
      <c r="Y40" s="1592"/>
      <c r="Z40" s="1592"/>
      <c r="AA40" s="1593">
        <f t="shared" si="7"/>
        <v>0</v>
      </c>
    </row>
    <row r="41" spans="1:27" ht="25.5" customHeight="1">
      <c r="A41" s="1681"/>
      <c r="B41" s="1682"/>
      <c r="C41" s="2853">
        <f t="shared" si="1"/>
        <v>0</v>
      </c>
      <c r="D41" s="2851">
        <f t="shared" si="1"/>
        <v>0</v>
      </c>
      <c r="E41" s="2852">
        <f t="shared" si="2"/>
        <v>0</v>
      </c>
      <c r="F41" s="2852">
        <f t="shared" si="2"/>
        <v>0</v>
      </c>
      <c r="G41" s="2852">
        <f t="shared" si="2"/>
        <v>0</v>
      </c>
      <c r="H41" s="2852">
        <f t="shared" si="2"/>
        <v>0</v>
      </c>
      <c r="I41" s="2852">
        <f t="shared" si="2"/>
        <v>0</v>
      </c>
      <c r="J41" s="2857" t="str">
        <f t="shared" si="3"/>
        <v/>
      </c>
      <c r="K41" s="1590"/>
      <c r="L41" s="1591" t="str">
        <f t="shared" si="4"/>
        <v/>
      </c>
      <c r="M41" s="1519">
        <v>25.5</v>
      </c>
      <c r="P41" s="1581"/>
      <c r="Q41" s="1582"/>
      <c r="R41" s="1592"/>
      <c r="S41" s="1550"/>
      <c r="T41" s="1592"/>
      <c r="U41" s="1592"/>
      <c r="V41" s="1592"/>
      <c r="W41" s="1592"/>
      <c r="X41" s="1592"/>
      <c r="Y41" s="1592"/>
      <c r="Z41" s="1592"/>
      <c r="AA41" s="1593">
        <f t="shared" si="7"/>
        <v>0</v>
      </c>
    </row>
    <row r="42" spans="1:27" ht="25.5" customHeight="1">
      <c r="A42" s="1681"/>
      <c r="B42" s="1682"/>
      <c r="C42" s="2853">
        <f t="shared" si="1"/>
        <v>0</v>
      </c>
      <c r="D42" s="2851">
        <f t="shared" si="1"/>
        <v>0</v>
      </c>
      <c r="E42" s="2852">
        <f t="shared" si="2"/>
        <v>0</v>
      </c>
      <c r="F42" s="2852">
        <f t="shared" si="2"/>
        <v>0</v>
      </c>
      <c r="G42" s="2852">
        <f t="shared" si="2"/>
        <v>0</v>
      </c>
      <c r="H42" s="2852">
        <f t="shared" si="2"/>
        <v>0</v>
      </c>
      <c r="I42" s="2852">
        <f t="shared" si="2"/>
        <v>0</v>
      </c>
      <c r="J42" s="2857" t="str">
        <f t="shared" si="3"/>
        <v/>
      </c>
      <c r="K42" s="1590"/>
      <c r="L42" s="1591" t="str">
        <f t="shared" si="4"/>
        <v/>
      </c>
      <c r="M42" s="1519">
        <v>25.5</v>
      </c>
      <c r="P42" s="1581"/>
      <c r="Q42" s="1582"/>
      <c r="R42" s="1592"/>
      <c r="S42" s="1550"/>
      <c r="T42" s="1592"/>
      <c r="U42" s="1592"/>
      <c r="V42" s="1592"/>
      <c r="W42" s="1592"/>
      <c r="X42" s="1592"/>
      <c r="Y42" s="1592" t="str">
        <f t="shared" ref="Y42:Y47" si="11">IF(SUM(T42:X42)=0,"",SUM(T42:X42))</f>
        <v/>
      </c>
      <c r="Z42" s="1592"/>
      <c r="AA42" s="1593">
        <f t="shared" si="7"/>
        <v>0</v>
      </c>
    </row>
    <row r="43" spans="1:27" ht="25.5" customHeight="1">
      <c r="A43" s="1681"/>
      <c r="B43" s="1682"/>
      <c r="C43" s="2853">
        <f t="shared" si="1"/>
        <v>0</v>
      </c>
      <c r="D43" s="2851">
        <f t="shared" si="1"/>
        <v>0</v>
      </c>
      <c r="E43" s="2852">
        <f t="shared" si="2"/>
        <v>0</v>
      </c>
      <c r="F43" s="2852">
        <f t="shared" si="2"/>
        <v>0</v>
      </c>
      <c r="G43" s="2852">
        <f t="shared" si="2"/>
        <v>0</v>
      </c>
      <c r="H43" s="2852">
        <f t="shared" si="2"/>
        <v>0</v>
      </c>
      <c r="I43" s="2852">
        <f t="shared" si="2"/>
        <v>0</v>
      </c>
      <c r="J43" s="2857" t="str">
        <f t="shared" si="3"/>
        <v/>
      </c>
      <c r="K43" s="1590"/>
      <c r="L43" s="1591" t="str">
        <f t="shared" si="4"/>
        <v/>
      </c>
      <c r="M43" s="1519">
        <v>25.5</v>
      </c>
      <c r="P43" s="1581"/>
      <c r="Q43" s="1582"/>
      <c r="R43" s="1592"/>
      <c r="S43" s="1550"/>
      <c r="T43" s="1592"/>
      <c r="U43" s="1592"/>
      <c r="V43" s="1592"/>
      <c r="W43" s="1592"/>
      <c r="X43" s="1592"/>
      <c r="Y43" s="1592" t="str">
        <f t="shared" si="11"/>
        <v/>
      </c>
      <c r="Z43" s="1592"/>
      <c r="AA43" s="1593">
        <f t="shared" si="7"/>
        <v>0</v>
      </c>
    </row>
    <row r="44" spans="1:27" ht="25.5" customHeight="1">
      <c r="A44" s="1681"/>
      <c r="B44" s="1682"/>
      <c r="C44" s="2853">
        <f t="shared" si="1"/>
        <v>0</v>
      </c>
      <c r="D44" s="2851">
        <f t="shared" si="1"/>
        <v>0</v>
      </c>
      <c r="E44" s="2852">
        <f t="shared" si="2"/>
        <v>0</v>
      </c>
      <c r="F44" s="2852">
        <f t="shared" si="2"/>
        <v>0</v>
      </c>
      <c r="G44" s="2852">
        <f t="shared" si="2"/>
        <v>0</v>
      </c>
      <c r="H44" s="2852">
        <f t="shared" si="2"/>
        <v>0</v>
      </c>
      <c r="I44" s="2852">
        <f t="shared" si="2"/>
        <v>0</v>
      </c>
      <c r="J44" s="2857" t="str">
        <f t="shared" si="3"/>
        <v/>
      </c>
      <c r="K44" s="1590"/>
      <c r="L44" s="1591" t="str">
        <f t="shared" si="4"/>
        <v/>
      </c>
      <c r="M44" s="1519">
        <v>25.5</v>
      </c>
      <c r="P44" s="1581"/>
      <c r="Q44" s="1582"/>
      <c r="R44" s="1592"/>
      <c r="S44" s="1550"/>
      <c r="T44" s="1592"/>
      <c r="U44" s="1592"/>
      <c r="V44" s="1592"/>
      <c r="W44" s="1592"/>
      <c r="X44" s="1592"/>
      <c r="Y44" s="1592" t="str">
        <f t="shared" si="11"/>
        <v/>
      </c>
      <c r="Z44" s="1592"/>
      <c r="AA44" s="1593">
        <f t="shared" si="7"/>
        <v>0</v>
      </c>
    </row>
    <row r="45" spans="1:27" ht="25.5" customHeight="1">
      <c r="A45" s="1681"/>
      <c r="B45" s="1682"/>
      <c r="C45" s="2853">
        <f t="shared" si="1"/>
        <v>0</v>
      </c>
      <c r="D45" s="2851">
        <f t="shared" si="1"/>
        <v>0</v>
      </c>
      <c r="E45" s="2852">
        <f t="shared" si="2"/>
        <v>0</v>
      </c>
      <c r="F45" s="2852">
        <f t="shared" si="2"/>
        <v>0</v>
      </c>
      <c r="G45" s="2852">
        <f t="shared" si="2"/>
        <v>0</v>
      </c>
      <c r="H45" s="2852">
        <f t="shared" si="2"/>
        <v>0</v>
      </c>
      <c r="I45" s="2852">
        <f t="shared" si="2"/>
        <v>0</v>
      </c>
      <c r="J45" s="2857" t="str">
        <f t="shared" si="3"/>
        <v/>
      </c>
      <c r="K45" s="1590"/>
      <c r="L45" s="1591" t="str">
        <f t="shared" si="4"/>
        <v/>
      </c>
      <c r="M45" s="1519">
        <v>25.5</v>
      </c>
      <c r="P45" s="1581"/>
      <c r="Q45" s="1582"/>
      <c r="R45" s="1592"/>
      <c r="S45" s="1550"/>
      <c r="T45" s="1592"/>
      <c r="U45" s="1592"/>
      <c r="V45" s="1592"/>
      <c r="W45" s="1592"/>
      <c r="X45" s="1592"/>
      <c r="Y45" s="1592" t="str">
        <f t="shared" si="11"/>
        <v/>
      </c>
      <c r="Z45" s="1592"/>
      <c r="AA45" s="1593">
        <f t="shared" si="7"/>
        <v>0</v>
      </c>
    </row>
    <row r="46" spans="1:27" ht="25.5" customHeight="1">
      <c r="A46" s="1689"/>
      <c r="B46" s="1682"/>
      <c r="C46" s="2853">
        <f t="shared" si="1"/>
        <v>0</v>
      </c>
      <c r="D46" s="2851">
        <f t="shared" si="1"/>
        <v>0</v>
      </c>
      <c r="E46" s="2852">
        <f t="shared" si="2"/>
        <v>0</v>
      </c>
      <c r="F46" s="2852">
        <f t="shared" si="2"/>
        <v>0</v>
      </c>
      <c r="G46" s="2852">
        <f t="shared" si="2"/>
        <v>0</v>
      </c>
      <c r="H46" s="2852">
        <f t="shared" si="2"/>
        <v>0</v>
      </c>
      <c r="I46" s="2852">
        <f t="shared" si="2"/>
        <v>0</v>
      </c>
      <c r="J46" s="2857" t="str">
        <f t="shared" si="3"/>
        <v/>
      </c>
      <c r="K46" s="1590"/>
      <c r="L46" s="1591" t="str">
        <f t="shared" si="4"/>
        <v/>
      </c>
      <c r="M46" s="1519">
        <v>25.5</v>
      </c>
      <c r="P46" s="1520"/>
      <c r="Q46" s="1582"/>
      <c r="R46" s="1592"/>
      <c r="S46" s="1550"/>
      <c r="T46" s="1610"/>
      <c r="U46" s="1610"/>
      <c r="V46" s="1610"/>
      <c r="W46" s="1610"/>
      <c r="X46" s="1610"/>
      <c r="Y46" s="1610" t="str">
        <f t="shared" si="11"/>
        <v/>
      </c>
      <c r="Z46" s="1592"/>
      <c r="AA46" s="1611">
        <f t="shared" si="7"/>
        <v>0</v>
      </c>
    </row>
    <row r="47" spans="1:27" ht="25.5" customHeight="1">
      <c r="A47" s="1614"/>
      <c r="B47" s="1690" t="s">
        <v>1480</v>
      </c>
      <c r="C47" s="1615"/>
      <c r="D47" s="1615"/>
      <c r="E47" s="1615"/>
      <c r="F47" s="1615"/>
      <c r="G47" s="1614"/>
      <c r="H47" s="1615"/>
      <c r="I47" s="1615"/>
      <c r="J47" s="1615" t="str">
        <f t="shared" ref="J47" si="12">IF(SUM(E47:I47)=0,"",SUM(E47:I47))</f>
        <v/>
      </c>
      <c r="K47" s="1615" t="s">
        <v>2411</v>
      </c>
      <c r="L47" s="1616" t="str">
        <f>IF(J47="","",(J47*K47))</f>
        <v/>
      </c>
      <c r="M47" s="1519">
        <v>25.5</v>
      </c>
      <c r="P47" s="1533"/>
      <c r="Q47" s="1617" t="s">
        <v>1480</v>
      </c>
      <c r="R47" s="1536"/>
      <c r="S47" s="1536"/>
      <c r="T47" s="1192"/>
      <c r="U47" s="1192"/>
      <c r="V47" s="1533"/>
      <c r="W47" s="1536"/>
      <c r="X47" s="1536"/>
      <c r="Y47" s="1536" t="str">
        <f t="shared" si="11"/>
        <v/>
      </c>
      <c r="Z47" s="1536" t="s">
        <v>2411</v>
      </c>
      <c r="AA47" s="1616" t="str">
        <f>IF(Y47="","",(Y47*Z47))</f>
        <v/>
      </c>
    </row>
    <row r="48" spans="1:27" ht="25.5" customHeight="1">
      <c r="A48" s="1681"/>
      <c r="B48" s="1618" t="s">
        <v>2116</v>
      </c>
      <c r="C48" s="1619"/>
      <c r="D48" s="1618"/>
      <c r="E48" s="1619"/>
      <c r="F48" s="1619"/>
      <c r="G48" s="3522" t="s">
        <v>2288</v>
      </c>
      <c r="H48" s="3523"/>
      <c r="I48" s="1620">
        <f>L2</f>
        <v>10</v>
      </c>
      <c r="J48" s="1621"/>
      <c r="K48" s="1621"/>
      <c r="L48" s="1622">
        <f>SUM(L8:L46)</f>
        <v>0.04</v>
      </c>
      <c r="M48" s="1519">
        <v>25.5</v>
      </c>
      <c r="P48" s="1581"/>
      <c r="Q48" s="1352" t="s">
        <v>2116</v>
      </c>
      <c r="R48" s="1623"/>
      <c r="S48" s="1192"/>
      <c r="T48" s="1623"/>
      <c r="U48" s="1623"/>
      <c r="V48" s="1624" t="s">
        <v>1482</v>
      </c>
      <c r="W48" s="1625"/>
      <c r="X48" s="1625"/>
      <c r="Y48" s="1625"/>
      <c r="Z48" s="1625"/>
      <c r="AA48" s="1626">
        <f>SUM(AA8:AA47)</f>
        <v>0</v>
      </c>
    </row>
    <row r="49" spans="1:27" ht="25.5" customHeight="1">
      <c r="A49" s="1681"/>
      <c r="B49" s="1618"/>
      <c r="C49" s="1618"/>
      <c r="D49" s="1618"/>
      <c r="E49" s="1618"/>
      <c r="F49" s="1618"/>
      <c r="G49" s="3548" t="s">
        <v>1483</v>
      </c>
      <c r="H49" s="3549"/>
      <c r="I49" s="3549"/>
      <c r="J49" s="3549"/>
      <c r="K49" s="1627">
        <v>0.02</v>
      </c>
      <c r="L49" s="1622">
        <f>L48*K49</f>
        <v>8.0000000000000004E-4</v>
      </c>
      <c r="M49" s="1519">
        <v>25.5</v>
      </c>
      <c r="P49" s="1581"/>
      <c r="Q49" s="1352"/>
      <c r="R49" s="1192"/>
      <c r="S49" s="1192"/>
      <c r="T49" s="1192"/>
      <c r="U49" s="1192"/>
      <c r="V49" s="1628" t="s">
        <v>1483</v>
      </c>
      <c r="W49" s="1192"/>
      <c r="X49" s="1192"/>
      <c r="Y49" s="1192"/>
      <c r="Z49" s="1192"/>
      <c r="AA49" s="1537"/>
    </row>
    <row r="50" spans="1:27" ht="25.5" customHeight="1" thickBot="1">
      <c r="A50" s="1689"/>
      <c r="B50" s="1694"/>
      <c r="C50" s="1694"/>
      <c r="D50" s="1694"/>
      <c r="E50" s="1694"/>
      <c r="F50" s="1694"/>
      <c r="G50" s="3614" t="s">
        <v>2289</v>
      </c>
      <c r="H50" s="3615"/>
      <c r="I50" s="3615"/>
      <c r="J50" s="3615"/>
      <c r="K50" s="1630"/>
      <c r="L50" s="1631">
        <f>(L48+L49)/I48</f>
        <v>4.0800000000000003E-3</v>
      </c>
      <c r="M50" s="1519">
        <v>25.5</v>
      </c>
      <c r="P50" s="1520"/>
      <c r="Q50" s="1632"/>
      <c r="R50" s="1633"/>
      <c r="S50" s="1633"/>
      <c r="T50" s="1633"/>
      <c r="U50" s="1633"/>
      <c r="V50" s="1634" t="s">
        <v>1484</v>
      </c>
      <c r="W50" s="1633"/>
      <c r="X50" s="1633"/>
      <c r="Y50" s="1633"/>
      <c r="Z50" s="1635"/>
      <c r="AA50" s="1636">
        <f>AA48/X2</f>
        <v>0</v>
      </c>
    </row>
    <row r="51" spans="1:27">
      <c r="M51" s="1519"/>
    </row>
    <row r="52" spans="1:27">
      <c r="M52" s="1519"/>
    </row>
    <row r="53" spans="1:27">
      <c r="M53" s="1519"/>
    </row>
    <row r="54" spans="1:27">
      <c r="M54" s="1519"/>
    </row>
    <row r="55" spans="1:27">
      <c r="M55" s="1519"/>
    </row>
    <row r="56" spans="1:27">
      <c r="M56" s="1519"/>
    </row>
    <row r="57" spans="1:27">
      <c r="M57" s="1519"/>
    </row>
    <row r="58" spans="1:27">
      <c r="M58" s="1519"/>
    </row>
    <row r="59" spans="1:27">
      <c r="M59" s="1519"/>
    </row>
    <row r="60" spans="1:27">
      <c r="M60" s="1519"/>
    </row>
    <row r="61" spans="1:27">
      <c r="M61" s="1519"/>
    </row>
    <row r="62" spans="1:27">
      <c r="M62" s="1519"/>
    </row>
    <row r="63" spans="1:27">
      <c r="M63" s="1519"/>
    </row>
    <row r="64" spans="1:27">
      <c r="M64" s="1519"/>
    </row>
    <row r="65" spans="13:13">
      <c r="M65" s="1519"/>
    </row>
    <row r="66" spans="13:13">
      <c r="M66" s="1519"/>
    </row>
    <row r="67" spans="13:13">
      <c r="M67" s="1519"/>
    </row>
    <row r="68" spans="13:13">
      <c r="M68" s="1519"/>
    </row>
    <row r="69" spans="13:13">
      <c r="M69" s="1519"/>
    </row>
    <row r="70" spans="13:13">
      <c r="M70" s="1519"/>
    </row>
    <row r="71" spans="13:13">
      <c r="M71" s="1519"/>
    </row>
    <row r="72" spans="13:13">
      <c r="M72" s="1519"/>
    </row>
    <row r="73" spans="13:13">
      <c r="M73" s="1519"/>
    </row>
    <row r="74" spans="13:13">
      <c r="M74" s="1519"/>
    </row>
    <row r="75" spans="13:13">
      <c r="M75" s="1519"/>
    </row>
    <row r="76" spans="13:13">
      <c r="M76" s="1519"/>
    </row>
    <row r="77" spans="13:13">
      <c r="M77" s="1519"/>
    </row>
    <row r="78" spans="13:13">
      <c r="M78" s="1519"/>
    </row>
    <row r="79" spans="13:13">
      <c r="M79" s="1519"/>
    </row>
    <row r="80" spans="1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8">
    <mergeCell ref="P1:AA1"/>
    <mergeCell ref="G49:J49"/>
    <mergeCell ref="G50:J50"/>
    <mergeCell ref="B2:G2"/>
    <mergeCell ref="Q2:V2"/>
    <mergeCell ref="B4:E4"/>
    <mergeCell ref="Q4:T4"/>
    <mergeCell ref="G48:H48"/>
  </mergeCell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&amp;R2TSB</oddHead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A522-24EB-42BC-9821-DC67399CF403}">
  <dimension ref="A1:AA98"/>
  <sheetViews>
    <sheetView showZeros="0" workbookViewId="0">
      <selection activeCell="B2" sqref="B2:G2"/>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4" width="11.42578125" style="1513"/>
    <col min="15" max="15" width="11.42578125" style="1281"/>
    <col min="16" max="17" width="30.7109375" style="1281" customWidth="1"/>
    <col min="18" max="18" width="16.28515625" style="1281" customWidth="1"/>
    <col min="19" max="19" width="3.42578125" style="1281" customWidth="1"/>
    <col min="20" max="20" width="5.7109375" style="1281" customWidth="1"/>
    <col min="21" max="21" width="5.85546875" style="1281" customWidth="1"/>
    <col min="22" max="22" width="6.7109375" style="1281" customWidth="1"/>
    <col min="23" max="23" width="6.28515625" style="1281" customWidth="1"/>
    <col min="24" max="24" width="5.42578125" style="1281" customWidth="1"/>
    <col min="25" max="25" width="6" style="1281" customWidth="1"/>
    <col min="26" max="26" width="6.28515625" style="1281" customWidth="1"/>
    <col min="27" max="27" width="5.7109375" style="1281" customWidth="1"/>
    <col min="28"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704"/>
      <c r="B2" s="3616" t="s">
        <v>2138</v>
      </c>
      <c r="C2" s="3617"/>
      <c r="D2" s="3617"/>
      <c r="E2" s="3617"/>
      <c r="F2" s="3617"/>
      <c r="G2" s="3617"/>
      <c r="H2" s="2844" t="s">
        <v>1444</v>
      </c>
      <c r="I2" s="2845">
        <f>X2</f>
        <v>10</v>
      </c>
      <c r="J2" s="2841"/>
      <c r="K2" s="2843" t="s">
        <v>2873</v>
      </c>
      <c r="L2" s="2842">
        <v>5</v>
      </c>
      <c r="M2" s="1675">
        <v>42.75</v>
      </c>
      <c r="N2" s="1675"/>
      <c r="P2" s="1705"/>
      <c r="Q2" s="3640" t="s">
        <v>2138</v>
      </c>
      <c r="R2" s="3640"/>
      <c r="S2" s="3640"/>
      <c r="T2" s="3640"/>
      <c r="U2" s="3640"/>
      <c r="V2" s="3640"/>
      <c r="W2" s="1706" t="s">
        <v>1444</v>
      </c>
      <c r="X2" s="1707">
        <v>10</v>
      </c>
      <c r="Y2" s="1708"/>
      <c r="Z2" s="1708"/>
      <c r="AA2" s="1709"/>
    </row>
    <row r="3" spans="1:27" ht="24.75" customHeight="1">
      <c r="A3" s="1710"/>
      <c r="B3" s="1711" t="s">
        <v>1391</v>
      </c>
      <c r="C3" s="1712"/>
      <c r="D3" s="1712"/>
      <c r="E3" s="1713"/>
      <c r="F3" s="1714" t="s">
        <v>1445</v>
      </c>
      <c r="G3" s="1715"/>
      <c r="H3" s="1531"/>
      <c r="I3" s="1531"/>
      <c r="J3" s="1715"/>
      <c r="K3" s="1715"/>
      <c r="L3" s="1716"/>
      <c r="M3" s="1675">
        <v>25.5</v>
      </c>
      <c r="N3" s="1675"/>
      <c r="P3" s="1710"/>
      <c r="Q3" s="1711" t="s">
        <v>1391</v>
      </c>
      <c r="R3" s="1712"/>
      <c r="S3" s="1712"/>
      <c r="T3" s="1713"/>
      <c r="U3" s="1717" t="s">
        <v>1445</v>
      </c>
      <c r="V3" s="1718"/>
      <c r="W3" s="1192"/>
      <c r="X3" s="1192"/>
      <c r="Y3" s="1718"/>
      <c r="Z3" s="1718"/>
      <c r="AA3" s="1719"/>
    </row>
    <row r="4" spans="1:27" ht="112.5" customHeight="1">
      <c r="A4" s="1705"/>
      <c r="B4" s="3621"/>
      <c r="C4" s="3621"/>
      <c r="D4" s="3621"/>
      <c r="E4" s="3621"/>
      <c r="F4" s="1720"/>
      <c r="G4" s="1721"/>
      <c r="H4" s="1721"/>
      <c r="I4" s="1721"/>
      <c r="J4" s="1531"/>
      <c r="K4" s="1531"/>
      <c r="L4" s="1716"/>
      <c r="M4" s="1675">
        <v>112.5</v>
      </c>
      <c r="N4" s="1675"/>
      <c r="P4" s="1705"/>
      <c r="Q4" s="3641"/>
      <c r="R4" s="3641"/>
      <c r="S4" s="3641"/>
      <c r="T4" s="3641"/>
      <c r="U4" s="1705"/>
      <c r="V4" s="1722"/>
      <c r="W4" s="1722"/>
      <c r="X4" s="1722"/>
      <c r="Y4" s="1192"/>
      <c r="Z4" s="1192"/>
      <c r="AA4" s="1719"/>
    </row>
    <row r="5" spans="1:27" ht="63.75" customHeight="1">
      <c r="A5" s="1723"/>
      <c r="B5" s="1724" t="s">
        <v>151</v>
      </c>
      <c r="C5" s="3642" t="s">
        <v>1446</v>
      </c>
      <c r="D5" s="3642"/>
      <c r="E5" s="3626" t="s">
        <v>1447</v>
      </c>
      <c r="F5" s="3626"/>
      <c r="G5" s="3626"/>
      <c r="H5" s="3626"/>
      <c r="I5" s="3626"/>
      <c r="J5" s="3627" t="s">
        <v>1448</v>
      </c>
      <c r="K5" s="3627"/>
      <c r="L5" s="3627"/>
      <c r="M5" s="1675">
        <v>63.75</v>
      </c>
      <c r="N5" s="1675"/>
      <c r="O5" s="1192"/>
      <c r="P5" s="1723"/>
      <c r="Q5" s="1724" t="s">
        <v>151</v>
      </c>
      <c r="R5" s="3643" t="s">
        <v>1446</v>
      </c>
      <c r="S5" s="3643"/>
      <c r="T5" s="3644" t="s">
        <v>1447</v>
      </c>
      <c r="U5" s="3644"/>
      <c r="V5" s="3644"/>
      <c r="W5" s="3644"/>
      <c r="X5" s="3644"/>
      <c r="Y5" s="3639" t="s">
        <v>1448</v>
      </c>
      <c r="Z5" s="3639"/>
      <c r="AA5" s="3639"/>
    </row>
    <row r="6" spans="1:27" ht="57.75" customHeight="1">
      <c r="A6" s="1710"/>
      <c r="B6" s="1725"/>
      <c r="C6" s="2861" t="s">
        <v>1449</v>
      </c>
      <c r="D6" s="2862" t="str">
        <f t="shared" ref="D6:E6" si="0">S6</f>
        <v>unite</v>
      </c>
      <c r="E6" s="2862" t="str">
        <f t="shared" si="0"/>
        <v>PHASES ESSENTIELLES</v>
      </c>
      <c r="F6" s="2862" t="str">
        <f t="shared" ref="F6" si="1">U6</f>
        <v>Sauce</v>
      </c>
      <c r="G6" s="2862" t="str">
        <f t="shared" ref="G6" si="2">V6</f>
        <v>Canelloni</v>
      </c>
      <c r="H6" s="2862" t="str">
        <f t="shared" ref="H6" si="3">W6</f>
        <v>Piquillo</v>
      </c>
      <c r="I6" s="2862" t="str">
        <f t="shared" ref="I6" si="4">X6</f>
        <v>finition</v>
      </c>
      <c r="J6" s="1726" t="s">
        <v>110</v>
      </c>
      <c r="K6" s="1726" t="s">
        <v>117</v>
      </c>
      <c r="L6" s="1726" t="s">
        <v>118</v>
      </c>
      <c r="M6" s="1675">
        <v>57.75</v>
      </c>
      <c r="N6" s="1675"/>
      <c r="P6" s="1710"/>
      <c r="Q6" s="1725"/>
      <c r="R6" s="1727" t="s">
        <v>1449</v>
      </c>
      <c r="S6" s="1728" t="s">
        <v>1450</v>
      </c>
      <c r="T6" s="1729" t="s">
        <v>1447</v>
      </c>
      <c r="U6" s="1729" t="s">
        <v>1454</v>
      </c>
      <c r="V6" s="1729" t="s">
        <v>2139</v>
      </c>
      <c r="W6" s="1730" t="s">
        <v>2140</v>
      </c>
      <c r="X6" s="1731" t="s">
        <v>48</v>
      </c>
      <c r="Y6" s="1732" t="s">
        <v>110</v>
      </c>
      <c r="Z6" s="1732" t="s">
        <v>117</v>
      </c>
      <c r="AA6" s="1733" t="s">
        <v>118</v>
      </c>
    </row>
    <row r="7" spans="1:27" ht="25.5" customHeight="1">
      <c r="A7" s="1734"/>
      <c r="C7" s="1735" t="str">
        <f t="shared" ref="C7:D46" si="5">R7</f>
        <v>Viandes/Poissons</v>
      </c>
      <c r="D7" s="2860" t="str">
        <f t="shared" si="5"/>
        <v xml:space="preserve"> </v>
      </c>
      <c r="E7" s="2860">
        <f t="shared" ref="E7:I46" si="6">IF(ISTEXT(T7),T7,(T7/$I$2)*$L$2)</f>
        <v>0</v>
      </c>
      <c r="F7" s="2860">
        <f t="shared" si="6"/>
        <v>0</v>
      </c>
      <c r="G7" s="2860">
        <f t="shared" si="6"/>
        <v>0</v>
      </c>
      <c r="H7" s="2860">
        <f t="shared" si="6"/>
        <v>0</v>
      </c>
      <c r="I7" s="2860">
        <f t="shared" si="6"/>
        <v>0</v>
      </c>
      <c r="J7" s="1736"/>
      <c r="K7" s="1737"/>
      <c r="L7" s="1738" t="str">
        <f t="shared" ref="L7:L46" si="7">IF(ISBLANK(K7),"",K7*J7)</f>
        <v/>
      </c>
      <c r="M7" s="1519">
        <v>25.5</v>
      </c>
      <c r="N7" s="1519"/>
      <c r="P7" s="1734"/>
      <c r="R7" s="1739" t="s">
        <v>120</v>
      </c>
      <c r="S7" s="1740" t="s">
        <v>1456</v>
      </c>
      <c r="T7" s="1741"/>
      <c r="U7" s="1741"/>
      <c r="V7" s="1741"/>
      <c r="W7" s="1741"/>
      <c r="X7" s="1741"/>
      <c r="Y7" s="1741"/>
      <c r="Z7" s="1741"/>
      <c r="AA7" s="1742"/>
    </row>
    <row r="8" spans="1:27" ht="25.5" customHeight="1">
      <c r="A8" s="1734"/>
      <c r="B8" s="1743"/>
      <c r="C8" s="2853" t="str">
        <f t="shared" si="5"/>
        <v>Rouget 0,250</v>
      </c>
      <c r="D8" s="2851" t="str">
        <f t="shared" si="5"/>
        <v>Kg</v>
      </c>
      <c r="E8" s="2852">
        <f t="shared" si="6"/>
        <v>1.25</v>
      </c>
      <c r="F8" s="2852">
        <f t="shared" si="6"/>
        <v>0</v>
      </c>
      <c r="G8" s="2852">
        <f t="shared" si="6"/>
        <v>0</v>
      </c>
      <c r="H8" s="2852">
        <f t="shared" si="6"/>
        <v>0</v>
      </c>
      <c r="I8" s="2852">
        <f t="shared" si="6"/>
        <v>0</v>
      </c>
      <c r="J8" s="1257">
        <f>IF(SUM(E8:I8)=0,"",SUM(E8:I8))</f>
        <v>1.25</v>
      </c>
      <c r="K8" s="1590">
        <v>11.4</v>
      </c>
      <c r="L8" s="1591">
        <f t="shared" si="7"/>
        <v>14.25</v>
      </c>
      <c r="M8" s="1519">
        <v>25.5</v>
      </c>
      <c r="N8" s="1519"/>
      <c r="P8" s="1734"/>
      <c r="Q8" s="1743"/>
      <c r="R8" s="1744" t="s">
        <v>2141</v>
      </c>
      <c r="S8" s="1723" t="s">
        <v>122</v>
      </c>
      <c r="T8" s="1745">
        <v>2.5</v>
      </c>
      <c r="U8" s="1745"/>
      <c r="V8" s="1745"/>
      <c r="W8" s="1745"/>
      <c r="X8" s="1745"/>
      <c r="Y8" s="1745">
        <f>IF(SUM(T8:X8)=0,"",SUM(T8:X8))</f>
        <v>2.5</v>
      </c>
      <c r="Z8" s="1745">
        <v>11.4</v>
      </c>
      <c r="AA8" s="1746">
        <f>Y8*Z8</f>
        <v>28.5</v>
      </c>
    </row>
    <row r="9" spans="1:27" ht="25.5" customHeight="1">
      <c r="A9" s="1734"/>
      <c r="B9" s="1743"/>
      <c r="C9" s="2853" t="str">
        <f t="shared" si="5"/>
        <v>Talon de jambon</v>
      </c>
      <c r="D9" s="2851" t="str">
        <f t="shared" si="5"/>
        <v>Kg</v>
      </c>
      <c r="E9" s="2852">
        <f t="shared" si="6"/>
        <v>0</v>
      </c>
      <c r="F9" s="2852">
        <f t="shared" si="6"/>
        <v>0</v>
      </c>
      <c r="G9" s="2852">
        <f t="shared" si="6"/>
        <v>0</v>
      </c>
      <c r="H9" s="2852">
        <f t="shared" si="6"/>
        <v>0.25</v>
      </c>
      <c r="I9" s="2852">
        <f t="shared" si="6"/>
        <v>0</v>
      </c>
      <c r="J9" s="1257">
        <f>IF(SUM(E9:I9)=0,"",SUM(E9:I9))</f>
        <v>0.25</v>
      </c>
      <c r="K9" s="1590">
        <v>14.94</v>
      </c>
      <c r="L9" s="1591">
        <f t="shared" si="7"/>
        <v>3.7349999999999999</v>
      </c>
      <c r="M9" s="1519">
        <v>25.5</v>
      </c>
      <c r="N9" s="1519"/>
      <c r="P9" s="1734"/>
      <c r="Q9" s="1743"/>
      <c r="R9" s="1744" t="s">
        <v>2142</v>
      </c>
      <c r="S9" s="1723" t="s">
        <v>122</v>
      </c>
      <c r="T9" s="1745"/>
      <c r="U9" s="1745"/>
      <c r="V9" s="1745"/>
      <c r="W9" s="1745">
        <v>0.5</v>
      </c>
      <c r="X9" s="1745"/>
      <c r="Y9" s="1745">
        <f>IF(SUM(T9:X9)=0,"",SUM(T9:X9))</f>
        <v>0.5</v>
      </c>
      <c r="Z9" s="1745">
        <v>14.94</v>
      </c>
      <c r="AA9" s="1746">
        <f>Y9*Z9</f>
        <v>7.47</v>
      </c>
    </row>
    <row r="10" spans="1:27" ht="25.5" customHeight="1">
      <c r="A10" s="1734"/>
      <c r="B10" s="1743"/>
      <c r="C10" s="2853">
        <f t="shared" si="5"/>
        <v>0</v>
      </c>
      <c r="D10" s="2851">
        <f t="shared" si="5"/>
        <v>0</v>
      </c>
      <c r="E10" s="2852">
        <f t="shared" si="6"/>
        <v>0</v>
      </c>
      <c r="F10" s="2852">
        <f t="shared" si="6"/>
        <v>0</v>
      </c>
      <c r="G10" s="2852">
        <f t="shared" si="6"/>
        <v>0</v>
      </c>
      <c r="H10" s="2852">
        <f t="shared" si="6"/>
        <v>0</v>
      </c>
      <c r="I10" s="2852">
        <f t="shared" si="6"/>
        <v>0</v>
      </c>
      <c r="J10" s="1257" t="str">
        <f>IF(SUM(E10:I10)=0,"",SUM(E10:I10))</f>
        <v/>
      </c>
      <c r="K10" s="1590"/>
      <c r="L10" s="1591" t="str">
        <f t="shared" si="7"/>
        <v/>
      </c>
      <c r="M10" s="1519">
        <v>25.5</v>
      </c>
      <c r="N10" s="1519"/>
      <c r="P10" s="1734"/>
      <c r="Q10" s="1743"/>
      <c r="R10" s="1744"/>
      <c r="S10" s="1723"/>
      <c r="T10" s="1745"/>
      <c r="U10" s="1745"/>
      <c r="V10" s="1745"/>
      <c r="W10" s="1745"/>
      <c r="X10" s="1745"/>
      <c r="Y10" s="1745" t="str">
        <f>IF(SUM(T10:X10)=0,"",SUM(T10:X10))</f>
        <v/>
      </c>
      <c r="Z10" s="1745" t="s">
        <v>2411</v>
      </c>
      <c r="AA10" s="1746"/>
    </row>
    <row r="11" spans="1:27" ht="25.5" customHeight="1">
      <c r="A11" s="1734"/>
      <c r="B11" s="1743"/>
      <c r="C11" s="2853" t="str">
        <f t="shared" si="5"/>
        <v xml:space="preserve"> </v>
      </c>
      <c r="D11" s="2851">
        <f t="shared" si="5"/>
        <v>0</v>
      </c>
      <c r="E11" s="2852">
        <f t="shared" si="6"/>
        <v>0</v>
      </c>
      <c r="F11" s="2852">
        <f t="shared" si="6"/>
        <v>0</v>
      </c>
      <c r="G11" s="2852">
        <f t="shared" si="6"/>
        <v>0</v>
      </c>
      <c r="H11" s="2852">
        <f t="shared" si="6"/>
        <v>0</v>
      </c>
      <c r="I11" s="2852">
        <f t="shared" si="6"/>
        <v>0</v>
      </c>
      <c r="J11" s="1257" t="str">
        <f t="shared" ref="J11:J46" si="8">IF(SUM(E11:I11)=0,"",SUM(E11:I11))</f>
        <v/>
      </c>
      <c r="K11" s="1590"/>
      <c r="L11" s="1591" t="str">
        <f t="shared" si="7"/>
        <v/>
      </c>
      <c r="M11" s="1519">
        <v>25.5</v>
      </c>
      <c r="N11" s="1519"/>
      <c r="P11" s="1734"/>
      <c r="Q11" s="1743"/>
      <c r="R11" s="1747" t="s">
        <v>1456</v>
      </c>
      <c r="S11" s="1723"/>
      <c r="T11" s="1745"/>
      <c r="U11" s="1745"/>
      <c r="V11" s="1745"/>
      <c r="W11" s="1745"/>
      <c r="X11" s="1745"/>
      <c r="Y11" s="1745" t="str">
        <f t="shared" ref="Y11:Y15" si="9">IF(SUM(T11:X11)=0,"",SUM(T11:X11))</f>
        <v/>
      </c>
      <c r="Z11" s="1745" t="s">
        <v>2411</v>
      </c>
      <c r="AA11" s="1746"/>
    </row>
    <row r="12" spans="1:27" ht="25.5" customHeight="1">
      <c r="A12" s="1734"/>
      <c r="B12" s="1743"/>
      <c r="C12" s="2863" t="str">
        <f t="shared" si="5"/>
        <v>LEGUMERIE</v>
      </c>
      <c r="D12" s="2864" t="str">
        <f t="shared" si="5"/>
        <v xml:space="preserve"> </v>
      </c>
      <c r="E12" s="2864">
        <f t="shared" si="6"/>
        <v>0</v>
      </c>
      <c r="F12" s="2864" t="str">
        <f t="shared" si="6"/>
        <v xml:space="preserve"> </v>
      </c>
      <c r="G12" s="2864">
        <f t="shared" si="6"/>
        <v>0</v>
      </c>
      <c r="H12" s="2864">
        <f t="shared" si="6"/>
        <v>0</v>
      </c>
      <c r="I12" s="2864">
        <f t="shared" si="6"/>
        <v>0</v>
      </c>
      <c r="J12" s="1736" t="str">
        <f t="shared" si="8"/>
        <v/>
      </c>
      <c r="K12" s="1737"/>
      <c r="L12" s="1738" t="str">
        <f t="shared" si="7"/>
        <v/>
      </c>
      <c r="M12" s="1519">
        <v>25.5</v>
      </c>
      <c r="N12" s="1519"/>
      <c r="P12" s="1734"/>
      <c r="Q12" s="1743"/>
      <c r="R12" s="1748" t="s">
        <v>1460</v>
      </c>
      <c r="S12" s="1740" t="s">
        <v>1456</v>
      </c>
      <c r="T12" s="1749"/>
      <c r="U12" s="1749" t="s">
        <v>1456</v>
      </c>
      <c r="V12" s="1749"/>
      <c r="W12" s="1749"/>
      <c r="X12" s="1749"/>
      <c r="Y12" s="1749" t="str">
        <f t="shared" si="9"/>
        <v/>
      </c>
      <c r="Z12" s="1749" t="s">
        <v>1456</v>
      </c>
      <c r="AA12" s="1746"/>
    </row>
    <row r="13" spans="1:27" ht="25.5" customHeight="1">
      <c r="A13" s="1734"/>
      <c r="B13" s="1743"/>
      <c r="C13" s="2853" t="str">
        <f t="shared" si="5"/>
        <v>Roquette</v>
      </c>
      <c r="D13" s="2851" t="str">
        <f t="shared" si="5"/>
        <v>Kg</v>
      </c>
      <c r="E13" s="2852">
        <f t="shared" si="6"/>
        <v>0</v>
      </c>
      <c r="F13" s="2852">
        <f t="shared" si="6"/>
        <v>0</v>
      </c>
      <c r="G13" s="2852">
        <f t="shared" si="6"/>
        <v>0.125</v>
      </c>
      <c r="H13" s="2852">
        <f t="shared" si="6"/>
        <v>0</v>
      </c>
      <c r="I13" s="2852">
        <f t="shared" si="6"/>
        <v>0</v>
      </c>
      <c r="J13" s="1257">
        <f t="shared" si="8"/>
        <v>0.125</v>
      </c>
      <c r="K13" s="1590">
        <v>6.6</v>
      </c>
      <c r="L13" s="1591">
        <f t="shared" si="7"/>
        <v>0.82499999999999996</v>
      </c>
      <c r="M13" s="1519">
        <v>25.5</v>
      </c>
      <c r="N13" s="1519"/>
      <c r="P13" s="1734"/>
      <c r="Q13" s="1743"/>
      <c r="R13" s="1744" t="s">
        <v>2143</v>
      </c>
      <c r="S13" s="1723" t="s">
        <v>122</v>
      </c>
      <c r="T13" s="1745"/>
      <c r="U13" s="1745"/>
      <c r="V13" s="1745">
        <v>0.25</v>
      </c>
      <c r="W13" s="1745"/>
      <c r="X13" s="1745"/>
      <c r="Y13" s="1745">
        <f t="shared" si="9"/>
        <v>0.25</v>
      </c>
      <c r="Z13" s="1745">
        <v>6.6</v>
      </c>
      <c r="AA13" s="1746">
        <f t="shared" ref="AA13:AA15" si="10">Y13*Z13</f>
        <v>1.65</v>
      </c>
    </row>
    <row r="14" spans="1:27" ht="25.5" customHeight="1">
      <c r="A14" s="1734"/>
      <c r="B14" s="1750"/>
      <c r="C14" s="2853" t="str">
        <f t="shared" si="5"/>
        <v>Epinards</v>
      </c>
      <c r="D14" s="2851" t="str">
        <f t="shared" si="5"/>
        <v>Kg</v>
      </c>
      <c r="E14" s="2852">
        <f t="shared" si="6"/>
        <v>0</v>
      </c>
      <c r="F14" s="2852">
        <f t="shared" si="6"/>
        <v>0</v>
      </c>
      <c r="G14" s="2852">
        <f t="shared" si="6"/>
        <v>0.125</v>
      </c>
      <c r="H14" s="2852">
        <f t="shared" si="6"/>
        <v>0</v>
      </c>
      <c r="I14" s="2852">
        <f t="shared" si="6"/>
        <v>0</v>
      </c>
      <c r="J14" s="1257">
        <f t="shared" si="8"/>
        <v>0.125</v>
      </c>
      <c r="K14" s="1590">
        <v>1.82</v>
      </c>
      <c r="L14" s="1591">
        <f t="shared" si="7"/>
        <v>0.22750000000000001</v>
      </c>
      <c r="M14" s="1519">
        <v>25.5</v>
      </c>
      <c r="N14" s="1519"/>
      <c r="P14" s="1734"/>
      <c r="Q14" s="1750"/>
      <c r="R14" s="1751" t="s">
        <v>2144</v>
      </c>
      <c r="S14" s="1723" t="s">
        <v>122</v>
      </c>
      <c r="T14" s="1752"/>
      <c r="U14" s="1745"/>
      <c r="V14" s="1745">
        <v>0.25</v>
      </c>
      <c r="W14" s="1745"/>
      <c r="X14" s="1745"/>
      <c r="Y14" s="1745">
        <f t="shared" si="9"/>
        <v>0.25</v>
      </c>
      <c r="Z14" s="1745">
        <v>1.82</v>
      </c>
      <c r="AA14" s="1746">
        <f t="shared" si="10"/>
        <v>0.45500000000000002</v>
      </c>
    </row>
    <row r="15" spans="1:27" ht="25.5" customHeight="1">
      <c r="A15" s="1734"/>
      <c r="B15" s="1743"/>
      <c r="C15" s="2853" t="str">
        <f t="shared" si="5"/>
        <v>Vert de courgettes</v>
      </c>
      <c r="D15" s="2851" t="str">
        <f t="shared" si="5"/>
        <v>Kg</v>
      </c>
      <c r="E15" s="2852">
        <f t="shared" si="6"/>
        <v>0</v>
      </c>
      <c r="F15" s="2852">
        <f t="shared" si="6"/>
        <v>0</v>
      </c>
      <c r="G15" s="2852">
        <f t="shared" si="6"/>
        <v>0.125</v>
      </c>
      <c r="H15" s="2852">
        <f t="shared" si="6"/>
        <v>0</v>
      </c>
      <c r="I15" s="2852">
        <f t="shared" si="6"/>
        <v>0</v>
      </c>
      <c r="J15" s="1257">
        <f t="shared" si="8"/>
        <v>0.125</v>
      </c>
      <c r="K15" s="1590">
        <v>1.55</v>
      </c>
      <c r="L15" s="1591">
        <f t="shared" si="7"/>
        <v>0.19375000000000001</v>
      </c>
      <c r="M15" s="1519">
        <v>25.5</v>
      </c>
      <c r="N15" s="1519"/>
      <c r="P15" s="1734"/>
      <c r="Q15" s="1743"/>
      <c r="R15" s="1744" t="s">
        <v>2145</v>
      </c>
      <c r="S15" s="1723" t="s">
        <v>122</v>
      </c>
      <c r="T15" s="1745"/>
      <c r="U15" s="1745"/>
      <c r="V15" s="1745">
        <v>0.25</v>
      </c>
      <c r="W15" s="1745"/>
      <c r="X15" s="1745"/>
      <c r="Y15" s="1745">
        <f t="shared" si="9"/>
        <v>0.25</v>
      </c>
      <c r="Z15" s="1745">
        <v>1.55</v>
      </c>
      <c r="AA15" s="1746">
        <f t="shared" si="10"/>
        <v>0.38750000000000001</v>
      </c>
    </row>
    <row r="16" spans="1:27" ht="25.5" customHeight="1">
      <c r="A16" s="1734"/>
      <c r="B16" s="1743"/>
      <c r="C16" s="2853" t="str">
        <f t="shared" si="5"/>
        <v>Thym</v>
      </c>
      <c r="D16" s="2851" t="str">
        <f t="shared" si="5"/>
        <v>PM</v>
      </c>
      <c r="E16" s="2852">
        <f t="shared" si="6"/>
        <v>0</v>
      </c>
      <c r="F16" s="2852">
        <f t="shared" si="6"/>
        <v>0</v>
      </c>
      <c r="G16" s="2852" t="str">
        <f t="shared" si="6"/>
        <v>PM</v>
      </c>
      <c r="H16" s="2852">
        <f t="shared" si="6"/>
        <v>0</v>
      </c>
      <c r="I16" s="2852">
        <f t="shared" si="6"/>
        <v>0</v>
      </c>
      <c r="J16" s="1257" t="s">
        <v>2147</v>
      </c>
      <c r="K16" s="1590"/>
      <c r="L16" s="1591" t="str">
        <f t="shared" si="7"/>
        <v/>
      </c>
      <c r="M16" s="1519">
        <v>25.5</v>
      </c>
      <c r="N16" s="1519"/>
      <c r="P16" s="1734"/>
      <c r="Q16" s="1743"/>
      <c r="R16" s="1744" t="s">
        <v>2146</v>
      </c>
      <c r="S16" s="1723" t="s">
        <v>2147</v>
      </c>
      <c r="T16" s="1745"/>
      <c r="U16" s="1745"/>
      <c r="V16" s="1745" t="s">
        <v>2147</v>
      </c>
      <c r="W16" s="1745"/>
      <c r="X16" s="1745"/>
      <c r="Y16" s="1745" t="s">
        <v>2147</v>
      </c>
      <c r="Z16" s="1745" t="s">
        <v>1456</v>
      </c>
      <c r="AA16" s="1746"/>
    </row>
    <row r="17" spans="1:27" ht="25.5" customHeight="1">
      <c r="A17" s="1734"/>
      <c r="B17" s="1743"/>
      <c r="C17" s="2853" t="str">
        <f t="shared" si="5"/>
        <v>Ail</v>
      </c>
      <c r="D17" s="2851" t="str">
        <f t="shared" si="5"/>
        <v>Kg</v>
      </c>
      <c r="E17" s="2852">
        <f t="shared" si="6"/>
        <v>0</v>
      </c>
      <c r="F17" s="2852">
        <f t="shared" si="6"/>
        <v>0</v>
      </c>
      <c r="G17" s="2852">
        <f t="shared" si="6"/>
        <v>0.05</v>
      </c>
      <c r="H17" s="2852">
        <f t="shared" si="6"/>
        <v>0</v>
      </c>
      <c r="I17" s="2852">
        <f t="shared" si="6"/>
        <v>0</v>
      </c>
      <c r="J17" s="1257">
        <f t="shared" si="8"/>
        <v>0.05</v>
      </c>
      <c r="K17" s="1590">
        <v>3.41</v>
      </c>
      <c r="L17" s="1591">
        <f t="shared" si="7"/>
        <v>0.17050000000000001</v>
      </c>
      <c r="M17" s="1519">
        <v>25.5</v>
      </c>
      <c r="N17" s="1519"/>
      <c r="P17" s="1734"/>
      <c r="Q17" s="1743"/>
      <c r="R17" s="1744" t="s">
        <v>2148</v>
      </c>
      <c r="S17" s="1723" t="s">
        <v>122</v>
      </c>
      <c r="T17" s="1745"/>
      <c r="U17" s="1745"/>
      <c r="V17" s="1745">
        <v>0.1</v>
      </c>
      <c r="W17" s="1745"/>
      <c r="X17" s="1745"/>
      <c r="Y17" s="1745">
        <f t="shared" ref="Y17:Y24" si="11">IF(SUM(T17:X17)=0,"",SUM(T17:X17))</f>
        <v>0.1</v>
      </c>
      <c r="Z17" s="1745">
        <v>3.41</v>
      </c>
      <c r="AA17" s="1746">
        <f t="shared" ref="AA17:AA18" si="12">Y17*Z17</f>
        <v>0.34100000000000003</v>
      </c>
    </row>
    <row r="18" spans="1:27" ht="25.5" customHeight="1">
      <c r="A18" s="1734"/>
      <c r="B18" s="1743"/>
      <c r="C18" s="2853" t="str">
        <f t="shared" si="5"/>
        <v>Cerfeuil</v>
      </c>
      <c r="D18" s="2851" t="str">
        <f t="shared" si="5"/>
        <v>Btte</v>
      </c>
      <c r="E18" s="2852">
        <f t="shared" si="6"/>
        <v>0</v>
      </c>
      <c r="F18" s="2852">
        <f t="shared" si="6"/>
        <v>0</v>
      </c>
      <c r="G18" s="2852">
        <f t="shared" si="6"/>
        <v>0</v>
      </c>
      <c r="H18" s="2852">
        <f t="shared" si="6"/>
        <v>0</v>
      </c>
      <c r="I18" s="2852">
        <f t="shared" si="6"/>
        <v>0.5</v>
      </c>
      <c r="J18" s="1257">
        <f t="shared" si="8"/>
        <v>0.5</v>
      </c>
      <c r="K18" s="1590">
        <v>0.6</v>
      </c>
      <c r="L18" s="1591">
        <f t="shared" si="7"/>
        <v>0.3</v>
      </c>
      <c r="M18" s="1519">
        <v>25.5</v>
      </c>
      <c r="N18" s="1519"/>
      <c r="P18" s="1734"/>
      <c r="Q18" s="1743"/>
      <c r="R18" s="1744" t="s">
        <v>2149</v>
      </c>
      <c r="S18" s="1723" t="s">
        <v>2150</v>
      </c>
      <c r="T18" s="1745"/>
      <c r="U18" s="1745"/>
      <c r="V18" s="1745"/>
      <c r="W18" s="1745"/>
      <c r="X18" s="1745">
        <v>1</v>
      </c>
      <c r="Y18" s="1745">
        <f t="shared" si="11"/>
        <v>1</v>
      </c>
      <c r="Z18" s="1745">
        <v>0.6</v>
      </c>
      <c r="AA18" s="1746">
        <f t="shared" si="12"/>
        <v>0.6</v>
      </c>
    </row>
    <row r="19" spans="1:27" ht="25.5" customHeight="1">
      <c r="A19" s="1734"/>
      <c r="B19" s="1743"/>
      <c r="C19" s="2853">
        <f t="shared" si="5"/>
        <v>0</v>
      </c>
      <c r="D19" s="2851">
        <f t="shared" si="5"/>
        <v>0</v>
      </c>
      <c r="E19" s="2852">
        <f t="shared" si="6"/>
        <v>0</v>
      </c>
      <c r="F19" s="2852">
        <f t="shared" si="6"/>
        <v>0</v>
      </c>
      <c r="G19" s="2852">
        <f t="shared" si="6"/>
        <v>0</v>
      </c>
      <c r="H19" s="2852">
        <f t="shared" si="6"/>
        <v>0</v>
      </c>
      <c r="I19" s="2852">
        <f t="shared" si="6"/>
        <v>0</v>
      </c>
      <c r="J19" s="1257" t="str">
        <f t="shared" si="8"/>
        <v/>
      </c>
      <c r="K19" s="1702"/>
      <c r="L19" s="1591" t="str">
        <f t="shared" si="7"/>
        <v/>
      </c>
      <c r="M19" s="1519">
        <v>25.5</v>
      </c>
      <c r="N19" s="1519"/>
      <c r="P19" s="1734"/>
      <c r="Q19" s="1743"/>
      <c r="R19" s="1744"/>
      <c r="S19" s="1723"/>
      <c r="T19" s="1745"/>
      <c r="U19" s="1745"/>
      <c r="V19" s="1745"/>
      <c r="W19" s="1745"/>
      <c r="X19" s="1745"/>
      <c r="Y19" s="1745" t="str">
        <f t="shared" si="11"/>
        <v/>
      </c>
      <c r="Z19" s="1745" t="s">
        <v>1456</v>
      </c>
      <c r="AA19" s="1746"/>
    </row>
    <row r="20" spans="1:27" ht="25.5" customHeight="1">
      <c r="A20" s="1734"/>
      <c r="B20" s="1743"/>
      <c r="C20" s="2853">
        <f t="shared" si="5"/>
        <v>0</v>
      </c>
      <c r="D20" s="2851">
        <f t="shared" si="5"/>
        <v>0</v>
      </c>
      <c r="E20" s="2852">
        <f t="shared" si="6"/>
        <v>0</v>
      </c>
      <c r="F20" s="2852">
        <f t="shared" si="6"/>
        <v>0</v>
      </c>
      <c r="G20" s="2852">
        <f t="shared" si="6"/>
        <v>0</v>
      </c>
      <c r="H20" s="2852">
        <f t="shared" si="6"/>
        <v>0</v>
      </c>
      <c r="I20" s="2852">
        <f t="shared" si="6"/>
        <v>0</v>
      </c>
      <c r="J20" s="1257" t="str">
        <f t="shared" si="8"/>
        <v/>
      </c>
      <c r="K20" s="1590"/>
      <c r="L20" s="1591" t="str">
        <f t="shared" si="7"/>
        <v/>
      </c>
      <c r="M20" s="1519">
        <v>25.5</v>
      </c>
      <c r="N20" s="1519"/>
      <c r="P20" s="1734"/>
      <c r="Q20" s="1743"/>
      <c r="R20" s="1744"/>
      <c r="S20" s="1723"/>
      <c r="T20" s="1745"/>
      <c r="U20" s="1745"/>
      <c r="V20" s="1745"/>
      <c r="W20" s="1745"/>
      <c r="X20" s="1745"/>
      <c r="Y20" s="1745" t="str">
        <f t="shared" si="11"/>
        <v/>
      </c>
      <c r="Z20" s="1745" t="s">
        <v>1456</v>
      </c>
      <c r="AA20" s="1746"/>
    </row>
    <row r="21" spans="1:27" ht="25.5" customHeight="1">
      <c r="A21" s="1734"/>
      <c r="B21" s="1743"/>
      <c r="C21" s="2853">
        <f t="shared" si="5"/>
        <v>0</v>
      </c>
      <c r="D21" s="2851">
        <f t="shared" si="5"/>
        <v>0</v>
      </c>
      <c r="E21" s="2852">
        <f t="shared" si="6"/>
        <v>0</v>
      </c>
      <c r="F21" s="2852">
        <f t="shared" si="6"/>
        <v>0</v>
      </c>
      <c r="G21" s="2852">
        <f t="shared" si="6"/>
        <v>0</v>
      </c>
      <c r="H21" s="2852">
        <f t="shared" si="6"/>
        <v>0</v>
      </c>
      <c r="I21" s="2852">
        <f t="shared" si="6"/>
        <v>0</v>
      </c>
      <c r="J21" s="1257" t="str">
        <f t="shared" si="8"/>
        <v/>
      </c>
      <c r="K21" s="1590"/>
      <c r="L21" s="1591" t="str">
        <f t="shared" si="7"/>
        <v/>
      </c>
      <c r="M21" s="1519">
        <v>25.5</v>
      </c>
      <c r="N21" s="1519"/>
      <c r="P21" s="1734"/>
      <c r="Q21" s="1743"/>
      <c r="R21" s="1744"/>
      <c r="S21" s="1723"/>
      <c r="T21" s="1745"/>
      <c r="U21" s="1745"/>
      <c r="V21" s="1745"/>
      <c r="W21" s="1745"/>
      <c r="X21" s="1745"/>
      <c r="Y21" s="1745" t="str">
        <f t="shared" si="11"/>
        <v/>
      </c>
      <c r="Z21" s="1745" t="s">
        <v>2411</v>
      </c>
      <c r="AA21" s="1746"/>
    </row>
    <row r="22" spans="1:27" ht="25.5" customHeight="1">
      <c r="A22" s="1734"/>
      <c r="B22" s="1743"/>
      <c r="C22" s="2853">
        <f t="shared" si="5"/>
        <v>0</v>
      </c>
      <c r="D22" s="2851">
        <f t="shared" si="5"/>
        <v>0</v>
      </c>
      <c r="E22" s="2852">
        <f t="shared" si="6"/>
        <v>0</v>
      </c>
      <c r="F22" s="2852">
        <f t="shared" si="6"/>
        <v>0</v>
      </c>
      <c r="G22" s="2852">
        <f t="shared" si="6"/>
        <v>0</v>
      </c>
      <c r="H22" s="2852">
        <f t="shared" si="6"/>
        <v>0</v>
      </c>
      <c r="I22" s="2852">
        <f t="shared" si="6"/>
        <v>0</v>
      </c>
      <c r="J22" s="1257" t="str">
        <f t="shared" si="8"/>
        <v/>
      </c>
      <c r="K22" s="1590"/>
      <c r="L22" s="1591" t="str">
        <f t="shared" si="7"/>
        <v/>
      </c>
      <c r="M22" s="1519">
        <v>25.5</v>
      </c>
      <c r="N22" s="1519"/>
      <c r="P22" s="1734"/>
      <c r="Q22" s="1743"/>
      <c r="R22" s="1744"/>
      <c r="S22" s="1723"/>
      <c r="T22" s="1745"/>
      <c r="U22" s="1745"/>
      <c r="V22" s="1745"/>
      <c r="W22" s="1745"/>
      <c r="X22" s="1745"/>
      <c r="Y22" s="1745" t="str">
        <f t="shared" si="11"/>
        <v/>
      </c>
      <c r="Z22" s="1745" t="s">
        <v>2411</v>
      </c>
      <c r="AA22" s="1746"/>
    </row>
    <row r="23" spans="1:27" ht="25.5" customHeight="1">
      <c r="A23" s="1734"/>
      <c r="B23" s="1743"/>
      <c r="C23" s="2853">
        <f t="shared" si="5"/>
        <v>0</v>
      </c>
      <c r="D23" s="2851">
        <f t="shared" si="5"/>
        <v>0</v>
      </c>
      <c r="E23" s="2852">
        <f t="shared" si="6"/>
        <v>0</v>
      </c>
      <c r="F23" s="2852">
        <f t="shared" si="6"/>
        <v>0</v>
      </c>
      <c r="G23" s="2852">
        <f t="shared" si="6"/>
        <v>0</v>
      </c>
      <c r="H23" s="2852">
        <f t="shared" si="6"/>
        <v>0</v>
      </c>
      <c r="I23" s="2852">
        <f t="shared" si="6"/>
        <v>0</v>
      </c>
      <c r="J23" s="1257" t="str">
        <f t="shared" si="8"/>
        <v/>
      </c>
      <c r="K23" s="1590"/>
      <c r="L23" s="1591" t="str">
        <f t="shared" si="7"/>
        <v/>
      </c>
      <c r="M23" s="1519">
        <v>25.5</v>
      </c>
      <c r="N23" s="1519"/>
      <c r="P23" s="1734"/>
      <c r="Q23" s="1743"/>
      <c r="R23" s="1744"/>
      <c r="S23" s="1723"/>
      <c r="T23" s="1745"/>
      <c r="U23" s="1745"/>
      <c r="V23" s="1745"/>
      <c r="W23" s="1745"/>
      <c r="X23" s="1745"/>
      <c r="Y23" s="1745" t="str">
        <f t="shared" si="11"/>
        <v/>
      </c>
      <c r="Z23" s="1745" t="s">
        <v>2411</v>
      </c>
      <c r="AA23" s="1746"/>
    </row>
    <row r="24" spans="1:27" ht="25.5" customHeight="1">
      <c r="A24" s="1734"/>
      <c r="B24" s="1743"/>
      <c r="C24" s="2853">
        <f t="shared" si="5"/>
        <v>0</v>
      </c>
      <c r="D24" s="2851">
        <f t="shared" si="5"/>
        <v>0</v>
      </c>
      <c r="E24" s="2852">
        <f t="shared" si="6"/>
        <v>0</v>
      </c>
      <c r="F24" s="2852">
        <f t="shared" si="6"/>
        <v>0</v>
      </c>
      <c r="G24" s="2852">
        <f t="shared" si="6"/>
        <v>0</v>
      </c>
      <c r="H24" s="2852">
        <f t="shared" si="6"/>
        <v>0</v>
      </c>
      <c r="I24" s="2852">
        <f t="shared" si="6"/>
        <v>0</v>
      </c>
      <c r="J24" s="1257" t="str">
        <f t="shared" si="8"/>
        <v/>
      </c>
      <c r="K24" s="1590"/>
      <c r="L24" s="1591" t="str">
        <f t="shared" si="7"/>
        <v/>
      </c>
      <c r="M24" s="1519">
        <v>25.5</v>
      </c>
      <c r="N24" s="1519"/>
      <c r="P24" s="1734"/>
      <c r="Q24" s="1743"/>
      <c r="R24" s="1744"/>
      <c r="S24" s="1723"/>
      <c r="T24" s="1745"/>
      <c r="U24" s="1745"/>
      <c r="V24" s="1745"/>
      <c r="W24" s="1745"/>
      <c r="X24" s="1745"/>
      <c r="Y24" s="1745" t="str">
        <f t="shared" si="11"/>
        <v/>
      </c>
      <c r="Z24" s="1745" t="s">
        <v>2411</v>
      </c>
      <c r="AA24" s="1746"/>
    </row>
    <row r="25" spans="1:27" ht="25.5" customHeight="1">
      <c r="A25" s="1734"/>
      <c r="B25" s="1743"/>
      <c r="C25" s="2863" t="str">
        <f t="shared" si="5"/>
        <v>B.O.F</v>
      </c>
      <c r="D25" s="2864" t="str">
        <f t="shared" si="5"/>
        <v xml:space="preserve"> </v>
      </c>
      <c r="E25" s="2864">
        <f t="shared" si="6"/>
        <v>0</v>
      </c>
      <c r="F25" s="2864">
        <f t="shared" si="6"/>
        <v>0</v>
      </c>
      <c r="G25" s="2864">
        <f t="shared" si="6"/>
        <v>0</v>
      </c>
      <c r="H25" s="2864">
        <f t="shared" si="6"/>
        <v>0</v>
      </c>
      <c r="I25" s="2864">
        <f t="shared" si="6"/>
        <v>0</v>
      </c>
      <c r="J25" s="1736" t="s">
        <v>1456</v>
      </c>
      <c r="K25" s="1737"/>
      <c r="L25" s="1738" t="str">
        <f t="shared" si="7"/>
        <v/>
      </c>
      <c r="M25" s="1519">
        <v>25.5</v>
      </c>
      <c r="N25" s="1519"/>
      <c r="P25" s="1734"/>
      <c r="Q25" s="1743"/>
      <c r="R25" s="1748" t="s">
        <v>1465</v>
      </c>
      <c r="S25" s="1740" t="s">
        <v>1456</v>
      </c>
      <c r="T25" s="1749"/>
      <c r="U25" s="1749"/>
      <c r="V25" s="1749"/>
      <c r="W25" s="1749"/>
      <c r="X25" s="1749"/>
      <c r="Y25" s="1749" t="s">
        <v>1456</v>
      </c>
      <c r="Z25" s="1749" t="s">
        <v>1456</v>
      </c>
      <c r="AA25" s="1746"/>
    </row>
    <row r="26" spans="1:27" ht="25.5" customHeight="1">
      <c r="A26" s="1734"/>
      <c r="B26" s="1743"/>
      <c r="C26" s="2853" t="str">
        <f t="shared" si="5"/>
        <v>Beurre</v>
      </c>
      <c r="D26" s="2851" t="str">
        <f t="shared" si="5"/>
        <v>Kg</v>
      </c>
      <c r="E26" s="2852">
        <f t="shared" si="6"/>
        <v>0</v>
      </c>
      <c r="F26" s="2852">
        <f t="shared" si="6"/>
        <v>0.17499999999999999</v>
      </c>
      <c r="G26" s="2852">
        <f t="shared" si="6"/>
        <v>0</v>
      </c>
      <c r="H26" s="2852">
        <f t="shared" si="6"/>
        <v>2.5000000000000001E-2</v>
      </c>
      <c r="I26" s="2852">
        <f t="shared" si="6"/>
        <v>0</v>
      </c>
      <c r="J26" s="1257">
        <f t="shared" si="8"/>
        <v>0.19999999999999998</v>
      </c>
      <c r="K26" s="1590">
        <v>3.98</v>
      </c>
      <c r="L26" s="1591">
        <f t="shared" si="7"/>
        <v>0.79599999999999993</v>
      </c>
      <c r="M26" s="1519">
        <v>25.5</v>
      </c>
      <c r="N26" s="1519"/>
      <c r="P26" s="1734"/>
      <c r="Q26" s="1743"/>
      <c r="R26" s="1744" t="s">
        <v>1144</v>
      </c>
      <c r="S26" s="1723" t="s">
        <v>122</v>
      </c>
      <c r="T26" s="1745"/>
      <c r="U26" s="1745">
        <v>0.35</v>
      </c>
      <c r="V26" s="1745"/>
      <c r="W26" s="1745">
        <v>0.05</v>
      </c>
      <c r="X26" s="1745"/>
      <c r="Y26" s="1745">
        <f t="shared" ref="Y26:Y33" si="13">IF(SUM(T26:X26)=0,"",SUM(T26:X26))</f>
        <v>0.39999999999999997</v>
      </c>
      <c r="Z26" s="1745">
        <v>3.98</v>
      </c>
      <c r="AA26" s="1746">
        <f t="shared" ref="AA26:AA28" si="14">Y26*Z26</f>
        <v>1.5919999999999999</v>
      </c>
    </row>
    <row r="27" spans="1:27" ht="25.5" customHeight="1">
      <c r="A27" s="1734"/>
      <c r="B27" s="1743"/>
      <c r="C27" s="2853" t="str">
        <f t="shared" si="5"/>
        <v>Œufs</v>
      </c>
      <c r="D27" s="2851" t="str">
        <f t="shared" si="5"/>
        <v>Pce</v>
      </c>
      <c r="E27" s="2852">
        <f t="shared" si="6"/>
        <v>0</v>
      </c>
      <c r="F27" s="2852">
        <f t="shared" si="6"/>
        <v>0</v>
      </c>
      <c r="G27" s="2852">
        <f t="shared" si="6"/>
        <v>1</v>
      </c>
      <c r="H27" s="2852">
        <f t="shared" si="6"/>
        <v>0</v>
      </c>
      <c r="I27" s="2852">
        <f t="shared" si="6"/>
        <v>0</v>
      </c>
      <c r="J27" s="1257">
        <f t="shared" si="8"/>
        <v>1</v>
      </c>
      <c r="K27" s="1590">
        <v>0.06</v>
      </c>
      <c r="L27" s="1591">
        <f t="shared" si="7"/>
        <v>0.06</v>
      </c>
      <c r="M27" s="1519">
        <v>25.5</v>
      </c>
      <c r="N27" s="1519"/>
      <c r="P27" s="1734"/>
      <c r="Q27" s="1743"/>
      <c r="R27" s="1744" t="s">
        <v>2151</v>
      </c>
      <c r="S27" s="1723" t="s">
        <v>2152</v>
      </c>
      <c r="T27" s="1745"/>
      <c r="U27" s="1745"/>
      <c r="V27" s="1745">
        <v>2</v>
      </c>
      <c r="W27" s="1745"/>
      <c r="X27" s="1745"/>
      <c r="Y27" s="1745">
        <f t="shared" si="13"/>
        <v>2</v>
      </c>
      <c r="Z27" s="1745">
        <v>0.06</v>
      </c>
      <c r="AA27" s="1746">
        <f t="shared" si="14"/>
        <v>0.12</v>
      </c>
    </row>
    <row r="28" spans="1:27" ht="25.5" customHeight="1">
      <c r="A28" s="1734"/>
      <c r="B28" s="1743"/>
      <c r="C28" s="2853" t="str">
        <f t="shared" si="5"/>
        <v>Parmesan râpé</v>
      </c>
      <c r="D28" s="2851" t="str">
        <f t="shared" si="5"/>
        <v>Kg</v>
      </c>
      <c r="E28" s="2852">
        <f t="shared" si="6"/>
        <v>0</v>
      </c>
      <c r="F28" s="2852">
        <f t="shared" si="6"/>
        <v>0</v>
      </c>
      <c r="G28" s="2852">
        <f t="shared" si="6"/>
        <v>0.125</v>
      </c>
      <c r="H28" s="2852">
        <f t="shared" si="6"/>
        <v>0</v>
      </c>
      <c r="I28" s="2852">
        <f t="shared" si="6"/>
        <v>0</v>
      </c>
      <c r="J28" s="1257">
        <f t="shared" si="8"/>
        <v>0.125</v>
      </c>
      <c r="K28" s="1590">
        <v>9.4499999999999993</v>
      </c>
      <c r="L28" s="1591">
        <f t="shared" si="7"/>
        <v>1.1812499999999999</v>
      </c>
      <c r="M28" s="1519">
        <v>25.5</v>
      </c>
      <c r="N28" s="1519"/>
      <c r="P28" s="1734"/>
      <c r="Q28" s="1743"/>
      <c r="R28" s="1744" t="s">
        <v>2153</v>
      </c>
      <c r="S28" s="1723" t="s">
        <v>122</v>
      </c>
      <c r="T28" s="1745"/>
      <c r="U28" s="1745"/>
      <c r="V28" s="1745">
        <v>0.25</v>
      </c>
      <c r="W28" s="1745"/>
      <c r="X28" s="1745"/>
      <c r="Y28" s="1745">
        <f t="shared" si="13"/>
        <v>0.25</v>
      </c>
      <c r="Z28" s="1745">
        <v>9.4499999999999993</v>
      </c>
      <c r="AA28" s="1746">
        <f t="shared" si="14"/>
        <v>2.3624999999999998</v>
      </c>
    </row>
    <row r="29" spans="1:27" ht="25.5" customHeight="1">
      <c r="A29" s="1734"/>
      <c r="B29" s="1743"/>
      <c r="C29" s="2853" t="str">
        <f t="shared" si="5"/>
        <v>Brousse</v>
      </c>
      <c r="D29" s="2851" t="str">
        <f t="shared" si="5"/>
        <v>Pce</v>
      </c>
      <c r="E29" s="2852">
        <f t="shared" si="6"/>
        <v>0</v>
      </c>
      <c r="F29" s="2852">
        <f t="shared" si="6"/>
        <v>0</v>
      </c>
      <c r="G29" s="2852">
        <f t="shared" si="6"/>
        <v>0.06</v>
      </c>
      <c r="H29" s="2852">
        <f t="shared" si="6"/>
        <v>0</v>
      </c>
      <c r="I29" s="2852">
        <f t="shared" si="6"/>
        <v>0</v>
      </c>
      <c r="J29" s="1257">
        <f t="shared" si="8"/>
        <v>0.06</v>
      </c>
      <c r="K29" s="1590">
        <v>3.61</v>
      </c>
      <c r="L29" s="1591">
        <f t="shared" si="7"/>
        <v>0.21659999999999999</v>
      </c>
      <c r="M29" s="1519">
        <v>25.5</v>
      </c>
      <c r="N29" s="1519"/>
      <c r="P29" s="1734"/>
      <c r="Q29" s="1743"/>
      <c r="R29" s="1744" t="s">
        <v>2154</v>
      </c>
      <c r="S29" s="1723" t="s">
        <v>2152</v>
      </c>
      <c r="T29" s="1745"/>
      <c r="U29" s="1745"/>
      <c r="V29" s="1745">
        <v>0.12</v>
      </c>
      <c r="W29" s="1745"/>
      <c r="X29" s="1745"/>
      <c r="Y29" s="1745">
        <f t="shared" si="13"/>
        <v>0.12</v>
      </c>
      <c r="Z29" s="1745">
        <v>3.61</v>
      </c>
      <c r="AA29" s="1746">
        <f>Y29*Z29</f>
        <v>0.43319999999999997</v>
      </c>
    </row>
    <row r="30" spans="1:27" ht="25.5" customHeight="1">
      <c r="A30" s="1734"/>
      <c r="B30" s="1743"/>
      <c r="C30" s="2853">
        <f t="shared" si="5"/>
        <v>0</v>
      </c>
      <c r="D30" s="2851">
        <f t="shared" si="5"/>
        <v>0</v>
      </c>
      <c r="E30" s="2852">
        <f t="shared" si="6"/>
        <v>0</v>
      </c>
      <c r="F30" s="2852">
        <f t="shared" si="6"/>
        <v>0</v>
      </c>
      <c r="G30" s="2852">
        <f t="shared" si="6"/>
        <v>0</v>
      </c>
      <c r="H30" s="2852">
        <f t="shared" si="6"/>
        <v>0</v>
      </c>
      <c r="I30" s="2852">
        <f t="shared" si="6"/>
        <v>0</v>
      </c>
      <c r="J30" s="1257" t="str">
        <f t="shared" si="8"/>
        <v/>
      </c>
      <c r="K30" s="1590"/>
      <c r="L30" s="1591" t="str">
        <f t="shared" si="7"/>
        <v/>
      </c>
      <c r="M30" s="1519">
        <v>25.5</v>
      </c>
      <c r="N30" s="1519"/>
      <c r="P30" s="1734"/>
      <c r="Q30" s="1743"/>
      <c r="R30" s="1744"/>
      <c r="S30" s="1723"/>
      <c r="T30" s="1745"/>
      <c r="U30" s="1745"/>
      <c r="V30" s="1745"/>
      <c r="W30" s="1745"/>
      <c r="X30" s="1745"/>
      <c r="Y30" s="1745" t="str">
        <f t="shared" si="13"/>
        <v/>
      </c>
      <c r="Z30" s="1745" t="s">
        <v>2411</v>
      </c>
      <c r="AA30" s="1746"/>
    </row>
    <row r="31" spans="1:27" ht="25.5" customHeight="1">
      <c r="A31" s="1734"/>
      <c r="B31" s="1743"/>
      <c r="C31" s="2853">
        <f t="shared" si="5"/>
        <v>0</v>
      </c>
      <c r="D31" s="2851">
        <f t="shared" si="5"/>
        <v>0</v>
      </c>
      <c r="E31" s="2852">
        <f t="shared" si="6"/>
        <v>0</v>
      </c>
      <c r="F31" s="2852">
        <f t="shared" si="6"/>
        <v>0</v>
      </c>
      <c r="G31" s="2852">
        <f t="shared" si="6"/>
        <v>0</v>
      </c>
      <c r="H31" s="2852">
        <f t="shared" si="6"/>
        <v>0</v>
      </c>
      <c r="I31" s="2852">
        <f t="shared" si="6"/>
        <v>0</v>
      </c>
      <c r="J31" s="1257" t="str">
        <f t="shared" si="8"/>
        <v/>
      </c>
      <c r="K31" s="1590"/>
      <c r="L31" s="1591" t="str">
        <f t="shared" si="7"/>
        <v/>
      </c>
      <c r="M31" s="1519">
        <v>25.5</v>
      </c>
      <c r="N31" s="1519"/>
      <c r="P31" s="1734"/>
      <c r="Q31" s="1743"/>
      <c r="R31" s="1744"/>
      <c r="S31" s="1723"/>
      <c r="T31" s="1745"/>
      <c r="U31" s="1745"/>
      <c r="V31" s="1745"/>
      <c r="W31" s="1745"/>
      <c r="X31" s="1745"/>
      <c r="Y31" s="1745" t="str">
        <f t="shared" si="13"/>
        <v/>
      </c>
      <c r="Z31" s="1745" t="s">
        <v>2411</v>
      </c>
      <c r="AA31" s="1746"/>
    </row>
    <row r="32" spans="1:27" ht="25.5" customHeight="1">
      <c r="A32" s="1734"/>
      <c r="B32" s="1743"/>
      <c r="C32" s="2853">
        <f t="shared" si="5"/>
        <v>0</v>
      </c>
      <c r="D32" s="2851">
        <f t="shared" si="5"/>
        <v>0</v>
      </c>
      <c r="E32" s="2852">
        <f t="shared" si="6"/>
        <v>0</v>
      </c>
      <c r="F32" s="2852">
        <f t="shared" si="6"/>
        <v>0</v>
      </c>
      <c r="G32" s="2852">
        <f t="shared" si="6"/>
        <v>0</v>
      </c>
      <c r="H32" s="2852">
        <f t="shared" si="6"/>
        <v>0</v>
      </c>
      <c r="I32" s="2852">
        <f t="shared" si="6"/>
        <v>0</v>
      </c>
      <c r="J32" s="1257" t="str">
        <f t="shared" si="8"/>
        <v/>
      </c>
      <c r="K32" s="1590"/>
      <c r="L32" s="1591" t="str">
        <f t="shared" si="7"/>
        <v/>
      </c>
      <c r="M32" s="1519">
        <v>25.5</v>
      </c>
      <c r="N32" s="1519"/>
      <c r="P32" s="1734"/>
      <c r="Q32" s="1743"/>
      <c r="R32" s="1744"/>
      <c r="S32" s="1723"/>
      <c r="T32" s="1745"/>
      <c r="U32" s="1745"/>
      <c r="V32" s="1745"/>
      <c r="W32" s="1745"/>
      <c r="X32" s="1745"/>
      <c r="Y32" s="1745" t="str">
        <f t="shared" si="13"/>
        <v/>
      </c>
      <c r="Z32" s="1745" t="s">
        <v>2411</v>
      </c>
      <c r="AA32" s="1746"/>
    </row>
    <row r="33" spans="1:27" ht="25.5" customHeight="1">
      <c r="A33" s="1734"/>
      <c r="B33" s="1743"/>
      <c r="C33" s="2853">
        <f t="shared" si="5"/>
        <v>0</v>
      </c>
      <c r="D33" s="2851">
        <f t="shared" si="5"/>
        <v>0</v>
      </c>
      <c r="E33" s="2852">
        <f t="shared" si="6"/>
        <v>0</v>
      </c>
      <c r="F33" s="2852">
        <f t="shared" si="6"/>
        <v>0</v>
      </c>
      <c r="G33" s="2852">
        <f t="shared" si="6"/>
        <v>0</v>
      </c>
      <c r="H33" s="2852">
        <f t="shared" si="6"/>
        <v>0</v>
      </c>
      <c r="I33" s="2852">
        <f t="shared" si="6"/>
        <v>0</v>
      </c>
      <c r="J33" s="1257" t="str">
        <f t="shared" si="8"/>
        <v/>
      </c>
      <c r="K33" s="1590"/>
      <c r="L33" s="1591" t="str">
        <f t="shared" si="7"/>
        <v/>
      </c>
      <c r="M33" s="1519">
        <v>25.5</v>
      </c>
      <c r="N33" s="1519"/>
      <c r="P33" s="1734"/>
      <c r="Q33" s="1743"/>
      <c r="R33" s="1744"/>
      <c r="S33" s="1723"/>
      <c r="T33" s="1745"/>
      <c r="U33" s="1745"/>
      <c r="V33" s="1745"/>
      <c r="W33" s="1745"/>
      <c r="X33" s="1745"/>
      <c r="Y33" s="1745" t="str">
        <f t="shared" si="13"/>
        <v/>
      </c>
      <c r="Z33" s="1745" t="s">
        <v>2411</v>
      </c>
      <c r="AA33" s="1746"/>
    </row>
    <row r="34" spans="1:27" ht="25.5" customHeight="1">
      <c r="A34" s="1734"/>
      <c r="B34" s="1743"/>
      <c r="C34" s="2863" t="str">
        <f t="shared" si="5"/>
        <v>ECONOMAT/CAVE</v>
      </c>
      <c r="D34" s="2864" t="str">
        <f t="shared" si="5"/>
        <v xml:space="preserve"> </v>
      </c>
      <c r="E34" s="2864">
        <f t="shared" si="6"/>
        <v>0</v>
      </c>
      <c r="F34" s="2864">
        <f t="shared" si="6"/>
        <v>0</v>
      </c>
      <c r="G34" s="2864">
        <f t="shared" si="6"/>
        <v>0</v>
      </c>
      <c r="H34" s="2864">
        <f t="shared" si="6"/>
        <v>0</v>
      </c>
      <c r="I34" s="2864">
        <f t="shared" si="6"/>
        <v>0</v>
      </c>
      <c r="J34" s="1736" t="s">
        <v>1456</v>
      </c>
      <c r="K34" s="1737"/>
      <c r="L34" s="1738" t="str">
        <f t="shared" si="7"/>
        <v/>
      </c>
      <c r="M34" s="1519">
        <v>25.5</v>
      </c>
      <c r="N34" s="1519"/>
      <c r="P34" s="1734"/>
      <c r="Q34" s="1743"/>
      <c r="R34" s="1748" t="s">
        <v>1967</v>
      </c>
      <c r="S34" s="1740" t="s">
        <v>1456</v>
      </c>
      <c r="T34" s="1749"/>
      <c r="U34" s="1749"/>
      <c r="V34" s="1749"/>
      <c r="W34" s="1749"/>
      <c r="X34" s="1749"/>
      <c r="Y34" s="1749" t="s">
        <v>1456</v>
      </c>
      <c r="Z34" s="1749" t="s">
        <v>1456</v>
      </c>
      <c r="AA34" s="1746"/>
    </row>
    <row r="35" spans="1:27" ht="25.5" customHeight="1">
      <c r="A35" s="1734"/>
      <c r="B35" s="1743"/>
      <c r="C35" s="2853" t="str">
        <f t="shared" si="5"/>
        <v>Huile</v>
      </c>
      <c r="D35" s="2851" t="str">
        <f t="shared" si="5"/>
        <v>PM</v>
      </c>
      <c r="E35" s="2852" t="str">
        <f t="shared" si="6"/>
        <v>PM</v>
      </c>
      <c r="F35" s="2852">
        <f t="shared" si="6"/>
        <v>0</v>
      </c>
      <c r="G35" s="2852">
        <f t="shared" si="6"/>
        <v>0</v>
      </c>
      <c r="H35" s="2852">
        <f t="shared" si="6"/>
        <v>0</v>
      </c>
      <c r="I35" s="2852">
        <f t="shared" si="6"/>
        <v>0</v>
      </c>
      <c r="J35" s="1257" t="s">
        <v>2147</v>
      </c>
      <c r="K35" s="1590"/>
      <c r="L35" s="1591" t="str">
        <f t="shared" si="7"/>
        <v/>
      </c>
      <c r="M35" s="1519">
        <v>25.5</v>
      </c>
      <c r="N35" s="1519"/>
      <c r="P35" s="1734"/>
      <c r="Q35" s="1743"/>
      <c r="R35" s="1744" t="s">
        <v>2155</v>
      </c>
      <c r="S35" s="1723" t="s">
        <v>2147</v>
      </c>
      <c r="T35" s="1745" t="s">
        <v>2147</v>
      </c>
      <c r="U35" s="1745"/>
      <c r="V35" s="1745"/>
      <c r="W35" s="1745"/>
      <c r="X35" s="1745"/>
      <c r="Y35" s="1745" t="s">
        <v>2147</v>
      </c>
      <c r="Z35" s="1745" t="s">
        <v>1456</v>
      </c>
      <c r="AA35" s="1746"/>
    </row>
    <row r="36" spans="1:27" ht="25.5" customHeight="1">
      <c r="A36" s="1734"/>
      <c r="B36" s="1743"/>
      <c r="C36" s="2853" t="str">
        <f t="shared" si="5"/>
        <v>Feuilles de pâtes</v>
      </c>
      <c r="D36" s="2851" t="str">
        <f t="shared" si="5"/>
        <v>Pce</v>
      </c>
      <c r="E36" s="2852">
        <f t="shared" si="6"/>
        <v>0</v>
      </c>
      <c r="F36" s="2852">
        <f t="shared" si="6"/>
        <v>0</v>
      </c>
      <c r="G36" s="2852">
        <f t="shared" si="6"/>
        <v>2.5</v>
      </c>
      <c r="H36" s="2852">
        <f t="shared" si="6"/>
        <v>0</v>
      </c>
      <c r="I36" s="2852">
        <f t="shared" si="6"/>
        <v>0</v>
      </c>
      <c r="J36" s="1257">
        <f t="shared" si="8"/>
        <v>2.5</v>
      </c>
      <c r="K36" s="1590">
        <v>0.55600000000000005</v>
      </c>
      <c r="L36" s="1591">
        <f t="shared" si="7"/>
        <v>1.3900000000000001</v>
      </c>
      <c r="M36" s="1519">
        <v>25.5</v>
      </c>
      <c r="N36" s="1519"/>
      <c r="P36" s="1734"/>
      <c r="Q36" s="1743"/>
      <c r="R36" s="1744" t="s">
        <v>2156</v>
      </c>
      <c r="S36" s="1723" t="s">
        <v>2152</v>
      </c>
      <c r="T36" s="1745"/>
      <c r="U36" s="1745"/>
      <c r="V36" s="1745">
        <v>5</v>
      </c>
      <c r="W36" s="1745"/>
      <c r="X36" s="1745"/>
      <c r="Y36" s="1745">
        <f t="shared" ref="Y36:Y40" si="15">IF(SUM(T36:X36)=0,"",SUM(T36:X36))</f>
        <v>5</v>
      </c>
      <c r="Z36" s="1745">
        <v>0.55600000000000005</v>
      </c>
      <c r="AA36" s="1746">
        <f>Y36*Z36</f>
        <v>2.7800000000000002</v>
      </c>
    </row>
    <row r="37" spans="1:27" ht="25.5" customHeight="1">
      <c r="A37" s="1734"/>
      <c r="B37" s="1743"/>
      <c r="C37" s="2853" t="str">
        <f t="shared" si="5"/>
        <v>Piments</v>
      </c>
      <c r="D37" s="2851" t="str">
        <f t="shared" si="5"/>
        <v>Kg</v>
      </c>
      <c r="E37" s="2852">
        <f t="shared" si="6"/>
        <v>0</v>
      </c>
      <c r="F37" s="2852">
        <f t="shared" si="6"/>
        <v>0</v>
      </c>
      <c r="G37" s="2852">
        <f t="shared" si="6"/>
        <v>0</v>
      </c>
      <c r="H37" s="2852">
        <f t="shared" si="6"/>
        <v>0.15</v>
      </c>
      <c r="I37" s="2852">
        <f t="shared" si="6"/>
        <v>0</v>
      </c>
      <c r="J37" s="1257">
        <f t="shared" si="8"/>
        <v>0.15</v>
      </c>
      <c r="K37" s="1590">
        <v>3.52</v>
      </c>
      <c r="L37" s="1591">
        <f t="shared" si="7"/>
        <v>0.52800000000000002</v>
      </c>
      <c r="M37" s="1519">
        <v>25.5</v>
      </c>
      <c r="N37" s="1519"/>
      <c r="P37" s="1734"/>
      <c r="Q37" s="1743"/>
      <c r="R37" s="1744" t="s">
        <v>2157</v>
      </c>
      <c r="S37" s="1723" t="s">
        <v>122</v>
      </c>
      <c r="T37" s="1745"/>
      <c r="U37" s="1745"/>
      <c r="V37" s="1745"/>
      <c r="W37" s="1745">
        <v>0.3</v>
      </c>
      <c r="X37" s="1745"/>
      <c r="Y37" s="1745">
        <f t="shared" si="15"/>
        <v>0.3</v>
      </c>
      <c r="Z37" s="1745">
        <v>3.52</v>
      </c>
      <c r="AA37" s="1746">
        <f t="shared" ref="AA37:AA40" si="16">Y37*Z37</f>
        <v>1.056</v>
      </c>
    </row>
    <row r="38" spans="1:27" ht="25.5" customHeight="1">
      <c r="A38" s="1734"/>
      <c r="B38" s="1743"/>
      <c r="C38" s="2853" t="str">
        <f t="shared" si="5"/>
        <v>Huile d'olive</v>
      </c>
      <c r="D38" s="2851" t="str">
        <f t="shared" si="5"/>
        <v>L</v>
      </c>
      <c r="E38" s="2852">
        <f t="shared" si="6"/>
        <v>0.05</v>
      </c>
      <c r="F38" s="2852">
        <f t="shared" si="6"/>
        <v>0</v>
      </c>
      <c r="G38" s="2852">
        <f t="shared" si="6"/>
        <v>0</v>
      </c>
      <c r="H38" s="2852" t="str">
        <f t="shared" si="6"/>
        <v>PM</v>
      </c>
      <c r="I38" s="2852">
        <f t="shared" si="6"/>
        <v>0</v>
      </c>
      <c r="J38" s="1257">
        <f t="shared" si="8"/>
        <v>0.05</v>
      </c>
      <c r="K38" s="1590">
        <v>2.39</v>
      </c>
      <c r="L38" s="1591">
        <f t="shared" si="7"/>
        <v>0.11950000000000001</v>
      </c>
      <c r="M38" s="1519">
        <v>25.5</v>
      </c>
      <c r="N38" s="1519"/>
      <c r="P38" s="1734"/>
      <c r="Q38" s="1743"/>
      <c r="R38" s="1744" t="s">
        <v>2158</v>
      </c>
      <c r="S38" s="1723" t="s">
        <v>224</v>
      </c>
      <c r="T38" s="1745">
        <v>0.1</v>
      </c>
      <c r="U38" s="1745"/>
      <c r="V38" s="1745"/>
      <c r="W38" s="1745" t="s">
        <v>2147</v>
      </c>
      <c r="X38" s="1745"/>
      <c r="Y38" s="1745">
        <f t="shared" si="15"/>
        <v>0.1</v>
      </c>
      <c r="Z38" s="1745">
        <v>2.39</v>
      </c>
      <c r="AA38" s="1746">
        <f t="shared" si="16"/>
        <v>0.23900000000000002</v>
      </c>
    </row>
    <row r="39" spans="1:27" ht="25.5" customHeight="1">
      <c r="A39" s="1734"/>
      <c r="B39" s="1743"/>
      <c r="C39" s="2853" t="str">
        <f t="shared" si="5"/>
        <v>Vin Irouleguy</v>
      </c>
      <c r="D39" s="2851" t="str">
        <f t="shared" si="5"/>
        <v>L</v>
      </c>
      <c r="E39" s="2852">
        <f t="shared" si="6"/>
        <v>0</v>
      </c>
      <c r="F39" s="2852">
        <f t="shared" si="6"/>
        <v>0.75</v>
      </c>
      <c r="G39" s="2852">
        <f t="shared" si="6"/>
        <v>0</v>
      </c>
      <c r="H39" s="2852">
        <f t="shared" si="6"/>
        <v>0</v>
      </c>
      <c r="I39" s="2852">
        <f t="shared" si="6"/>
        <v>0</v>
      </c>
      <c r="J39" s="1257">
        <f t="shared" si="8"/>
        <v>0.75</v>
      </c>
      <c r="K39" s="1590">
        <v>1.42</v>
      </c>
      <c r="L39" s="1591">
        <f t="shared" si="7"/>
        <v>1.0649999999999999</v>
      </c>
      <c r="M39" s="1519">
        <v>25.5</v>
      </c>
      <c r="N39" s="1519"/>
      <c r="P39" s="1734"/>
      <c r="Q39" s="1743"/>
      <c r="R39" s="1744" t="s">
        <v>2159</v>
      </c>
      <c r="S39" s="1723" t="s">
        <v>224</v>
      </c>
      <c r="T39" s="1745"/>
      <c r="U39" s="1745">
        <v>1.5</v>
      </c>
      <c r="V39" s="1745"/>
      <c r="W39" s="1745"/>
      <c r="X39" s="1745"/>
      <c r="Y39" s="1745">
        <f t="shared" si="15"/>
        <v>1.5</v>
      </c>
      <c r="Z39" s="1745">
        <v>1.42</v>
      </c>
      <c r="AA39" s="1746">
        <f t="shared" si="16"/>
        <v>2.13</v>
      </c>
    </row>
    <row r="40" spans="1:27" ht="25.5" customHeight="1">
      <c r="A40" s="1734"/>
      <c r="B40" s="1743"/>
      <c r="C40" s="2853" t="str">
        <f t="shared" si="5"/>
        <v>Fecule PDT</v>
      </c>
      <c r="D40" s="2851" t="str">
        <f t="shared" si="5"/>
        <v>Kg</v>
      </c>
      <c r="E40" s="2852">
        <f t="shared" si="6"/>
        <v>0</v>
      </c>
      <c r="F40" s="2852">
        <f t="shared" si="6"/>
        <v>0</v>
      </c>
      <c r="G40" s="2852">
        <f t="shared" si="6"/>
        <v>0</v>
      </c>
      <c r="H40" s="2852">
        <f t="shared" si="6"/>
        <v>0.25</v>
      </c>
      <c r="I40" s="2852">
        <f t="shared" si="6"/>
        <v>0</v>
      </c>
      <c r="J40" s="1257">
        <f t="shared" si="8"/>
        <v>0.25</v>
      </c>
      <c r="K40" s="1697">
        <v>2.33</v>
      </c>
      <c r="L40" s="1591">
        <f t="shared" si="7"/>
        <v>0.58250000000000002</v>
      </c>
      <c r="M40" s="1519">
        <v>25.5</v>
      </c>
      <c r="N40" s="1519"/>
      <c r="P40" s="1734"/>
      <c r="Q40" s="1743"/>
      <c r="R40" s="1744" t="s">
        <v>2160</v>
      </c>
      <c r="S40" s="1723" t="s">
        <v>122</v>
      </c>
      <c r="T40" s="1745"/>
      <c r="U40" s="1745"/>
      <c r="V40" s="1745"/>
      <c r="W40" s="1745">
        <v>0.5</v>
      </c>
      <c r="X40" s="1745"/>
      <c r="Y40" s="1745">
        <f t="shared" si="15"/>
        <v>0.5</v>
      </c>
      <c r="Z40" s="1745">
        <v>2.33</v>
      </c>
      <c r="AA40" s="1746">
        <f t="shared" si="16"/>
        <v>1.165</v>
      </c>
    </row>
    <row r="41" spans="1:27" ht="25.5" customHeight="1">
      <c r="A41" s="1734"/>
      <c r="B41" s="1743"/>
      <c r="C41" s="2853" t="str">
        <f t="shared" si="5"/>
        <v>Sel</v>
      </c>
      <c r="D41" s="2851" t="str">
        <f t="shared" si="5"/>
        <v>PM</v>
      </c>
      <c r="E41" s="2852" t="str">
        <f t="shared" si="6"/>
        <v>PM</v>
      </c>
      <c r="F41" s="2852">
        <f t="shared" si="6"/>
        <v>0</v>
      </c>
      <c r="G41" s="2852" t="str">
        <f t="shared" si="6"/>
        <v>PM</v>
      </c>
      <c r="H41" s="2852" t="str">
        <f t="shared" si="6"/>
        <v>PM</v>
      </c>
      <c r="I41" s="2852">
        <f t="shared" si="6"/>
        <v>0</v>
      </c>
      <c r="J41" s="1257" t="s">
        <v>2147</v>
      </c>
      <c r="K41" s="1590"/>
      <c r="L41" s="1591" t="str">
        <f t="shared" si="7"/>
        <v/>
      </c>
      <c r="M41" s="1519">
        <v>25.5</v>
      </c>
      <c r="N41" s="1519"/>
      <c r="P41" s="1734"/>
      <c r="Q41" s="1743"/>
      <c r="R41" s="1744" t="s">
        <v>2161</v>
      </c>
      <c r="S41" s="1723" t="s">
        <v>2147</v>
      </c>
      <c r="T41" s="1745" t="s">
        <v>2147</v>
      </c>
      <c r="U41" s="1745"/>
      <c r="V41" s="1745" t="s">
        <v>2147</v>
      </c>
      <c r="W41" s="1745" t="s">
        <v>2147</v>
      </c>
      <c r="X41" s="1745"/>
      <c r="Y41" s="1745" t="s">
        <v>2147</v>
      </c>
      <c r="Z41" s="1745"/>
      <c r="AA41" s="1746"/>
    </row>
    <row r="42" spans="1:27" ht="25.5" customHeight="1">
      <c r="A42" s="1734"/>
      <c r="B42" s="1743"/>
      <c r="C42" s="2853" t="str">
        <f t="shared" si="5"/>
        <v>Poivre</v>
      </c>
      <c r="D42" s="2851" t="str">
        <f t="shared" si="5"/>
        <v>PM</v>
      </c>
      <c r="E42" s="2852" t="str">
        <f t="shared" si="6"/>
        <v>PM</v>
      </c>
      <c r="F42" s="2852">
        <f t="shared" si="6"/>
        <v>0</v>
      </c>
      <c r="G42" s="2852" t="str">
        <f t="shared" si="6"/>
        <v>PM</v>
      </c>
      <c r="H42" s="2852" t="str">
        <f t="shared" si="6"/>
        <v>PM</v>
      </c>
      <c r="I42" s="2852">
        <f t="shared" si="6"/>
        <v>0</v>
      </c>
      <c r="J42" s="1257" t="s">
        <v>2147</v>
      </c>
      <c r="K42" s="1590"/>
      <c r="L42" s="1591" t="str">
        <f t="shared" si="7"/>
        <v/>
      </c>
      <c r="M42" s="1519">
        <v>25.5</v>
      </c>
      <c r="N42" s="1519"/>
      <c r="P42" s="1734"/>
      <c r="Q42" s="1743"/>
      <c r="R42" s="1744" t="s">
        <v>2162</v>
      </c>
      <c r="S42" s="1723" t="s">
        <v>2147</v>
      </c>
      <c r="T42" s="1745" t="s">
        <v>2147</v>
      </c>
      <c r="U42" s="1745"/>
      <c r="V42" s="1745" t="s">
        <v>2147</v>
      </c>
      <c r="W42" s="1745" t="s">
        <v>2147</v>
      </c>
      <c r="X42" s="1745"/>
      <c r="Y42" s="1745" t="s">
        <v>2147</v>
      </c>
      <c r="Z42" s="1745"/>
      <c r="AA42" s="1746"/>
    </row>
    <row r="43" spans="1:27" ht="25.5" customHeight="1">
      <c r="A43" s="1734"/>
      <c r="B43" s="1743"/>
      <c r="C43" s="2853">
        <f t="shared" si="5"/>
        <v>0</v>
      </c>
      <c r="D43" s="2851">
        <f t="shared" si="5"/>
        <v>0</v>
      </c>
      <c r="E43" s="2852">
        <f t="shared" si="6"/>
        <v>0</v>
      </c>
      <c r="F43" s="2852">
        <f t="shared" si="6"/>
        <v>0</v>
      </c>
      <c r="G43" s="2852">
        <f t="shared" si="6"/>
        <v>0</v>
      </c>
      <c r="H43" s="2852">
        <f t="shared" si="6"/>
        <v>0</v>
      </c>
      <c r="I43" s="2852">
        <f t="shared" si="6"/>
        <v>0</v>
      </c>
      <c r="J43" s="1257" t="str">
        <f t="shared" si="8"/>
        <v/>
      </c>
      <c r="K43" s="1590"/>
      <c r="L43" s="1591" t="str">
        <f t="shared" si="7"/>
        <v/>
      </c>
      <c r="M43" s="1519">
        <v>25.5</v>
      </c>
      <c r="N43" s="1519"/>
      <c r="P43" s="1734"/>
      <c r="Q43" s="1743"/>
      <c r="R43" s="1744"/>
      <c r="S43" s="1723"/>
      <c r="T43" s="1745"/>
      <c r="U43" s="1745"/>
      <c r="V43" s="1745"/>
      <c r="W43" s="1745"/>
      <c r="X43" s="1745"/>
      <c r="Y43" s="1745" t="str">
        <f t="shared" ref="Y43:Y47" si="17">IF(SUM(T43:X43)=0,"",SUM(T43:X43))</f>
        <v/>
      </c>
      <c r="Z43" s="1745" t="s">
        <v>2411</v>
      </c>
      <c r="AA43" s="1746" t="str">
        <f t="shared" ref="AA43:AA47" si="18">IF(Y43="","",(Y43*Z43))</f>
        <v/>
      </c>
    </row>
    <row r="44" spans="1:27" ht="25.5" customHeight="1">
      <c r="A44" s="1734"/>
      <c r="B44" s="1743"/>
      <c r="C44" s="2853">
        <f t="shared" si="5"/>
        <v>0</v>
      </c>
      <c r="D44" s="2851">
        <f t="shared" si="5"/>
        <v>0</v>
      </c>
      <c r="E44" s="2852">
        <f t="shared" si="6"/>
        <v>0</v>
      </c>
      <c r="F44" s="2852">
        <f t="shared" si="6"/>
        <v>0</v>
      </c>
      <c r="G44" s="2852">
        <f t="shared" si="6"/>
        <v>0</v>
      </c>
      <c r="H44" s="2852">
        <f t="shared" si="6"/>
        <v>0</v>
      </c>
      <c r="I44" s="2852">
        <f t="shared" si="6"/>
        <v>0</v>
      </c>
      <c r="J44" s="1257" t="str">
        <f t="shared" si="8"/>
        <v/>
      </c>
      <c r="K44" s="1590"/>
      <c r="L44" s="1591" t="str">
        <f t="shared" si="7"/>
        <v/>
      </c>
      <c r="M44" s="1519">
        <v>25.5</v>
      </c>
      <c r="N44" s="1519"/>
      <c r="P44" s="1734"/>
      <c r="Q44" s="1743"/>
      <c r="R44" s="1744"/>
      <c r="S44" s="1723"/>
      <c r="T44" s="1745"/>
      <c r="U44" s="1745"/>
      <c r="V44" s="1745"/>
      <c r="W44" s="1745"/>
      <c r="X44" s="1745"/>
      <c r="Y44" s="1745" t="str">
        <f t="shared" si="17"/>
        <v/>
      </c>
      <c r="Z44" s="1745" t="s">
        <v>2411</v>
      </c>
      <c r="AA44" s="1746" t="str">
        <f t="shared" si="18"/>
        <v/>
      </c>
    </row>
    <row r="45" spans="1:27" ht="25.5" customHeight="1">
      <c r="A45" s="1734"/>
      <c r="B45" s="1743"/>
      <c r="C45" s="2853">
        <f t="shared" si="5"/>
        <v>0</v>
      </c>
      <c r="D45" s="2851">
        <f t="shared" si="5"/>
        <v>0</v>
      </c>
      <c r="E45" s="2852">
        <f t="shared" si="6"/>
        <v>0</v>
      </c>
      <c r="F45" s="2852">
        <f t="shared" si="6"/>
        <v>0</v>
      </c>
      <c r="G45" s="2852">
        <f t="shared" si="6"/>
        <v>0</v>
      </c>
      <c r="H45" s="2852">
        <f t="shared" si="6"/>
        <v>0</v>
      </c>
      <c r="I45" s="2852">
        <f t="shared" si="6"/>
        <v>0</v>
      </c>
      <c r="J45" s="1257" t="str">
        <f t="shared" si="8"/>
        <v/>
      </c>
      <c r="K45" s="1590"/>
      <c r="L45" s="1591" t="str">
        <f t="shared" si="7"/>
        <v/>
      </c>
      <c r="M45" s="1519">
        <v>25.5</v>
      </c>
      <c r="N45" s="1519"/>
      <c r="P45" s="1734"/>
      <c r="Q45" s="1743"/>
      <c r="R45" s="1744"/>
      <c r="S45" s="1723"/>
      <c r="T45" s="1745"/>
      <c r="U45" s="1745"/>
      <c r="V45" s="1745"/>
      <c r="W45" s="1745"/>
      <c r="X45" s="1745"/>
      <c r="Y45" s="1745" t="str">
        <f t="shared" si="17"/>
        <v/>
      </c>
      <c r="Z45" s="1745" t="s">
        <v>2411</v>
      </c>
      <c r="AA45" s="1746" t="str">
        <f t="shared" si="18"/>
        <v/>
      </c>
    </row>
    <row r="46" spans="1:27" ht="25.5" customHeight="1">
      <c r="A46" s="1705"/>
      <c r="B46" s="1743"/>
      <c r="C46" s="2853">
        <f t="shared" si="5"/>
        <v>0</v>
      </c>
      <c r="D46" s="2851">
        <f t="shared" si="5"/>
        <v>0</v>
      </c>
      <c r="E46" s="2852">
        <f t="shared" si="6"/>
        <v>0</v>
      </c>
      <c r="F46" s="2852">
        <f t="shared" si="6"/>
        <v>0</v>
      </c>
      <c r="G46" s="2852">
        <f t="shared" si="6"/>
        <v>0</v>
      </c>
      <c r="H46" s="2852">
        <f t="shared" si="6"/>
        <v>0</v>
      </c>
      <c r="I46" s="2852">
        <f t="shared" si="6"/>
        <v>0</v>
      </c>
      <c r="J46" s="1257" t="str">
        <f t="shared" si="8"/>
        <v/>
      </c>
      <c r="K46" s="1590"/>
      <c r="L46" s="1591" t="str">
        <f t="shared" si="7"/>
        <v/>
      </c>
      <c r="M46" s="1519">
        <v>25.5</v>
      </c>
      <c r="N46" s="1519"/>
      <c r="P46" s="1705"/>
      <c r="Q46" s="1743"/>
      <c r="R46" s="1744"/>
      <c r="S46" s="1723"/>
      <c r="T46" s="1753"/>
      <c r="U46" s="1753"/>
      <c r="V46" s="1753"/>
      <c r="W46" s="1753"/>
      <c r="X46" s="1753"/>
      <c r="Y46" s="1753" t="str">
        <f t="shared" si="17"/>
        <v/>
      </c>
      <c r="Z46" s="1745" t="s">
        <v>2411</v>
      </c>
      <c r="AA46" s="1754" t="str">
        <f t="shared" si="18"/>
        <v/>
      </c>
    </row>
    <row r="47" spans="1:27" ht="25.5" customHeight="1">
      <c r="A47" s="1614"/>
      <c r="B47" s="1690" t="s">
        <v>1480</v>
      </c>
      <c r="C47" s="1615"/>
      <c r="D47" s="1615"/>
      <c r="E47" s="1615"/>
      <c r="F47" s="1615"/>
      <c r="G47" s="1614"/>
      <c r="H47" s="1615"/>
      <c r="I47" s="1615"/>
      <c r="J47" s="1615" t="str">
        <f t="shared" ref="J47" si="19">IF(SUM(E47:I47)=0,"",SUM(E47:I47))</f>
        <v/>
      </c>
      <c r="K47" s="1615" t="s">
        <v>2411</v>
      </c>
      <c r="L47" s="1616" t="str">
        <f>IF(J47="","",(J47*K47))</f>
        <v/>
      </c>
      <c r="M47" s="1519">
        <v>25.5</v>
      </c>
      <c r="N47" s="1519"/>
      <c r="P47" s="1710"/>
      <c r="Q47" s="1755" t="s">
        <v>1456</v>
      </c>
      <c r="R47" s="1718"/>
      <c r="S47" s="1718"/>
      <c r="T47" s="1192"/>
      <c r="U47" s="1192"/>
      <c r="V47" s="1710"/>
      <c r="W47" s="1718"/>
      <c r="X47" s="1718"/>
      <c r="Y47" s="1718" t="str">
        <f t="shared" si="17"/>
        <v/>
      </c>
      <c r="Z47" s="1718" t="s">
        <v>2411</v>
      </c>
      <c r="AA47" s="1756" t="str">
        <f t="shared" si="18"/>
        <v/>
      </c>
    </row>
    <row r="48" spans="1:27" ht="25.5" customHeight="1">
      <c r="A48" s="1681"/>
      <c r="B48" s="1618"/>
      <c r="C48" s="1619"/>
      <c r="D48" s="1618"/>
      <c r="E48" s="1619"/>
      <c r="F48" s="1619"/>
      <c r="G48" s="3522" t="s">
        <v>2288</v>
      </c>
      <c r="H48" s="3523"/>
      <c r="I48" s="1620">
        <f>L2</f>
        <v>5</v>
      </c>
      <c r="J48" s="1621"/>
      <c r="K48" s="1621"/>
      <c r="L48" s="1622">
        <f>SUM(L8:L46)</f>
        <v>25.640599999999996</v>
      </c>
      <c r="M48" s="1519">
        <v>25.5</v>
      </c>
      <c r="N48" s="1519"/>
      <c r="P48" s="1734"/>
      <c r="Q48" s="1743"/>
      <c r="R48" s="1623"/>
      <c r="S48" s="1192"/>
      <c r="T48" s="1623"/>
      <c r="U48" s="1623"/>
      <c r="V48" s="1757" t="s">
        <v>1482</v>
      </c>
      <c r="W48" s="1625"/>
      <c r="X48" s="1625"/>
      <c r="Y48" s="1625"/>
      <c r="Z48" s="1625"/>
      <c r="AA48" s="1758">
        <f>SUM(AA8:AA47)</f>
        <v>51.281199999999991</v>
      </c>
    </row>
    <row r="49" spans="1:27" ht="25.5" customHeight="1">
      <c r="A49" s="1681"/>
      <c r="B49" s="1618"/>
      <c r="C49" s="1618"/>
      <c r="D49" s="1618"/>
      <c r="E49" s="1618"/>
      <c r="F49" s="1618"/>
      <c r="G49" s="3548" t="s">
        <v>1483</v>
      </c>
      <c r="H49" s="3549"/>
      <c r="I49" s="3549"/>
      <c r="J49" s="3549"/>
      <c r="K49" s="1627">
        <v>0.02</v>
      </c>
      <c r="L49" s="1622">
        <f>L48*K49</f>
        <v>0.51281199999999993</v>
      </c>
      <c r="M49" s="1519">
        <v>25.5</v>
      </c>
      <c r="N49" s="1519"/>
      <c r="P49" s="1734"/>
      <c r="Q49" s="1743"/>
      <c r="R49" s="1192"/>
      <c r="S49" s="1192"/>
      <c r="T49" s="1192"/>
      <c r="U49" s="1192"/>
      <c r="V49" s="1759" t="s">
        <v>1483</v>
      </c>
      <c r="W49" s="1192"/>
      <c r="X49" s="1192"/>
      <c r="Y49" s="1192"/>
      <c r="Z49" s="1192"/>
      <c r="AA49" s="1760">
        <v>0.02</v>
      </c>
    </row>
    <row r="50" spans="1:27" ht="25.5" customHeight="1" thickBot="1">
      <c r="A50" s="1689"/>
      <c r="B50" s="1694"/>
      <c r="C50" s="1694"/>
      <c r="D50" s="1694"/>
      <c r="E50" s="1694"/>
      <c r="F50" s="1694"/>
      <c r="G50" s="3614" t="s">
        <v>2289</v>
      </c>
      <c r="H50" s="3615"/>
      <c r="I50" s="3615"/>
      <c r="J50" s="3615"/>
      <c r="K50" s="1630"/>
      <c r="L50" s="1631">
        <f>(L48+L49)/I48</f>
        <v>5.2306823999999992</v>
      </c>
      <c r="M50" s="1519">
        <v>25.5</v>
      </c>
      <c r="N50" s="1519"/>
      <c r="P50" s="1705"/>
      <c r="Q50" s="1761"/>
      <c r="R50" s="1762"/>
      <c r="S50" s="1762"/>
      <c r="T50" s="1762"/>
      <c r="U50" s="1762"/>
      <c r="V50" s="1763" t="s">
        <v>2027</v>
      </c>
      <c r="W50" s="1762"/>
      <c r="X50" s="1762"/>
      <c r="Y50" s="1762"/>
      <c r="Z50" s="1764"/>
      <c r="AA50" s="1765">
        <f>AA48/X2</f>
        <v>5.1281199999999991</v>
      </c>
    </row>
    <row r="51" spans="1:27">
      <c r="M51" s="1519"/>
      <c r="N51" s="1519"/>
    </row>
    <row r="52" spans="1:27">
      <c r="M52" s="1519"/>
      <c r="N52" s="1519"/>
    </row>
    <row r="53" spans="1:27">
      <c r="M53" s="1519"/>
      <c r="N53" s="1519"/>
    </row>
    <row r="54" spans="1:27">
      <c r="M54" s="1519"/>
      <c r="N54" s="1519"/>
    </row>
    <row r="55" spans="1:27">
      <c r="M55" s="1519"/>
      <c r="N55" s="1519"/>
    </row>
    <row r="56" spans="1:27">
      <c r="M56" s="1519"/>
      <c r="N56" s="1519"/>
    </row>
    <row r="57" spans="1:27">
      <c r="M57" s="1519"/>
      <c r="N57" s="1519"/>
    </row>
    <row r="58" spans="1:27">
      <c r="M58" s="1519"/>
      <c r="N58" s="1519"/>
    </row>
    <row r="59" spans="1:27">
      <c r="M59" s="1519"/>
      <c r="N59" s="1519"/>
    </row>
    <row r="60" spans="1:27">
      <c r="M60" s="1519"/>
      <c r="N60" s="1519"/>
    </row>
    <row r="61" spans="1:27">
      <c r="M61" s="1519"/>
      <c r="N61" s="1519"/>
    </row>
    <row r="62" spans="1:27">
      <c r="M62" s="1519"/>
      <c r="N62" s="1519"/>
    </row>
    <row r="63" spans="1:27">
      <c r="M63" s="1519"/>
      <c r="N63" s="1519"/>
    </row>
    <row r="64" spans="1:27">
      <c r="M64" s="1519"/>
      <c r="N64" s="1519"/>
    </row>
    <row r="65" spans="13:14">
      <c r="M65" s="1519"/>
      <c r="N65" s="1519"/>
    </row>
    <row r="66" spans="13:14">
      <c r="M66" s="1519"/>
      <c r="N66" s="1519"/>
    </row>
    <row r="67" spans="13:14">
      <c r="M67" s="1519"/>
      <c r="N67" s="1519"/>
    </row>
    <row r="68" spans="13:14">
      <c r="M68" s="1519"/>
      <c r="N68" s="1519"/>
    </row>
    <row r="69" spans="13:14">
      <c r="M69" s="1519"/>
      <c r="N69" s="1519"/>
    </row>
    <row r="70" spans="13:14">
      <c r="M70" s="1519"/>
      <c r="N70" s="1519"/>
    </row>
    <row r="71" spans="13:14">
      <c r="M71" s="1519"/>
      <c r="N71" s="1519"/>
    </row>
    <row r="72" spans="13:14">
      <c r="M72" s="1519"/>
      <c r="N72" s="1519"/>
    </row>
    <row r="73" spans="13:14">
      <c r="M73" s="1519"/>
      <c r="N73" s="1519"/>
    </row>
    <row r="74" spans="13:14">
      <c r="M74" s="1519"/>
      <c r="N74" s="1519"/>
    </row>
    <row r="75" spans="13:14">
      <c r="M75" s="1519"/>
      <c r="N75" s="1519"/>
    </row>
    <row r="76" spans="13:14">
      <c r="M76" s="1519"/>
      <c r="N76" s="1519"/>
    </row>
    <row r="77" spans="13:14">
      <c r="M77" s="1519"/>
      <c r="N77" s="1519"/>
    </row>
    <row r="78" spans="13:14">
      <c r="M78" s="1519"/>
      <c r="N78" s="1519"/>
    </row>
    <row r="79" spans="13:14">
      <c r="M79" s="1519"/>
      <c r="N79" s="1519"/>
    </row>
    <row r="80" spans="13:14">
      <c r="M80" s="1519"/>
      <c r="N80" s="1519"/>
    </row>
    <row r="81" spans="13:14">
      <c r="M81" s="1519"/>
      <c r="N81" s="1519"/>
    </row>
    <row r="82" spans="13:14">
      <c r="M82" s="1519"/>
      <c r="N82" s="1519"/>
    </row>
    <row r="83" spans="13:14">
      <c r="M83" s="1519"/>
      <c r="N83" s="1519"/>
    </row>
    <row r="84" spans="13:14">
      <c r="M84" s="1519"/>
      <c r="N84" s="1519"/>
    </row>
    <row r="85" spans="13:14">
      <c r="M85" s="1519"/>
      <c r="N85" s="1519"/>
    </row>
    <row r="86" spans="13:14">
      <c r="M86" s="1519"/>
      <c r="N86" s="1519"/>
    </row>
    <row r="87" spans="13:14">
      <c r="M87" s="1519"/>
      <c r="N87" s="1519"/>
    </row>
    <row r="88" spans="13:14">
      <c r="M88" s="1519"/>
      <c r="N88" s="1519"/>
    </row>
    <row r="89" spans="13:14">
      <c r="M89" s="1519"/>
      <c r="N89" s="1519"/>
    </row>
    <row r="90" spans="13:14">
      <c r="M90" s="1519"/>
      <c r="N90" s="1519"/>
    </row>
    <row r="91" spans="13:14">
      <c r="M91" s="1519"/>
      <c r="N91" s="1519"/>
    </row>
    <row r="92" spans="13:14">
      <c r="M92" s="1519"/>
      <c r="N92" s="1519"/>
    </row>
    <row r="93" spans="13:14">
      <c r="M93" s="1519"/>
      <c r="N93" s="1519"/>
    </row>
    <row r="94" spans="13:14">
      <c r="M94" s="1519"/>
      <c r="N94" s="1519"/>
    </row>
    <row r="95" spans="13:14">
      <c r="M95" s="1519"/>
      <c r="N95" s="1519"/>
    </row>
    <row r="96" spans="13:14">
      <c r="M96" s="1519"/>
      <c r="N96" s="1519"/>
    </row>
    <row r="97" spans="13:14">
      <c r="M97" s="1519"/>
      <c r="N97" s="1519"/>
    </row>
    <row r="98" spans="13:14">
      <c r="M98" s="1519"/>
      <c r="N98" s="1519"/>
    </row>
  </sheetData>
  <mergeCells count="14">
    <mergeCell ref="P1:AA1"/>
    <mergeCell ref="Y5:AA5"/>
    <mergeCell ref="G48:H48"/>
    <mergeCell ref="G49:J49"/>
    <mergeCell ref="G50:J50"/>
    <mergeCell ref="B2:G2"/>
    <mergeCell ref="Q2:V2"/>
    <mergeCell ref="B4:E4"/>
    <mergeCell ref="Q4:T4"/>
    <mergeCell ref="C5:D5"/>
    <mergeCell ref="E5:I5"/>
    <mergeCell ref="J5:L5"/>
    <mergeCell ref="R5:S5"/>
    <mergeCell ref="T5:X5"/>
  </mergeCells>
  <printOptions horizontalCentered="1" verticalCentered="1"/>
  <pageMargins left="0" right="0" top="0.15763888888888888" bottom="0" header="0" footer="0"/>
  <headerFooter alignWithMargins="0">
    <oddHeader>&amp;L&amp;"Copperplate Gothic Light,Normal"&amp;8fiche technique &amp;C&amp;D &amp;T&amp;R2TSB</oddHeader>
    <oddFooter>&amp;L&amp;F</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E397-A7E1-470E-99AF-0C4B579C2FF1}">
  <dimension ref="A1:AA98"/>
  <sheetViews>
    <sheetView showZeros="0" zoomScaleNormal="100" workbookViewId="0">
      <selection activeCell="B2" sqref="B2:G2"/>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3" width="11.42578125" style="1513"/>
    <col min="14" max="15" width="11.42578125" style="1281"/>
    <col min="16" max="17" width="30.7109375" style="1281" customWidth="1"/>
    <col min="18" max="18" width="16.28515625" style="1281" customWidth="1"/>
    <col min="19" max="19" width="3.42578125" style="1281" customWidth="1"/>
    <col min="20" max="20" width="5.28515625" style="1281" customWidth="1"/>
    <col min="21" max="21" width="4.28515625" style="1281" customWidth="1"/>
    <col min="22" max="22" width="4.85546875" style="1281" customWidth="1"/>
    <col min="23" max="23" width="5" style="1281" customWidth="1"/>
    <col min="24" max="25" width="4" style="1281" customWidth="1"/>
    <col min="26" max="26" width="4.42578125" style="1281" customWidth="1"/>
    <col min="27" max="27" width="3.85546875" style="1281" customWidth="1"/>
    <col min="28" max="256" width="11.42578125" style="1281"/>
    <col min="257" max="257" width="0" style="1281" hidden="1" customWidth="1"/>
    <col min="258" max="258" width="33.42578125" style="1281" customWidth="1"/>
    <col min="259" max="259" width="16.28515625" style="1281" customWidth="1"/>
    <col min="260" max="260" width="3.42578125" style="1281" customWidth="1"/>
    <col min="261" max="261" width="5.28515625" style="1281" customWidth="1"/>
    <col min="262" max="262" width="4.28515625" style="1281" customWidth="1"/>
    <col min="263" max="263" width="4.85546875" style="1281" customWidth="1"/>
    <col min="264" max="264" width="5" style="1281" customWidth="1"/>
    <col min="265" max="266" width="4" style="1281" customWidth="1"/>
    <col min="267" max="267" width="4.42578125" style="1281" customWidth="1"/>
    <col min="268" max="268" width="3.85546875" style="1281" customWidth="1"/>
    <col min="269" max="512" width="11.42578125" style="1281"/>
    <col min="513" max="513" width="0" style="1281" hidden="1" customWidth="1"/>
    <col min="514" max="514" width="33.42578125" style="1281" customWidth="1"/>
    <col min="515" max="515" width="16.28515625" style="1281" customWidth="1"/>
    <col min="516" max="516" width="3.42578125" style="1281" customWidth="1"/>
    <col min="517" max="517" width="5.28515625" style="1281" customWidth="1"/>
    <col min="518" max="518" width="4.28515625" style="1281" customWidth="1"/>
    <col min="519" max="519" width="4.85546875" style="1281" customWidth="1"/>
    <col min="520" max="520" width="5" style="1281" customWidth="1"/>
    <col min="521" max="522" width="4" style="1281" customWidth="1"/>
    <col min="523" max="523" width="4.42578125" style="1281" customWidth="1"/>
    <col min="524" max="524" width="3.85546875" style="1281" customWidth="1"/>
    <col min="525" max="768" width="11.42578125" style="1281"/>
    <col min="769" max="769" width="0" style="1281" hidden="1" customWidth="1"/>
    <col min="770" max="770" width="33.42578125" style="1281" customWidth="1"/>
    <col min="771" max="771" width="16.28515625" style="1281" customWidth="1"/>
    <col min="772" max="772" width="3.42578125" style="1281" customWidth="1"/>
    <col min="773" max="773" width="5.28515625" style="1281" customWidth="1"/>
    <col min="774" max="774" width="4.28515625" style="1281" customWidth="1"/>
    <col min="775" max="775" width="4.85546875" style="1281" customWidth="1"/>
    <col min="776" max="776" width="5" style="1281" customWidth="1"/>
    <col min="777" max="778" width="4" style="1281" customWidth="1"/>
    <col min="779" max="779" width="4.42578125" style="1281" customWidth="1"/>
    <col min="780" max="780" width="3.85546875" style="1281" customWidth="1"/>
    <col min="781" max="1024" width="11.42578125" style="1281"/>
    <col min="1025" max="1025" width="0" style="1281" hidden="1" customWidth="1"/>
    <col min="1026" max="1026" width="33.42578125" style="1281" customWidth="1"/>
    <col min="1027" max="1027" width="16.28515625" style="1281" customWidth="1"/>
    <col min="1028" max="1028" width="3.42578125" style="1281" customWidth="1"/>
    <col min="1029" max="1029" width="5.28515625" style="1281" customWidth="1"/>
    <col min="1030" max="1030" width="4.28515625" style="1281" customWidth="1"/>
    <col min="1031" max="1031" width="4.85546875" style="1281" customWidth="1"/>
    <col min="1032" max="1032" width="5" style="1281" customWidth="1"/>
    <col min="1033" max="1034" width="4" style="1281" customWidth="1"/>
    <col min="1035" max="1035" width="4.42578125" style="1281" customWidth="1"/>
    <col min="1036" max="1036" width="3.85546875" style="1281" customWidth="1"/>
    <col min="1037" max="1280" width="11.42578125" style="1281"/>
    <col min="1281" max="1281" width="0" style="1281" hidden="1" customWidth="1"/>
    <col min="1282" max="1282" width="33.42578125" style="1281" customWidth="1"/>
    <col min="1283" max="1283" width="16.28515625" style="1281" customWidth="1"/>
    <col min="1284" max="1284" width="3.42578125" style="1281" customWidth="1"/>
    <col min="1285" max="1285" width="5.28515625" style="1281" customWidth="1"/>
    <col min="1286" max="1286" width="4.28515625" style="1281" customWidth="1"/>
    <col min="1287" max="1287" width="4.85546875" style="1281" customWidth="1"/>
    <col min="1288" max="1288" width="5" style="1281" customWidth="1"/>
    <col min="1289" max="1290" width="4" style="1281" customWidth="1"/>
    <col min="1291" max="1291" width="4.42578125" style="1281" customWidth="1"/>
    <col min="1292" max="1292" width="3.85546875" style="1281" customWidth="1"/>
    <col min="1293" max="1536" width="11.42578125" style="1281"/>
    <col min="1537" max="1537" width="0" style="1281" hidden="1" customWidth="1"/>
    <col min="1538" max="1538" width="33.42578125" style="1281" customWidth="1"/>
    <col min="1539" max="1539" width="16.28515625" style="1281" customWidth="1"/>
    <col min="1540" max="1540" width="3.42578125" style="1281" customWidth="1"/>
    <col min="1541" max="1541" width="5.28515625" style="1281" customWidth="1"/>
    <col min="1542" max="1542" width="4.28515625" style="1281" customWidth="1"/>
    <col min="1543" max="1543" width="4.85546875" style="1281" customWidth="1"/>
    <col min="1544" max="1544" width="5" style="1281" customWidth="1"/>
    <col min="1545" max="1546" width="4" style="1281" customWidth="1"/>
    <col min="1547" max="1547" width="4.42578125" style="1281" customWidth="1"/>
    <col min="1548" max="1548" width="3.85546875" style="1281" customWidth="1"/>
    <col min="1549" max="1792" width="11.42578125" style="1281"/>
    <col min="1793" max="1793" width="0" style="1281" hidden="1" customWidth="1"/>
    <col min="1794" max="1794" width="33.42578125" style="1281" customWidth="1"/>
    <col min="1795" max="1795" width="16.28515625" style="1281" customWidth="1"/>
    <col min="1796" max="1796" width="3.42578125" style="1281" customWidth="1"/>
    <col min="1797" max="1797" width="5.28515625" style="1281" customWidth="1"/>
    <col min="1798" max="1798" width="4.28515625" style="1281" customWidth="1"/>
    <col min="1799" max="1799" width="4.85546875" style="1281" customWidth="1"/>
    <col min="1800" max="1800" width="5" style="1281" customWidth="1"/>
    <col min="1801" max="1802" width="4" style="1281" customWidth="1"/>
    <col min="1803" max="1803" width="4.42578125" style="1281" customWidth="1"/>
    <col min="1804" max="1804" width="3.85546875" style="1281" customWidth="1"/>
    <col min="1805" max="2048" width="11.42578125" style="1281"/>
    <col min="2049" max="2049" width="0" style="1281" hidden="1" customWidth="1"/>
    <col min="2050" max="2050" width="33.42578125" style="1281" customWidth="1"/>
    <col min="2051" max="2051" width="16.28515625" style="1281" customWidth="1"/>
    <col min="2052" max="2052" width="3.42578125" style="1281" customWidth="1"/>
    <col min="2053" max="2053" width="5.28515625" style="1281" customWidth="1"/>
    <col min="2054" max="2054" width="4.28515625" style="1281" customWidth="1"/>
    <col min="2055" max="2055" width="4.85546875" style="1281" customWidth="1"/>
    <col min="2056" max="2056" width="5" style="1281" customWidth="1"/>
    <col min="2057" max="2058" width="4" style="1281" customWidth="1"/>
    <col min="2059" max="2059" width="4.42578125" style="1281" customWidth="1"/>
    <col min="2060" max="2060" width="3.85546875" style="1281" customWidth="1"/>
    <col min="2061" max="2304" width="11.42578125" style="1281"/>
    <col min="2305" max="2305" width="0" style="1281" hidden="1" customWidth="1"/>
    <col min="2306" max="2306" width="33.42578125" style="1281" customWidth="1"/>
    <col min="2307" max="2307" width="16.28515625" style="1281" customWidth="1"/>
    <col min="2308" max="2308" width="3.42578125" style="1281" customWidth="1"/>
    <col min="2309" max="2309" width="5.28515625" style="1281" customWidth="1"/>
    <col min="2310" max="2310" width="4.28515625" style="1281" customWidth="1"/>
    <col min="2311" max="2311" width="4.85546875" style="1281" customWidth="1"/>
    <col min="2312" max="2312" width="5" style="1281" customWidth="1"/>
    <col min="2313" max="2314" width="4" style="1281" customWidth="1"/>
    <col min="2315" max="2315" width="4.42578125" style="1281" customWidth="1"/>
    <col min="2316" max="2316" width="3.85546875" style="1281" customWidth="1"/>
    <col min="2317" max="2560" width="11.42578125" style="1281"/>
    <col min="2561" max="2561" width="0" style="1281" hidden="1" customWidth="1"/>
    <col min="2562" max="2562" width="33.42578125" style="1281" customWidth="1"/>
    <col min="2563" max="2563" width="16.28515625" style="1281" customWidth="1"/>
    <col min="2564" max="2564" width="3.42578125" style="1281" customWidth="1"/>
    <col min="2565" max="2565" width="5.28515625" style="1281" customWidth="1"/>
    <col min="2566" max="2566" width="4.28515625" style="1281" customWidth="1"/>
    <col min="2567" max="2567" width="4.85546875" style="1281" customWidth="1"/>
    <col min="2568" max="2568" width="5" style="1281" customWidth="1"/>
    <col min="2569" max="2570" width="4" style="1281" customWidth="1"/>
    <col min="2571" max="2571" width="4.42578125" style="1281" customWidth="1"/>
    <col min="2572" max="2572" width="3.85546875" style="1281" customWidth="1"/>
    <col min="2573" max="2816" width="11.42578125" style="1281"/>
    <col min="2817" max="2817" width="0" style="1281" hidden="1" customWidth="1"/>
    <col min="2818" max="2818" width="33.42578125" style="1281" customWidth="1"/>
    <col min="2819" max="2819" width="16.28515625" style="1281" customWidth="1"/>
    <col min="2820" max="2820" width="3.42578125" style="1281" customWidth="1"/>
    <col min="2821" max="2821" width="5.28515625" style="1281" customWidth="1"/>
    <col min="2822" max="2822" width="4.28515625" style="1281" customWidth="1"/>
    <col min="2823" max="2823" width="4.85546875" style="1281" customWidth="1"/>
    <col min="2824" max="2824" width="5" style="1281" customWidth="1"/>
    <col min="2825" max="2826" width="4" style="1281" customWidth="1"/>
    <col min="2827" max="2827" width="4.42578125" style="1281" customWidth="1"/>
    <col min="2828" max="2828" width="3.85546875" style="1281" customWidth="1"/>
    <col min="2829" max="3072" width="11.42578125" style="1281"/>
    <col min="3073" max="3073" width="0" style="1281" hidden="1" customWidth="1"/>
    <col min="3074" max="3074" width="33.42578125" style="1281" customWidth="1"/>
    <col min="3075" max="3075" width="16.28515625" style="1281" customWidth="1"/>
    <col min="3076" max="3076" width="3.42578125" style="1281" customWidth="1"/>
    <col min="3077" max="3077" width="5.28515625" style="1281" customWidth="1"/>
    <col min="3078" max="3078" width="4.28515625" style="1281" customWidth="1"/>
    <col min="3079" max="3079" width="4.85546875" style="1281" customWidth="1"/>
    <col min="3080" max="3080" width="5" style="1281" customWidth="1"/>
    <col min="3081" max="3082" width="4" style="1281" customWidth="1"/>
    <col min="3083" max="3083" width="4.42578125" style="1281" customWidth="1"/>
    <col min="3084" max="3084" width="3.85546875" style="1281" customWidth="1"/>
    <col min="3085" max="3328" width="11.42578125" style="1281"/>
    <col min="3329" max="3329" width="0" style="1281" hidden="1" customWidth="1"/>
    <col min="3330" max="3330" width="33.42578125" style="1281" customWidth="1"/>
    <col min="3331" max="3331" width="16.28515625" style="1281" customWidth="1"/>
    <col min="3332" max="3332" width="3.42578125" style="1281" customWidth="1"/>
    <col min="3333" max="3333" width="5.28515625" style="1281" customWidth="1"/>
    <col min="3334" max="3334" width="4.28515625" style="1281" customWidth="1"/>
    <col min="3335" max="3335" width="4.85546875" style="1281" customWidth="1"/>
    <col min="3336" max="3336" width="5" style="1281" customWidth="1"/>
    <col min="3337" max="3338" width="4" style="1281" customWidth="1"/>
    <col min="3339" max="3339" width="4.42578125" style="1281" customWidth="1"/>
    <col min="3340" max="3340" width="3.85546875" style="1281" customWidth="1"/>
    <col min="3341" max="3584" width="11.42578125" style="1281"/>
    <col min="3585" max="3585" width="0" style="1281" hidden="1" customWidth="1"/>
    <col min="3586" max="3586" width="33.42578125" style="1281" customWidth="1"/>
    <col min="3587" max="3587" width="16.28515625" style="1281" customWidth="1"/>
    <col min="3588" max="3588" width="3.42578125" style="1281" customWidth="1"/>
    <col min="3589" max="3589" width="5.28515625" style="1281" customWidth="1"/>
    <col min="3590" max="3590" width="4.28515625" style="1281" customWidth="1"/>
    <col min="3591" max="3591" width="4.85546875" style="1281" customWidth="1"/>
    <col min="3592" max="3592" width="5" style="1281" customWidth="1"/>
    <col min="3593" max="3594" width="4" style="1281" customWidth="1"/>
    <col min="3595" max="3595" width="4.42578125" style="1281" customWidth="1"/>
    <col min="3596" max="3596" width="3.85546875" style="1281" customWidth="1"/>
    <col min="3597" max="3840" width="11.42578125" style="1281"/>
    <col min="3841" max="3841" width="0" style="1281" hidden="1" customWidth="1"/>
    <col min="3842" max="3842" width="33.42578125" style="1281" customWidth="1"/>
    <col min="3843" max="3843" width="16.28515625" style="1281" customWidth="1"/>
    <col min="3844" max="3844" width="3.42578125" style="1281" customWidth="1"/>
    <col min="3845" max="3845" width="5.28515625" style="1281" customWidth="1"/>
    <col min="3846" max="3846" width="4.28515625" style="1281" customWidth="1"/>
    <col min="3847" max="3847" width="4.85546875" style="1281" customWidth="1"/>
    <col min="3848" max="3848" width="5" style="1281" customWidth="1"/>
    <col min="3849" max="3850" width="4" style="1281" customWidth="1"/>
    <col min="3851" max="3851" width="4.42578125" style="1281" customWidth="1"/>
    <col min="3852" max="3852" width="3.85546875" style="1281" customWidth="1"/>
    <col min="3853" max="4096" width="11.42578125" style="1281"/>
    <col min="4097" max="4097" width="0" style="1281" hidden="1" customWidth="1"/>
    <col min="4098" max="4098" width="33.42578125" style="1281" customWidth="1"/>
    <col min="4099" max="4099" width="16.28515625" style="1281" customWidth="1"/>
    <col min="4100" max="4100" width="3.42578125" style="1281" customWidth="1"/>
    <col min="4101" max="4101" width="5.28515625" style="1281" customWidth="1"/>
    <col min="4102" max="4102" width="4.28515625" style="1281" customWidth="1"/>
    <col min="4103" max="4103" width="4.85546875" style="1281" customWidth="1"/>
    <col min="4104" max="4104" width="5" style="1281" customWidth="1"/>
    <col min="4105" max="4106" width="4" style="1281" customWidth="1"/>
    <col min="4107" max="4107" width="4.42578125" style="1281" customWidth="1"/>
    <col min="4108" max="4108" width="3.85546875" style="1281" customWidth="1"/>
    <col min="4109" max="4352" width="11.42578125" style="1281"/>
    <col min="4353" max="4353" width="0" style="1281" hidden="1" customWidth="1"/>
    <col min="4354" max="4354" width="33.42578125" style="1281" customWidth="1"/>
    <col min="4355" max="4355" width="16.28515625" style="1281" customWidth="1"/>
    <col min="4356" max="4356" width="3.42578125" style="1281" customWidth="1"/>
    <col min="4357" max="4357" width="5.28515625" style="1281" customWidth="1"/>
    <col min="4358" max="4358" width="4.28515625" style="1281" customWidth="1"/>
    <col min="4359" max="4359" width="4.85546875" style="1281" customWidth="1"/>
    <col min="4360" max="4360" width="5" style="1281" customWidth="1"/>
    <col min="4361" max="4362" width="4" style="1281" customWidth="1"/>
    <col min="4363" max="4363" width="4.42578125" style="1281" customWidth="1"/>
    <col min="4364" max="4364" width="3.85546875" style="1281" customWidth="1"/>
    <col min="4365" max="4608" width="11.42578125" style="1281"/>
    <col min="4609" max="4609" width="0" style="1281" hidden="1" customWidth="1"/>
    <col min="4610" max="4610" width="33.42578125" style="1281" customWidth="1"/>
    <col min="4611" max="4611" width="16.28515625" style="1281" customWidth="1"/>
    <col min="4612" max="4612" width="3.42578125" style="1281" customWidth="1"/>
    <col min="4613" max="4613" width="5.28515625" style="1281" customWidth="1"/>
    <col min="4614" max="4614" width="4.28515625" style="1281" customWidth="1"/>
    <col min="4615" max="4615" width="4.85546875" style="1281" customWidth="1"/>
    <col min="4616" max="4616" width="5" style="1281" customWidth="1"/>
    <col min="4617" max="4618" width="4" style="1281" customWidth="1"/>
    <col min="4619" max="4619" width="4.42578125" style="1281" customWidth="1"/>
    <col min="4620" max="4620" width="3.85546875" style="1281" customWidth="1"/>
    <col min="4621" max="4864" width="11.42578125" style="1281"/>
    <col min="4865" max="4865" width="0" style="1281" hidden="1" customWidth="1"/>
    <col min="4866" max="4866" width="33.42578125" style="1281" customWidth="1"/>
    <col min="4867" max="4867" width="16.28515625" style="1281" customWidth="1"/>
    <col min="4868" max="4868" width="3.42578125" style="1281" customWidth="1"/>
    <col min="4869" max="4869" width="5.28515625" style="1281" customWidth="1"/>
    <col min="4870" max="4870" width="4.28515625" style="1281" customWidth="1"/>
    <col min="4871" max="4871" width="4.85546875" style="1281" customWidth="1"/>
    <col min="4872" max="4872" width="5" style="1281" customWidth="1"/>
    <col min="4873" max="4874" width="4" style="1281" customWidth="1"/>
    <col min="4875" max="4875" width="4.42578125" style="1281" customWidth="1"/>
    <col min="4876" max="4876" width="3.85546875" style="1281" customWidth="1"/>
    <col min="4877" max="5120" width="11.42578125" style="1281"/>
    <col min="5121" max="5121" width="0" style="1281" hidden="1" customWidth="1"/>
    <col min="5122" max="5122" width="33.42578125" style="1281" customWidth="1"/>
    <col min="5123" max="5123" width="16.28515625" style="1281" customWidth="1"/>
    <col min="5124" max="5124" width="3.42578125" style="1281" customWidth="1"/>
    <col min="5125" max="5125" width="5.28515625" style="1281" customWidth="1"/>
    <col min="5126" max="5126" width="4.28515625" style="1281" customWidth="1"/>
    <col min="5127" max="5127" width="4.85546875" style="1281" customWidth="1"/>
    <col min="5128" max="5128" width="5" style="1281" customWidth="1"/>
    <col min="5129" max="5130" width="4" style="1281" customWidth="1"/>
    <col min="5131" max="5131" width="4.42578125" style="1281" customWidth="1"/>
    <col min="5132" max="5132" width="3.85546875" style="1281" customWidth="1"/>
    <col min="5133" max="5376" width="11.42578125" style="1281"/>
    <col min="5377" max="5377" width="0" style="1281" hidden="1" customWidth="1"/>
    <col min="5378" max="5378" width="33.42578125" style="1281" customWidth="1"/>
    <col min="5379" max="5379" width="16.28515625" style="1281" customWidth="1"/>
    <col min="5380" max="5380" width="3.42578125" style="1281" customWidth="1"/>
    <col min="5381" max="5381" width="5.28515625" style="1281" customWidth="1"/>
    <col min="5382" max="5382" width="4.28515625" style="1281" customWidth="1"/>
    <col min="5383" max="5383" width="4.85546875" style="1281" customWidth="1"/>
    <col min="5384" max="5384" width="5" style="1281" customWidth="1"/>
    <col min="5385" max="5386" width="4" style="1281" customWidth="1"/>
    <col min="5387" max="5387" width="4.42578125" style="1281" customWidth="1"/>
    <col min="5388" max="5388" width="3.85546875" style="1281" customWidth="1"/>
    <col min="5389" max="5632" width="11.42578125" style="1281"/>
    <col min="5633" max="5633" width="0" style="1281" hidden="1" customWidth="1"/>
    <col min="5634" max="5634" width="33.42578125" style="1281" customWidth="1"/>
    <col min="5635" max="5635" width="16.28515625" style="1281" customWidth="1"/>
    <col min="5636" max="5636" width="3.42578125" style="1281" customWidth="1"/>
    <col min="5637" max="5637" width="5.28515625" style="1281" customWidth="1"/>
    <col min="5638" max="5638" width="4.28515625" style="1281" customWidth="1"/>
    <col min="5639" max="5639" width="4.85546875" style="1281" customWidth="1"/>
    <col min="5640" max="5640" width="5" style="1281" customWidth="1"/>
    <col min="5641" max="5642" width="4" style="1281" customWidth="1"/>
    <col min="5643" max="5643" width="4.42578125" style="1281" customWidth="1"/>
    <col min="5644" max="5644" width="3.85546875" style="1281" customWidth="1"/>
    <col min="5645" max="5888" width="11.42578125" style="1281"/>
    <col min="5889" max="5889" width="0" style="1281" hidden="1" customWidth="1"/>
    <col min="5890" max="5890" width="33.42578125" style="1281" customWidth="1"/>
    <col min="5891" max="5891" width="16.28515625" style="1281" customWidth="1"/>
    <col min="5892" max="5892" width="3.42578125" style="1281" customWidth="1"/>
    <col min="5893" max="5893" width="5.28515625" style="1281" customWidth="1"/>
    <col min="5894" max="5894" width="4.28515625" style="1281" customWidth="1"/>
    <col min="5895" max="5895" width="4.85546875" style="1281" customWidth="1"/>
    <col min="5896" max="5896" width="5" style="1281" customWidth="1"/>
    <col min="5897" max="5898" width="4" style="1281" customWidth="1"/>
    <col min="5899" max="5899" width="4.42578125" style="1281" customWidth="1"/>
    <col min="5900" max="5900" width="3.85546875" style="1281" customWidth="1"/>
    <col min="5901" max="6144" width="11.42578125" style="1281"/>
    <col min="6145" max="6145" width="0" style="1281" hidden="1" customWidth="1"/>
    <col min="6146" max="6146" width="33.42578125" style="1281" customWidth="1"/>
    <col min="6147" max="6147" width="16.28515625" style="1281" customWidth="1"/>
    <col min="6148" max="6148" width="3.42578125" style="1281" customWidth="1"/>
    <col min="6149" max="6149" width="5.28515625" style="1281" customWidth="1"/>
    <col min="6150" max="6150" width="4.28515625" style="1281" customWidth="1"/>
    <col min="6151" max="6151" width="4.85546875" style="1281" customWidth="1"/>
    <col min="6152" max="6152" width="5" style="1281" customWidth="1"/>
    <col min="6153" max="6154" width="4" style="1281" customWidth="1"/>
    <col min="6155" max="6155" width="4.42578125" style="1281" customWidth="1"/>
    <col min="6156" max="6156" width="3.85546875" style="1281" customWidth="1"/>
    <col min="6157" max="6400" width="11.42578125" style="1281"/>
    <col min="6401" max="6401" width="0" style="1281" hidden="1" customWidth="1"/>
    <col min="6402" max="6402" width="33.42578125" style="1281" customWidth="1"/>
    <col min="6403" max="6403" width="16.28515625" style="1281" customWidth="1"/>
    <col min="6404" max="6404" width="3.42578125" style="1281" customWidth="1"/>
    <col min="6405" max="6405" width="5.28515625" style="1281" customWidth="1"/>
    <col min="6406" max="6406" width="4.28515625" style="1281" customWidth="1"/>
    <col min="6407" max="6407" width="4.85546875" style="1281" customWidth="1"/>
    <col min="6408" max="6408" width="5" style="1281" customWidth="1"/>
    <col min="6409" max="6410" width="4" style="1281" customWidth="1"/>
    <col min="6411" max="6411" width="4.42578125" style="1281" customWidth="1"/>
    <col min="6412" max="6412" width="3.85546875" style="1281" customWidth="1"/>
    <col min="6413" max="6656" width="11.42578125" style="1281"/>
    <col min="6657" max="6657" width="0" style="1281" hidden="1" customWidth="1"/>
    <col min="6658" max="6658" width="33.42578125" style="1281" customWidth="1"/>
    <col min="6659" max="6659" width="16.28515625" style="1281" customWidth="1"/>
    <col min="6660" max="6660" width="3.42578125" style="1281" customWidth="1"/>
    <col min="6661" max="6661" width="5.28515625" style="1281" customWidth="1"/>
    <col min="6662" max="6662" width="4.28515625" style="1281" customWidth="1"/>
    <col min="6663" max="6663" width="4.85546875" style="1281" customWidth="1"/>
    <col min="6664" max="6664" width="5" style="1281" customWidth="1"/>
    <col min="6665" max="6666" width="4" style="1281" customWidth="1"/>
    <col min="6667" max="6667" width="4.42578125" style="1281" customWidth="1"/>
    <col min="6668" max="6668" width="3.85546875" style="1281" customWidth="1"/>
    <col min="6669" max="6912" width="11.42578125" style="1281"/>
    <col min="6913" max="6913" width="0" style="1281" hidden="1" customWidth="1"/>
    <col min="6914" max="6914" width="33.42578125" style="1281" customWidth="1"/>
    <col min="6915" max="6915" width="16.28515625" style="1281" customWidth="1"/>
    <col min="6916" max="6916" width="3.42578125" style="1281" customWidth="1"/>
    <col min="6917" max="6917" width="5.28515625" style="1281" customWidth="1"/>
    <col min="6918" max="6918" width="4.28515625" style="1281" customWidth="1"/>
    <col min="6919" max="6919" width="4.85546875" style="1281" customWidth="1"/>
    <col min="6920" max="6920" width="5" style="1281" customWidth="1"/>
    <col min="6921" max="6922" width="4" style="1281" customWidth="1"/>
    <col min="6923" max="6923" width="4.42578125" style="1281" customWidth="1"/>
    <col min="6924" max="6924" width="3.85546875" style="1281" customWidth="1"/>
    <col min="6925" max="7168" width="11.42578125" style="1281"/>
    <col min="7169" max="7169" width="0" style="1281" hidden="1" customWidth="1"/>
    <col min="7170" max="7170" width="33.42578125" style="1281" customWidth="1"/>
    <col min="7171" max="7171" width="16.28515625" style="1281" customWidth="1"/>
    <col min="7172" max="7172" width="3.42578125" style="1281" customWidth="1"/>
    <col min="7173" max="7173" width="5.28515625" style="1281" customWidth="1"/>
    <col min="7174" max="7174" width="4.28515625" style="1281" customWidth="1"/>
    <col min="7175" max="7175" width="4.85546875" style="1281" customWidth="1"/>
    <col min="7176" max="7176" width="5" style="1281" customWidth="1"/>
    <col min="7177" max="7178" width="4" style="1281" customWidth="1"/>
    <col min="7179" max="7179" width="4.42578125" style="1281" customWidth="1"/>
    <col min="7180" max="7180" width="3.85546875" style="1281" customWidth="1"/>
    <col min="7181" max="7424" width="11.42578125" style="1281"/>
    <col min="7425" max="7425" width="0" style="1281" hidden="1" customWidth="1"/>
    <col min="7426" max="7426" width="33.42578125" style="1281" customWidth="1"/>
    <col min="7427" max="7427" width="16.28515625" style="1281" customWidth="1"/>
    <col min="7428" max="7428" width="3.42578125" style="1281" customWidth="1"/>
    <col min="7429" max="7429" width="5.28515625" style="1281" customWidth="1"/>
    <col min="7430" max="7430" width="4.28515625" style="1281" customWidth="1"/>
    <col min="7431" max="7431" width="4.85546875" style="1281" customWidth="1"/>
    <col min="7432" max="7432" width="5" style="1281" customWidth="1"/>
    <col min="7433" max="7434" width="4" style="1281" customWidth="1"/>
    <col min="7435" max="7435" width="4.42578125" style="1281" customWidth="1"/>
    <col min="7436" max="7436" width="3.85546875" style="1281" customWidth="1"/>
    <col min="7437" max="7680" width="11.42578125" style="1281"/>
    <col min="7681" max="7681" width="0" style="1281" hidden="1" customWidth="1"/>
    <col min="7682" max="7682" width="33.42578125" style="1281" customWidth="1"/>
    <col min="7683" max="7683" width="16.28515625" style="1281" customWidth="1"/>
    <col min="7684" max="7684" width="3.42578125" style="1281" customWidth="1"/>
    <col min="7685" max="7685" width="5.28515625" style="1281" customWidth="1"/>
    <col min="7686" max="7686" width="4.28515625" style="1281" customWidth="1"/>
    <col min="7687" max="7687" width="4.85546875" style="1281" customWidth="1"/>
    <col min="7688" max="7688" width="5" style="1281" customWidth="1"/>
    <col min="7689" max="7690" width="4" style="1281" customWidth="1"/>
    <col min="7691" max="7691" width="4.42578125" style="1281" customWidth="1"/>
    <col min="7692" max="7692" width="3.85546875" style="1281" customWidth="1"/>
    <col min="7693" max="7936" width="11.42578125" style="1281"/>
    <col min="7937" max="7937" width="0" style="1281" hidden="1" customWidth="1"/>
    <col min="7938" max="7938" width="33.42578125" style="1281" customWidth="1"/>
    <col min="7939" max="7939" width="16.28515625" style="1281" customWidth="1"/>
    <col min="7940" max="7940" width="3.42578125" style="1281" customWidth="1"/>
    <col min="7941" max="7941" width="5.28515625" style="1281" customWidth="1"/>
    <col min="7942" max="7942" width="4.28515625" style="1281" customWidth="1"/>
    <col min="7943" max="7943" width="4.85546875" style="1281" customWidth="1"/>
    <col min="7944" max="7944" width="5" style="1281" customWidth="1"/>
    <col min="7945" max="7946" width="4" style="1281" customWidth="1"/>
    <col min="7947" max="7947" width="4.42578125" style="1281" customWidth="1"/>
    <col min="7948" max="7948" width="3.85546875" style="1281" customWidth="1"/>
    <col min="7949" max="8192" width="11.42578125" style="1281"/>
    <col min="8193" max="8193" width="0" style="1281" hidden="1" customWidth="1"/>
    <col min="8194" max="8194" width="33.42578125" style="1281" customWidth="1"/>
    <col min="8195" max="8195" width="16.28515625" style="1281" customWidth="1"/>
    <col min="8196" max="8196" width="3.42578125" style="1281" customWidth="1"/>
    <col min="8197" max="8197" width="5.28515625" style="1281" customWidth="1"/>
    <col min="8198" max="8198" width="4.28515625" style="1281" customWidth="1"/>
    <col min="8199" max="8199" width="4.85546875" style="1281" customWidth="1"/>
    <col min="8200" max="8200" width="5" style="1281" customWidth="1"/>
    <col min="8201" max="8202" width="4" style="1281" customWidth="1"/>
    <col min="8203" max="8203" width="4.42578125" style="1281" customWidth="1"/>
    <col min="8204" max="8204" width="3.85546875" style="1281" customWidth="1"/>
    <col min="8205" max="8448" width="11.42578125" style="1281"/>
    <col min="8449" max="8449" width="0" style="1281" hidden="1" customWidth="1"/>
    <col min="8450" max="8450" width="33.42578125" style="1281" customWidth="1"/>
    <col min="8451" max="8451" width="16.28515625" style="1281" customWidth="1"/>
    <col min="8452" max="8452" width="3.42578125" style="1281" customWidth="1"/>
    <col min="8453" max="8453" width="5.28515625" style="1281" customWidth="1"/>
    <col min="8454" max="8454" width="4.28515625" style="1281" customWidth="1"/>
    <col min="8455" max="8455" width="4.85546875" style="1281" customWidth="1"/>
    <col min="8456" max="8456" width="5" style="1281" customWidth="1"/>
    <col min="8457" max="8458" width="4" style="1281" customWidth="1"/>
    <col min="8459" max="8459" width="4.42578125" style="1281" customWidth="1"/>
    <col min="8460" max="8460" width="3.85546875" style="1281" customWidth="1"/>
    <col min="8461" max="8704" width="11.42578125" style="1281"/>
    <col min="8705" max="8705" width="0" style="1281" hidden="1" customWidth="1"/>
    <col min="8706" max="8706" width="33.42578125" style="1281" customWidth="1"/>
    <col min="8707" max="8707" width="16.28515625" style="1281" customWidth="1"/>
    <col min="8708" max="8708" width="3.42578125" style="1281" customWidth="1"/>
    <col min="8709" max="8709" width="5.28515625" style="1281" customWidth="1"/>
    <col min="8710" max="8710" width="4.28515625" style="1281" customWidth="1"/>
    <col min="8711" max="8711" width="4.85546875" style="1281" customWidth="1"/>
    <col min="8712" max="8712" width="5" style="1281" customWidth="1"/>
    <col min="8713" max="8714" width="4" style="1281" customWidth="1"/>
    <col min="8715" max="8715" width="4.42578125" style="1281" customWidth="1"/>
    <col min="8716" max="8716" width="3.85546875" style="1281" customWidth="1"/>
    <col min="8717" max="8960" width="11.42578125" style="1281"/>
    <col min="8961" max="8961" width="0" style="1281" hidden="1" customWidth="1"/>
    <col min="8962" max="8962" width="33.42578125" style="1281" customWidth="1"/>
    <col min="8963" max="8963" width="16.28515625" style="1281" customWidth="1"/>
    <col min="8964" max="8964" width="3.42578125" style="1281" customWidth="1"/>
    <col min="8965" max="8965" width="5.28515625" style="1281" customWidth="1"/>
    <col min="8966" max="8966" width="4.28515625" style="1281" customWidth="1"/>
    <col min="8967" max="8967" width="4.85546875" style="1281" customWidth="1"/>
    <col min="8968" max="8968" width="5" style="1281" customWidth="1"/>
    <col min="8969" max="8970" width="4" style="1281" customWidth="1"/>
    <col min="8971" max="8971" width="4.42578125" style="1281" customWidth="1"/>
    <col min="8972" max="8972" width="3.85546875" style="1281" customWidth="1"/>
    <col min="8973" max="9216" width="11.42578125" style="1281"/>
    <col min="9217" max="9217" width="0" style="1281" hidden="1" customWidth="1"/>
    <col min="9218" max="9218" width="33.42578125" style="1281" customWidth="1"/>
    <col min="9219" max="9219" width="16.28515625" style="1281" customWidth="1"/>
    <col min="9220" max="9220" width="3.42578125" style="1281" customWidth="1"/>
    <col min="9221" max="9221" width="5.28515625" style="1281" customWidth="1"/>
    <col min="9222" max="9222" width="4.28515625" style="1281" customWidth="1"/>
    <col min="9223" max="9223" width="4.85546875" style="1281" customWidth="1"/>
    <col min="9224" max="9224" width="5" style="1281" customWidth="1"/>
    <col min="9225" max="9226" width="4" style="1281" customWidth="1"/>
    <col min="9227" max="9227" width="4.42578125" style="1281" customWidth="1"/>
    <col min="9228" max="9228" width="3.85546875" style="1281" customWidth="1"/>
    <col min="9229" max="9472" width="11.42578125" style="1281"/>
    <col min="9473" max="9473" width="0" style="1281" hidden="1" customWidth="1"/>
    <col min="9474" max="9474" width="33.42578125" style="1281" customWidth="1"/>
    <col min="9475" max="9475" width="16.28515625" style="1281" customWidth="1"/>
    <col min="9476" max="9476" width="3.42578125" style="1281" customWidth="1"/>
    <col min="9477" max="9477" width="5.28515625" style="1281" customWidth="1"/>
    <col min="9478" max="9478" width="4.28515625" style="1281" customWidth="1"/>
    <col min="9479" max="9479" width="4.85546875" style="1281" customWidth="1"/>
    <col min="9480" max="9480" width="5" style="1281" customWidth="1"/>
    <col min="9481" max="9482" width="4" style="1281" customWidth="1"/>
    <col min="9483" max="9483" width="4.42578125" style="1281" customWidth="1"/>
    <col min="9484" max="9484" width="3.85546875" style="1281" customWidth="1"/>
    <col min="9485" max="9728" width="11.42578125" style="1281"/>
    <col min="9729" max="9729" width="0" style="1281" hidden="1" customWidth="1"/>
    <col min="9730" max="9730" width="33.42578125" style="1281" customWidth="1"/>
    <col min="9731" max="9731" width="16.28515625" style="1281" customWidth="1"/>
    <col min="9732" max="9732" width="3.42578125" style="1281" customWidth="1"/>
    <col min="9733" max="9733" width="5.28515625" style="1281" customWidth="1"/>
    <col min="9734" max="9734" width="4.28515625" style="1281" customWidth="1"/>
    <col min="9735" max="9735" width="4.85546875" style="1281" customWidth="1"/>
    <col min="9736" max="9736" width="5" style="1281" customWidth="1"/>
    <col min="9737" max="9738" width="4" style="1281" customWidth="1"/>
    <col min="9739" max="9739" width="4.42578125" style="1281" customWidth="1"/>
    <col min="9740" max="9740" width="3.85546875" style="1281" customWidth="1"/>
    <col min="9741" max="9984" width="11.42578125" style="1281"/>
    <col min="9985" max="9985" width="0" style="1281" hidden="1" customWidth="1"/>
    <col min="9986" max="9986" width="33.42578125" style="1281" customWidth="1"/>
    <col min="9987" max="9987" width="16.28515625" style="1281" customWidth="1"/>
    <col min="9988" max="9988" width="3.42578125" style="1281" customWidth="1"/>
    <col min="9989" max="9989" width="5.28515625" style="1281" customWidth="1"/>
    <col min="9990" max="9990" width="4.28515625" style="1281" customWidth="1"/>
    <col min="9991" max="9991" width="4.85546875" style="1281" customWidth="1"/>
    <col min="9992" max="9992" width="5" style="1281" customWidth="1"/>
    <col min="9993" max="9994" width="4" style="1281" customWidth="1"/>
    <col min="9995" max="9995" width="4.42578125" style="1281" customWidth="1"/>
    <col min="9996" max="9996" width="3.85546875" style="1281" customWidth="1"/>
    <col min="9997" max="10240" width="11.42578125" style="1281"/>
    <col min="10241" max="10241" width="0" style="1281" hidden="1" customWidth="1"/>
    <col min="10242" max="10242" width="33.42578125" style="1281" customWidth="1"/>
    <col min="10243" max="10243" width="16.28515625" style="1281" customWidth="1"/>
    <col min="10244" max="10244" width="3.42578125" style="1281" customWidth="1"/>
    <col min="10245" max="10245" width="5.28515625" style="1281" customWidth="1"/>
    <col min="10246" max="10246" width="4.28515625" style="1281" customWidth="1"/>
    <col min="10247" max="10247" width="4.85546875" style="1281" customWidth="1"/>
    <col min="10248" max="10248" width="5" style="1281" customWidth="1"/>
    <col min="10249" max="10250" width="4" style="1281" customWidth="1"/>
    <col min="10251" max="10251" width="4.42578125" style="1281" customWidth="1"/>
    <col min="10252" max="10252" width="3.85546875" style="1281" customWidth="1"/>
    <col min="10253" max="10496" width="11.42578125" style="1281"/>
    <col min="10497" max="10497" width="0" style="1281" hidden="1" customWidth="1"/>
    <col min="10498" max="10498" width="33.42578125" style="1281" customWidth="1"/>
    <col min="10499" max="10499" width="16.28515625" style="1281" customWidth="1"/>
    <col min="10500" max="10500" width="3.42578125" style="1281" customWidth="1"/>
    <col min="10501" max="10501" width="5.28515625" style="1281" customWidth="1"/>
    <col min="10502" max="10502" width="4.28515625" style="1281" customWidth="1"/>
    <col min="10503" max="10503" width="4.85546875" style="1281" customWidth="1"/>
    <col min="10504" max="10504" width="5" style="1281" customWidth="1"/>
    <col min="10505" max="10506" width="4" style="1281" customWidth="1"/>
    <col min="10507" max="10507" width="4.42578125" style="1281" customWidth="1"/>
    <col min="10508" max="10508" width="3.85546875" style="1281" customWidth="1"/>
    <col min="10509" max="10752" width="11.42578125" style="1281"/>
    <col min="10753" max="10753" width="0" style="1281" hidden="1" customWidth="1"/>
    <col min="10754" max="10754" width="33.42578125" style="1281" customWidth="1"/>
    <col min="10755" max="10755" width="16.28515625" style="1281" customWidth="1"/>
    <col min="10756" max="10756" width="3.42578125" style="1281" customWidth="1"/>
    <col min="10757" max="10757" width="5.28515625" style="1281" customWidth="1"/>
    <col min="10758" max="10758" width="4.28515625" style="1281" customWidth="1"/>
    <col min="10759" max="10759" width="4.85546875" style="1281" customWidth="1"/>
    <col min="10760" max="10760" width="5" style="1281" customWidth="1"/>
    <col min="10761" max="10762" width="4" style="1281" customWidth="1"/>
    <col min="10763" max="10763" width="4.42578125" style="1281" customWidth="1"/>
    <col min="10764" max="10764" width="3.85546875" style="1281" customWidth="1"/>
    <col min="10765" max="11008" width="11.42578125" style="1281"/>
    <col min="11009" max="11009" width="0" style="1281" hidden="1" customWidth="1"/>
    <col min="11010" max="11010" width="33.42578125" style="1281" customWidth="1"/>
    <col min="11011" max="11011" width="16.28515625" style="1281" customWidth="1"/>
    <col min="11012" max="11012" width="3.42578125" style="1281" customWidth="1"/>
    <col min="11013" max="11013" width="5.28515625" style="1281" customWidth="1"/>
    <col min="11014" max="11014" width="4.28515625" style="1281" customWidth="1"/>
    <col min="11015" max="11015" width="4.85546875" style="1281" customWidth="1"/>
    <col min="11016" max="11016" width="5" style="1281" customWidth="1"/>
    <col min="11017" max="11018" width="4" style="1281" customWidth="1"/>
    <col min="11019" max="11019" width="4.42578125" style="1281" customWidth="1"/>
    <col min="11020" max="11020" width="3.85546875" style="1281" customWidth="1"/>
    <col min="11021" max="11264" width="11.42578125" style="1281"/>
    <col min="11265" max="11265" width="0" style="1281" hidden="1" customWidth="1"/>
    <col min="11266" max="11266" width="33.42578125" style="1281" customWidth="1"/>
    <col min="11267" max="11267" width="16.28515625" style="1281" customWidth="1"/>
    <col min="11268" max="11268" width="3.42578125" style="1281" customWidth="1"/>
    <col min="11269" max="11269" width="5.28515625" style="1281" customWidth="1"/>
    <col min="11270" max="11270" width="4.28515625" style="1281" customWidth="1"/>
    <col min="11271" max="11271" width="4.85546875" style="1281" customWidth="1"/>
    <col min="11272" max="11272" width="5" style="1281" customWidth="1"/>
    <col min="11273" max="11274" width="4" style="1281" customWidth="1"/>
    <col min="11275" max="11275" width="4.42578125" style="1281" customWidth="1"/>
    <col min="11276" max="11276" width="3.85546875" style="1281" customWidth="1"/>
    <col min="11277" max="11520" width="11.42578125" style="1281"/>
    <col min="11521" max="11521" width="0" style="1281" hidden="1" customWidth="1"/>
    <col min="11522" max="11522" width="33.42578125" style="1281" customWidth="1"/>
    <col min="11523" max="11523" width="16.28515625" style="1281" customWidth="1"/>
    <col min="11524" max="11524" width="3.42578125" style="1281" customWidth="1"/>
    <col min="11525" max="11525" width="5.28515625" style="1281" customWidth="1"/>
    <col min="11526" max="11526" width="4.28515625" style="1281" customWidth="1"/>
    <col min="11527" max="11527" width="4.85546875" style="1281" customWidth="1"/>
    <col min="11528" max="11528" width="5" style="1281" customWidth="1"/>
    <col min="11529" max="11530" width="4" style="1281" customWidth="1"/>
    <col min="11531" max="11531" width="4.42578125" style="1281" customWidth="1"/>
    <col min="11532" max="11532" width="3.85546875" style="1281" customWidth="1"/>
    <col min="11533" max="11776" width="11.42578125" style="1281"/>
    <col min="11777" max="11777" width="0" style="1281" hidden="1" customWidth="1"/>
    <col min="11778" max="11778" width="33.42578125" style="1281" customWidth="1"/>
    <col min="11779" max="11779" width="16.28515625" style="1281" customWidth="1"/>
    <col min="11780" max="11780" width="3.42578125" style="1281" customWidth="1"/>
    <col min="11781" max="11781" width="5.28515625" style="1281" customWidth="1"/>
    <col min="11782" max="11782" width="4.28515625" style="1281" customWidth="1"/>
    <col min="11783" max="11783" width="4.85546875" style="1281" customWidth="1"/>
    <col min="11784" max="11784" width="5" style="1281" customWidth="1"/>
    <col min="11785" max="11786" width="4" style="1281" customWidth="1"/>
    <col min="11787" max="11787" width="4.42578125" style="1281" customWidth="1"/>
    <col min="11788" max="11788" width="3.85546875" style="1281" customWidth="1"/>
    <col min="11789" max="12032" width="11.42578125" style="1281"/>
    <col min="12033" max="12033" width="0" style="1281" hidden="1" customWidth="1"/>
    <col min="12034" max="12034" width="33.42578125" style="1281" customWidth="1"/>
    <col min="12035" max="12035" width="16.28515625" style="1281" customWidth="1"/>
    <col min="12036" max="12036" width="3.42578125" style="1281" customWidth="1"/>
    <col min="12037" max="12037" width="5.28515625" style="1281" customWidth="1"/>
    <col min="12038" max="12038" width="4.28515625" style="1281" customWidth="1"/>
    <col min="12039" max="12039" width="4.85546875" style="1281" customWidth="1"/>
    <col min="12040" max="12040" width="5" style="1281" customWidth="1"/>
    <col min="12041" max="12042" width="4" style="1281" customWidth="1"/>
    <col min="12043" max="12043" width="4.42578125" style="1281" customWidth="1"/>
    <col min="12044" max="12044" width="3.85546875" style="1281" customWidth="1"/>
    <col min="12045" max="12288" width="11.42578125" style="1281"/>
    <col min="12289" max="12289" width="0" style="1281" hidden="1" customWidth="1"/>
    <col min="12290" max="12290" width="33.42578125" style="1281" customWidth="1"/>
    <col min="12291" max="12291" width="16.28515625" style="1281" customWidth="1"/>
    <col min="12292" max="12292" width="3.42578125" style="1281" customWidth="1"/>
    <col min="12293" max="12293" width="5.28515625" style="1281" customWidth="1"/>
    <col min="12294" max="12294" width="4.28515625" style="1281" customWidth="1"/>
    <col min="12295" max="12295" width="4.85546875" style="1281" customWidth="1"/>
    <col min="12296" max="12296" width="5" style="1281" customWidth="1"/>
    <col min="12297" max="12298" width="4" style="1281" customWidth="1"/>
    <col min="12299" max="12299" width="4.42578125" style="1281" customWidth="1"/>
    <col min="12300" max="12300" width="3.85546875" style="1281" customWidth="1"/>
    <col min="12301" max="12544" width="11.42578125" style="1281"/>
    <col min="12545" max="12545" width="0" style="1281" hidden="1" customWidth="1"/>
    <col min="12546" max="12546" width="33.42578125" style="1281" customWidth="1"/>
    <col min="12547" max="12547" width="16.28515625" style="1281" customWidth="1"/>
    <col min="12548" max="12548" width="3.42578125" style="1281" customWidth="1"/>
    <col min="12549" max="12549" width="5.28515625" style="1281" customWidth="1"/>
    <col min="12550" max="12550" width="4.28515625" style="1281" customWidth="1"/>
    <col min="12551" max="12551" width="4.85546875" style="1281" customWidth="1"/>
    <col min="12552" max="12552" width="5" style="1281" customWidth="1"/>
    <col min="12553" max="12554" width="4" style="1281" customWidth="1"/>
    <col min="12555" max="12555" width="4.42578125" style="1281" customWidth="1"/>
    <col min="12556" max="12556" width="3.85546875" style="1281" customWidth="1"/>
    <col min="12557" max="12800" width="11.42578125" style="1281"/>
    <col min="12801" max="12801" width="0" style="1281" hidden="1" customWidth="1"/>
    <col min="12802" max="12802" width="33.42578125" style="1281" customWidth="1"/>
    <col min="12803" max="12803" width="16.28515625" style="1281" customWidth="1"/>
    <col min="12804" max="12804" width="3.42578125" style="1281" customWidth="1"/>
    <col min="12805" max="12805" width="5.28515625" style="1281" customWidth="1"/>
    <col min="12806" max="12806" width="4.28515625" style="1281" customWidth="1"/>
    <col min="12807" max="12807" width="4.85546875" style="1281" customWidth="1"/>
    <col min="12808" max="12808" width="5" style="1281" customWidth="1"/>
    <col min="12809" max="12810" width="4" style="1281" customWidth="1"/>
    <col min="12811" max="12811" width="4.42578125" style="1281" customWidth="1"/>
    <col min="12812" max="12812" width="3.85546875" style="1281" customWidth="1"/>
    <col min="12813" max="13056" width="11.42578125" style="1281"/>
    <col min="13057" max="13057" width="0" style="1281" hidden="1" customWidth="1"/>
    <col min="13058" max="13058" width="33.42578125" style="1281" customWidth="1"/>
    <col min="13059" max="13059" width="16.28515625" style="1281" customWidth="1"/>
    <col min="13060" max="13060" width="3.42578125" style="1281" customWidth="1"/>
    <col min="13061" max="13061" width="5.28515625" style="1281" customWidth="1"/>
    <col min="13062" max="13062" width="4.28515625" style="1281" customWidth="1"/>
    <col min="13063" max="13063" width="4.85546875" style="1281" customWidth="1"/>
    <col min="13064" max="13064" width="5" style="1281" customWidth="1"/>
    <col min="13065" max="13066" width="4" style="1281" customWidth="1"/>
    <col min="13067" max="13067" width="4.42578125" style="1281" customWidth="1"/>
    <col min="13068" max="13068" width="3.85546875" style="1281" customWidth="1"/>
    <col min="13069" max="13312" width="11.42578125" style="1281"/>
    <col min="13313" max="13313" width="0" style="1281" hidden="1" customWidth="1"/>
    <col min="13314" max="13314" width="33.42578125" style="1281" customWidth="1"/>
    <col min="13315" max="13315" width="16.28515625" style="1281" customWidth="1"/>
    <col min="13316" max="13316" width="3.42578125" style="1281" customWidth="1"/>
    <col min="13317" max="13317" width="5.28515625" style="1281" customWidth="1"/>
    <col min="13318" max="13318" width="4.28515625" style="1281" customWidth="1"/>
    <col min="13319" max="13319" width="4.85546875" style="1281" customWidth="1"/>
    <col min="13320" max="13320" width="5" style="1281" customWidth="1"/>
    <col min="13321" max="13322" width="4" style="1281" customWidth="1"/>
    <col min="13323" max="13323" width="4.42578125" style="1281" customWidth="1"/>
    <col min="13324" max="13324" width="3.85546875" style="1281" customWidth="1"/>
    <col min="13325" max="13568" width="11.42578125" style="1281"/>
    <col min="13569" max="13569" width="0" style="1281" hidden="1" customWidth="1"/>
    <col min="13570" max="13570" width="33.42578125" style="1281" customWidth="1"/>
    <col min="13571" max="13571" width="16.28515625" style="1281" customWidth="1"/>
    <col min="13572" max="13572" width="3.42578125" style="1281" customWidth="1"/>
    <col min="13573" max="13573" width="5.28515625" style="1281" customWidth="1"/>
    <col min="13574" max="13574" width="4.28515625" style="1281" customWidth="1"/>
    <col min="13575" max="13575" width="4.85546875" style="1281" customWidth="1"/>
    <col min="13576" max="13576" width="5" style="1281" customWidth="1"/>
    <col min="13577" max="13578" width="4" style="1281" customWidth="1"/>
    <col min="13579" max="13579" width="4.42578125" style="1281" customWidth="1"/>
    <col min="13580" max="13580" width="3.85546875" style="1281" customWidth="1"/>
    <col min="13581" max="13824" width="11.42578125" style="1281"/>
    <col min="13825" max="13825" width="0" style="1281" hidden="1" customWidth="1"/>
    <col min="13826" max="13826" width="33.42578125" style="1281" customWidth="1"/>
    <col min="13827" max="13827" width="16.28515625" style="1281" customWidth="1"/>
    <col min="13828" max="13828" width="3.42578125" style="1281" customWidth="1"/>
    <col min="13829" max="13829" width="5.28515625" style="1281" customWidth="1"/>
    <col min="13830" max="13830" width="4.28515625" style="1281" customWidth="1"/>
    <col min="13831" max="13831" width="4.85546875" style="1281" customWidth="1"/>
    <col min="13832" max="13832" width="5" style="1281" customWidth="1"/>
    <col min="13833" max="13834" width="4" style="1281" customWidth="1"/>
    <col min="13835" max="13835" width="4.42578125" style="1281" customWidth="1"/>
    <col min="13836" max="13836" width="3.85546875" style="1281" customWidth="1"/>
    <col min="13837" max="14080" width="11.42578125" style="1281"/>
    <col min="14081" max="14081" width="0" style="1281" hidden="1" customWidth="1"/>
    <col min="14082" max="14082" width="33.42578125" style="1281" customWidth="1"/>
    <col min="14083" max="14083" width="16.28515625" style="1281" customWidth="1"/>
    <col min="14084" max="14084" width="3.42578125" style="1281" customWidth="1"/>
    <col min="14085" max="14085" width="5.28515625" style="1281" customWidth="1"/>
    <col min="14086" max="14086" width="4.28515625" style="1281" customWidth="1"/>
    <col min="14087" max="14087" width="4.85546875" style="1281" customWidth="1"/>
    <col min="14088" max="14088" width="5" style="1281" customWidth="1"/>
    <col min="14089" max="14090" width="4" style="1281" customWidth="1"/>
    <col min="14091" max="14091" width="4.42578125" style="1281" customWidth="1"/>
    <col min="14092" max="14092" width="3.85546875" style="1281" customWidth="1"/>
    <col min="14093" max="14336" width="11.42578125" style="1281"/>
    <col min="14337" max="14337" width="0" style="1281" hidden="1" customWidth="1"/>
    <col min="14338" max="14338" width="33.42578125" style="1281" customWidth="1"/>
    <col min="14339" max="14339" width="16.28515625" style="1281" customWidth="1"/>
    <col min="14340" max="14340" width="3.42578125" style="1281" customWidth="1"/>
    <col min="14341" max="14341" width="5.28515625" style="1281" customWidth="1"/>
    <col min="14342" max="14342" width="4.28515625" style="1281" customWidth="1"/>
    <col min="14343" max="14343" width="4.85546875" style="1281" customWidth="1"/>
    <col min="14344" max="14344" width="5" style="1281" customWidth="1"/>
    <col min="14345" max="14346" width="4" style="1281" customWidth="1"/>
    <col min="14347" max="14347" width="4.42578125" style="1281" customWidth="1"/>
    <col min="14348" max="14348" width="3.85546875" style="1281" customWidth="1"/>
    <col min="14349" max="14592" width="11.42578125" style="1281"/>
    <col min="14593" max="14593" width="0" style="1281" hidden="1" customWidth="1"/>
    <col min="14594" max="14594" width="33.42578125" style="1281" customWidth="1"/>
    <col min="14595" max="14595" width="16.28515625" style="1281" customWidth="1"/>
    <col min="14596" max="14596" width="3.42578125" style="1281" customWidth="1"/>
    <col min="14597" max="14597" width="5.28515625" style="1281" customWidth="1"/>
    <col min="14598" max="14598" width="4.28515625" style="1281" customWidth="1"/>
    <col min="14599" max="14599" width="4.85546875" style="1281" customWidth="1"/>
    <col min="14600" max="14600" width="5" style="1281" customWidth="1"/>
    <col min="14601" max="14602" width="4" style="1281" customWidth="1"/>
    <col min="14603" max="14603" width="4.42578125" style="1281" customWidth="1"/>
    <col min="14604" max="14604" width="3.85546875" style="1281" customWidth="1"/>
    <col min="14605" max="14848" width="11.42578125" style="1281"/>
    <col min="14849" max="14849" width="0" style="1281" hidden="1" customWidth="1"/>
    <col min="14850" max="14850" width="33.42578125" style="1281" customWidth="1"/>
    <col min="14851" max="14851" width="16.28515625" style="1281" customWidth="1"/>
    <col min="14852" max="14852" width="3.42578125" style="1281" customWidth="1"/>
    <col min="14853" max="14853" width="5.28515625" style="1281" customWidth="1"/>
    <col min="14854" max="14854" width="4.28515625" style="1281" customWidth="1"/>
    <col min="14855" max="14855" width="4.85546875" style="1281" customWidth="1"/>
    <col min="14856" max="14856" width="5" style="1281" customWidth="1"/>
    <col min="14857" max="14858" width="4" style="1281" customWidth="1"/>
    <col min="14859" max="14859" width="4.42578125" style="1281" customWidth="1"/>
    <col min="14860" max="14860" width="3.85546875" style="1281" customWidth="1"/>
    <col min="14861" max="15104" width="11.42578125" style="1281"/>
    <col min="15105" max="15105" width="0" style="1281" hidden="1" customWidth="1"/>
    <col min="15106" max="15106" width="33.42578125" style="1281" customWidth="1"/>
    <col min="15107" max="15107" width="16.28515625" style="1281" customWidth="1"/>
    <col min="15108" max="15108" width="3.42578125" style="1281" customWidth="1"/>
    <col min="15109" max="15109" width="5.28515625" style="1281" customWidth="1"/>
    <col min="15110" max="15110" width="4.28515625" style="1281" customWidth="1"/>
    <col min="15111" max="15111" width="4.85546875" style="1281" customWidth="1"/>
    <col min="15112" max="15112" width="5" style="1281" customWidth="1"/>
    <col min="15113" max="15114" width="4" style="1281" customWidth="1"/>
    <col min="15115" max="15115" width="4.42578125" style="1281" customWidth="1"/>
    <col min="15116" max="15116" width="3.85546875" style="1281" customWidth="1"/>
    <col min="15117" max="15360" width="11.42578125" style="1281"/>
    <col min="15361" max="15361" width="0" style="1281" hidden="1" customWidth="1"/>
    <col min="15362" max="15362" width="33.42578125" style="1281" customWidth="1"/>
    <col min="15363" max="15363" width="16.28515625" style="1281" customWidth="1"/>
    <col min="15364" max="15364" width="3.42578125" style="1281" customWidth="1"/>
    <col min="15365" max="15365" width="5.28515625" style="1281" customWidth="1"/>
    <col min="15366" max="15366" width="4.28515625" style="1281" customWidth="1"/>
    <col min="15367" max="15367" width="4.85546875" style="1281" customWidth="1"/>
    <col min="15368" max="15368" width="5" style="1281" customWidth="1"/>
    <col min="15369" max="15370" width="4" style="1281" customWidth="1"/>
    <col min="15371" max="15371" width="4.42578125" style="1281" customWidth="1"/>
    <col min="15372" max="15372" width="3.85546875" style="1281" customWidth="1"/>
    <col min="15373" max="15616" width="11.42578125" style="1281"/>
    <col min="15617" max="15617" width="0" style="1281" hidden="1" customWidth="1"/>
    <col min="15618" max="15618" width="33.42578125" style="1281" customWidth="1"/>
    <col min="15619" max="15619" width="16.28515625" style="1281" customWidth="1"/>
    <col min="15620" max="15620" width="3.42578125" style="1281" customWidth="1"/>
    <col min="15621" max="15621" width="5.28515625" style="1281" customWidth="1"/>
    <col min="15622" max="15622" width="4.28515625" style="1281" customWidth="1"/>
    <col min="15623" max="15623" width="4.85546875" style="1281" customWidth="1"/>
    <col min="15624" max="15624" width="5" style="1281" customWidth="1"/>
    <col min="15625" max="15626" width="4" style="1281" customWidth="1"/>
    <col min="15627" max="15627" width="4.42578125" style="1281" customWidth="1"/>
    <col min="15628" max="15628" width="3.85546875" style="1281" customWidth="1"/>
    <col min="15629" max="15872" width="11.42578125" style="1281"/>
    <col min="15873" max="15873" width="0" style="1281" hidden="1" customWidth="1"/>
    <col min="15874" max="15874" width="33.42578125" style="1281" customWidth="1"/>
    <col min="15875" max="15875" width="16.28515625" style="1281" customWidth="1"/>
    <col min="15876" max="15876" width="3.42578125" style="1281" customWidth="1"/>
    <col min="15877" max="15877" width="5.28515625" style="1281" customWidth="1"/>
    <col min="15878" max="15878" width="4.28515625" style="1281" customWidth="1"/>
    <col min="15879" max="15879" width="4.85546875" style="1281" customWidth="1"/>
    <col min="15880" max="15880" width="5" style="1281" customWidth="1"/>
    <col min="15881" max="15882" width="4" style="1281" customWidth="1"/>
    <col min="15883" max="15883" width="4.42578125" style="1281" customWidth="1"/>
    <col min="15884" max="15884" width="3.85546875" style="1281" customWidth="1"/>
    <col min="15885" max="16128" width="11.42578125" style="1281"/>
    <col min="16129" max="16129" width="0" style="1281" hidden="1" customWidth="1"/>
    <col min="16130" max="16130" width="33.42578125" style="1281" customWidth="1"/>
    <col min="16131" max="16131" width="16.28515625" style="1281" customWidth="1"/>
    <col min="16132" max="16132" width="3.42578125" style="1281" customWidth="1"/>
    <col min="16133" max="16133" width="5.28515625" style="1281" customWidth="1"/>
    <col min="16134" max="16134" width="4.28515625" style="1281" customWidth="1"/>
    <col min="16135" max="16135" width="4.85546875" style="1281" customWidth="1"/>
    <col min="16136" max="16136" width="5" style="1281" customWidth="1"/>
    <col min="16137" max="16138" width="4" style="1281" customWidth="1"/>
    <col min="16139" max="16139" width="4.42578125" style="1281" customWidth="1"/>
    <col min="16140" max="16140" width="3.85546875" style="1281" customWidth="1"/>
    <col min="16141" max="16384" width="11.42578125" style="1281"/>
  </cols>
  <sheetData>
    <row r="1" spans="1:27" ht="24" customHeight="1" thickBot="1">
      <c r="A1" s="1512">
        <v>5</v>
      </c>
      <c r="B1" s="1512">
        <v>33</v>
      </c>
      <c r="C1" s="1512">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704"/>
      <c r="B2" s="3616" t="s">
        <v>2178</v>
      </c>
      <c r="C2" s="3617"/>
      <c r="D2" s="3617"/>
      <c r="E2" s="3617"/>
      <c r="F2" s="3617"/>
      <c r="G2" s="3617"/>
      <c r="H2" s="2844" t="s">
        <v>1444</v>
      </c>
      <c r="I2" s="2845">
        <f>X2</f>
        <v>10</v>
      </c>
      <c r="J2" s="2841"/>
      <c r="K2" s="2843" t="s">
        <v>2873</v>
      </c>
      <c r="L2" s="2842">
        <v>5</v>
      </c>
      <c r="M2" s="1675">
        <v>42.75</v>
      </c>
      <c r="P2" s="1766"/>
      <c r="Q2" s="3645" t="s">
        <v>2178</v>
      </c>
      <c r="R2" s="3646"/>
      <c r="S2" s="3646"/>
      <c r="T2" s="3646"/>
      <c r="U2" s="3646"/>
      <c r="V2" s="3647"/>
      <c r="W2" s="1767" t="s">
        <v>1444</v>
      </c>
      <c r="X2" s="1768">
        <v>10</v>
      </c>
      <c r="Y2" s="1769"/>
      <c r="Z2" s="1769"/>
      <c r="AA2" s="1770"/>
    </row>
    <row r="3" spans="1:27" ht="25.5" customHeight="1">
      <c r="A3" s="1710"/>
      <c r="B3" s="1711" t="s">
        <v>1391</v>
      </c>
      <c r="C3" s="1712"/>
      <c r="D3" s="1712"/>
      <c r="E3" s="1713"/>
      <c r="F3" s="1714" t="s">
        <v>1445</v>
      </c>
      <c r="G3" s="1715"/>
      <c r="H3" s="1531"/>
      <c r="I3" s="1531"/>
      <c r="J3" s="1715"/>
      <c r="K3" s="1715"/>
      <c r="L3" s="1716"/>
      <c r="M3" s="1675">
        <v>25.5</v>
      </c>
      <c r="P3" s="1771"/>
      <c r="Q3" s="1772" t="s">
        <v>1391</v>
      </c>
      <c r="R3" s="1773"/>
      <c r="S3" s="1773"/>
      <c r="T3" s="1774"/>
      <c r="U3" s="1775" t="s">
        <v>1445</v>
      </c>
      <c r="V3" s="1776"/>
      <c r="W3" s="1192"/>
      <c r="X3" s="1192"/>
      <c r="Y3" s="1776"/>
      <c r="Z3" s="1776"/>
      <c r="AA3" s="1537"/>
    </row>
    <row r="4" spans="1:27" ht="112.5" customHeight="1">
      <c r="A4" s="1705"/>
      <c r="B4" s="3621"/>
      <c r="C4" s="3621"/>
      <c r="D4" s="3621"/>
      <c r="E4" s="3621"/>
      <c r="F4" s="1720"/>
      <c r="G4" s="1721"/>
      <c r="H4" s="1721"/>
      <c r="I4" s="1721"/>
      <c r="J4" s="1531"/>
      <c r="K4" s="1531"/>
      <c r="L4" s="1716"/>
      <c r="M4" s="1675">
        <v>112.5</v>
      </c>
      <c r="P4" s="1766"/>
      <c r="Q4" s="3622"/>
      <c r="R4" s="3623"/>
      <c r="S4" s="3623"/>
      <c r="T4" s="3624"/>
      <c r="U4" s="1766"/>
      <c r="V4" s="1777"/>
      <c r="W4" s="1777"/>
      <c r="X4" s="1777"/>
      <c r="Y4" s="1192"/>
      <c r="Z4" s="1192"/>
      <c r="AA4" s="1537"/>
    </row>
    <row r="5" spans="1:27" ht="63.75" customHeight="1">
      <c r="A5" s="1778"/>
      <c r="B5" s="1779" t="s">
        <v>151</v>
      </c>
      <c r="C5" s="3625" t="s">
        <v>1446</v>
      </c>
      <c r="D5" s="3625"/>
      <c r="E5" s="3626" t="s">
        <v>1447</v>
      </c>
      <c r="F5" s="3626"/>
      <c r="G5" s="3626"/>
      <c r="H5" s="3626"/>
      <c r="I5" s="3626"/>
      <c r="J5" s="3627" t="s">
        <v>1448</v>
      </c>
      <c r="K5" s="3627"/>
      <c r="L5" s="3627"/>
      <c r="M5" s="1675">
        <v>63.75</v>
      </c>
      <c r="N5" s="1192"/>
      <c r="P5" s="1780"/>
      <c r="Q5" s="1551" t="s">
        <v>151</v>
      </c>
      <c r="R5" s="1552" t="s">
        <v>1446</v>
      </c>
      <c r="S5" s="1553"/>
      <c r="T5" s="1554" t="s">
        <v>1447</v>
      </c>
      <c r="U5" s="1555"/>
      <c r="V5" s="1555"/>
      <c r="W5" s="1555"/>
      <c r="X5" s="1556"/>
      <c r="Y5" s="1552" t="s">
        <v>1448</v>
      </c>
      <c r="Z5" s="1557"/>
      <c r="AA5" s="1558"/>
    </row>
    <row r="6" spans="1:27" ht="57.75" customHeight="1">
      <c r="A6" s="1788"/>
      <c r="B6" s="1789"/>
      <c r="C6" s="2861" t="s">
        <v>1449</v>
      </c>
      <c r="D6" s="2862" t="str">
        <f t="shared" ref="D6:I6" si="0">S6</f>
        <v>unite</v>
      </c>
      <c r="E6" s="2862" t="str">
        <f t="shared" si="0"/>
        <v>comp rhubarbe</v>
      </c>
      <c r="F6" s="2862" t="str">
        <f t="shared" si="0"/>
        <v>mousse réglisse</v>
      </c>
      <c r="G6" s="2862" t="str">
        <f t="shared" si="0"/>
        <v>fruits rouges</v>
      </c>
      <c r="H6" s="2862" t="str">
        <f t="shared" si="0"/>
        <v>opaline</v>
      </c>
      <c r="I6" s="2862" t="str">
        <f t="shared" si="0"/>
        <v>sacristain</v>
      </c>
      <c r="J6" s="1726" t="s">
        <v>110</v>
      </c>
      <c r="K6" s="1726" t="s">
        <v>117</v>
      </c>
      <c r="L6" s="1726" t="s">
        <v>118</v>
      </c>
      <c r="M6" s="1675">
        <v>57.75</v>
      </c>
      <c r="P6" s="1533"/>
      <c r="Q6" s="1566"/>
      <c r="R6" s="1567" t="s">
        <v>1449</v>
      </c>
      <c r="S6" s="1568" t="s">
        <v>1450</v>
      </c>
      <c r="T6" s="1827" t="s">
        <v>2179</v>
      </c>
      <c r="U6" s="1827" t="s">
        <v>2180</v>
      </c>
      <c r="V6" s="1569" t="s">
        <v>2181</v>
      </c>
      <c r="W6" s="1570" t="s">
        <v>2182</v>
      </c>
      <c r="X6" s="1828" t="s">
        <v>2183</v>
      </c>
      <c r="Y6" s="1572" t="s">
        <v>110</v>
      </c>
      <c r="Z6" s="1572" t="s">
        <v>117</v>
      </c>
      <c r="AA6" s="1573" t="s">
        <v>118</v>
      </c>
    </row>
    <row r="7" spans="1:27" ht="25.5" customHeight="1">
      <c r="A7" s="1797"/>
      <c r="B7" s="1531"/>
      <c r="C7" s="1735">
        <f t="shared" ref="C7:D46" si="1">R7</f>
        <v>0</v>
      </c>
      <c r="D7" s="2860" t="str">
        <f t="shared" si="1"/>
        <v xml:space="preserve"> </v>
      </c>
      <c r="E7" s="2860">
        <f t="shared" ref="E7:I22" si="2">IF(ISTEXT(T7),T7,(T7/$I$2)*$L$2)</f>
        <v>0</v>
      </c>
      <c r="F7" s="2860">
        <f t="shared" si="2"/>
        <v>0</v>
      </c>
      <c r="G7" s="2860">
        <f t="shared" si="2"/>
        <v>0</v>
      </c>
      <c r="H7" s="2860">
        <f t="shared" si="2"/>
        <v>0</v>
      </c>
      <c r="I7" s="2860">
        <f t="shared" si="2"/>
        <v>0</v>
      </c>
      <c r="J7" s="1736"/>
      <c r="K7" s="1737"/>
      <c r="L7" s="1738" t="str">
        <f t="shared" ref="L7:L46" si="3">IF(ISBLANK(K7),"",K7*J7)</f>
        <v/>
      </c>
      <c r="M7" s="1519">
        <v>25.5</v>
      </c>
      <c r="P7" s="1798"/>
      <c r="Q7" s="1799"/>
      <c r="R7" s="1583"/>
      <c r="S7" s="1584" t="s">
        <v>1456</v>
      </c>
      <c r="T7" s="1585"/>
      <c r="U7" s="1585"/>
      <c r="V7" s="1585"/>
      <c r="W7" s="1585"/>
      <c r="X7" s="1585"/>
      <c r="Y7" s="1585"/>
      <c r="Z7" s="1585"/>
      <c r="AA7" s="1586"/>
    </row>
    <row r="8" spans="1:27" ht="25.5" customHeight="1">
      <c r="A8" s="1797"/>
      <c r="B8" s="1804"/>
      <c r="C8" s="2853" t="str">
        <f t="shared" si="1"/>
        <v xml:space="preserve"> </v>
      </c>
      <c r="D8" s="2851">
        <f t="shared" si="1"/>
        <v>0</v>
      </c>
      <c r="E8" s="2852">
        <f t="shared" si="2"/>
        <v>0</v>
      </c>
      <c r="F8" s="2852" t="str">
        <f t="shared" si="2"/>
        <v xml:space="preserve"> </v>
      </c>
      <c r="G8" s="2852">
        <f t="shared" si="2"/>
        <v>0</v>
      </c>
      <c r="H8" s="2852">
        <f t="shared" si="2"/>
        <v>0</v>
      </c>
      <c r="I8" s="2852">
        <f t="shared" si="2"/>
        <v>0</v>
      </c>
      <c r="J8" s="2857" t="str">
        <f>IF(SUM(E8:I8)=0,"",SUM(E8:I8))</f>
        <v/>
      </c>
      <c r="K8" s="1590"/>
      <c r="L8" s="1591" t="str">
        <f t="shared" si="3"/>
        <v/>
      </c>
      <c r="M8" s="1519">
        <v>25.5</v>
      </c>
      <c r="P8" s="1798"/>
      <c r="Q8" s="1799"/>
      <c r="R8" s="1806" t="s">
        <v>1456</v>
      </c>
      <c r="S8" s="1550"/>
      <c r="T8" s="1806"/>
      <c r="U8" s="1806" t="s">
        <v>1456</v>
      </c>
      <c r="V8" s="1806"/>
      <c r="W8" s="1806"/>
      <c r="X8" s="1806"/>
      <c r="Y8" s="1806" t="str">
        <f>IF(SUM(T8:X8)=0,"",SUM(T8:X8))</f>
        <v/>
      </c>
      <c r="Z8" s="1806"/>
      <c r="AA8" s="1807"/>
    </row>
    <row r="9" spans="1:27" ht="25.5" customHeight="1">
      <c r="A9" s="1797"/>
      <c r="B9" s="1804"/>
      <c r="C9" s="2853" t="str">
        <f t="shared" si="1"/>
        <v xml:space="preserve"> </v>
      </c>
      <c r="D9" s="2851">
        <f t="shared" si="1"/>
        <v>0</v>
      </c>
      <c r="E9" s="2852">
        <f t="shared" si="2"/>
        <v>0</v>
      </c>
      <c r="F9" s="2852" t="str">
        <f t="shared" si="2"/>
        <v xml:space="preserve"> </v>
      </c>
      <c r="G9" s="2852">
        <f t="shared" si="2"/>
        <v>0</v>
      </c>
      <c r="H9" s="2852">
        <f t="shared" si="2"/>
        <v>0</v>
      </c>
      <c r="I9" s="2852">
        <f t="shared" si="2"/>
        <v>0</v>
      </c>
      <c r="J9" s="2857" t="str">
        <f t="shared" ref="J9:J41" si="4">IF(SUM(E9:I9)=0,"",SUM(E9:I9))</f>
        <v/>
      </c>
      <c r="K9" s="1590"/>
      <c r="L9" s="1591" t="str">
        <f t="shared" si="3"/>
        <v/>
      </c>
      <c r="M9" s="1519">
        <v>25.5</v>
      </c>
      <c r="P9" s="1798"/>
      <c r="Q9" s="1799"/>
      <c r="R9" s="1806" t="s">
        <v>1456</v>
      </c>
      <c r="S9" s="1550"/>
      <c r="T9" s="1806"/>
      <c r="U9" s="1806" t="s">
        <v>1456</v>
      </c>
      <c r="V9" s="1806"/>
      <c r="W9" s="1806"/>
      <c r="X9" s="1806"/>
      <c r="Y9" s="1806" t="str">
        <f t="shared" ref="Y9" si="5">IF(SUM(T9:X9)=0,"",SUM(T9:X9))</f>
        <v/>
      </c>
      <c r="Z9" s="1806"/>
      <c r="AA9" s="1807"/>
    </row>
    <row r="10" spans="1:27" ht="25.5" customHeight="1">
      <c r="A10" s="1797"/>
      <c r="B10" s="1804"/>
      <c r="C10" s="2853" t="str">
        <f t="shared" si="1"/>
        <v xml:space="preserve"> </v>
      </c>
      <c r="D10" s="2851">
        <f t="shared" si="1"/>
        <v>0</v>
      </c>
      <c r="E10" s="2852">
        <f t="shared" si="2"/>
        <v>0</v>
      </c>
      <c r="F10" s="2852" t="str">
        <f t="shared" si="2"/>
        <v xml:space="preserve"> </v>
      </c>
      <c r="G10" s="2852">
        <f t="shared" si="2"/>
        <v>0</v>
      </c>
      <c r="H10" s="2852">
        <f t="shared" si="2"/>
        <v>0</v>
      </c>
      <c r="I10" s="2852">
        <f t="shared" si="2"/>
        <v>0</v>
      </c>
      <c r="J10" s="2857" t="str">
        <f>IF(SUM(E10:I10)=0,"",SUM(E10:I10))</f>
        <v/>
      </c>
      <c r="K10" s="1590"/>
      <c r="L10" s="1591" t="str">
        <f t="shared" si="3"/>
        <v/>
      </c>
      <c r="M10" s="1519">
        <v>25.5</v>
      </c>
      <c r="P10" s="1798"/>
      <c r="Q10" s="1799"/>
      <c r="R10" s="1806" t="s">
        <v>1456</v>
      </c>
      <c r="S10" s="1550"/>
      <c r="T10" s="1806"/>
      <c r="U10" s="1806" t="s">
        <v>1456</v>
      </c>
      <c r="V10" s="1806"/>
      <c r="W10" s="1806"/>
      <c r="X10" s="1806"/>
      <c r="Y10" s="1806" t="str">
        <f>IF(SUM(T10:X10)=0,"",SUM(T10:X10))</f>
        <v/>
      </c>
      <c r="Z10" s="1806"/>
      <c r="AA10" s="1807"/>
    </row>
    <row r="11" spans="1:27" ht="25.5" customHeight="1">
      <c r="A11" s="1797"/>
      <c r="B11" s="1804"/>
      <c r="C11" s="2853" t="str">
        <f t="shared" si="1"/>
        <v xml:space="preserve"> </v>
      </c>
      <c r="D11" s="2851">
        <f t="shared" si="1"/>
        <v>0</v>
      </c>
      <c r="E11" s="2852">
        <f t="shared" si="2"/>
        <v>0</v>
      </c>
      <c r="F11" s="2852" t="str">
        <f t="shared" si="2"/>
        <v xml:space="preserve"> </v>
      </c>
      <c r="G11" s="2852">
        <f t="shared" si="2"/>
        <v>0</v>
      </c>
      <c r="H11" s="2852">
        <f t="shared" si="2"/>
        <v>0</v>
      </c>
      <c r="I11" s="2852">
        <f t="shared" si="2"/>
        <v>0</v>
      </c>
      <c r="J11" s="2857" t="str">
        <f t="shared" si="4"/>
        <v/>
      </c>
      <c r="K11" s="1590"/>
      <c r="L11" s="1591" t="str">
        <f t="shared" si="3"/>
        <v/>
      </c>
      <c r="M11" s="1519">
        <v>25.5</v>
      </c>
      <c r="P11" s="1798"/>
      <c r="Q11" s="1799"/>
      <c r="R11" s="1829" t="s">
        <v>1456</v>
      </c>
      <c r="S11" s="1550"/>
      <c r="T11" s="1806"/>
      <c r="U11" s="1806" t="s">
        <v>1456</v>
      </c>
      <c r="V11" s="1806"/>
      <c r="W11" s="1806"/>
      <c r="X11" s="1806"/>
      <c r="Y11" s="1806" t="str">
        <f t="shared" ref="Y11:Y24" si="6">IF(SUM(T11:X11)=0,"",SUM(T11:X11))</f>
        <v/>
      </c>
      <c r="Z11" s="1806"/>
      <c r="AA11" s="1807"/>
    </row>
    <row r="12" spans="1:27" ht="25.5" customHeight="1">
      <c r="A12" s="1797"/>
      <c r="B12" s="1804"/>
      <c r="C12" s="2863" t="str">
        <f t="shared" si="1"/>
        <v>FRUITS</v>
      </c>
      <c r="D12" s="2864" t="str">
        <f t="shared" si="1"/>
        <v xml:space="preserve"> </v>
      </c>
      <c r="E12" s="2864">
        <f t="shared" si="2"/>
        <v>0</v>
      </c>
      <c r="F12" s="2864" t="str">
        <f t="shared" si="2"/>
        <v xml:space="preserve"> </v>
      </c>
      <c r="G12" s="2864">
        <f t="shared" si="2"/>
        <v>0</v>
      </c>
      <c r="H12" s="2864">
        <f t="shared" si="2"/>
        <v>0</v>
      </c>
      <c r="I12" s="2864">
        <f t="shared" si="2"/>
        <v>0</v>
      </c>
      <c r="J12" s="1736" t="str">
        <f t="shared" si="4"/>
        <v/>
      </c>
      <c r="K12" s="1737"/>
      <c r="L12" s="1738" t="str">
        <f t="shared" si="3"/>
        <v/>
      </c>
      <c r="M12" s="1519">
        <v>25.5</v>
      </c>
      <c r="P12" s="1798"/>
      <c r="Q12" s="1799"/>
      <c r="R12" s="1598" t="s">
        <v>2184</v>
      </c>
      <c r="S12" s="1584" t="s">
        <v>1456</v>
      </c>
      <c r="T12" s="1810"/>
      <c r="U12" s="1810" t="s">
        <v>1456</v>
      </c>
      <c r="V12" s="1810"/>
      <c r="W12" s="1810"/>
      <c r="X12" s="1810"/>
      <c r="Y12" s="1810" t="str">
        <f t="shared" si="6"/>
        <v/>
      </c>
      <c r="Z12" s="1810"/>
      <c r="AA12" s="1815"/>
    </row>
    <row r="13" spans="1:27" ht="25.5" customHeight="1">
      <c r="A13" s="1797"/>
      <c r="B13" s="1804"/>
      <c r="C13" s="2853" t="str">
        <f t="shared" si="1"/>
        <v>rhubarbe</v>
      </c>
      <c r="D13" s="2851" t="str">
        <f t="shared" si="1"/>
        <v>kg</v>
      </c>
      <c r="E13" s="2852">
        <f t="shared" si="2"/>
        <v>0.25</v>
      </c>
      <c r="F13" s="2852">
        <f t="shared" si="2"/>
        <v>0</v>
      </c>
      <c r="G13" s="2852">
        <f t="shared" si="2"/>
        <v>0</v>
      </c>
      <c r="H13" s="2852">
        <f t="shared" si="2"/>
        <v>0</v>
      </c>
      <c r="I13" s="2852">
        <f t="shared" si="2"/>
        <v>0</v>
      </c>
      <c r="J13" s="2857">
        <f t="shared" si="4"/>
        <v>0.25</v>
      </c>
      <c r="K13" s="1590"/>
      <c r="L13" s="1591" t="str">
        <f t="shared" si="3"/>
        <v/>
      </c>
      <c r="M13" s="1519">
        <v>25.5</v>
      </c>
      <c r="P13" s="1798"/>
      <c r="Q13" s="1799"/>
      <c r="R13" s="1806" t="s">
        <v>2185</v>
      </c>
      <c r="S13" s="1550" t="s">
        <v>166</v>
      </c>
      <c r="T13" s="1806">
        <v>0.5</v>
      </c>
      <c r="U13" s="1806"/>
      <c r="V13" s="1806"/>
      <c r="W13" s="1806"/>
      <c r="X13" s="1806"/>
      <c r="Y13" s="1806">
        <f t="shared" si="6"/>
        <v>0.5</v>
      </c>
      <c r="Z13" s="1806"/>
      <c r="AA13" s="1807"/>
    </row>
    <row r="14" spans="1:27" ht="25.5" customHeight="1">
      <c r="A14" s="1797"/>
      <c r="B14" s="1811"/>
      <c r="C14" s="2853" t="str">
        <f t="shared" si="1"/>
        <v>fraises des bois</v>
      </c>
      <c r="D14" s="2851" t="str">
        <f t="shared" si="1"/>
        <v>Kg</v>
      </c>
      <c r="E14" s="2852">
        <f t="shared" si="2"/>
        <v>0</v>
      </c>
      <c r="F14" s="2852">
        <f t="shared" si="2"/>
        <v>0</v>
      </c>
      <c r="G14" s="2852">
        <f t="shared" si="2"/>
        <v>0.1</v>
      </c>
      <c r="H14" s="2852">
        <f t="shared" si="2"/>
        <v>0</v>
      </c>
      <c r="I14" s="2852">
        <f t="shared" si="2"/>
        <v>0</v>
      </c>
      <c r="J14" s="2857">
        <f t="shared" si="4"/>
        <v>0.1</v>
      </c>
      <c r="K14" s="1590"/>
      <c r="L14" s="1591" t="str">
        <f t="shared" si="3"/>
        <v/>
      </c>
      <c r="M14" s="1519">
        <v>25.5</v>
      </c>
      <c r="P14" s="1798"/>
      <c r="Q14" s="1812"/>
      <c r="R14" s="1830" t="s">
        <v>2186</v>
      </c>
      <c r="S14" s="1550" t="s">
        <v>122</v>
      </c>
      <c r="T14" s="1814"/>
      <c r="U14" s="1806"/>
      <c r="V14" s="1806">
        <v>0.2</v>
      </c>
      <c r="W14" s="1806"/>
      <c r="X14" s="1806"/>
      <c r="Y14" s="1806">
        <f t="shared" si="6"/>
        <v>0.2</v>
      </c>
      <c r="Z14" s="1806"/>
      <c r="AA14" s="1807"/>
    </row>
    <row r="15" spans="1:27" ht="25.5" customHeight="1">
      <c r="A15" s="1797"/>
      <c r="B15" s="1804"/>
      <c r="C15" s="2853" t="str">
        <f t="shared" si="1"/>
        <v>framboises</v>
      </c>
      <c r="D15" s="2851" t="str">
        <f t="shared" si="1"/>
        <v>Kg</v>
      </c>
      <c r="E15" s="2852">
        <f t="shared" si="2"/>
        <v>0</v>
      </c>
      <c r="F15" s="2852">
        <f t="shared" si="2"/>
        <v>0</v>
      </c>
      <c r="G15" s="2852">
        <f t="shared" si="2"/>
        <v>0.125</v>
      </c>
      <c r="H15" s="2852">
        <f t="shared" si="2"/>
        <v>0</v>
      </c>
      <c r="I15" s="2852">
        <f t="shared" si="2"/>
        <v>0</v>
      </c>
      <c r="J15" s="2857">
        <f t="shared" si="4"/>
        <v>0.125</v>
      </c>
      <c r="K15" s="1590"/>
      <c r="L15" s="1591" t="str">
        <f t="shared" si="3"/>
        <v/>
      </c>
      <c r="M15" s="1519">
        <v>25.5</v>
      </c>
      <c r="P15" s="1798"/>
      <c r="Q15" s="1799"/>
      <c r="R15" s="1806" t="s">
        <v>1558</v>
      </c>
      <c r="S15" s="1550" t="s">
        <v>122</v>
      </c>
      <c r="T15" s="1806"/>
      <c r="U15" s="1806"/>
      <c r="V15" s="1806">
        <v>0.25</v>
      </c>
      <c r="W15" s="1806"/>
      <c r="X15" s="1806"/>
      <c r="Y15" s="1806">
        <f t="shared" si="6"/>
        <v>0.25</v>
      </c>
      <c r="Z15" s="1806"/>
      <c r="AA15" s="1807"/>
    </row>
    <row r="16" spans="1:27" ht="25.5" customHeight="1">
      <c r="A16" s="1797"/>
      <c r="B16" s="1804"/>
      <c r="C16" s="2853" t="str">
        <f t="shared" si="1"/>
        <v>fraises</v>
      </c>
      <c r="D16" s="2851" t="str">
        <f t="shared" si="1"/>
        <v>Kg</v>
      </c>
      <c r="E16" s="2852">
        <f t="shared" si="2"/>
        <v>0</v>
      </c>
      <c r="F16" s="2852">
        <f t="shared" si="2"/>
        <v>0</v>
      </c>
      <c r="G16" s="2852">
        <f t="shared" si="2"/>
        <v>7.4999999999999997E-2</v>
      </c>
      <c r="H16" s="2852">
        <f t="shared" si="2"/>
        <v>0</v>
      </c>
      <c r="I16" s="2852">
        <f t="shared" si="2"/>
        <v>0</v>
      </c>
      <c r="J16" s="2857">
        <f t="shared" si="4"/>
        <v>7.4999999999999997E-2</v>
      </c>
      <c r="K16" s="1590"/>
      <c r="L16" s="1591" t="str">
        <f t="shared" si="3"/>
        <v/>
      </c>
      <c r="M16" s="1519">
        <v>25.5</v>
      </c>
      <c r="P16" s="1798"/>
      <c r="Q16" s="1799"/>
      <c r="R16" s="1806" t="s">
        <v>1559</v>
      </c>
      <c r="S16" s="1550" t="s">
        <v>122</v>
      </c>
      <c r="T16" s="1806"/>
      <c r="U16" s="1806"/>
      <c r="V16" s="1806">
        <v>0.15</v>
      </c>
      <c r="W16" s="1806"/>
      <c r="X16" s="1806"/>
      <c r="Y16" s="1806">
        <f t="shared" si="6"/>
        <v>0.15</v>
      </c>
      <c r="Z16" s="1806"/>
      <c r="AA16" s="1807"/>
    </row>
    <row r="17" spans="1:27" ht="25.5" customHeight="1">
      <c r="A17" s="1797"/>
      <c r="B17" s="1804"/>
      <c r="C17" s="2853" t="str">
        <f t="shared" si="1"/>
        <v xml:space="preserve"> </v>
      </c>
      <c r="D17" s="2851">
        <f t="shared" si="1"/>
        <v>0</v>
      </c>
      <c r="E17" s="2852">
        <f t="shared" si="2"/>
        <v>0</v>
      </c>
      <c r="F17" s="2852">
        <f t="shared" si="2"/>
        <v>0</v>
      </c>
      <c r="G17" s="2852">
        <f t="shared" si="2"/>
        <v>0</v>
      </c>
      <c r="H17" s="2852">
        <f t="shared" si="2"/>
        <v>0</v>
      </c>
      <c r="I17" s="2852">
        <f t="shared" si="2"/>
        <v>0</v>
      </c>
      <c r="J17" s="2857" t="str">
        <f t="shared" si="4"/>
        <v/>
      </c>
      <c r="K17" s="1590"/>
      <c r="L17" s="1591" t="str">
        <f t="shared" si="3"/>
        <v/>
      </c>
      <c r="M17" s="1519">
        <v>25.5</v>
      </c>
      <c r="P17" s="1798"/>
      <c r="Q17" s="1799"/>
      <c r="R17" s="1806" t="s">
        <v>1456</v>
      </c>
      <c r="S17" s="1550"/>
      <c r="T17" s="1806"/>
      <c r="U17" s="1806"/>
      <c r="V17" s="1806"/>
      <c r="W17" s="1806"/>
      <c r="X17" s="1806"/>
      <c r="Y17" s="1806" t="str">
        <f t="shared" si="6"/>
        <v/>
      </c>
      <c r="Z17" s="1806"/>
      <c r="AA17" s="1807"/>
    </row>
    <row r="18" spans="1:27" ht="25.5" customHeight="1">
      <c r="A18" s="1797"/>
      <c r="B18" s="1804"/>
      <c r="C18" s="2853" t="str">
        <f t="shared" si="1"/>
        <v xml:space="preserve"> </v>
      </c>
      <c r="D18" s="2851">
        <f t="shared" si="1"/>
        <v>0</v>
      </c>
      <c r="E18" s="2852" t="str">
        <f t="shared" si="2"/>
        <v xml:space="preserve"> </v>
      </c>
      <c r="F18" s="2852" t="str">
        <f t="shared" si="2"/>
        <v xml:space="preserve"> </v>
      </c>
      <c r="G18" s="2852" t="str">
        <f t="shared" si="2"/>
        <v xml:space="preserve"> </v>
      </c>
      <c r="H18" s="2852" t="str">
        <f t="shared" si="2"/>
        <v xml:space="preserve"> </v>
      </c>
      <c r="I18" s="2852">
        <f t="shared" si="2"/>
        <v>0</v>
      </c>
      <c r="J18" s="2857" t="str">
        <f t="shared" si="4"/>
        <v/>
      </c>
      <c r="K18" s="1590"/>
      <c r="L18" s="1591" t="str">
        <f t="shared" si="3"/>
        <v/>
      </c>
      <c r="M18" s="1519">
        <v>25.5</v>
      </c>
      <c r="P18" s="1798"/>
      <c r="Q18" s="1799"/>
      <c r="R18" s="1806" t="s">
        <v>1456</v>
      </c>
      <c r="S18" s="1550"/>
      <c r="T18" s="1806" t="s">
        <v>1456</v>
      </c>
      <c r="U18" s="1806" t="s">
        <v>1456</v>
      </c>
      <c r="V18" s="1806" t="s">
        <v>1456</v>
      </c>
      <c r="W18" s="1806" t="s">
        <v>1456</v>
      </c>
      <c r="X18" s="1806"/>
      <c r="Y18" s="1806" t="str">
        <f t="shared" si="6"/>
        <v/>
      </c>
      <c r="Z18" s="1806"/>
      <c r="AA18" s="1807"/>
    </row>
    <row r="19" spans="1:27" ht="25.5" customHeight="1">
      <c r="A19" s="1797"/>
      <c r="B19" s="1804"/>
      <c r="C19" s="2853">
        <f t="shared" si="1"/>
        <v>0</v>
      </c>
      <c r="D19" s="2851">
        <f t="shared" si="1"/>
        <v>0</v>
      </c>
      <c r="E19" s="2852">
        <f t="shared" si="2"/>
        <v>0</v>
      </c>
      <c r="F19" s="2852">
        <f t="shared" si="2"/>
        <v>0</v>
      </c>
      <c r="G19" s="2852">
        <f t="shared" si="2"/>
        <v>0</v>
      </c>
      <c r="H19" s="2852">
        <f t="shared" si="2"/>
        <v>0</v>
      </c>
      <c r="I19" s="2852">
        <f t="shared" si="2"/>
        <v>0</v>
      </c>
      <c r="J19" s="2857" t="str">
        <f t="shared" si="4"/>
        <v/>
      </c>
      <c r="K19" s="1702"/>
      <c r="L19" s="1591" t="str">
        <f t="shared" si="3"/>
        <v/>
      </c>
      <c r="M19" s="1519">
        <v>25.5</v>
      </c>
      <c r="P19" s="1798"/>
      <c r="Q19" s="1799"/>
      <c r="R19" s="1806"/>
      <c r="S19" s="1550"/>
      <c r="T19" s="1806"/>
      <c r="U19" s="1806"/>
      <c r="V19" s="1806"/>
      <c r="W19" s="1806"/>
      <c r="X19" s="1806"/>
      <c r="Y19" s="1806" t="str">
        <f t="shared" si="6"/>
        <v/>
      </c>
      <c r="Z19" s="1806"/>
      <c r="AA19" s="1807"/>
    </row>
    <row r="20" spans="1:27" ht="25.5" customHeight="1">
      <c r="A20" s="1797"/>
      <c r="B20" s="1804"/>
      <c r="C20" s="2853">
        <f t="shared" si="1"/>
        <v>0</v>
      </c>
      <c r="D20" s="2851">
        <f t="shared" si="1"/>
        <v>0</v>
      </c>
      <c r="E20" s="2852">
        <f t="shared" si="2"/>
        <v>0</v>
      </c>
      <c r="F20" s="2852">
        <f t="shared" si="2"/>
        <v>0</v>
      </c>
      <c r="G20" s="2852">
        <f t="shared" si="2"/>
        <v>0</v>
      </c>
      <c r="H20" s="2852">
        <f t="shared" si="2"/>
        <v>0</v>
      </c>
      <c r="I20" s="2852">
        <f t="shared" si="2"/>
        <v>0</v>
      </c>
      <c r="J20" s="2857" t="str">
        <f t="shared" si="4"/>
        <v/>
      </c>
      <c r="K20" s="1590"/>
      <c r="L20" s="1591" t="str">
        <f t="shared" si="3"/>
        <v/>
      </c>
      <c r="M20" s="1519">
        <v>25.5</v>
      </c>
      <c r="P20" s="1798"/>
      <c r="Q20" s="1799"/>
      <c r="R20" s="1806"/>
      <c r="S20" s="1550"/>
      <c r="T20" s="1806"/>
      <c r="U20" s="1806"/>
      <c r="V20" s="1806"/>
      <c r="W20" s="1806"/>
      <c r="X20" s="1806"/>
      <c r="Y20" s="1806" t="str">
        <f t="shared" si="6"/>
        <v/>
      </c>
      <c r="Z20" s="1806"/>
      <c r="AA20" s="1807"/>
    </row>
    <row r="21" spans="1:27" ht="25.5" customHeight="1">
      <c r="A21" s="1797"/>
      <c r="B21" s="1804"/>
      <c r="C21" s="2853">
        <f t="shared" si="1"/>
        <v>0</v>
      </c>
      <c r="D21" s="2851">
        <f t="shared" si="1"/>
        <v>0</v>
      </c>
      <c r="E21" s="2852">
        <f t="shared" si="2"/>
        <v>0</v>
      </c>
      <c r="F21" s="2852">
        <f t="shared" si="2"/>
        <v>0</v>
      </c>
      <c r="G21" s="2852">
        <f t="shared" si="2"/>
        <v>0</v>
      </c>
      <c r="H21" s="2852">
        <f t="shared" si="2"/>
        <v>0</v>
      </c>
      <c r="I21" s="2852">
        <f t="shared" si="2"/>
        <v>0</v>
      </c>
      <c r="J21" s="2857" t="str">
        <f t="shared" si="4"/>
        <v/>
      </c>
      <c r="K21" s="1590"/>
      <c r="L21" s="1591" t="str">
        <f t="shared" si="3"/>
        <v/>
      </c>
      <c r="M21" s="1519">
        <v>25.5</v>
      </c>
      <c r="P21" s="1798"/>
      <c r="Q21" s="1799"/>
      <c r="R21" s="1806"/>
      <c r="S21" s="1550"/>
      <c r="T21" s="1806"/>
      <c r="U21" s="1806"/>
      <c r="V21" s="1806"/>
      <c r="W21" s="1806"/>
      <c r="X21" s="1806"/>
      <c r="Y21" s="1806" t="str">
        <f t="shared" si="6"/>
        <v/>
      </c>
      <c r="Z21" s="1806"/>
      <c r="AA21" s="1807"/>
    </row>
    <row r="22" spans="1:27" ht="25.5" customHeight="1">
      <c r="A22" s="1797"/>
      <c r="B22" s="1804"/>
      <c r="C22" s="2853">
        <f t="shared" si="1"/>
        <v>0</v>
      </c>
      <c r="D22" s="2851">
        <f t="shared" si="1"/>
        <v>0</v>
      </c>
      <c r="E22" s="2852">
        <f t="shared" si="2"/>
        <v>0</v>
      </c>
      <c r="F22" s="2852">
        <f t="shared" si="2"/>
        <v>0</v>
      </c>
      <c r="G22" s="2852">
        <f t="shared" si="2"/>
        <v>0</v>
      </c>
      <c r="H22" s="2852">
        <f t="shared" si="2"/>
        <v>0</v>
      </c>
      <c r="I22" s="2852">
        <f t="shared" si="2"/>
        <v>0</v>
      </c>
      <c r="J22" s="2857" t="str">
        <f t="shared" si="4"/>
        <v/>
      </c>
      <c r="K22" s="1590"/>
      <c r="L22" s="1591" t="str">
        <f t="shared" si="3"/>
        <v/>
      </c>
      <c r="M22" s="1519">
        <v>25.5</v>
      </c>
      <c r="P22" s="1798"/>
      <c r="Q22" s="1799"/>
      <c r="R22" s="1806"/>
      <c r="S22" s="1550"/>
      <c r="T22" s="1806"/>
      <c r="U22" s="1806"/>
      <c r="V22" s="1806"/>
      <c r="W22" s="1806"/>
      <c r="X22" s="1806"/>
      <c r="Y22" s="1806" t="str">
        <f t="shared" si="6"/>
        <v/>
      </c>
      <c r="Z22" s="1806"/>
      <c r="AA22" s="1807"/>
    </row>
    <row r="23" spans="1:27" ht="25.5" customHeight="1">
      <c r="A23" s="1797"/>
      <c r="B23" s="1804"/>
      <c r="C23" s="2853">
        <f t="shared" si="1"/>
        <v>0</v>
      </c>
      <c r="D23" s="2851">
        <f t="shared" si="1"/>
        <v>0</v>
      </c>
      <c r="E23" s="2852">
        <f t="shared" ref="E23:I46" si="7">IF(ISTEXT(T23),T23,(T23/$I$2)*$L$2)</f>
        <v>0</v>
      </c>
      <c r="F23" s="2852">
        <f t="shared" si="7"/>
        <v>0</v>
      </c>
      <c r="G23" s="2852">
        <f t="shared" si="7"/>
        <v>0</v>
      </c>
      <c r="H23" s="2852">
        <f t="shared" si="7"/>
        <v>0</v>
      </c>
      <c r="I23" s="2852">
        <f t="shared" si="7"/>
        <v>0</v>
      </c>
      <c r="J23" s="2857" t="str">
        <f t="shared" si="4"/>
        <v/>
      </c>
      <c r="K23" s="1590"/>
      <c r="L23" s="1591" t="str">
        <f t="shared" si="3"/>
        <v/>
      </c>
      <c r="M23" s="1519">
        <v>25.5</v>
      </c>
      <c r="P23" s="1798"/>
      <c r="Q23" s="1799"/>
      <c r="R23" s="1806"/>
      <c r="S23" s="1550"/>
      <c r="T23" s="1806"/>
      <c r="U23" s="1806"/>
      <c r="V23" s="1806"/>
      <c r="W23" s="1806"/>
      <c r="X23" s="1806"/>
      <c r="Y23" s="1806" t="str">
        <f t="shared" si="6"/>
        <v/>
      </c>
      <c r="Z23" s="1806"/>
      <c r="AA23" s="1807"/>
    </row>
    <row r="24" spans="1:27" ht="25.5" customHeight="1">
      <c r="A24" s="1797"/>
      <c r="B24" s="1804"/>
      <c r="C24" s="2853">
        <f t="shared" si="1"/>
        <v>0</v>
      </c>
      <c r="D24" s="2851">
        <f t="shared" si="1"/>
        <v>0</v>
      </c>
      <c r="E24" s="2852">
        <f t="shared" si="7"/>
        <v>0</v>
      </c>
      <c r="F24" s="2852">
        <f t="shared" si="7"/>
        <v>0</v>
      </c>
      <c r="G24" s="2852">
        <f t="shared" si="7"/>
        <v>0</v>
      </c>
      <c r="H24" s="2852">
        <f t="shared" si="7"/>
        <v>0</v>
      </c>
      <c r="I24" s="2852">
        <f t="shared" si="7"/>
        <v>0</v>
      </c>
      <c r="J24" s="2857" t="str">
        <f t="shared" si="4"/>
        <v/>
      </c>
      <c r="K24" s="1590"/>
      <c r="L24" s="1591" t="str">
        <f t="shared" si="3"/>
        <v/>
      </c>
      <c r="M24" s="1519">
        <v>25.5</v>
      </c>
      <c r="P24" s="1798"/>
      <c r="Q24" s="1799"/>
      <c r="R24" s="1806"/>
      <c r="S24" s="1550"/>
      <c r="T24" s="1806"/>
      <c r="U24" s="1806"/>
      <c r="V24" s="1806"/>
      <c r="W24" s="1806"/>
      <c r="X24" s="1806"/>
      <c r="Y24" s="1806" t="str">
        <f t="shared" si="6"/>
        <v/>
      </c>
      <c r="Z24" s="1806"/>
      <c r="AA24" s="1807"/>
    </row>
    <row r="25" spans="1:27" ht="25.5" customHeight="1">
      <c r="A25" s="1797"/>
      <c r="B25" s="1804"/>
      <c r="C25" s="2863" t="str">
        <f t="shared" si="1"/>
        <v>B.O.F</v>
      </c>
      <c r="D25" s="2864" t="str">
        <f t="shared" si="1"/>
        <v xml:space="preserve"> </v>
      </c>
      <c r="E25" s="2864">
        <f t="shared" si="7"/>
        <v>0</v>
      </c>
      <c r="F25" s="2864">
        <f t="shared" si="7"/>
        <v>0</v>
      </c>
      <c r="G25" s="2864">
        <f t="shared" si="7"/>
        <v>0</v>
      </c>
      <c r="H25" s="2864">
        <f t="shared" si="7"/>
        <v>0</v>
      </c>
      <c r="I25" s="2864">
        <f t="shared" si="7"/>
        <v>0</v>
      </c>
      <c r="J25" s="1736" t="s">
        <v>1456</v>
      </c>
      <c r="K25" s="1737"/>
      <c r="L25" s="1738" t="str">
        <f t="shared" si="3"/>
        <v/>
      </c>
      <c r="M25" s="1519">
        <v>25.5</v>
      </c>
      <c r="P25" s="1798"/>
      <c r="Q25" s="1799"/>
      <c r="R25" s="1598" t="s">
        <v>1465</v>
      </c>
      <c r="S25" s="1584" t="s">
        <v>1456</v>
      </c>
      <c r="T25" s="1810"/>
      <c r="U25" s="1810"/>
      <c r="V25" s="1810"/>
      <c r="W25" s="1810"/>
      <c r="X25" s="1810"/>
      <c r="Y25" s="1810" t="s">
        <v>1456</v>
      </c>
      <c r="Z25" s="1810"/>
      <c r="AA25" s="1815"/>
    </row>
    <row r="26" spans="1:27" ht="25.5" customHeight="1">
      <c r="A26" s="1797"/>
      <c r="B26" s="1804"/>
      <c r="C26" s="2853" t="str">
        <f t="shared" si="1"/>
        <v>lait</v>
      </c>
      <c r="D26" s="2851" t="str">
        <f t="shared" si="1"/>
        <v>L</v>
      </c>
      <c r="E26" s="2852">
        <f t="shared" si="7"/>
        <v>0</v>
      </c>
      <c r="F26" s="2852">
        <f t="shared" si="7"/>
        <v>0.25</v>
      </c>
      <c r="G26" s="2852">
        <f t="shared" si="7"/>
        <v>0</v>
      </c>
      <c r="H26" s="2852">
        <f t="shared" si="7"/>
        <v>0</v>
      </c>
      <c r="I26" s="2852">
        <f t="shared" si="7"/>
        <v>0</v>
      </c>
      <c r="J26" s="2857">
        <f t="shared" si="4"/>
        <v>0.25</v>
      </c>
      <c r="K26" s="1590"/>
      <c r="L26" s="1591" t="str">
        <f t="shared" si="3"/>
        <v/>
      </c>
      <c r="M26" s="1519">
        <v>25.5</v>
      </c>
      <c r="P26" s="1798"/>
      <c r="Q26" s="1799"/>
      <c r="R26" s="1806" t="s">
        <v>2035</v>
      </c>
      <c r="S26" s="1550" t="s">
        <v>224</v>
      </c>
      <c r="T26" s="1806"/>
      <c r="U26" s="1806">
        <v>0.5</v>
      </c>
      <c r="V26" s="1806"/>
      <c r="W26" s="1806"/>
      <c r="X26" s="1806"/>
      <c r="Y26" s="1806">
        <f t="shared" ref="Y26:Y33" si="8">IF(SUM(T26:X26)=0,"",SUM(T26:X26))</f>
        <v>0.5</v>
      </c>
      <c r="Z26" s="1806"/>
      <c r="AA26" s="1807"/>
    </row>
    <row r="27" spans="1:27" ht="25.5" customHeight="1">
      <c r="A27" s="1797"/>
      <c r="B27" s="1804"/>
      <c r="C27" s="2853" t="str">
        <f t="shared" si="1"/>
        <v>œufs</v>
      </c>
      <c r="D27" s="2851" t="str">
        <f t="shared" si="1"/>
        <v>P</v>
      </c>
      <c r="E27" s="2852">
        <f t="shared" si="7"/>
        <v>0</v>
      </c>
      <c r="F27" s="2852">
        <f t="shared" si="7"/>
        <v>3</v>
      </c>
      <c r="G27" s="2852">
        <f t="shared" si="7"/>
        <v>0</v>
      </c>
      <c r="H27" s="2852">
        <f t="shared" si="7"/>
        <v>0</v>
      </c>
      <c r="I27" s="2852">
        <f t="shared" si="7"/>
        <v>0.5</v>
      </c>
      <c r="J27" s="2857">
        <f t="shared" si="4"/>
        <v>3.5</v>
      </c>
      <c r="K27" s="1590"/>
      <c r="L27" s="1591" t="str">
        <f t="shared" si="3"/>
        <v/>
      </c>
      <c r="M27" s="1519">
        <v>25.5</v>
      </c>
      <c r="P27" s="1798"/>
      <c r="Q27" s="1799"/>
      <c r="R27" s="1806" t="s">
        <v>1723</v>
      </c>
      <c r="S27" s="1550" t="s">
        <v>318</v>
      </c>
      <c r="T27" s="1806"/>
      <c r="U27" s="1806">
        <v>6</v>
      </c>
      <c r="V27" s="1806"/>
      <c r="W27" s="1806"/>
      <c r="X27" s="1806">
        <v>1</v>
      </c>
      <c r="Y27" s="1806">
        <f t="shared" si="8"/>
        <v>7</v>
      </c>
      <c r="Z27" s="1806"/>
      <c r="AA27" s="1807"/>
    </row>
    <row r="28" spans="1:27" ht="25.5" customHeight="1">
      <c r="A28" s="1797"/>
      <c r="B28" s="1804"/>
      <c r="C28" s="2853" t="str">
        <f t="shared" si="1"/>
        <v>crème UHT</v>
      </c>
      <c r="D28" s="2851" t="str">
        <f t="shared" si="1"/>
        <v>L</v>
      </c>
      <c r="E28" s="2852">
        <f t="shared" si="7"/>
        <v>0</v>
      </c>
      <c r="F28" s="2852">
        <f t="shared" si="7"/>
        <v>0.1</v>
      </c>
      <c r="G28" s="2852">
        <f t="shared" si="7"/>
        <v>0</v>
      </c>
      <c r="H28" s="2852">
        <f t="shared" si="7"/>
        <v>0</v>
      </c>
      <c r="I28" s="2852">
        <f t="shared" si="7"/>
        <v>0</v>
      </c>
      <c r="J28" s="2857">
        <f t="shared" si="4"/>
        <v>0.1</v>
      </c>
      <c r="K28" s="1590"/>
      <c r="L28" s="1591" t="str">
        <f t="shared" si="3"/>
        <v/>
      </c>
      <c r="M28" s="1519">
        <v>25.5</v>
      </c>
      <c r="P28" s="1798"/>
      <c r="Q28" s="1799"/>
      <c r="R28" s="1806" t="s">
        <v>2187</v>
      </c>
      <c r="S28" s="1550" t="s">
        <v>224</v>
      </c>
      <c r="T28" s="1806"/>
      <c r="U28" s="1806">
        <v>0.2</v>
      </c>
      <c r="V28" s="1806"/>
      <c r="W28" s="1806"/>
      <c r="X28" s="1806"/>
      <c r="Y28" s="1806">
        <f t="shared" si="8"/>
        <v>0.2</v>
      </c>
      <c r="Z28" s="1806"/>
      <c r="AA28" s="1807"/>
    </row>
    <row r="29" spans="1:27" ht="25.5" customHeight="1">
      <c r="A29" s="1797"/>
      <c r="B29" s="1804"/>
      <c r="C29" s="2853">
        <f t="shared" si="1"/>
        <v>0</v>
      </c>
      <c r="D29" s="2851">
        <f t="shared" si="1"/>
        <v>0</v>
      </c>
      <c r="E29" s="2852">
        <f t="shared" si="7"/>
        <v>0</v>
      </c>
      <c r="F29" s="2852">
        <f t="shared" si="7"/>
        <v>0</v>
      </c>
      <c r="G29" s="2852">
        <f t="shared" si="7"/>
        <v>0</v>
      </c>
      <c r="H29" s="2852">
        <f t="shared" si="7"/>
        <v>0</v>
      </c>
      <c r="I29" s="2852">
        <f t="shared" si="7"/>
        <v>0</v>
      </c>
      <c r="J29" s="2857" t="str">
        <f t="shared" si="4"/>
        <v/>
      </c>
      <c r="K29" s="1590"/>
      <c r="L29" s="1591" t="str">
        <f t="shared" si="3"/>
        <v/>
      </c>
      <c r="M29" s="1519">
        <v>25.5</v>
      </c>
      <c r="P29" s="1798"/>
      <c r="Q29" s="1799"/>
      <c r="R29" s="1806"/>
      <c r="S29" s="1550"/>
      <c r="T29" s="1806"/>
      <c r="U29" s="1806"/>
      <c r="V29" s="1806"/>
      <c r="W29" s="1806"/>
      <c r="X29" s="1806"/>
      <c r="Y29" s="1806" t="str">
        <f t="shared" si="8"/>
        <v/>
      </c>
      <c r="Z29" s="1806"/>
      <c r="AA29" s="1807"/>
    </row>
    <row r="30" spans="1:27" ht="25.5" customHeight="1">
      <c r="A30" s="1797"/>
      <c r="B30" s="1804"/>
      <c r="C30" s="2853">
        <f t="shared" si="1"/>
        <v>0</v>
      </c>
      <c r="D30" s="2851">
        <f t="shared" si="1"/>
        <v>0</v>
      </c>
      <c r="E30" s="2852">
        <f t="shared" si="7"/>
        <v>0</v>
      </c>
      <c r="F30" s="2852">
        <f t="shared" si="7"/>
        <v>0</v>
      </c>
      <c r="G30" s="2852">
        <f t="shared" si="7"/>
        <v>0</v>
      </c>
      <c r="H30" s="2852">
        <f t="shared" si="7"/>
        <v>0</v>
      </c>
      <c r="I30" s="2852">
        <f t="shared" si="7"/>
        <v>0</v>
      </c>
      <c r="J30" s="2857" t="str">
        <f t="shared" si="4"/>
        <v/>
      </c>
      <c r="K30" s="1590"/>
      <c r="L30" s="1591" t="str">
        <f t="shared" si="3"/>
        <v/>
      </c>
      <c r="M30" s="1519">
        <v>25.5</v>
      </c>
      <c r="P30" s="1798"/>
      <c r="Q30" s="1799"/>
      <c r="R30" s="1806"/>
      <c r="S30" s="1550"/>
      <c r="T30" s="1806"/>
      <c r="U30" s="1806"/>
      <c r="V30" s="1806"/>
      <c r="W30" s="1806"/>
      <c r="X30" s="1806"/>
      <c r="Y30" s="1806" t="str">
        <f t="shared" si="8"/>
        <v/>
      </c>
      <c r="Z30" s="1806"/>
      <c r="AA30" s="1807"/>
    </row>
    <row r="31" spans="1:27" ht="25.5" customHeight="1">
      <c r="A31" s="1797"/>
      <c r="B31" s="1804"/>
      <c r="C31" s="2853">
        <f t="shared" si="1"/>
        <v>0</v>
      </c>
      <c r="D31" s="2851">
        <f t="shared" si="1"/>
        <v>0</v>
      </c>
      <c r="E31" s="2852">
        <f t="shared" si="7"/>
        <v>0</v>
      </c>
      <c r="F31" s="2852">
        <f t="shared" si="7"/>
        <v>0</v>
      </c>
      <c r="G31" s="2852">
        <f t="shared" si="7"/>
        <v>0</v>
      </c>
      <c r="H31" s="2852">
        <f t="shared" si="7"/>
        <v>0</v>
      </c>
      <c r="I31" s="2852">
        <f t="shared" si="7"/>
        <v>0</v>
      </c>
      <c r="J31" s="2857" t="str">
        <f t="shared" si="4"/>
        <v/>
      </c>
      <c r="K31" s="1590"/>
      <c r="L31" s="1591" t="str">
        <f t="shared" si="3"/>
        <v/>
      </c>
      <c r="M31" s="1519">
        <v>25.5</v>
      </c>
      <c r="P31" s="1798"/>
      <c r="Q31" s="1799"/>
      <c r="R31" s="1806"/>
      <c r="S31" s="1550"/>
      <c r="T31" s="1806"/>
      <c r="U31" s="1806"/>
      <c r="V31" s="1806"/>
      <c r="W31" s="1806"/>
      <c r="X31" s="1806"/>
      <c r="Y31" s="1806" t="str">
        <f t="shared" si="8"/>
        <v/>
      </c>
      <c r="Z31" s="1806"/>
      <c r="AA31" s="1807"/>
    </row>
    <row r="32" spans="1:27" ht="25.5" customHeight="1">
      <c r="A32" s="1797"/>
      <c r="B32" s="1804"/>
      <c r="C32" s="2853">
        <f t="shared" si="1"/>
        <v>0</v>
      </c>
      <c r="D32" s="2851">
        <f t="shared" si="1"/>
        <v>0</v>
      </c>
      <c r="E32" s="2852">
        <f t="shared" si="7"/>
        <v>0</v>
      </c>
      <c r="F32" s="2852">
        <f t="shared" si="7"/>
        <v>0</v>
      </c>
      <c r="G32" s="2852">
        <f t="shared" si="7"/>
        <v>0</v>
      </c>
      <c r="H32" s="2852">
        <f t="shared" si="7"/>
        <v>0</v>
      </c>
      <c r="I32" s="2852">
        <f t="shared" si="7"/>
        <v>0</v>
      </c>
      <c r="J32" s="2857" t="str">
        <f t="shared" si="4"/>
        <v/>
      </c>
      <c r="K32" s="1590"/>
      <c r="L32" s="1591" t="str">
        <f t="shared" si="3"/>
        <v/>
      </c>
      <c r="M32" s="1519">
        <v>25.5</v>
      </c>
      <c r="P32" s="1798"/>
      <c r="Q32" s="1799"/>
      <c r="R32" s="1806"/>
      <c r="S32" s="1550"/>
      <c r="T32" s="1806"/>
      <c r="U32" s="1806"/>
      <c r="V32" s="1806"/>
      <c r="W32" s="1806"/>
      <c r="X32" s="1806"/>
      <c r="Y32" s="1806" t="str">
        <f t="shared" si="8"/>
        <v/>
      </c>
      <c r="Z32" s="1806"/>
      <c r="AA32" s="1807"/>
    </row>
    <row r="33" spans="1:27" ht="25.5" customHeight="1">
      <c r="A33" s="1797"/>
      <c r="B33" s="1804"/>
      <c r="C33" s="2853">
        <f t="shared" si="1"/>
        <v>0</v>
      </c>
      <c r="D33" s="2851">
        <f t="shared" si="1"/>
        <v>0</v>
      </c>
      <c r="E33" s="2852">
        <f t="shared" si="7"/>
        <v>0</v>
      </c>
      <c r="F33" s="2852">
        <f t="shared" si="7"/>
        <v>0</v>
      </c>
      <c r="G33" s="2852">
        <f t="shared" si="7"/>
        <v>0</v>
      </c>
      <c r="H33" s="2852">
        <f t="shared" si="7"/>
        <v>0</v>
      </c>
      <c r="I33" s="2852">
        <f t="shared" si="7"/>
        <v>0</v>
      </c>
      <c r="J33" s="2857" t="str">
        <f t="shared" si="4"/>
        <v/>
      </c>
      <c r="K33" s="1590"/>
      <c r="L33" s="1591" t="str">
        <f t="shared" si="3"/>
        <v/>
      </c>
      <c r="M33" s="1519">
        <v>25.5</v>
      </c>
      <c r="P33" s="1798"/>
      <c r="Q33" s="1799"/>
      <c r="R33" s="1806"/>
      <c r="S33" s="1550"/>
      <c r="T33" s="1806"/>
      <c r="U33" s="1806"/>
      <c r="V33" s="1806"/>
      <c r="W33" s="1806"/>
      <c r="X33" s="1806"/>
      <c r="Y33" s="1806" t="str">
        <f t="shared" si="8"/>
        <v/>
      </c>
      <c r="Z33" s="1806"/>
      <c r="AA33" s="1807"/>
    </row>
    <row r="34" spans="1:27" ht="25.5" customHeight="1">
      <c r="A34" s="1797"/>
      <c r="B34" s="1804"/>
      <c r="C34" s="2863" t="str">
        <f t="shared" si="1"/>
        <v>ECONOMAT/CAVE</v>
      </c>
      <c r="D34" s="2864" t="str">
        <f t="shared" si="1"/>
        <v xml:space="preserve"> </v>
      </c>
      <c r="E34" s="2864">
        <f t="shared" si="7"/>
        <v>0</v>
      </c>
      <c r="F34" s="2864">
        <f t="shared" si="7"/>
        <v>0</v>
      </c>
      <c r="G34" s="2864">
        <f t="shared" si="7"/>
        <v>0</v>
      </c>
      <c r="H34" s="2864">
        <f t="shared" si="7"/>
        <v>0</v>
      </c>
      <c r="I34" s="2864">
        <f t="shared" si="7"/>
        <v>0</v>
      </c>
      <c r="J34" s="1736" t="s">
        <v>1456</v>
      </c>
      <c r="K34" s="1737"/>
      <c r="L34" s="1738" t="str">
        <f t="shared" si="3"/>
        <v/>
      </c>
      <c r="M34" s="1519">
        <v>25.5</v>
      </c>
      <c r="P34" s="1798"/>
      <c r="Q34" s="1799"/>
      <c r="R34" s="1598" t="s">
        <v>1967</v>
      </c>
      <c r="S34" s="1584" t="s">
        <v>1456</v>
      </c>
      <c r="T34" s="1810"/>
      <c r="U34" s="1810"/>
      <c r="V34" s="1810"/>
      <c r="W34" s="1810"/>
      <c r="X34" s="1810"/>
      <c r="Y34" s="1810" t="s">
        <v>1456</v>
      </c>
      <c r="Z34" s="1810"/>
      <c r="AA34" s="1815"/>
    </row>
    <row r="35" spans="1:27" ht="25.5" customHeight="1">
      <c r="A35" s="1797"/>
      <c r="B35" s="1804"/>
      <c r="C35" s="2853" t="str">
        <f t="shared" si="1"/>
        <v>sucre</v>
      </c>
      <c r="D35" s="2851" t="str">
        <f t="shared" si="1"/>
        <v>kg</v>
      </c>
      <c r="E35" s="2852">
        <f t="shared" si="7"/>
        <v>0.125</v>
      </c>
      <c r="F35" s="2852">
        <f t="shared" si="7"/>
        <v>0.06</v>
      </c>
      <c r="G35" s="2852">
        <f t="shared" si="7"/>
        <v>0</v>
      </c>
      <c r="H35" s="2852">
        <f t="shared" si="7"/>
        <v>0.25</v>
      </c>
      <c r="I35" s="2852">
        <f t="shared" si="7"/>
        <v>0.11499999999999999</v>
      </c>
      <c r="J35" s="2857">
        <f t="shared" si="4"/>
        <v>0.55000000000000004</v>
      </c>
      <c r="K35" s="1590"/>
      <c r="L35" s="1591" t="str">
        <f t="shared" si="3"/>
        <v/>
      </c>
      <c r="M35" s="1519">
        <v>25.5</v>
      </c>
      <c r="P35" s="1798"/>
      <c r="Q35" s="1799"/>
      <c r="R35" s="1806" t="s">
        <v>216</v>
      </c>
      <c r="S35" s="1550" t="s">
        <v>166</v>
      </c>
      <c r="T35" s="1806">
        <v>0.25</v>
      </c>
      <c r="U35" s="1806">
        <v>0.12</v>
      </c>
      <c r="W35" s="1806">
        <v>0.5</v>
      </c>
      <c r="X35" s="1806">
        <v>0.23</v>
      </c>
      <c r="Y35" s="1806">
        <f t="shared" ref="Y35:Y47" si="9">IF(SUM(T35:X35)=0,"",SUM(T35:X35))</f>
        <v>1.1000000000000001</v>
      </c>
      <c r="Z35" s="1806"/>
      <c r="AA35" s="1807"/>
    </row>
    <row r="36" spans="1:27" ht="25.5" customHeight="1">
      <c r="A36" s="1797"/>
      <c r="B36" s="1804"/>
      <c r="C36" s="2853" t="str">
        <f t="shared" si="1"/>
        <v>vanille</v>
      </c>
      <c r="D36" s="2851" t="str">
        <f t="shared" si="1"/>
        <v>g</v>
      </c>
      <c r="E36" s="2852">
        <f t="shared" si="7"/>
        <v>0.25</v>
      </c>
      <c r="F36" s="2852">
        <f t="shared" si="7"/>
        <v>0.125</v>
      </c>
      <c r="G36" s="2852">
        <f t="shared" si="7"/>
        <v>0</v>
      </c>
      <c r="H36" s="2852">
        <f t="shared" si="7"/>
        <v>0</v>
      </c>
      <c r="I36" s="2852">
        <f t="shared" si="7"/>
        <v>0</v>
      </c>
      <c r="J36" s="2857">
        <f t="shared" si="4"/>
        <v>0.375</v>
      </c>
      <c r="K36" s="1590"/>
      <c r="L36" s="1591" t="str">
        <f t="shared" si="3"/>
        <v/>
      </c>
      <c r="M36" s="1519">
        <v>25.5</v>
      </c>
      <c r="P36" s="1798"/>
      <c r="Q36" s="1799"/>
      <c r="R36" s="1806" t="s">
        <v>2058</v>
      </c>
      <c r="S36" s="1550" t="s">
        <v>2059</v>
      </c>
      <c r="T36" s="1806">
        <v>0.5</v>
      </c>
      <c r="U36" s="1806">
        <v>0.25</v>
      </c>
      <c r="V36" s="1806"/>
      <c r="W36" s="1806"/>
      <c r="X36" s="1806"/>
      <c r="Y36" s="1806">
        <f t="shared" si="9"/>
        <v>0.75</v>
      </c>
      <c r="Z36" s="1806"/>
      <c r="AA36" s="1807"/>
    </row>
    <row r="37" spans="1:27" ht="25.5" customHeight="1">
      <c r="A37" s="1797"/>
      <c r="B37" s="1804"/>
      <c r="C37" s="2853" t="str">
        <f t="shared" si="1"/>
        <v>eau</v>
      </c>
      <c r="D37" s="2851" t="str">
        <f t="shared" si="1"/>
        <v>L</v>
      </c>
      <c r="E37" s="2852">
        <f t="shared" si="7"/>
        <v>0.1</v>
      </c>
      <c r="F37" s="2852">
        <f t="shared" si="7"/>
        <v>0</v>
      </c>
      <c r="G37" s="2852">
        <f t="shared" si="7"/>
        <v>0</v>
      </c>
      <c r="H37" s="2852">
        <f t="shared" si="7"/>
        <v>0</v>
      </c>
      <c r="I37" s="2852">
        <f t="shared" si="7"/>
        <v>0</v>
      </c>
      <c r="J37" s="2857">
        <f t="shared" si="4"/>
        <v>0.1</v>
      </c>
      <c r="K37" s="1590"/>
      <c r="L37" s="1591" t="str">
        <f t="shared" si="3"/>
        <v/>
      </c>
      <c r="M37" s="1519">
        <v>25.5</v>
      </c>
      <c r="P37" s="1798"/>
      <c r="Q37" s="1799"/>
      <c r="R37" s="1806" t="s">
        <v>981</v>
      </c>
      <c r="S37" s="1550" t="s">
        <v>224</v>
      </c>
      <c r="T37" s="1806">
        <v>0.2</v>
      </c>
      <c r="U37" s="1806"/>
      <c r="V37" s="1806"/>
      <c r="W37" s="1806"/>
      <c r="X37" s="1806"/>
      <c r="Y37" s="1806">
        <f t="shared" si="9"/>
        <v>0.2</v>
      </c>
      <c r="Z37" s="1806"/>
      <c r="AA37" s="1807"/>
    </row>
    <row r="38" spans="1:27" ht="25.5" customHeight="1">
      <c r="A38" s="1797"/>
      <c r="B38" s="1804"/>
      <c r="C38" s="2853" t="str">
        <f t="shared" si="1"/>
        <v>Zan plaques</v>
      </c>
      <c r="D38" s="2851" t="str">
        <f t="shared" si="1"/>
        <v>PM</v>
      </c>
      <c r="E38" s="2852">
        <f t="shared" si="7"/>
        <v>0</v>
      </c>
      <c r="F38" s="2852" t="str">
        <f t="shared" si="7"/>
        <v>Pm</v>
      </c>
      <c r="G38" s="2852">
        <f t="shared" si="7"/>
        <v>0</v>
      </c>
      <c r="H38" s="2852">
        <f t="shared" si="7"/>
        <v>0</v>
      </c>
      <c r="I38" s="2852">
        <f t="shared" si="7"/>
        <v>0</v>
      </c>
      <c r="J38" s="2857" t="str">
        <f t="shared" si="4"/>
        <v/>
      </c>
      <c r="K38" s="1590"/>
      <c r="L38" s="1591" t="str">
        <f t="shared" si="3"/>
        <v/>
      </c>
      <c r="M38" s="1519">
        <v>25.5</v>
      </c>
      <c r="P38" s="1798"/>
      <c r="Q38" s="1799"/>
      <c r="R38" s="1806" t="s">
        <v>2188</v>
      </c>
      <c r="S38" s="1550" t="s">
        <v>2147</v>
      </c>
      <c r="T38" s="1806"/>
      <c r="U38" s="1806" t="s">
        <v>1472</v>
      </c>
      <c r="V38" s="1806"/>
      <c r="W38" s="1806"/>
      <c r="X38" s="1806"/>
      <c r="Y38" s="1806" t="str">
        <f t="shared" si="9"/>
        <v/>
      </c>
      <c r="Z38" s="1806"/>
      <c r="AA38" s="1807"/>
    </row>
    <row r="39" spans="1:27" ht="25.5" customHeight="1">
      <c r="A39" s="1797"/>
      <c r="B39" s="1804"/>
      <c r="C39" s="2853" t="str">
        <f t="shared" si="1"/>
        <v>gélatine</v>
      </c>
      <c r="D39" s="2851" t="str">
        <f t="shared" si="1"/>
        <v>F</v>
      </c>
      <c r="E39" s="2852">
        <f t="shared" si="7"/>
        <v>0</v>
      </c>
      <c r="F39" s="2852">
        <f t="shared" si="7"/>
        <v>2.5</v>
      </c>
      <c r="G39" s="2852">
        <f t="shared" si="7"/>
        <v>0</v>
      </c>
      <c r="H39" s="2852">
        <f t="shared" si="7"/>
        <v>0</v>
      </c>
      <c r="I39" s="2852">
        <f t="shared" si="7"/>
        <v>0</v>
      </c>
      <c r="J39" s="2857">
        <f t="shared" si="4"/>
        <v>2.5</v>
      </c>
      <c r="K39" s="1590"/>
      <c r="L39" s="1591" t="str">
        <f t="shared" si="3"/>
        <v/>
      </c>
      <c r="M39" s="1519">
        <v>25.5</v>
      </c>
      <c r="P39" s="1798"/>
      <c r="Q39" s="1799"/>
      <c r="R39" s="1806" t="s">
        <v>219</v>
      </c>
      <c r="S39" s="1550" t="s">
        <v>142</v>
      </c>
      <c r="T39" s="1806"/>
      <c r="U39" s="1806">
        <v>5</v>
      </c>
      <c r="V39" s="1806"/>
      <c r="W39" s="1806"/>
      <c r="X39" s="1806"/>
      <c r="Y39" s="1806">
        <f t="shared" si="9"/>
        <v>5</v>
      </c>
      <c r="Z39" s="1806"/>
      <c r="AA39" s="1807"/>
    </row>
    <row r="40" spans="1:27" ht="25.5" customHeight="1">
      <c r="A40" s="1797"/>
      <c r="B40" s="1804"/>
      <c r="C40" s="2853" t="str">
        <f t="shared" si="1"/>
        <v>feuilletage beurre</v>
      </c>
      <c r="D40" s="2851" t="str">
        <f t="shared" si="1"/>
        <v>Kg</v>
      </c>
      <c r="E40" s="2852">
        <f t="shared" si="7"/>
        <v>0</v>
      </c>
      <c r="F40" s="2852">
        <f t="shared" si="7"/>
        <v>0</v>
      </c>
      <c r="G40" s="2852">
        <f t="shared" si="7"/>
        <v>0</v>
      </c>
      <c r="H40" s="2852">
        <f t="shared" si="7"/>
        <v>0</v>
      </c>
      <c r="I40" s="2852">
        <f t="shared" si="7"/>
        <v>0.1</v>
      </c>
      <c r="J40" s="2857">
        <f t="shared" si="4"/>
        <v>0.1</v>
      </c>
      <c r="K40" s="1697"/>
      <c r="L40" s="1591" t="str">
        <f t="shared" si="3"/>
        <v/>
      </c>
      <c r="M40" s="1519">
        <v>25.5</v>
      </c>
      <c r="P40" s="1798"/>
      <c r="Q40" s="1799"/>
      <c r="R40" s="1806" t="s">
        <v>2189</v>
      </c>
      <c r="S40" s="1550" t="s">
        <v>122</v>
      </c>
      <c r="T40" s="1806"/>
      <c r="U40" s="1806"/>
      <c r="V40" s="1806"/>
      <c r="W40" s="1806"/>
      <c r="X40" s="1806">
        <v>0.2</v>
      </c>
      <c r="Y40" s="1806">
        <f t="shared" si="9"/>
        <v>0.2</v>
      </c>
      <c r="Z40" s="1806"/>
      <c r="AA40" s="1807"/>
    </row>
    <row r="41" spans="1:27" ht="25.5" customHeight="1">
      <c r="A41" s="1797"/>
      <c r="B41" s="1804"/>
      <c r="C41" s="2853" t="str">
        <f t="shared" si="1"/>
        <v>glucose</v>
      </c>
      <c r="D41" s="2851" t="str">
        <f t="shared" si="1"/>
        <v>pm</v>
      </c>
      <c r="E41" s="2852">
        <f t="shared" si="7"/>
        <v>0</v>
      </c>
      <c r="F41" s="2852">
        <f t="shared" si="7"/>
        <v>0</v>
      </c>
      <c r="G41" s="2852">
        <f t="shared" si="7"/>
        <v>0</v>
      </c>
      <c r="H41" s="2852">
        <f t="shared" si="7"/>
        <v>0</v>
      </c>
      <c r="I41" s="2852">
        <f t="shared" si="7"/>
        <v>0</v>
      </c>
      <c r="J41" s="2857" t="str">
        <f t="shared" si="4"/>
        <v/>
      </c>
      <c r="K41" s="1590"/>
      <c r="L41" s="1591" t="str">
        <f t="shared" si="3"/>
        <v/>
      </c>
      <c r="M41" s="1519">
        <v>25.5</v>
      </c>
      <c r="P41" s="1798"/>
      <c r="Q41" s="1799"/>
      <c r="R41" s="1806" t="s">
        <v>2171</v>
      </c>
      <c r="S41" s="1550" t="s">
        <v>214</v>
      </c>
      <c r="T41" s="1806"/>
      <c r="U41" s="1806"/>
      <c r="V41" s="1806"/>
      <c r="W41" s="1806"/>
      <c r="X41" s="1806"/>
      <c r="Y41" s="1806" t="str">
        <f t="shared" si="9"/>
        <v/>
      </c>
      <c r="Z41" s="1806"/>
      <c r="AA41" s="1807"/>
    </row>
    <row r="42" spans="1:27" ht="25.5" customHeight="1">
      <c r="A42" s="1797"/>
      <c r="B42" s="1804"/>
      <c r="C42" s="2853">
        <f t="shared" si="1"/>
        <v>0</v>
      </c>
      <c r="D42" s="2851">
        <f t="shared" si="1"/>
        <v>0</v>
      </c>
      <c r="E42" s="2852">
        <f t="shared" si="7"/>
        <v>0</v>
      </c>
      <c r="F42" s="2852">
        <f t="shared" si="7"/>
        <v>0</v>
      </c>
      <c r="G42" s="2852">
        <f t="shared" si="7"/>
        <v>0</v>
      </c>
      <c r="H42" s="2852">
        <f t="shared" si="7"/>
        <v>0</v>
      </c>
      <c r="I42" s="2852">
        <f t="shared" si="7"/>
        <v>0</v>
      </c>
      <c r="J42" s="2857">
        <v>0</v>
      </c>
      <c r="K42" s="1590"/>
      <c r="L42" s="1591" t="str">
        <f t="shared" si="3"/>
        <v/>
      </c>
      <c r="M42" s="1519">
        <v>25.5</v>
      </c>
      <c r="P42" s="1798"/>
      <c r="Q42" s="1799"/>
      <c r="R42" s="1806"/>
      <c r="S42" s="1550"/>
      <c r="T42" s="1806"/>
      <c r="U42" s="1806"/>
      <c r="V42" s="1806"/>
      <c r="W42" s="1806"/>
      <c r="X42" s="1806"/>
      <c r="Y42" s="1806" t="str">
        <f t="shared" si="9"/>
        <v/>
      </c>
      <c r="Z42" s="1806"/>
      <c r="AA42" s="1807"/>
    </row>
    <row r="43" spans="1:27" ht="25.5" customHeight="1">
      <c r="A43" s="1797"/>
      <c r="B43" s="1804"/>
      <c r="C43" s="2853">
        <f t="shared" si="1"/>
        <v>0</v>
      </c>
      <c r="D43" s="2851">
        <f t="shared" si="1"/>
        <v>0</v>
      </c>
      <c r="E43" s="2852">
        <f t="shared" si="7"/>
        <v>0</v>
      </c>
      <c r="F43" s="2852">
        <f t="shared" si="7"/>
        <v>0</v>
      </c>
      <c r="G43" s="2852">
        <f t="shared" si="7"/>
        <v>0</v>
      </c>
      <c r="H43" s="2852">
        <f t="shared" si="7"/>
        <v>0</v>
      </c>
      <c r="I43" s="2852">
        <f t="shared" si="7"/>
        <v>0</v>
      </c>
      <c r="J43" s="2857">
        <v>0</v>
      </c>
      <c r="K43" s="1590"/>
      <c r="L43" s="1591" t="str">
        <f t="shared" si="3"/>
        <v/>
      </c>
      <c r="M43" s="1519">
        <v>25.5</v>
      </c>
      <c r="P43" s="1798"/>
      <c r="Q43" s="1799"/>
      <c r="R43" s="1806"/>
      <c r="S43" s="1550"/>
      <c r="T43" s="1806"/>
      <c r="U43" s="1806"/>
      <c r="V43" s="1806"/>
      <c r="W43" s="1806"/>
      <c r="X43" s="1806"/>
      <c r="Y43" s="1806" t="str">
        <f t="shared" si="9"/>
        <v/>
      </c>
      <c r="Z43" s="1806"/>
      <c r="AA43" s="1807"/>
    </row>
    <row r="44" spans="1:27" ht="25.5" customHeight="1">
      <c r="A44" s="1797"/>
      <c r="B44" s="1804"/>
      <c r="C44" s="2853">
        <f t="shared" si="1"/>
        <v>0</v>
      </c>
      <c r="D44" s="2851">
        <f t="shared" si="1"/>
        <v>0</v>
      </c>
      <c r="E44" s="2852">
        <f t="shared" si="7"/>
        <v>0</v>
      </c>
      <c r="F44" s="2852">
        <f t="shared" si="7"/>
        <v>0</v>
      </c>
      <c r="G44" s="2852">
        <f t="shared" si="7"/>
        <v>0</v>
      </c>
      <c r="H44" s="2852">
        <f t="shared" si="7"/>
        <v>0</v>
      </c>
      <c r="I44" s="2852">
        <f t="shared" si="7"/>
        <v>0</v>
      </c>
      <c r="J44" s="2857">
        <v>0</v>
      </c>
      <c r="K44" s="1590"/>
      <c r="L44" s="1591" t="str">
        <f t="shared" si="3"/>
        <v/>
      </c>
      <c r="M44" s="1519">
        <v>25.5</v>
      </c>
      <c r="P44" s="1798"/>
      <c r="Q44" s="1799"/>
      <c r="R44" s="1806"/>
      <c r="S44" s="1550"/>
      <c r="T44" s="1806"/>
      <c r="U44" s="1806"/>
      <c r="V44" s="1806"/>
      <c r="W44" s="1806"/>
      <c r="X44" s="1806"/>
      <c r="Y44" s="1806" t="str">
        <f t="shared" si="9"/>
        <v/>
      </c>
      <c r="Z44" s="1806"/>
      <c r="AA44" s="1807"/>
    </row>
    <row r="45" spans="1:27" ht="25.5" customHeight="1">
      <c r="A45" s="1797"/>
      <c r="B45" s="1804"/>
      <c r="C45" s="2853">
        <f t="shared" si="1"/>
        <v>0</v>
      </c>
      <c r="D45" s="2851">
        <f t="shared" si="1"/>
        <v>0</v>
      </c>
      <c r="E45" s="2852">
        <f t="shared" si="7"/>
        <v>0</v>
      </c>
      <c r="F45" s="2852">
        <f t="shared" si="7"/>
        <v>0</v>
      </c>
      <c r="G45" s="2852">
        <f t="shared" si="7"/>
        <v>0</v>
      </c>
      <c r="H45" s="2852">
        <f t="shared" si="7"/>
        <v>0</v>
      </c>
      <c r="I45" s="2852">
        <f t="shared" si="7"/>
        <v>0</v>
      </c>
      <c r="J45" s="2857">
        <v>0</v>
      </c>
      <c r="K45" s="1590"/>
      <c r="L45" s="1591" t="str">
        <f t="shared" si="3"/>
        <v/>
      </c>
      <c r="M45" s="1519">
        <v>25.5</v>
      </c>
      <c r="P45" s="1798"/>
      <c r="Q45" s="1799"/>
      <c r="R45" s="1806"/>
      <c r="S45" s="1550"/>
      <c r="T45" s="1806"/>
      <c r="U45" s="1806"/>
      <c r="V45" s="1806"/>
      <c r="W45" s="1806"/>
      <c r="X45" s="1806"/>
      <c r="Y45" s="1806" t="str">
        <f t="shared" si="9"/>
        <v/>
      </c>
      <c r="Z45" s="1806"/>
      <c r="AA45" s="1807"/>
    </row>
    <row r="46" spans="1:27" ht="25.5" customHeight="1">
      <c r="A46" s="1720"/>
      <c r="B46" s="1804"/>
      <c r="C46" s="2853">
        <f t="shared" si="1"/>
        <v>0</v>
      </c>
      <c r="D46" s="2851">
        <f t="shared" si="1"/>
        <v>0</v>
      </c>
      <c r="E46" s="2852">
        <f t="shared" si="7"/>
        <v>0</v>
      </c>
      <c r="F46" s="2852">
        <f t="shared" si="7"/>
        <v>0</v>
      </c>
      <c r="G46" s="2852">
        <f t="shared" si="7"/>
        <v>0</v>
      </c>
      <c r="H46" s="2852">
        <f t="shared" si="7"/>
        <v>0</v>
      </c>
      <c r="I46" s="2852">
        <f t="shared" si="7"/>
        <v>0</v>
      </c>
      <c r="J46" s="2857">
        <v>0</v>
      </c>
      <c r="K46" s="1590"/>
      <c r="L46" s="1591" t="str">
        <f t="shared" si="3"/>
        <v/>
      </c>
      <c r="M46" s="1519">
        <v>25.5</v>
      </c>
      <c r="P46" s="1766"/>
      <c r="Q46" s="1799"/>
      <c r="R46" s="1806"/>
      <c r="S46" s="1550"/>
      <c r="T46" s="1816"/>
      <c r="U46" s="1816"/>
      <c r="V46" s="1816"/>
      <c r="W46" s="1816"/>
      <c r="X46" s="1816"/>
      <c r="Y46" s="1816" t="str">
        <f t="shared" si="9"/>
        <v/>
      </c>
      <c r="Z46" s="1806"/>
      <c r="AA46" s="1817"/>
    </row>
    <row r="47" spans="1:27" ht="25.5" customHeight="1">
      <c r="A47" s="1614"/>
      <c r="B47" s="1690" t="s">
        <v>1480</v>
      </c>
      <c r="C47" s="1615"/>
      <c r="D47" s="1615"/>
      <c r="E47" s="1615"/>
      <c r="F47" s="1615"/>
      <c r="G47" s="1614"/>
      <c r="H47" s="1615"/>
      <c r="I47" s="1615"/>
      <c r="J47" s="1615" t="str">
        <f t="shared" ref="J47" si="10">IF(SUM(E47:I47)=0,"",SUM(E47:I47))</f>
        <v/>
      </c>
      <c r="K47" s="1615" t="s">
        <v>2411</v>
      </c>
      <c r="L47" s="1616" t="str">
        <f>IF(J47="","",(J47*K47))</f>
        <v/>
      </c>
      <c r="M47" s="1519">
        <v>25.5</v>
      </c>
      <c r="P47" s="1533"/>
      <c r="Q47" s="1617" t="s">
        <v>1480</v>
      </c>
      <c r="R47" s="1536"/>
      <c r="S47" s="1536"/>
      <c r="T47" s="1192"/>
      <c r="U47" s="1192"/>
      <c r="V47" s="1533"/>
      <c r="W47" s="1536"/>
      <c r="X47" s="1536"/>
      <c r="Y47" s="1536" t="str">
        <f t="shared" si="9"/>
        <v/>
      </c>
      <c r="Z47" s="1536" t="s">
        <v>2411</v>
      </c>
      <c r="AA47" s="1616" t="str">
        <f>IF(Y47="","",(Y47*Z47))</f>
        <v/>
      </c>
    </row>
    <row r="48" spans="1:27" ht="25.5" customHeight="1">
      <c r="A48" s="1681"/>
      <c r="B48" s="1618"/>
      <c r="C48" s="1619"/>
      <c r="D48" s="1618"/>
      <c r="E48" s="1619"/>
      <c r="F48" s="1619"/>
      <c r="G48" s="3522" t="s">
        <v>2288</v>
      </c>
      <c r="H48" s="3523"/>
      <c r="I48" s="1620">
        <f>L2</f>
        <v>5</v>
      </c>
      <c r="J48" s="1621"/>
      <c r="K48" s="1621"/>
      <c r="L48" s="1622">
        <f>SUM(L8:L46)</f>
        <v>0</v>
      </c>
      <c r="M48" s="1519">
        <v>25.5</v>
      </c>
      <c r="P48" s="1798"/>
      <c r="Q48" s="1831"/>
      <c r="R48" s="1623"/>
      <c r="S48" s="1192"/>
      <c r="T48" s="1623"/>
      <c r="U48" s="1623"/>
      <c r="V48" s="1832" t="s">
        <v>1482</v>
      </c>
      <c r="W48" s="1625"/>
      <c r="X48" s="1625"/>
      <c r="Y48" s="1625"/>
      <c r="Z48" s="1625"/>
      <c r="AA48" s="1626">
        <f>SUM(AA8:AA47)</f>
        <v>0</v>
      </c>
    </row>
    <row r="49" spans="1:27" ht="25.5" customHeight="1">
      <c r="A49" s="1681"/>
      <c r="B49" s="1618"/>
      <c r="C49" s="1618"/>
      <c r="D49" s="1618"/>
      <c r="E49" s="1618"/>
      <c r="F49" s="1618"/>
      <c r="G49" s="3548" t="s">
        <v>1483</v>
      </c>
      <c r="H49" s="3549"/>
      <c r="I49" s="3549"/>
      <c r="J49" s="3549"/>
      <c r="K49" s="1627">
        <v>0.02</v>
      </c>
      <c r="L49" s="1622">
        <f>L48*K49</f>
        <v>0</v>
      </c>
      <c r="M49" s="1519">
        <v>25.5</v>
      </c>
      <c r="P49" s="1798"/>
      <c r="Q49" s="1831"/>
      <c r="R49" s="1192"/>
      <c r="S49" s="1192"/>
      <c r="T49" s="1192"/>
      <c r="U49" s="1192"/>
      <c r="V49" s="1821" t="s">
        <v>1483</v>
      </c>
      <c r="W49" s="1192"/>
      <c r="X49" s="1192"/>
      <c r="Y49" s="1192"/>
      <c r="Z49" s="1192"/>
      <c r="AA49" s="1537"/>
    </row>
    <row r="50" spans="1:27" ht="25.5" customHeight="1" thickBot="1">
      <c r="A50" s="1689"/>
      <c r="B50" s="1694"/>
      <c r="C50" s="1694"/>
      <c r="D50" s="1694"/>
      <c r="E50" s="1694"/>
      <c r="F50" s="1694"/>
      <c r="G50" s="3614" t="s">
        <v>2289</v>
      </c>
      <c r="H50" s="3615"/>
      <c r="I50" s="3615"/>
      <c r="J50" s="3615"/>
      <c r="K50" s="1630"/>
      <c r="L50" s="1631">
        <f>(L48+L49)/I48</f>
        <v>0</v>
      </c>
      <c r="M50" s="1519">
        <v>25.5</v>
      </c>
      <c r="P50" s="1766"/>
      <c r="Q50" s="1833"/>
      <c r="R50" s="1823"/>
      <c r="S50" s="1823"/>
      <c r="T50" s="1823"/>
      <c r="U50" s="1823"/>
      <c r="V50" s="1824" t="s">
        <v>1484</v>
      </c>
      <c r="W50" s="1823"/>
      <c r="X50" s="1823"/>
      <c r="Y50" s="1823"/>
      <c r="Z50" s="1825"/>
      <c r="AA50" s="1826">
        <f>AA48/X2</f>
        <v>0</v>
      </c>
    </row>
    <row r="51" spans="1:27">
      <c r="M51" s="1519"/>
    </row>
    <row r="52" spans="1:27">
      <c r="M52" s="1519"/>
    </row>
    <row r="53" spans="1:27">
      <c r="M53" s="1519"/>
    </row>
    <row r="54" spans="1:27">
      <c r="M54" s="1519"/>
    </row>
    <row r="55" spans="1:27">
      <c r="M55" s="1519"/>
    </row>
    <row r="56" spans="1:27">
      <c r="M56" s="1519"/>
    </row>
    <row r="57" spans="1:27">
      <c r="M57" s="1519"/>
    </row>
    <row r="58" spans="1:27">
      <c r="M58" s="1519"/>
    </row>
    <row r="59" spans="1:27">
      <c r="M59" s="1519"/>
    </row>
    <row r="60" spans="1:27">
      <c r="M60" s="1519"/>
    </row>
    <row r="61" spans="1:27">
      <c r="M61" s="1519"/>
    </row>
    <row r="62" spans="1:27">
      <c r="M62" s="1519"/>
    </row>
    <row r="63" spans="1:27">
      <c r="M63" s="1519"/>
    </row>
    <row r="64" spans="1:27">
      <c r="M64" s="1519"/>
    </row>
    <row r="65" spans="13:13">
      <c r="M65" s="1519"/>
    </row>
    <row r="66" spans="13:13">
      <c r="M66" s="1519"/>
    </row>
    <row r="67" spans="13:13">
      <c r="M67" s="1519"/>
    </row>
    <row r="68" spans="13:13">
      <c r="M68" s="1519"/>
    </row>
    <row r="69" spans="13:13">
      <c r="M69" s="1519"/>
    </row>
    <row r="70" spans="13:13">
      <c r="M70" s="1519"/>
    </row>
    <row r="71" spans="13:13">
      <c r="M71" s="1519"/>
    </row>
    <row r="72" spans="13:13">
      <c r="M72" s="1519"/>
    </row>
    <row r="73" spans="13:13">
      <c r="M73" s="1519"/>
    </row>
    <row r="74" spans="13:13">
      <c r="M74" s="1519"/>
    </row>
    <row r="75" spans="13:13">
      <c r="M75" s="1519"/>
    </row>
    <row r="76" spans="13:13">
      <c r="M76" s="1519"/>
    </row>
    <row r="77" spans="13:13">
      <c r="M77" s="1519"/>
    </row>
    <row r="78" spans="13:13">
      <c r="M78" s="1519"/>
    </row>
    <row r="79" spans="13:13">
      <c r="M79" s="1519"/>
    </row>
    <row r="80" spans="13:13">
      <c r="M80" s="1519"/>
    </row>
    <row r="81" spans="13:13">
      <c r="M81" s="1519"/>
    </row>
    <row r="82" spans="13:13">
      <c r="M82" s="1519"/>
    </row>
    <row r="83" spans="13:13">
      <c r="M83" s="1519"/>
    </row>
    <row r="84" spans="13:13">
      <c r="M84" s="1519"/>
    </row>
    <row r="85" spans="13:13">
      <c r="M85" s="1519"/>
    </row>
    <row r="86" spans="13:13">
      <c r="M86" s="1519"/>
    </row>
    <row r="87" spans="13:13">
      <c r="M87" s="1519"/>
    </row>
    <row r="88" spans="13:13">
      <c r="M88" s="1519"/>
    </row>
    <row r="89" spans="13:13">
      <c r="M89" s="1519"/>
    </row>
    <row r="90" spans="13:13">
      <c r="M90" s="1519"/>
    </row>
    <row r="91" spans="13:13">
      <c r="M91" s="1519"/>
    </row>
    <row r="92" spans="13:13">
      <c r="M92" s="1519"/>
    </row>
    <row r="93" spans="13:13">
      <c r="M93" s="1519"/>
    </row>
    <row r="94" spans="13:13">
      <c r="M94" s="1519"/>
    </row>
    <row r="95" spans="13:13">
      <c r="M95" s="1519"/>
    </row>
    <row r="96" spans="13:13">
      <c r="M96" s="1519"/>
    </row>
    <row r="97" spans="13:13">
      <c r="M97" s="1519"/>
    </row>
    <row r="98" spans="13:13">
      <c r="M98" s="1519"/>
    </row>
  </sheetData>
  <mergeCells count="11">
    <mergeCell ref="P1:AA1"/>
    <mergeCell ref="G48:H48"/>
    <mergeCell ref="G49:J49"/>
    <mergeCell ref="G50:J50"/>
    <mergeCell ref="B2:G2"/>
    <mergeCell ref="Q2:V2"/>
    <mergeCell ref="B4:E4"/>
    <mergeCell ref="Q4:T4"/>
    <mergeCell ref="C5:D5"/>
    <mergeCell ref="E5:I5"/>
    <mergeCell ref="J5:L5"/>
  </mergeCell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&amp;C&amp;D &amp;T&amp;R2TSB</oddHeader>
    <oddFooter>&amp;L&amp;F</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0775-CB01-4743-868E-E2E4B5D2B429}">
  <dimension ref="A1:AA98"/>
  <sheetViews>
    <sheetView showZeros="0" zoomScaleNormal="100" workbookViewId="0">
      <selection activeCell="B2" sqref="B2:G2"/>
    </sheetView>
  </sheetViews>
  <sheetFormatPr baseColWidth="10" defaultRowHeight="12.75"/>
  <cols>
    <col min="1" max="1" width="5.7109375" style="1281" customWidth="1"/>
    <col min="2" max="2" width="33.7109375" style="1281" customWidth="1"/>
    <col min="3" max="3" width="39.7109375" style="1281" customWidth="1"/>
    <col min="4" max="12" width="12.7109375" style="1281" customWidth="1"/>
    <col min="13" max="14" width="11.42578125" style="1513"/>
    <col min="15" max="15" width="11.42578125" style="1281"/>
    <col min="16" max="17" width="30.7109375" style="1281" customWidth="1"/>
    <col min="18" max="18" width="16.28515625" style="1281" customWidth="1"/>
    <col min="19" max="19" width="3.42578125" style="1281" customWidth="1"/>
    <col min="20" max="20" width="5" style="1281" customWidth="1"/>
    <col min="21" max="21" width="5.140625" style="1281" customWidth="1"/>
    <col min="22" max="22" width="5.7109375" style="1281" customWidth="1"/>
    <col min="23" max="23" width="5.140625" style="1281" customWidth="1"/>
    <col min="24" max="24" width="4.85546875" style="1281" customWidth="1"/>
    <col min="25" max="25" width="5.140625" style="1281" customWidth="1"/>
    <col min="26" max="27" width="4.7109375" style="1281" customWidth="1"/>
    <col min="28" max="257" width="11.42578125" style="1281"/>
    <col min="258" max="258" width="0" style="1281" hidden="1" customWidth="1"/>
    <col min="259" max="259" width="31" style="1281" customWidth="1"/>
    <col min="260" max="260" width="16.28515625" style="1281" customWidth="1"/>
    <col min="261" max="261" width="3.42578125" style="1281" customWidth="1"/>
    <col min="262" max="262" width="5" style="1281" customWidth="1"/>
    <col min="263" max="263" width="5.140625" style="1281" customWidth="1"/>
    <col min="264" max="264" width="5.7109375" style="1281" customWidth="1"/>
    <col min="265" max="265" width="5.140625" style="1281" customWidth="1"/>
    <col min="266" max="266" width="4.85546875" style="1281" customWidth="1"/>
    <col min="267" max="267" width="5.140625" style="1281" customWidth="1"/>
    <col min="268" max="269" width="4.7109375" style="1281" customWidth="1"/>
    <col min="270" max="513" width="11.42578125" style="1281"/>
    <col min="514" max="514" width="0" style="1281" hidden="1" customWidth="1"/>
    <col min="515" max="515" width="31" style="1281" customWidth="1"/>
    <col min="516" max="516" width="16.28515625" style="1281" customWidth="1"/>
    <col min="517" max="517" width="3.42578125" style="1281" customWidth="1"/>
    <col min="518" max="518" width="5" style="1281" customWidth="1"/>
    <col min="519" max="519" width="5.140625" style="1281" customWidth="1"/>
    <col min="520" max="520" width="5.7109375" style="1281" customWidth="1"/>
    <col min="521" max="521" width="5.140625" style="1281" customWidth="1"/>
    <col min="522" max="522" width="4.85546875" style="1281" customWidth="1"/>
    <col min="523" max="523" width="5.140625" style="1281" customWidth="1"/>
    <col min="524" max="525" width="4.7109375" style="1281" customWidth="1"/>
    <col min="526" max="769" width="11.42578125" style="1281"/>
    <col min="770" max="770" width="0" style="1281" hidden="1" customWidth="1"/>
    <col min="771" max="771" width="31" style="1281" customWidth="1"/>
    <col min="772" max="772" width="16.28515625" style="1281" customWidth="1"/>
    <col min="773" max="773" width="3.42578125" style="1281" customWidth="1"/>
    <col min="774" max="774" width="5" style="1281" customWidth="1"/>
    <col min="775" max="775" width="5.140625" style="1281" customWidth="1"/>
    <col min="776" max="776" width="5.7109375" style="1281" customWidth="1"/>
    <col min="777" max="777" width="5.140625" style="1281" customWidth="1"/>
    <col min="778" max="778" width="4.85546875" style="1281" customWidth="1"/>
    <col min="779" max="779" width="5.140625" style="1281" customWidth="1"/>
    <col min="780" max="781" width="4.7109375" style="1281" customWidth="1"/>
    <col min="782" max="1025" width="11.42578125" style="1281"/>
    <col min="1026" max="1026" width="0" style="1281" hidden="1" customWidth="1"/>
    <col min="1027" max="1027" width="31" style="1281" customWidth="1"/>
    <col min="1028" max="1028" width="16.28515625" style="1281" customWidth="1"/>
    <col min="1029" max="1029" width="3.42578125" style="1281" customWidth="1"/>
    <col min="1030" max="1030" width="5" style="1281" customWidth="1"/>
    <col min="1031" max="1031" width="5.140625" style="1281" customWidth="1"/>
    <col min="1032" max="1032" width="5.7109375" style="1281" customWidth="1"/>
    <col min="1033" max="1033" width="5.140625" style="1281" customWidth="1"/>
    <col min="1034" max="1034" width="4.85546875" style="1281" customWidth="1"/>
    <col min="1035" max="1035" width="5.140625" style="1281" customWidth="1"/>
    <col min="1036" max="1037" width="4.7109375" style="1281" customWidth="1"/>
    <col min="1038" max="1281" width="11.42578125" style="1281"/>
    <col min="1282" max="1282" width="0" style="1281" hidden="1" customWidth="1"/>
    <col min="1283" max="1283" width="31" style="1281" customWidth="1"/>
    <col min="1284" max="1284" width="16.28515625" style="1281" customWidth="1"/>
    <col min="1285" max="1285" width="3.42578125" style="1281" customWidth="1"/>
    <col min="1286" max="1286" width="5" style="1281" customWidth="1"/>
    <col min="1287" max="1287" width="5.140625" style="1281" customWidth="1"/>
    <col min="1288" max="1288" width="5.7109375" style="1281" customWidth="1"/>
    <col min="1289" max="1289" width="5.140625" style="1281" customWidth="1"/>
    <col min="1290" max="1290" width="4.85546875" style="1281" customWidth="1"/>
    <col min="1291" max="1291" width="5.140625" style="1281" customWidth="1"/>
    <col min="1292" max="1293" width="4.7109375" style="1281" customWidth="1"/>
    <col min="1294" max="1537" width="11.42578125" style="1281"/>
    <col min="1538" max="1538" width="0" style="1281" hidden="1" customWidth="1"/>
    <col min="1539" max="1539" width="31" style="1281" customWidth="1"/>
    <col min="1540" max="1540" width="16.28515625" style="1281" customWidth="1"/>
    <col min="1541" max="1541" width="3.42578125" style="1281" customWidth="1"/>
    <col min="1542" max="1542" width="5" style="1281" customWidth="1"/>
    <col min="1543" max="1543" width="5.140625" style="1281" customWidth="1"/>
    <col min="1544" max="1544" width="5.7109375" style="1281" customWidth="1"/>
    <col min="1545" max="1545" width="5.140625" style="1281" customWidth="1"/>
    <col min="1546" max="1546" width="4.85546875" style="1281" customWidth="1"/>
    <col min="1547" max="1547" width="5.140625" style="1281" customWidth="1"/>
    <col min="1548" max="1549" width="4.7109375" style="1281" customWidth="1"/>
    <col min="1550" max="1793" width="11.42578125" style="1281"/>
    <col min="1794" max="1794" width="0" style="1281" hidden="1" customWidth="1"/>
    <col min="1795" max="1795" width="31" style="1281" customWidth="1"/>
    <col min="1796" max="1796" width="16.28515625" style="1281" customWidth="1"/>
    <col min="1797" max="1797" width="3.42578125" style="1281" customWidth="1"/>
    <col min="1798" max="1798" width="5" style="1281" customWidth="1"/>
    <col min="1799" max="1799" width="5.140625" style="1281" customWidth="1"/>
    <col min="1800" max="1800" width="5.7109375" style="1281" customWidth="1"/>
    <col min="1801" max="1801" width="5.140625" style="1281" customWidth="1"/>
    <col min="1802" max="1802" width="4.85546875" style="1281" customWidth="1"/>
    <col min="1803" max="1803" width="5.140625" style="1281" customWidth="1"/>
    <col min="1804" max="1805" width="4.7109375" style="1281" customWidth="1"/>
    <col min="1806" max="2049" width="11.42578125" style="1281"/>
    <col min="2050" max="2050" width="0" style="1281" hidden="1" customWidth="1"/>
    <col min="2051" max="2051" width="31" style="1281" customWidth="1"/>
    <col min="2052" max="2052" width="16.28515625" style="1281" customWidth="1"/>
    <col min="2053" max="2053" width="3.42578125" style="1281" customWidth="1"/>
    <col min="2054" max="2054" width="5" style="1281" customWidth="1"/>
    <col min="2055" max="2055" width="5.140625" style="1281" customWidth="1"/>
    <col min="2056" max="2056" width="5.7109375" style="1281" customWidth="1"/>
    <col min="2057" max="2057" width="5.140625" style="1281" customWidth="1"/>
    <col min="2058" max="2058" width="4.85546875" style="1281" customWidth="1"/>
    <col min="2059" max="2059" width="5.140625" style="1281" customWidth="1"/>
    <col min="2060" max="2061" width="4.7109375" style="1281" customWidth="1"/>
    <col min="2062" max="2305" width="11.42578125" style="1281"/>
    <col min="2306" max="2306" width="0" style="1281" hidden="1" customWidth="1"/>
    <col min="2307" max="2307" width="31" style="1281" customWidth="1"/>
    <col min="2308" max="2308" width="16.28515625" style="1281" customWidth="1"/>
    <col min="2309" max="2309" width="3.42578125" style="1281" customWidth="1"/>
    <col min="2310" max="2310" width="5" style="1281" customWidth="1"/>
    <col min="2311" max="2311" width="5.140625" style="1281" customWidth="1"/>
    <col min="2312" max="2312" width="5.7109375" style="1281" customWidth="1"/>
    <col min="2313" max="2313" width="5.140625" style="1281" customWidth="1"/>
    <col min="2314" max="2314" width="4.85546875" style="1281" customWidth="1"/>
    <col min="2315" max="2315" width="5.140625" style="1281" customWidth="1"/>
    <col min="2316" max="2317" width="4.7109375" style="1281" customWidth="1"/>
    <col min="2318" max="2561" width="11.42578125" style="1281"/>
    <col min="2562" max="2562" width="0" style="1281" hidden="1" customWidth="1"/>
    <col min="2563" max="2563" width="31" style="1281" customWidth="1"/>
    <col min="2564" max="2564" width="16.28515625" style="1281" customWidth="1"/>
    <col min="2565" max="2565" width="3.42578125" style="1281" customWidth="1"/>
    <col min="2566" max="2566" width="5" style="1281" customWidth="1"/>
    <col min="2567" max="2567" width="5.140625" style="1281" customWidth="1"/>
    <col min="2568" max="2568" width="5.7109375" style="1281" customWidth="1"/>
    <col min="2569" max="2569" width="5.140625" style="1281" customWidth="1"/>
    <col min="2570" max="2570" width="4.85546875" style="1281" customWidth="1"/>
    <col min="2571" max="2571" width="5.140625" style="1281" customWidth="1"/>
    <col min="2572" max="2573" width="4.7109375" style="1281" customWidth="1"/>
    <col min="2574" max="2817" width="11.42578125" style="1281"/>
    <col min="2818" max="2818" width="0" style="1281" hidden="1" customWidth="1"/>
    <col min="2819" max="2819" width="31" style="1281" customWidth="1"/>
    <col min="2820" max="2820" width="16.28515625" style="1281" customWidth="1"/>
    <col min="2821" max="2821" width="3.42578125" style="1281" customWidth="1"/>
    <col min="2822" max="2822" width="5" style="1281" customWidth="1"/>
    <col min="2823" max="2823" width="5.140625" style="1281" customWidth="1"/>
    <col min="2824" max="2824" width="5.7109375" style="1281" customWidth="1"/>
    <col min="2825" max="2825" width="5.140625" style="1281" customWidth="1"/>
    <col min="2826" max="2826" width="4.85546875" style="1281" customWidth="1"/>
    <col min="2827" max="2827" width="5.140625" style="1281" customWidth="1"/>
    <col min="2828" max="2829" width="4.7109375" style="1281" customWidth="1"/>
    <col min="2830" max="3073" width="11.42578125" style="1281"/>
    <col min="3074" max="3074" width="0" style="1281" hidden="1" customWidth="1"/>
    <col min="3075" max="3075" width="31" style="1281" customWidth="1"/>
    <col min="3076" max="3076" width="16.28515625" style="1281" customWidth="1"/>
    <col min="3077" max="3077" width="3.42578125" style="1281" customWidth="1"/>
    <col min="3078" max="3078" width="5" style="1281" customWidth="1"/>
    <col min="3079" max="3079" width="5.140625" style="1281" customWidth="1"/>
    <col min="3080" max="3080" width="5.7109375" style="1281" customWidth="1"/>
    <col min="3081" max="3081" width="5.140625" style="1281" customWidth="1"/>
    <col min="3082" max="3082" width="4.85546875" style="1281" customWidth="1"/>
    <col min="3083" max="3083" width="5.140625" style="1281" customWidth="1"/>
    <col min="3084" max="3085" width="4.7109375" style="1281" customWidth="1"/>
    <col min="3086" max="3329" width="11.42578125" style="1281"/>
    <col min="3330" max="3330" width="0" style="1281" hidden="1" customWidth="1"/>
    <col min="3331" max="3331" width="31" style="1281" customWidth="1"/>
    <col min="3332" max="3332" width="16.28515625" style="1281" customWidth="1"/>
    <col min="3333" max="3333" width="3.42578125" style="1281" customWidth="1"/>
    <col min="3334" max="3334" width="5" style="1281" customWidth="1"/>
    <col min="3335" max="3335" width="5.140625" style="1281" customWidth="1"/>
    <col min="3336" max="3336" width="5.7109375" style="1281" customWidth="1"/>
    <col min="3337" max="3337" width="5.140625" style="1281" customWidth="1"/>
    <col min="3338" max="3338" width="4.85546875" style="1281" customWidth="1"/>
    <col min="3339" max="3339" width="5.140625" style="1281" customWidth="1"/>
    <col min="3340" max="3341" width="4.7109375" style="1281" customWidth="1"/>
    <col min="3342" max="3585" width="11.42578125" style="1281"/>
    <col min="3586" max="3586" width="0" style="1281" hidden="1" customWidth="1"/>
    <col min="3587" max="3587" width="31" style="1281" customWidth="1"/>
    <col min="3588" max="3588" width="16.28515625" style="1281" customWidth="1"/>
    <col min="3589" max="3589" width="3.42578125" style="1281" customWidth="1"/>
    <col min="3590" max="3590" width="5" style="1281" customWidth="1"/>
    <col min="3591" max="3591" width="5.140625" style="1281" customWidth="1"/>
    <col min="3592" max="3592" width="5.7109375" style="1281" customWidth="1"/>
    <col min="3593" max="3593" width="5.140625" style="1281" customWidth="1"/>
    <col min="3594" max="3594" width="4.85546875" style="1281" customWidth="1"/>
    <col min="3595" max="3595" width="5.140625" style="1281" customWidth="1"/>
    <col min="3596" max="3597" width="4.7109375" style="1281" customWidth="1"/>
    <col min="3598" max="3841" width="11.42578125" style="1281"/>
    <col min="3842" max="3842" width="0" style="1281" hidden="1" customWidth="1"/>
    <col min="3843" max="3843" width="31" style="1281" customWidth="1"/>
    <col min="3844" max="3844" width="16.28515625" style="1281" customWidth="1"/>
    <col min="3845" max="3845" width="3.42578125" style="1281" customWidth="1"/>
    <col min="3846" max="3846" width="5" style="1281" customWidth="1"/>
    <col min="3847" max="3847" width="5.140625" style="1281" customWidth="1"/>
    <col min="3848" max="3848" width="5.7109375" style="1281" customWidth="1"/>
    <col min="3849" max="3849" width="5.140625" style="1281" customWidth="1"/>
    <col min="3850" max="3850" width="4.85546875" style="1281" customWidth="1"/>
    <col min="3851" max="3851" width="5.140625" style="1281" customWidth="1"/>
    <col min="3852" max="3853" width="4.7109375" style="1281" customWidth="1"/>
    <col min="3854" max="4097" width="11.42578125" style="1281"/>
    <col min="4098" max="4098" width="0" style="1281" hidden="1" customWidth="1"/>
    <col min="4099" max="4099" width="31" style="1281" customWidth="1"/>
    <col min="4100" max="4100" width="16.28515625" style="1281" customWidth="1"/>
    <col min="4101" max="4101" width="3.42578125" style="1281" customWidth="1"/>
    <col min="4102" max="4102" width="5" style="1281" customWidth="1"/>
    <col min="4103" max="4103" width="5.140625" style="1281" customWidth="1"/>
    <col min="4104" max="4104" width="5.7109375" style="1281" customWidth="1"/>
    <col min="4105" max="4105" width="5.140625" style="1281" customWidth="1"/>
    <col min="4106" max="4106" width="4.85546875" style="1281" customWidth="1"/>
    <col min="4107" max="4107" width="5.140625" style="1281" customWidth="1"/>
    <col min="4108" max="4109" width="4.7109375" style="1281" customWidth="1"/>
    <col min="4110" max="4353" width="11.42578125" style="1281"/>
    <col min="4354" max="4354" width="0" style="1281" hidden="1" customWidth="1"/>
    <col min="4355" max="4355" width="31" style="1281" customWidth="1"/>
    <col min="4356" max="4356" width="16.28515625" style="1281" customWidth="1"/>
    <col min="4357" max="4357" width="3.42578125" style="1281" customWidth="1"/>
    <col min="4358" max="4358" width="5" style="1281" customWidth="1"/>
    <col min="4359" max="4359" width="5.140625" style="1281" customWidth="1"/>
    <col min="4360" max="4360" width="5.7109375" style="1281" customWidth="1"/>
    <col min="4361" max="4361" width="5.140625" style="1281" customWidth="1"/>
    <col min="4362" max="4362" width="4.85546875" style="1281" customWidth="1"/>
    <col min="4363" max="4363" width="5.140625" style="1281" customWidth="1"/>
    <col min="4364" max="4365" width="4.7109375" style="1281" customWidth="1"/>
    <col min="4366" max="4609" width="11.42578125" style="1281"/>
    <col min="4610" max="4610" width="0" style="1281" hidden="1" customWidth="1"/>
    <col min="4611" max="4611" width="31" style="1281" customWidth="1"/>
    <col min="4612" max="4612" width="16.28515625" style="1281" customWidth="1"/>
    <col min="4613" max="4613" width="3.42578125" style="1281" customWidth="1"/>
    <col min="4614" max="4614" width="5" style="1281" customWidth="1"/>
    <col min="4615" max="4615" width="5.140625" style="1281" customWidth="1"/>
    <col min="4616" max="4616" width="5.7109375" style="1281" customWidth="1"/>
    <col min="4617" max="4617" width="5.140625" style="1281" customWidth="1"/>
    <col min="4618" max="4618" width="4.85546875" style="1281" customWidth="1"/>
    <col min="4619" max="4619" width="5.140625" style="1281" customWidth="1"/>
    <col min="4620" max="4621" width="4.7109375" style="1281" customWidth="1"/>
    <col min="4622" max="4865" width="11.42578125" style="1281"/>
    <col min="4866" max="4866" width="0" style="1281" hidden="1" customWidth="1"/>
    <col min="4867" max="4867" width="31" style="1281" customWidth="1"/>
    <col min="4868" max="4868" width="16.28515625" style="1281" customWidth="1"/>
    <col min="4869" max="4869" width="3.42578125" style="1281" customWidth="1"/>
    <col min="4870" max="4870" width="5" style="1281" customWidth="1"/>
    <col min="4871" max="4871" width="5.140625" style="1281" customWidth="1"/>
    <col min="4872" max="4872" width="5.7109375" style="1281" customWidth="1"/>
    <col min="4873" max="4873" width="5.140625" style="1281" customWidth="1"/>
    <col min="4874" max="4874" width="4.85546875" style="1281" customWidth="1"/>
    <col min="4875" max="4875" width="5.140625" style="1281" customWidth="1"/>
    <col min="4876" max="4877" width="4.7109375" style="1281" customWidth="1"/>
    <col min="4878" max="5121" width="11.42578125" style="1281"/>
    <col min="5122" max="5122" width="0" style="1281" hidden="1" customWidth="1"/>
    <col min="5123" max="5123" width="31" style="1281" customWidth="1"/>
    <col min="5124" max="5124" width="16.28515625" style="1281" customWidth="1"/>
    <col min="5125" max="5125" width="3.42578125" style="1281" customWidth="1"/>
    <col min="5126" max="5126" width="5" style="1281" customWidth="1"/>
    <col min="5127" max="5127" width="5.140625" style="1281" customWidth="1"/>
    <col min="5128" max="5128" width="5.7109375" style="1281" customWidth="1"/>
    <col min="5129" max="5129" width="5.140625" style="1281" customWidth="1"/>
    <col min="5130" max="5130" width="4.85546875" style="1281" customWidth="1"/>
    <col min="5131" max="5131" width="5.140625" style="1281" customWidth="1"/>
    <col min="5132" max="5133" width="4.7109375" style="1281" customWidth="1"/>
    <col min="5134" max="5377" width="11.42578125" style="1281"/>
    <col min="5378" max="5378" width="0" style="1281" hidden="1" customWidth="1"/>
    <col min="5379" max="5379" width="31" style="1281" customWidth="1"/>
    <col min="5380" max="5380" width="16.28515625" style="1281" customWidth="1"/>
    <col min="5381" max="5381" width="3.42578125" style="1281" customWidth="1"/>
    <col min="5382" max="5382" width="5" style="1281" customWidth="1"/>
    <col min="5383" max="5383" width="5.140625" style="1281" customWidth="1"/>
    <col min="5384" max="5384" width="5.7109375" style="1281" customWidth="1"/>
    <col min="5385" max="5385" width="5.140625" style="1281" customWidth="1"/>
    <col min="5386" max="5386" width="4.85546875" style="1281" customWidth="1"/>
    <col min="5387" max="5387" width="5.140625" style="1281" customWidth="1"/>
    <col min="5388" max="5389" width="4.7109375" style="1281" customWidth="1"/>
    <col min="5390" max="5633" width="11.42578125" style="1281"/>
    <col min="5634" max="5634" width="0" style="1281" hidden="1" customWidth="1"/>
    <col min="5635" max="5635" width="31" style="1281" customWidth="1"/>
    <col min="5636" max="5636" width="16.28515625" style="1281" customWidth="1"/>
    <col min="5637" max="5637" width="3.42578125" style="1281" customWidth="1"/>
    <col min="5638" max="5638" width="5" style="1281" customWidth="1"/>
    <col min="5639" max="5639" width="5.140625" style="1281" customWidth="1"/>
    <col min="5640" max="5640" width="5.7109375" style="1281" customWidth="1"/>
    <col min="5641" max="5641" width="5.140625" style="1281" customWidth="1"/>
    <col min="5642" max="5642" width="4.85546875" style="1281" customWidth="1"/>
    <col min="5643" max="5643" width="5.140625" style="1281" customWidth="1"/>
    <col min="5644" max="5645" width="4.7109375" style="1281" customWidth="1"/>
    <col min="5646" max="5889" width="11.42578125" style="1281"/>
    <col min="5890" max="5890" width="0" style="1281" hidden="1" customWidth="1"/>
    <col min="5891" max="5891" width="31" style="1281" customWidth="1"/>
    <col min="5892" max="5892" width="16.28515625" style="1281" customWidth="1"/>
    <col min="5893" max="5893" width="3.42578125" style="1281" customWidth="1"/>
    <col min="5894" max="5894" width="5" style="1281" customWidth="1"/>
    <col min="5895" max="5895" width="5.140625" style="1281" customWidth="1"/>
    <col min="5896" max="5896" width="5.7109375" style="1281" customWidth="1"/>
    <col min="5897" max="5897" width="5.140625" style="1281" customWidth="1"/>
    <col min="5898" max="5898" width="4.85546875" style="1281" customWidth="1"/>
    <col min="5899" max="5899" width="5.140625" style="1281" customWidth="1"/>
    <col min="5900" max="5901" width="4.7109375" style="1281" customWidth="1"/>
    <col min="5902" max="6145" width="11.42578125" style="1281"/>
    <col min="6146" max="6146" width="0" style="1281" hidden="1" customWidth="1"/>
    <col min="6147" max="6147" width="31" style="1281" customWidth="1"/>
    <col min="6148" max="6148" width="16.28515625" style="1281" customWidth="1"/>
    <col min="6149" max="6149" width="3.42578125" style="1281" customWidth="1"/>
    <col min="6150" max="6150" width="5" style="1281" customWidth="1"/>
    <col min="6151" max="6151" width="5.140625" style="1281" customWidth="1"/>
    <col min="6152" max="6152" width="5.7109375" style="1281" customWidth="1"/>
    <col min="6153" max="6153" width="5.140625" style="1281" customWidth="1"/>
    <col min="6154" max="6154" width="4.85546875" style="1281" customWidth="1"/>
    <col min="6155" max="6155" width="5.140625" style="1281" customWidth="1"/>
    <col min="6156" max="6157" width="4.7109375" style="1281" customWidth="1"/>
    <col min="6158" max="6401" width="11.42578125" style="1281"/>
    <col min="6402" max="6402" width="0" style="1281" hidden="1" customWidth="1"/>
    <col min="6403" max="6403" width="31" style="1281" customWidth="1"/>
    <col min="6404" max="6404" width="16.28515625" style="1281" customWidth="1"/>
    <col min="6405" max="6405" width="3.42578125" style="1281" customWidth="1"/>
    <col min="6406" max="6406" width="5" style="1281" customWidth="1"/>
    <col min="6407" max="6407" width="5.140625" style="1281" customWidth="1"/>
    <col min="6408" max="6408" width="5.7109375" style="1281" customWidth="1"/>
    <col min="6409" max="6409" width="5.140625" style="1281" customWidth="1"/>
    <col min="6410" max="6410" width="4.85546875" style="1281" customWidth="1"/>
    <col min="6411" max="6411" width="5.140625" style="1281" customWidth="1"/>
    <col min="6412" max="6413" width="4.7109375" style="1281" customWidth="1"/>
    <col min="6414" max="6657" width="11.42578125" style="1281"/>
    <col min="6658" max="6658" width="0" style="1281" hidden="1" customWidth="1"/>
    <col min="6659" max="6659" width="31" style="1281" customWidth="1"/>
    <col min="6660" max="6660" width="16.28515625" style="1281" customWidth="1"/>
    <col min="6661" max="6661" width="3.42578125" style="1281" customWidth="1"/>
    <col min="6662" max="6662" width="5" style="1281" customWidth="1"/>
    <col min="6663" max="6663" width="5.140625" style="1281" customWidth="1"/>
    <col min="6664" max="6664" width="5.7109375" style="1281" customWidth="1"/>
    <col min="6665" max="6665" width="5.140625" style="1281" customWidth="1"/>
    <col min="6666" max="6666" width="4.85546875" style="1281" customWidth="1"/>
    <col min="6667" max="6667" width="5.140625" style="1281" customWidth="1"/>
    <col min="6668" max="6669" width="4.7109375" style="1281" customWidth="1"/>
    <col min="6670" max="6913" width="11.42578125" style="1281"/>
    <col min="6914" max="6914" width="0" style="1281" hidden="1" customWidth="1"/>
    <col min="6915" max="6915" width="31" style="1281" customWidth="1"/>
    <col min="6916" max="6916" width="16.28515625" style="1281" customWidth="1"/>
    <col min="6917" max="6917" width="3.42578125" style="1281" customWidth="1"/>
    <col min="6918" max="6918" width="5" style="1281" customWidth="1"/>
    <col min="6919" max="6919" width="5.140625" style="1281" customWidth="1"/>
    <col min="6920" max="6920" width="5.7109375" style="1281" customWidth="1"/>
    <col min="6921" max="6921" width="5.140625" style="1281" customWidth="1"/>
    <col min="6922" max="6922" width="4.85546875" style="1281" customWidth="1"/>
    <col min="6923" max="6923" width="5.140625" style="1281" customWidth="1"/>
    <col min="6924" max="6925" width="4.7109375" style="1281" customWidth="1"/>
    <col min="6926" max="7169" width="11.42578125" style="1281"/>
    <col min="7170" max="7170" width="0" style="1281" hidden="1" customWidth="1"/>
    <col min="7171" max="7171" width="31" style="1281" customWidth="1"/>
    <col min="7172" max="7172" width="16.28515625" style="1281" customWidth="1"/>
    <col min="7173" max="7173" width="3.42578125" style="1281" customWidth="1"/>
    <col min="7174" max="7174" width="5" style="1281" customWidth="1"/>
    <col min="7175" max="7175" width="5.140625" style="1281" customWidth="1"/>
    <col min="7176" max="7176" width="5.7109375" style="1281" customWidth="1"/>
    <col min="7177" max="7177" width="5.140625" style="1281" customWidth="1"/>
    <col min="7178" max="7178" width="4.85546875" style="1281" customWidth="1"/>
    <col min="7179" max="7179" width="5.140625" style="1281" customWidth="1"/>
    <col min="7180" max="7181" width="4.7109375" style="1281" customWidth="1"/>
    <col min="7182" max="7425" width="11.42578125" style="1281"/>
    <col min="7426" max="7426" width="0" style="1281" hidden="1" customWidth="1"/>
    <col min="7427" max="7427" width="31" style="1281" customWidth="1"/>
    <col min="7428" max="7428" width="16.28515625" style="1281" customWidth="1"/>
    <col min="7429" max="7429" width="3.42578125" style="1281" customWidth="1"/>
    <col min="7430" max="7430" width="5" style="1281" customWidth="1"/>
    <col min="7431" max="7431" width="5.140625" style="1281" customWidth="1"/>
    <col min="7432" max="7432" width="5.7109375" style="1281" customWidth="1"/>
    <col min="7433" max="7433" width="5.140625" style="1281" customWidth="1"/>
    <col min="7434" max="7434" width="4.85546875" style="1281" customWidth="1"/>
    <col min="7435" max="7435" width="5.140625" style="1281" customWidth="1"/>
    <col min="7436" max="7437" width="4.7109375" style="1281" customWidth="1"/>
    <col min="7438" max="7681" width="11.42578125" style="1281"/>
    <col min="7682" max="7682" width="0" style="1281" hidden="1" customWidth="1"/>
    <col min="7683" max="7683" width="31" style="1281" customWidth="1"/>
    <col min="7684" max="7684" width="16.28515625" style="1281" customWidth="1"/>
    <col min="7685" max="7685" width="3.42578125" style="1281" customWidth="1"/>
    <col min="7686" max="7686" width="5" style="1281" customWidth="1"/>
    <col min="7687" max="7687" width="5.140625" style="1281" customWidth="1"/>
    <col min="7688" max="7688" width="5.7109375" style="1281" customWidth="1"/>
    <col min="7689" max="7689" width="5.140625" style="1281" customWidth="1"/>
    <col min="7690" max="7690" width="4.85546875" style="1281" customWidth="1"/>
    <col min="7691" max="7691" width="5.140625" style="1281" customWidth="1"/>
    <col min="7692" max="7693" width="4.7109375" style="1281" customWidth="1"/>
    <col min="7694" max="7937" width="11.42578125" style="1281"/>
    <col min="7938" max="7938" width="0" style="1281" hidden="1" customWidth="1"/>
    <col min="7939" max="7939" width="31" style="1281" customWidth="1"/>
    <col min="7940" max="7940" width="16.28515625" style="1281" customWidth="1"/>
    <col min="7941" max="7941" width="3.42578125" style="1281" customWidth="1"/>
    <col min="7942" max="7942" width="5" style="1281" customWidth="1"/>
    <col min="7943" max="7943" width="5.140625" style="1281" customWidth="1"/>
    <col min="7944" max="7944" width="5.7109375" style="1281" customWidth="1"/>
    <col min="7945" max="7945" width="5.140625" style="1281" customWidth="1"/>
    <col min="7946" max="7946" width="4.85546875" style="1281" customWidth="1"/>
    <col min="7947" max="7947" width="5.140625" style="1281" customWidth="1"/>
    <col min="7948" max="7949" width="4.7109375" style="1281" customWidth="1"/>
    <col min="7950" max="8193" width="11.42578125" style="1281"/>
    <col min="8194" max="8194" width="0" style="1281" hidden="1" customWidth="1"/>
    <col min="8195" max="8195" width="31" style="1281" customWidth="1"/>
    <col min="8196" max="8196" width="16.28515625" style="1281" customWidth="1"/>
    <col min="8197" max="8197" width="3.42578125" style="1281" customWidth="1"/>
    <col min="8198" max="8198" width="5" style="1281" customWidth="1"/>
    <col min="8199" max="8199" width="5.140625" style="1281" customWidth="1"/>
    <col min="8200" max="8200" width="5.7109375" style="1281" customWidth="1"/>
    <col min="8201" max="8201" width="5.140625" style="1281" customWidth="1"/>
    <col min="8202" max="8202" width="4.85546875" style="1281" customWidth="1"/>
    <col min="8203" max="8203" width="5.140625" style="1281" customWidth="1"/>
    <col min="8204" max="8205" width="4.7109375" style="1281" customWidth="1"/>
    <col min="8206" max="8449" width="11.42578125" style="1281"/>
    <col min="8450" max="8450" width="0" style="1281" hidden="1" customWidth="1"/>
    <col min="8451" max="8451" width="31" style="1281" customWidth="1"/>
    <col min="8452" max="8452" width="16.28515625" style="1281" customWidth="1"/>
    <col min="8453" max="8453" width="3.42578125" style="1281" customWidth="1"/>
    <col min="8454" max="8454" width="5" style="1281" customWidth="1"/>
    <col min="8455" max="8455" width="5.140625" style="1281" customWidth="1"/>
    <col min="8456" max="8456" width="5.7109375" style="1281" customWidth="1"/>
    <col min="8457" max="8457" width="5.140625" style="1281" customWidth="1"/>
    <col min="8458" max="8458" width="4.85546875" style="1281" customWidth="1"/>
    <col min="8459" max="8459" width="5.140625" style="1281" customWidth="1"/>
    <col min="8460" max="8461" width="4.7109375" style="1281" customWidth="1"/>
    <col min="8462" max="8705" width="11.42578125" style="1281"/>
    <col min="8706" max="8706" width="0" style="1281" hidden="1" customWidth="1"/>
    <col min="8707" max="8707" width="31" style="1281" customWidth="1"/>
    <col min="8708" max="8708" width="16.28515625" style="1281" customWidth="1"/>
    <col min="8709" max="8709" width="3.42578125" style="1281" customWidth="1"/>
    <col min="8710" max="8710" width="5" style="1281" customWidth="1"/>
    <col min="8711" max="8711" width="5.140625" style="1281" customWidth="1"/>
    <col min="8712" max="8712" width="5.7109375" style="1281" customWidth="1"/>
    <col min="8713" max="8713" width="5.140625" style="1281" customWidth="1"/>
    <col min="8714" max="8714" width="4.85546875" style="1281" customWidth="1"/>
    <col min="8715" max="8715" width="5.140625" style="1281" customWidth="1"/>
    <col min="8716" max="8717" width="4.7109375" style="1281" customWidth="1"/>
    <col min="8718" max="8961" width="11.42578125" style="1281"/>
    <col min="8962" max="8962" width="0" style="1281" hidden="1" customWidth="1"/>
    <col min="8963" max="8963" width="31" style="1281" customWidth="1"/>
    <col min="8964" max="8964" width="16.28515625" style="1281" customWidth="1"/>
    <col min="8965" max="8965" width="3.42578125" style="1281" customWidth="1"/>
    <col min="8966" max="8966" width="5" style="1281" customWidth="1"/>
    <col min="8967" max="8967" width="5.140625" style="1281" customWidth="1"/>
    <col min="8968" max="8968" width="5.7109375" style="1281" customWidth="1"/>
    <col min="8969" max="8969" width="5.140625" style="1281" customWidth="1"/>
    <col min="8970" max="8970" width="4.85546875" style="1281" customWidth="1"/>
    <col min="8971" max="8971" width="5.140625" style="1281" customWidth="1"/>
    <col min="8972" max="8973" width="4.7109375" style="1281" customWidth="1"/>
    <col min="8974" max="9217" width="11.42578125" style="1281"/>
    <col min="9218" max="9218" width="0" style="1281" hidden="1" customWidth="1"/>
    <col min="9219" max="9219" width="31" style="1281" customWidth="1"/>
    <col min="9220" max="9220" width="16.28515625" style="1281" customWidth="1"/>
    <col min="9221" max="9221" width="3.42578125" style="1281" customWidth="1"/>
    <col min="9222" max="9222" width="5" style="1281" customWidth="1"/>
    <col min="9223" max="9223" width="5.140625" style="1281" customWidth="1"/>
    <col min="9224" max="9224" width="5.7109375" style="1281" customWidth="1"/>
    <col min="9225" max="9225" width="5.140625" style="1281" customWidth="1"/>
    <col min="9226" max="9226" width="4.85546875" style="1281" customWidth="1"/>
    <col min="9227" max="9227" width="5.140625" style="1281" customWidth="1"/>
    <col min="9228" max="9229" width="4.7109375" style="1281" customWidth="1"/>
    <col min="9230" max="9473" width="11.42578125" style="1281"/>
    <col min="9474" max="9474" width="0" style="1281" hidden="1" customWidth="1"/>
    <col min="9475" max="9475" width="31" style="1281" customWidth="1"/>
    <col min="9476" max="9476" width="16.28515625" style="1281" customWidth="1"/>
    <col min="9477" max="9477" width="3.42578125" style="1281" customWidth="1"/>
    <col min="9478" max="9478" width="5" style="1281" customWidth="1"/>
    <col min="9479" max="9479" width="5.140625" style="1281" customWidth="1"/>
    <col min="9480" max="9480" width="5.7109375" style="1281" customWidth="1"/>
    <col min="9481" max="9481" width="5.140625" style="1281" customWidth="1"/>
    <col min="9482" max="9482" width="4.85546875" style="1281" customWidth="1"/>
    <col min="9483" max="9483" width="5.140625" style="1281" customWidth="1"/>
    <col min="9484" max="9485" width="4.7109375" style="1281" customWidth="1"/>
    <col min="9486" max="9729" width="11.42578125" style="1281"/>
    <col min="9730" max="9730" width="0" style="1281" hidden="1" customWidth="1"/>
    <col min="9731" max="9731" width="31" style="1281" customWidth="1"/>
    <col min="9732" max="9732" width="16.28515625" style="1281" customWidth="1"/>
    <col min="9733" max="9733" width="3.42578125" style="1281" customWidth="1"/>
    <col min="9734" max="9734" width="5" style="1281" customWidth="1"/>
    <col min="9735" max="9735" width="5.140625" style="1281" customWidth="1"/>
    <col min="9736" max="9736" width="5.7109375" style="1281" customWidth="1"/>
    <col min="9737" max="9737" width="5.140625" style="1281" customWidth="1"/>
    <col min="9738" max="9738" width="4.85546875" style="1281" customWidth="1"/>
    <col min="9739" max="9739" width="5.140625" style="1281" customWidth="1"/>
    <col min="9740" max="9741" width="4.7109375" style="1281" customWidth="1"/>
    <col min="9742" max="9985" width="11.42578125" style="1281"/>
    <col min="9986" max="9986" width="0" style="1281" hidden="1" customWidth="1"/>
    <col min="9987" max="9987" width="31" style="1281" customWidth="1"/>
    <col min="9988" max="9988" width="16.28515625" style="1281" customWidth="1"/>
    <col min="9989" max="9989" width="3.42578125" style="1281" customWidth="1"/>
    <col min="9990" max="9990" width="5" style="1281" customWidth="1"/>
    <col min="9991" max="9991" width="5.140625" style="1281" customWidth="1"/>
    <col min="9992" max="9992" width="5.7109375" style="1281" customWidth="1"/>
    <col min="9993" max="9993" width="5.140625" style="1281" customWidth="1"/>
    <col min="9994" max="9994" width="4.85546875" style="1281" customWidth="1"/>
    <col min="9995" max="9995" width="5.140625" style="1281" customWidth="1"/>
    <col min="9996" max="9997" width="4.7109375" style="1281" customWidth="1"/>
    <col min="9998" max="10241" width="11.42578125" style="1281"/>
    <col min="10242" max="10242" width="0" style="1281" hidden="1" customWidth="1"/>
    <col min="10243" max="10243" width="31" style="1281" customWidth="1"/>
    <col min="10244" max="10244" width="16.28515625" style="1281" customWidth="1"/>
    <col min="10245" max="10245" width="3.42578125" style="1281" customWidth="1"/>
    <col min="10246" max="10246" width="5" style="1281" customWidth="1"/>
    <col min="10247" max="10247" width="5.140625" style="1281" customWidth="1"/>
    <col min="10248" max="10248" width="5.7109375" style="1281" customWidth="1"/>
    <col min="10249" max="10249" width="5.140625" style="1281" customWidth="1"/>
    <col min="10250" max="10250" width="4.85546875" style="1281" customWidth="1"/>
    <col min="10251" max="10251" width="5.140625" style="1281" customWidth="1"/>
    <col min="10252" max="10253" width="4.7109375" style="1281" customWidth="1"/>
    <col min="10254" max="10497" width="11.42578125" style="1281"/>
    <col min="10498" max="10498" width="0" style="1281" hidden="1" customWidth="1"/>
    <col min="10499" max="10499" width="31" style="1281" customWidth="1"/>
    <col min="10500" max="10500" width="16.28515625" style="1281" customWidth="1"/>
    <col min="10501" max="10501" width="3.42578125" style="1281" customWidth="1"/>
    <col min="10502" max="10502" width="5" style="1281" customWidth="1"/>
    <col min="10503" max="10503" width="5.140625" style="1281" customWidth="1"/>
    <col min="10504" max="10504" width="5.7109375" style="1281" customWidth="1"/>
    <col min="10505" max="10505" width="5.140625" style="1281" customWidth="1"/>
    <col min="10506" max="10506" width="4.85546875" style="1281" customWidth="1"/>
    <col min="10507" max="10507" width="5.140625" style="1281" customWidth="1"/>
    <col min="10508" max="10509" width="4.7109375" style="1281" customWidth="1"/>
    <col min="10510" max="10753" width="11.42578125" style="1281"/>
    <col min="10754" max="10754" width="0" style="1281" hidden="1" customWidth="1"/>
    <col min="10755" max="10755" width="31" style="1281" customWidth="1"/>
    <col min="10756" max="10756" width="16.28515625" style="1281" customWidth="1"/>
    <col min="10757" max="10757" width="3.42578125" style="1281" customWidth="1"/>
    <col min="10758" max="10758" width="5" style="1281" customWidth="1"/>
    <col min="10759" max="10759" width="5.140625" style="1281" customWidth="1"/>
    <col min="10760" max="10760" width="5.7109375" style="1281" customWidth="1"/>
    <col min="10761" max="10761" width="5.140625" style="1281" customWidth="1"/>
    <col min="10762" max="10762" width="4.85546875" style="1281" customWidth="1"/>
    <col min="10763" max="10763" width="5.140625" style="1281" customWidth="1"/>
    <col min="10764" max="10765" width="4.7109375" style="1281" customWidth="1"/>
    <col min="10766" max="11009" width="11.42578125" style="1281"/>
    <col min="11010" max="11010" width="0" style="1281" hidden="1" customWidth="1"/>
    <col min="11011" max="11011" width="31" style="1281" customWidth="1"/>
    <col min="11012" max="11012" width="16.28515625" style="1281" customWidth="1"/>
    <col min="11013" max="11013" width="3.42578125" style="1281" customWidth="1"/>
    <col min="11014" max="11014" width="5" style="1281" customWidth="1"/>
    <col min="11015" max="11015" width="5.140625" style="1281" customWidth="1"/>
    <col min="11016" max="11016" width="5.7109375" style="1281" customWidth="1"/>
    <col min="11017" max="11017" width="5.140625" style="1281" customWidth="1"/>
    <col min="11018" max="11018" width="4.85546875" style="1281" customWidth="1"/>
    <col min="11019" max="11019" width="5.140625" style="1281" customWidth="1"/>
    <col min="11020" max="11021" width="4.7109375" style="1281" customWidth="1"/>
    <col min="11022" max="11265" width="11.42578125" style="1281"/>
    <col min="11266" max="11266" width="0" style="1281" hidden="1" customWidth="1"/>
    <col min="11267" max="11267" width="31" style="1281" customWidth="1"/>
    <col min="11268" max="11268" width="16.28515625" style="1281" customWidth="1"/>
    <col min="11269" max="11269" width="3.42578125" style="1281" customWidth="1"/>
    <col min="11270" max="11270" width="5" style="1281" customWidth="1"/>
    <col min="11271" max="11271" width="5.140625" style="1281" customWidth="1"/>
    <col min="11272" max="11272" width="5.7109375" style="1281" customWidth="1"/>
    <col min="11273" max="11273" width="5.140625" style="1281" customWidth="1"/>
    <col min="11274" max="11274" width="4.85546875" style="1281" customWidth="1"/>
    <col min="11275" max="11275" width="5.140625" style="1281" customWidth="1"/>
    <col min="11276" max="11277" width="4.7109375" style="1281" customWidth="1"/>
    <col min="11278" max="11521" width="11.42578125" style="1281"/>
    <col min="11522" max="11522" width="0" style="1281" hidden="1" customWidth="1"/>
    <col min="11523" max="11523" width="31" style="1281" customWidth="1"/>
    <col min="11524" max="11524" width="16.28515625" style="1281" customWidth="1"/>
    <col min="11525" max="11525" width="3.42578125" style="1281" customWidth="1"/>
    <col min="11526" max="11526" width="5" style="1281" customWidth="1"/>
    <col min="11527" max="11527" width="5.140625" style="1281" customWidth="1"/>
    <col min="11528" max="11528" width="5.7109375" style="1281" customWidth="1"/>
    <col min="11529" max="11529" width="5.140625" style="1281" customWidth="1"/>
    <col min="11530" max="11530" width="4.85546875" style="1281" customWidth="1"/>
    <col min="11531" max="11531" width="5.140625" style="1281" customWidth="1"/>
    <col min="11532" max="11533" width="4.7109375" style="1281" customWidth="1"/>
    <col min="11534" max="11777" width="11.42578125" style="1281"/>
    <col min="11778" max="11778" width="0" style="1281" hidden="1" customWidth="1"/>
    <col min="11779" max="11779" width="31" style="1281" customWidth="1"/>
    <col min="11780" max="11780" width="16.28515625" style="1281" customWidth="1"/>
    <col min="11781" max="11781" width="3.42578125" style="1281" customWidth="1"/>
    <col min="11782" max="11782" width="5" style="1281" customWidth="1"/>
    <col min="11783" max="11783" width="5.140625" style="1281" customWidth="1"/>
    <col min="11784" max="11784" width="5.7109375" style="1281" customWidth="1"/>
    <col min="11785" max="11785" width="5.140625" style="1281" customWidth="1"/>
    <col min="11786" max="11786" width="4.85546875" style="1281" customWidth="1"/>
    <col min="11787" max="11787" width="5.140625" style="1281" customWidth="1"/>
    <col min="11788" max="11789" width="4.7109375" style="1281" customWidth="1"/>
    <col min="11790" max="12033" width="11.42578125" style="1281"/>
    <col min="12034" max="12034" width="0" style="1281" hidden="1" customWidth="1"/>
    <col min="12035" max="12035" width="31" style="1281" customWidth="1"/>
    <col min="12036" max="12036" width="16.28515625" style="1281" customWidth="1"/>
    <col min="12037" max="12037" width="3.42578125" style="1281" customWidth="1"/>
    <col min="12038" max="12038" width="5" style="1281" customWidth="1"/>
    <col min="12039" max="12039" width="5.140625" style="1281" customWidth="1"/>
    <col min="12040" max="12040" width="5.7109375" style="1281" customWidth="1"/>
    <col min="12041" max="12041" width="5.140625" style="1281" customWidth="1"/>
    <col min="12042" max="12042" width="4.85546875" style="1281" customWidth="1"/>
    <col min="12043" max="12043" width="5.140625" style="1281" customWidth="1"/>
    <col min="12044" max="12045" width="4.7109375" style="1281" customWidth="1"/>
    <col min="12046" max="12289" width="11.42578125" style="1281"/>
    <col min="12290" max="12290" width="0" style="1281" hidden="1" customWidth="1"/>
    <col min="12291" max="12291" width="31" style="1281" customWidth="1"/>
    <col min="12292" max="12292" width="16.28515625" style="1281" customWidth="1"/>
    <col min="12293" max="12293" width="3.42578125" style="1281" customWidth="1"/>
    <col min="12294" max="12294" width="5" style="1281" customWidth="1"/>
    <col min="12295" max="12295" width="5.140625" style="1281" customWidth="1"/>
    <col min="12296" max="12296" width="5.7109375" style="1281" customWidth="1"/>
    <col min="12297" max="12297" width="5.140625" style="1281" customWidth="1"/>
    <col min="12298" max="12298" width="4.85546875" style="1281" customWidth="1"/>
    <col min="12299" max="12299" width="5.140625" style="1281" customWidth="1"/>
    <col min="12300" max="12301" width="4.7109375" style="1281" customWidth="1"/>
    <col min="12302" max="12545" width="11.42578125" style="1281"/>
    <col min="12546" max="12546" width="0" style="1281" hidden="1" customWidth="1"/>
    <col min="12547" max="12547" width="31" style="1281" customWidth="1"/>
    <col min="12548" max="12548" width="16.28515625" style="1281" customWidth="1"/>
    <col min="12549" max="12549" width="3.42578125" style="1281" customWidth="1"/>
    <col min="12550" max="12550" width="5" style="1281" customWidth="1"/>
    <col min="12551" max="12551" width="5.140625" style="1281" customWidth="1"/>
    <col min="12552" max="12552" width="5.7109375" style="1281" customWidth="1"/>
    <col min="12553" max="12553" width="5.140625" style="1281" customWidth="1"/>
    <col min="12554" max="12554" width="4.85546875" style="1281" customWidth="1"/>
    <col min="12555" max="12555" width="5.140625" style="1281" customWidth="1"/>
    <col min="12556" max="12557" width="4.7109375" style="1281" customWidth="1"/>
    <col min="12558" max="12801" width="11.42578125" style="1281"/>
    <col min="12802" max="12802" width="0" style="1281" hidden="1" customWidth="1"/>
    <col min="12803" max="12803" width="31" style="1281" customWidth="1"/>
    <col min="12804" max="12804" width="16.28515625" style="1281" customWidth="1"/>
    <col min="12805" max="12805" width="3.42578125" style="1281" customWidth="1"/>
    <col min="12806" max="12806" width="5" style="1281" customWidth="1"/>
    <col min="12807" max="12807" width="5.140625" style="1281" customWidth="1"/>
    <col min="12808" max="12808" width="5.7109375" style="1281" customWidth="1"/>
    <col min="12809" max="12809" width="5.140625" style="1281" customWidth="1"/>
    <col min="12810" max="12810" width="4.85546875" style="1281" customWidth="1"/>
    <col min="12811" max="12811" width="5.140625" style="1281" customWidth="1"/>
    <col min="12812" max="12813" width="4.7109375" style="1281" customWidth="1"/>
    <col min="12814" max="13057" width="11.42578125" style="1281"/>
    <col min="13058" max="13058" width="0" style="1281" hidden="1" customWidth="1"/>
    <col min="13059" max="13059" width="31" style="1281" customWidth="1"/>
    <col min="13060" max="13060" width="16.28515625" style="1281" customWidth="1"/>
    <col min="13061" max="13061" width="3.42578125" style="1281" customWidth="1"/>
    <col min="13062" max="13062" width="5" style="1281" customWidth="1"/>
    <col min="13063" max="13063" width="5.140625" style="1281" customWidth="1"/>
    <col min="13064" max="13064" width="5.7109375" style="1281" customWidth="1"/>
    <col min="13065" max="13065" width="5.140625" style="1281" customWidth="1"/>
    <col min="13066" max="13066" width="4.85546875" style="1281" customWidth="1"/>
    <col min="13067" max="13067" width="5.140625" style="1281" customWidth="1"/>
    <col min="13068" max="13069" width="4.7109375" style="1281" customWidth="1"/>
    <col min="13070" max="13313" width="11.42578125" style="1281"/>
    <col min="13314" max="13314" width="0" style="1281" hidden="1" customWidth="1"/>
    <col min="13315" max="13315" width="31" style="1281" customWidth="1"/>
    <col min="13316" max="13316" width="16.28515625" style="1281" customWidth="1"/>
    <col min="13317" max="13317" width="3.42578125" style="1281" customWidth="1"/>
    <col min="13318" max="13318" width="5" style="1281" customWidth="1"/>
    <col min="13319" max="13319" width="5.140625" style="1281" customWidth="1"/>
    <col min="13320" max="13320" width="5.7109375" style="1281" customWidth="1"/>
    <col min="13321" max="13321" width="5.140625" style="1281" customWidth="1"/>
    <col min="13322" max="13322" width="4.85546875" style="1281" customWidth="1"/>
    <col min="13323" max="13323" width="5.140625" style="1281" customWidth="1"/>
    <col min="13324" max="13325" width="4.7109375" style="1281" customWidth="1"/>
    <col min="13326" max="13569" width="11.42578125" style="1281"/>
    <col min="13570" max="13570" width="0" style="1281" hidden="1" customWidth="1"/>
    <col min="13571" max="13571" width="31" style="1281" customWidth="1"/>
    <col min="13572" max="13572" width="16.28515625" style="1281" customWidth="1"/>
    <col min="13573" max="13573" width="3.42578125" style="1281" customWidth="1"/>
    <col min="13574" max="13574" width="5" style="1281" customWidth="1"/>
    <col min="13575" max="13575" width="5.140625" style="1281" customWidth="1"/>
    <col min="13576" max="13576" width="5.7109375" style="1281" customWidth="1"/>
    <col min="13577" max="13577" width="5.140625" style="1281" customWidth="1"/>
    <col min="13578" max="13578" width="4.85546875" style="1281" customWidth="1"/>
    <col min="13579" max="13579" width="5.140625" style="1281" customWidth="1"/>
    <col min="13580" max="13581" width="4.7109375" style="1281" customWidth="1"/>
    <col min="13582" max="13825" width="11.42578125" style="1281"/>
    <col min="13826" max="13826" width="0" style="1281" hidden="1" customWidth="1"/>
    <col min="13827" max="13827" width="31" style="1281" customWidth="1"/>
    <col min="13828" max="13828" width="16.28515625" style="1281" customWidth="1"/>
    <col min="13829" max="13829" width="3.42578125" style="1281" customWidth="1"/>
    <col min="13830" max="13830" width="5" style="1281" customWidth="1"/>
    <col min="13831" max="13831" width="5.140625" style="1281" customWidth="1"/>
    <col min="13832" max="13832" width="5.7109375" style="1281" customWidth="1"/>
    <col min="13833" max="13833" width="5.140625" style="1281" customWidth="1"/>
    <col min="13834" max="13834" width="4.85546875" style="1281" customWidth="1"/>
    <col min="13835" max="13835" width="5.140625" style="1281" customWidth="1"/>
    <col min="13836" max="13837" width="4.7109375" style="1281" customWidth="1"/>
    <col min="13838" max="14081" width="11.42578125" style="1281"/>
    <col min="14082" max="14082" width="0" style="1281" hidden="1" customWidth="1"/>
    <col min="14083" max="14083" width="31" style="1281" customWidth="1"/>
    <col min="14084" max="14084" width="16.28515625" style="1281" customWidth="1"/>
    <col min="14085" max="14085" width="3.42578125" style="1281" customWidth="1"/>
    <col min="14086" max="14086" width="5" style="1281" customWidth="1"/>
    <col min="14087" max="14087" width="5.140625" style="1281" customWidth="1"/>
    <col min="14088" max="14088" width="5.7109375" style="1281" customWidth="1"/>
    <col min="14089" max="14089" width="5.140625" style="1281" customWidth="1"/>
    <col min="14090" max="14090" width="4.85546875" style="1281" customWidth="1"/>
    <col min="14091" max="14091" width="5.140625" style="1281" customWidth="1"/>
    <col min="14092" max="14093" width="4.7109375" style="1281" customWidth="1"/>
    <col min="14094" max="14337" width="11.42578125" style="1281"/>
    <col min="14338" max="14338" width="0" style="1281" hidden="1" customWidth="1"/>
    <col min="14339" max="14339" width="31" style="1281" customWidth="1"/>
    <col min="14340" max="14340" width="16.28515625" style="1281" customWidth="1"/>
    <col min="14341" max="14341" width="3.42578125" style="1281" customWidth="1"/>
    <col min="14342" max="14342" width="5" style="1281" customWidth="1"/>
    <col min="14343" max="14343" width="5.140625" style="1281" customWidth="1"/>
    <col min="14344" max="14344" width="5.7109375" style="1281" customWidth="1"/>
    <col min="14345" max="14345" width="5.140625" style="1281" customWidth="1"/>
    <col min="14346" max="14346" width="4.85546875" style="1281" customWidth="1"/>
    <col min="14347" max="14347" width="5.140625" style="1281" customWidth="1"/>
    <col min="14348" max="14349" width="4.7109375" style="1281" customWidth="1"/>
    <col min="14350" max="14593" width="11.42578125" style="1281"/>
    <col min="14594" max="14594" width="0" style="1281" hidden="1" customWidth="1"/>
    <col min="14595" max="14595" width="31" style="1281" customWidth="1"/>
    <col min="14596" max="14596" width="16.28515625" style="1281" customWidth="1"/>
    <col min="14597" max="14597" width="3.42578125" style="1281" customWidth="1"/>
    <col min="14598" max="14598" width="5" style="1281" customWidth="1"/>
    <col min="14599" max="14599" width="5.140625" style="1281" customWidth="1"/>
    <col min="14600" max="14600" width="5.7109375" style="1281" customWidth="1"/>
    <col min="14601" max="14601" width="5.140625" style="1281" customWidth="1"/>
    <col min="14602" max="14602" width="4.85546875" style="1281" customWidth="1"/>
    <col min="14603" max="14603" width="5.140625" style="1281" customWidth="1"/>
    <col min="14604" max="14605" width="4.7109375" style="1281" customWidth="1"/>
    <col min="14606" max="14849" width="11.42578125" style="1281"/>
    <col min="14850" max="14850" width="0" style="1281" hidden="1" customWidth="1"/>
    <col min="14851" max="14851" width="31" style="1281" customWidth="1"/>
    <col min="14852" max="14852" width="16.28515625" style="1281" customWidth="1"/>
    <col min="14853" max="14853" width="3.42578125" style="1281" customWidth="1"/>
    <col min="14854" max="14854" width="5" style="1281" customWidth="1"/>
    <col min="14855" max="14855" width="5.140625" style="1281" customWidth="1"/>
    <col min="14856" max="14856" width="5.7109375" style="1281" customWidth="1"/>
    <col min="14857" max="14857" width="5.140625" style="1281" customWidth="1"/>
    <col min="14858" max="14858" width="4.85546875" style="1281" customWidth="1"/>
    <col min="14859" max="14859" width="5.140625" style="1281" customWidth="1"/>
    <col min="14860" max="14861" width="4.7109375" style="1281" customWidth="1"/>
    <col min="14862" max="15105" width="11.42578125" style="1281"/>
    <col min="15106" max="15106" width="0" style="1281" hidden="1" customWidth="1"/>
    <col min="15107" max="15107" width="31" style="1281" customWidth="1"/>
    <col min="15108" max="15108" width="16.28515625" style="1281" customWidth="1"/>
    <col min="15109" max="15109" width="3.42578125" style="1281" customWidth="1"/>
    <col min="15110" max="15110" width="5" style="1281" customWidth="1"/>
    <col min="15111" max="15111" width="5.140625" style="1281" customWidth="1"/>
    <col min="15112" max="15112" width="5.7109375" style="1281" customWidth="1"/>
    <col min="15113" max="15113" width="5.140625" style="1281" customWidth="1"/>
    <col min="15114" max="15114" width="4.85546875" style="1281" customWidth="1"/>
    <col min="15115" max="15115" width="5.140625" style="1281" customWidth="1"/>
    <col min="15116" max="15117" width="4.7109375" style="1281" customWidth="1"/>
    <col min="15118" max="15361" width="11.42578125" style="1281"/>
    <col min="15362" max="15362" width="0" style="1281" hidden="1" customWidth="1"/>
    <col min="15363" max="15363" width="31" style="1281" customWidth="1"/>
    <col min="15364" max="15364" width="16.28515625" style="1281" customWidth="1"/>
    <col min="15365" max="15365" width="3.42578125" style="1281" customWidth="1"/>
    <col min="15366" max="15366" width="5" style="1281" customWidth="1"/>
    <col min="15367" max="15367" width="5.140625" style="1281" customWidth="1"/>
    <col min="15368" max="15368" width="5.7109375" style="1281" customWidth="1"/>
    <col min="15369" max="15369" width="5.140625" style="1281" customWidth="1"/>
    <col min="15370" max="15370" width="4.85546875" style="1281" customWidth="1"/>
    <col min="15371" max="15371" width="5.140625" style="1281" customWidth="1"/>
    <col min="15372" max="15373" width="4.7109375" style="1281" customWidth="1"/>
    <col min="15374" max="15617" width="11.42578125" style="1281"/>
    <col min="15618" max="15618" width="0" style="1281" hidden="1" customWidth="1"/>
    <col min="15619" max="15619" width="31" style="1281" customWidth="1"/>
    <col min="15620" max="15620" width="16.28515625" style="1281" customWidth="1"/>
    <col min="15621" max="15621" width="3.42578125" style="1281" customWidth="1"/>
    <col min="15622" max="15622" width="5" style="1281" customWidth="1"/>
    <col min="15623" max="15623" width="5.140625" style="1281" customWidth="1"/>
    <col min="15624" max="15624" width="5.7109375" style="1281" customWidth="1"/>
    <col min="15625" max="15625" width="5.140625" style="1281" customWidth="1"/>
    <col min="15626" max="15626" width="4.85546875" style="1281" customWidth="1"/>
    <col min="15627" max="15627" width="5.140625" style="1281" customWidth="1"/>
    <col min="15628" max="15629" width="4.7109375" style="1281" customWidth="1"/>
    <col min="15630" max="15873" width="11.42578125" style="1281"/>
    <col min="15874" max="15874" width="0" style="1281" hidden="1" customWidth="1"/>
    <col min="15875" max="15875" width="31" style="1281" customWidth="1"/>
    <col min="15876" max="15876" width="16.28515625" style="1281" customWidth="1"/>
    <col min="15877" max="15877" width="3.42578125" style="1281" customWidth="1"/>
    <col min="15878" max="15878" width="5" style="1281" customWidth="1"/>
    <col min="15879" max="15879" width="5.140625" style="1281" customWidth="1"/>
    <col min="15880" max="15880" width="5.7109375" style="1281" customWidth="1"/>
    <col min="15881" max="15881" width="5.140625" style="1281" customWidth="1"/>
    <col min="15882" max="15882" width="4.85546875" style="1281" customWidth="1"/>
    <col min="15883" max="15883" width="5.140625" style="1281" customWidth="1"/>
    <col min="15884" max="15885" width="4.7109375" style="1281" customWidth="1"/>
    <col min="15886" max="16129" width="11.42578125" style="1281"/>
    <col min="16130" max="16130" width="0" style="1281" hidden="1" customWidth="1"/>
    <col min="16131" max="16131" width="31" style="1281" customWidth="1"/>
    <col min="16132" max="16132" width="16.28515625" style="1281" customWidth="1"/>
    <col min="16133" max="16133" width="3.42578125" style="1281" customWidth="1"/>
    <col min="16134" max="16134" width="5" style="1281" customWidth="1"/>
    <col min="16135" max="16135" width="5.140625" style="1281" customWidth="1"/>
    <col min="16136" max="16136" width="5.7109375" style="1281" customWidth="1"/>
    <col min="16137" max="16137" width="5.140625" style="1281" customWidth="1"/>
    <col min="16138" max="16138" width="4.85546875" style="1281" customWidth="1"/>
    <col min="16139" max="16139" width="5.140625" style="1281" customWidth="1"/>
    <col min="16140" max="16141" width="4.7109375" style="1281" customWidth="1"/>
    <col min="16142" max="16384" width="11.42578125" style="1281"/>
  </cols>
  <sheetData>
    <row r="1" spans="1:27" ht="24" customHeight="1" thickBot="1">
      <c r="A1" s="1698">
        <v>5</v>
      </c>
      <c r="B1" s="1698">
        <v>33</v>
      </c>
      <c r="C1" s="1698">
        <v>39</v>
      </c>
      <c r="D1" s="1512">
        <v>12</v>
      </c>
      <c r="E1" s="1512">
        <v>12</v>
      </c>
      <c r="F1" s="1512">
        <v>12</v>
      </c>
      <c r="G1" s="1512">
        <v>12</v>
      </c>
      <c r="H1" s="1512">
        <v>12</v>
      </c>
      <c r="I1" s="1512">
        <v>12</v>
      </c>
      <c r="J1" s="1512">
        <v>12</v>
      </c>
      <c r="K1" s="1512">
        <v>12</v>
      </c>
      <c r="L1" s="1512">
        <v>12</v>
      </c>
      <c r="M1" s="1513" t="s">
        <v>1958</v>
      </c>
      <c r="P1" s="3611" t="s">
        <v>2874</v>
      </c>
      <c r="Q1" s="3612"/>
      <c r="R1" s="3612"/>
      <c r="S1" s="3612"/>
      <c r="T1" s="3612"/>
      <c r="U1" s="3612"/>
      <c r="V1" s="3612"/>
      <c r="W1" s="3612"/>
      <c r="X1" s="3612"/>
      <c r="Y1" s="3612"/>
      <c r="Z1" s="3612"/>
      <c r="AA1" s="3613"/>
    </row>
    <row r="2" spans="1:27" ht="42.75" customHeight="1">
      <c r="A2" s="1514"/>
      <c r="B2" s="3628" t="s">
        <v>2049</v>
      </c>
      <c r="C2" s="3629"/>
      <c r="D2" s="3629"/>
      <c r="E2" s="3629"/>
      <c r="F2" s="3629"/>
      <c r="G2" s="3629"/>
      <c r="H2" s="2844" t="s">
        <v>1444</v>
      </c>
      <c r="I2" s="2845">
        <f>X2</f>
        <v>10</v>
      </c>
      <c r="J2" s="2841"/>
      <c r="K2" s="2843" t="s">
        <v>2873</v>
      </c>
      <c r="L2" s="2842">
        <v>5</v>
      </c>
      <c r="M2" s="1675">
        <v>42.75</v>
      </c>
      <c r="N2" s="1675"/>
      <c r="P2" s="1520"/>
      <c r="Q2" s="3636" t="s">
        <v>2049</v>
      </c>
      <c r="R2" s="3637"/>
      <c r="S2" s="3637"/>
      <c r="T2" s="3637"/>
      <c r="U2" s="3637"/>
      <c r="V2" s="3638"/>
      <c r="W2" s="1521" t="s">
        <v>1444</v>
      </c>
      <c r="X2" s="1522">
        <v>10</v>
      </c>
      <c r="Y2" s="1699"/>
      <c r="Z2" s="1523"/>
      <c r="AA2" s="1524"/>
    </row>
    <row r="3" spans="1:27" ht="25.5" customHeight="1">
      <c r="A3" s="1533"/>
      <c r="B3" s="1526" t="s">
        <v>1391</v>
      </c>
      <c r="C3" s="1527"/>
      <c r="D3" s="1527"/>
      <c r="E3" s="1528"/>
      <c r="F3" s="1529" t="s">
        <v>1445</v>
      </c>
      <c r="G3" s="1530"/>
      <c r="H3" s="1531"/>
      <c r="I3" s="1531"/>
      <c r="J3" s="1530"/>
      <c r="K3" s="1530"/>
      <c r="L3" s="1532"/>
      <c r="M3" s="1675">
        <v>25.5</v>
      </c>
      <c r="N3" s="1675"/>
      <c r="P3" s="1533"/>
      <c r="Q3" s="1534" t="s">
        <v>1391</v>
      </c>
      <c r="R3" s="1527"/>
      <c r="S3" s="1527"/>
      <c r="T3" s="1528"/>
      <c r="U3" s="1535" t="s">
        <v>1445</v>
      </c>
      <c r="V3" s="1536"/>
      <c r="W3" s="1192"/>
      <c r="X3" s="1192"/>
      <c r="Y3" s="1536"/>
      <c r="Z3" s="1536"/>
      <c r="AA3" s="1537"/>
    </row>
    <row r="4" spans="1:27" ht="112.5" customHeight="1">
      <c r="A4" s="1539"/>
      <c r="B4" s="3633"/>
      <c r="C4" s="3633"/>
      <c r="D4" s="3633"/>
      <c r="E4" s="3634"/>
      <c r="F4" s="1539"/>
      <c r="G4" s="1540"/>
      <c r="H4" s="1540"/>
      <c r="I4" s="1540"/>
      <c r="J4" s="1531"/>
      <c r="K4" s="1531"/>
      <c r="L4" s="1532"/>
      <c r="M4" s="1675">
        <v>112.5</v>
      </c>
      <c r="N4" s="1675"/>
      <c r="P4" s="1520"/>
      <c r="Q4" s="3635"/>
      <c r="R4" s="3633"/>
      <c r="S4" s="3633"/>
      <c r="T4" s="3634"/>
      <c r="U4" s="1700"/>
      <c r="V4" s="1426"/>
      <c r="W4" s="1426"/>
      <c r="X4" s="1426"/>
      <c r="Y4" s="1192"/>
      <c r="Z4" s="1192"/>
      <c r="AA4" s="1537"/>
    </row>
    <row r="5" spans="1:27" ht="64.5" customHeight="1">
      <c r="A5" s="1667"/>
      <c r="B5" s="1676" t="s">
        <v>151</v>
      </c>
      <c r="C5" s="1677" t="s">
        <v>1446</v>
      </c>
      <c r="D5" s="1544"/>
      <c r="E5" s="1545" t="s">
        <v>1447</v>
      </c>
      <c r="F5" s="1546"/>
      <c r="G5" s="1546"/>
      <c r="H5" s="1546"/>
      <c r="I5" s="1547"/>
      <c r="J5" s="1543" t="s">
        <v>1448</v>
      </c>
      <c r="K5" s="1548"/>
      <c r="L5" s="1549"/>
      <c r="M5" s="1675">
        <v>63.75</v>
      </c>
      <c r="N5" s="1675"/>
      <c r="O5" s="1192"/>
      <c r="P5" s="1550"/>
      <c r="Q5" s="1551" t="s">
        <v>151</v>
      </c>
      <c r="R5" s="1552" t="s">
        <v>1446</v>
      </c>
      <c r="S5" s="1553"/>
      <c r="T5" s="1554" t="s">
        <v>1447</v>
      </c>
      <c r="U5" s="1555"/>
      <c r="V5" s="1555"/>
      <c r="W5" s="1555"/>
      <c r="X5" s="1556"/>
      <c r="Y5" s="1552" t="s">
        <v>1448</v>
      </c>
      <c r="Z5" s="1557"/>
      <c r="AA5" s="1558"/>
    </row>
    <row r="6" spans="1:27" ht="57.75">
      <c r="A6" s="1614"/>
      <c r="B6" s="1679"/>
      <c r="C6" s="1560" t="str">
        <f t="shared" ref="C6:I21" si="0">R6</f>
        <v>NATURE</v>
      </c>
      <c r="D6" s="1561" t="str">
        <f t="shared" si="0"/>
        <v>unite</v>
      </c>
      <c r="E6" s="1561" t="str">
        <f t="shared" si="0"/>
        <v>Spheres</v>
      </c>
      <c r="F6" s="1561" t="str">
        <f t="shared" si="0"/>
        <v>ganache choc blanc</v>
      </c>
      <c r="G6" s="1561" t="str">
        <f t="shared" si="0"/>
        <v>appareil banane</v>
      </c>
      <c r="H6" s="1561" t="str">
        <f t="shared" si="0"/>
        <v>Sauce chocolat</v>
      </c>
      <c r="I6" s="1562" t="str">
        <f t="shared" si="0"/>
        <v>finition</v>
      </c>
      <c r="J6" s="1563" t="s">
        <v>110</v>
      </c>
      <c r="K6" s="1564" t="s">
        <v>117</v>
      </c>
      <c r="L6" s="1565" t="s">
        <v>118</v>
      </c>
      <c r="M6" s="1675">
        <v>57.75</v>
      </c>
      <c r="N6" s="1675"/>
      <c r="P6" s="1533"/>
      <c r="Q6" s="1566"/>
      <c r="R6" s="1567" t="s">
        <v>1449</v>
      </c>
      <c r="S6" s="1568" t="s">
        <v>1450</v>
      </c>
      <c r="T6" s="1569" t="s">
        <v>2050</v>
      </c>
      <c r="U6" s="1569" t="s">
        <v>2051</v>
      </c>
      <c r="V6" s="1569" t="s">
        <v>2052</v>
      </c>
      <c r="W6" s="1570" t="s">
        <v>2053</v>
      </c>
      <c r="X6" s="1571" t="s">
        <v>48</v>
      </c>
      <c r="Y6" s="1572" t="s">
        <v>110</v>
      </c>
      <c r="Z6" s="1572" t="s">
        <v>117</v>
      </c>
      <c r="AA6" s="1573" t="s">
        <v>118</v>
      </c>
    </row>
    <row r="7" spans="1:27" ht="26.25">
      <c r="A7" s="1681"/>
      <c r="B7" s="1682"/>
      <c r="C7" s="1576">
        <f t="shared" si="0"/>
        <v>0</v>
      </c>
      <c r="D7" s="2855" t="str">
        <f t="shared" si="0"/>
        <v xml:space="preserve"> </v>
      </c>
      <c r="E7" s="2855">
        <f t="shared" ref="E7:I22" si="1">IF(ISTEXT(T7),T7,(T7/$I$2)*$L$2)</f>
        <v>0</v>
      </c>
      <c r="F7" s="2855">
        <f t="shared" si="1"/>
        <v>0</v>
      </c>
      <c r="G7" s="2855">
        <f t="shared" si="1"/>
        <v>0</v>
      </c>
      <c r="H7" s="2855">
        <f t="shared" si="1"/>
        <v>0</v>
      </c>
      <c r="I7" s="2867">
        <f t="shared" si="1"/>
        <v>0</v>
      </c>
      <c r="J7" s="1674"/>
      <c r="K7" s="1579"/>
      <c r="L7" s="1580"/>
      <c r="M7" s="1519">
        <v>25.5</v>
      </c>
      <c r="N7" s="1519"/>
      <c r="P7" s="1581"/>
      <c r="Q7" s="1582"/>
      <c r="R7" s="1583"/>
      <c r="S7" s="1584" t="s">
        <v>1456</v>
      </c>
      <c r="T7" s="1585"/>
      <c r="U7" s="1585"/>
      <c r="V7" s="1585"/>
      <c r="W7" s="1585"/>
      <c r="X7" s="1585"/>
      <c r="Y7" s="1585"/>
      <c r="Z7" s="1585"/>
      <c r="AA7" s="1586">
        <f t="shared" ref="AA7" si="2">IF(ISBLANK(Z7),0,Z7*Y7)</f>
        <v>0</v>
      </c>
    </row>
    <row r="8" spans="1:27" ht="23.25">
      <c r="A8" s="1681"/>
      <c r="B8" s="1682"/>
      <c r="C8" s="2853">
        <f t="shared" si="0"/>
        <v>0</v>
      </c>
      <c r="D8" s="2851">
        <f t="shared" si="0"/>
        <v>0</v>
      </c>
      <c r="E8" s="2852">
        <f t="shared" si="1"/>
        <v>0</v>
      </c>
      <c r="F8" s="2852">
        <f t="shared" si="1"/>
        <v>0</v>
      </c>
      <c r="G8" s="2852">
        <f t="shared" si="1"/>
        <v>0</v>
      </c>
      <c r="H8" s="2852">
        <f t="shared" si="1"/>
        <v>0</v>
      </c>
      <c r="I8" s="2852">
        <f t="shared" si="1"/>
        <v>0</v>
      </c>
      <c r="J8" s="2857">
        <f>SUM(E8:I8)</f>
        <v>0</v>
      </c>
      <c r="K8" s="1590"/>
      <c r="L8" s="1591" t="str">
        <f>IF(ISBLANK(K8),"",K8*J8)</f>
        <v/>
      </c>
      <c r="M8" s="1519">
        <v>25.5</v>
      </c>
      <c r="N8" s="1519"/>
      <c r="P8" s="1581"/>
      <c r="Q8" s="1582"/>
      <c r="R8" s="1592"/>
      <c r="S8" s="1550"/>
      <c r="T8" s="1592"/>
      <c r="U8" s="1592"/>
      <c r="V8" s="1592"/>
      <c r="W8" s="1592"/>
      <c r="X8" s="1592"/>
      <c r="Y8" s="1592">
        <f>SUM(T8:X8)</f>
        <v>0</v>
      </c>
      <c r="Z8" s="1592"/>
      <c r="AA8" s="1593">
        <f>IF(ISBLANK(Z8),0,Z8*Y8)</f>
        <v>0</v>
      </c>
    </row>
    <row r="9" spans="1:27" ht="23.25">
      <c r="A9" s="1681"/>
      <c r="B9" s="1682"/>
      <c r="C9" s="2853">
        <f t="shared" si="0"/>
        <v>0</v>
      </c>
      <c r="D9" s="2851">
        <f t="shared" si="0"/>
        <v>0</v>
      </c>
      <c r="E9" s="2852">
        <f t="shared" si="1"/>
        <v>0</v>
      </c>
      <c r="F9" s="2852" t="str">
        <f t="shared" si="1"/>
        <v xml:space="preserve"> </v>
      </c>
      <c r="G9" s="2852" t="str">
        <f t="shared" si="1"/>
        <v xml:space="preserve"> </v>
      </c>
      <c r="H9" s="2852">
        <f t="shared" si="1"/>
        <v>0</v>
      </c>
      <c r="I9" s="2852">
        <f t="shared" si="1"/>
        <v>0</v>
      </c>
      <c r="J9" s="2857" t="str">
        <f>IF(SUM(E9:I9)=0,"",SUM(E9:I9))</f>
        <v/>
      </c>
      <c r="K9" s="1590"/>
      <c r="L9" s="1591" t="str">
        <f>IF(ISBLANK(K9),"",K9*J9)</f>
        <v/>
      </c>
      <c r="M9" s="1519">
        <v>25.5</v>
      </c>
      <c r="N9" s="1519"/>
      <c r="P9" s="1581"/>
      <c r="Q9" s="1582"/>
      <c r="R9" s="1592"/>
      <c r="S9" s="1550"/>
      <c r="T9" s="1592"/>
      <c r="U9" s="1592" t="s">
        <v>1456</v>
      </c>
      <c r="V9" s="1592" t="s">
        <v>1456</v>
      </c>
      <c r="W9" s="1592"/>
      <c r="X9" s="1592"/>
      <c r="Y9" s="1592" t="str">
        <f>IF(SUM(T9:X9)=0,"",SUM(T9:X9))</f>
        <v/>
      </c>
      <c r="Z9" s="1592"/>
      <c r="AA9" s="1593">
        <f t="shared" ref="AA9:AA46" si="3">IF(ISBLANK(Z9),0,Z9*Y9)</f>
        <v>0</v>
      </c>
    </row>
    <row r="10" spans="1:27" ht="23.25">
      <c r="A10" s="1681"/>
      <c r="B10" s="1682"/>
      <c r="C10" s="2853">
        <f t="shared" si="0"/>
        <v>0</v>
      </c>
      <c r="D10" s="2851">
        <f t="shared" si="0"/>
        <v>0</v>
      </c>
      <c r="E10" s="2852">
        <f t="shared" si="1"/>
        <v>0</v>
      </c>
      <c r="F10" s="2852">
        <f t="shared" si="1"/>
        <v>0</v>
      </c>
      <c r="G10" s="2852">
        <f t="shared" si="1"/>
        <v>0</v>
      </c>
      <c r="H10" s="2852">
        <f t="shared" si="1"/>
        <v>0</v>
      </c>
      <c r="I10" s="2852">
        <f t="shared" si="1"/>
        <v>0</v>
      </c>
      <c r="J10" s="2857" t="str">
        <f>IF(SUM(E10:I10)=0,"",SUM(E10:I10))</f>
        <v/>
      </c>
      <c r="K10" s="1590"/>
      <c r="L10" s="1591" t="str">
        <f>IF(ISBLANK(K10),"",K10*J10)</f>
        <v/>
      </c>
      <c r="M10" s="1519">
        <v>25.5</v>
      </c>
      <c r="N10" s="1519"/>
      <c r="P10" s="1581"/>
      <c r="Q10" s="1582"/>
      <c r="R10" s="1592"/>
      <c r="S10" s="1550"/>
      <c r="T10" s="1592"/>
      <c r="U10" s="1592"/>
      <c r="V10" s="1592"/>
      <c r="W10" s="1592"/>
      <c r="X10" s="1592"/>
      <c r="Y10" s="1592" t="str">
        <f>IF(SUM(T10:X10)=0,"",SUM(T10:X10))</f>
        <v/>
      </c>
      <c r="Z10" s="1592"/>
      <c r="AA10" s="1593">
        <f t="shared" si="3"/>
        <v>0</v>
      </c>
    </row>
    <row r="11" spans="1:27" ht="23.25">
      <c r="A11" s="1681"/>
      <c r="B11" s="1682"/>
      <c r="C11" s="2853" t="str">
        <f t="shared" si="0"/>
        <v xml:space="preserve"> </v>
      </c>
      <c r="D11" s="2851">
        <f t="shared" si="0"/>
        <v>0</v>
      </c>
      <c r="E11" s="2852">
        <f t="shared" si="1"/>
        <v>0</v>
      </c>
      <c r="F11" s="2852" t="str">
        <f t="shared" si="1"/>
        <v xml:space="preserve"> </v>
      </c>
      <c r="G11" s="2852">
        <f t="shared" si="1"/>
        <v>0</v>
      </c>
      <c r="H11" s="2852">
        <f t="shared" si="1"/>
        <v>0</v>
      </c>
      <c r="I11" s="2852">
        <f t="shared" si="1"/>
        <v>0</v>
      </c>
      <c r="J11" s="2857" t="str">
        <f>IF(SUM(E11:I11)=0,"",SUM(E11:I11))</f>
        <v/>
      </c>
      <c r="K11" s="1590"/>
      <c r="L11" s="1591" t="str">
        <f>IF(ISBLANK(K11),"",K11*J11)</f>
        <v/>
      </c>
      <c r="M11" s="1519">
        <v>25.5</v>
      </c>
      <c r="N11" s="1519"/>
      <c r="P11" s="1581"/>
      <c r="Q11" s="1582"/>
      <c r="R11" s="1594" t="s">
        <v>1456</v>
      </c>
      <c r="S11" s="1550"/>
      <c r="T11" s="1592"/>
      <c r="U11" s="1592" t="s">
        <v>1456</v>
      </c>
      <c r="V11" s="1592"/>
      <c r="W11" s="1592"/>
      <c r="X11" s="1592"/>
      <c r="Y11" s="1592" t="str">
        <f>IF(SUM(T11:X11)=0,"",SUM(T11:X11))</f>
        <v/>
      </c>
      <c r="Z11" s="1592"/>
      <c r="AA11" s="1593">
        <f t="shared" si="3"/>
        <v>0</v>
      </c>
    </row>
    <row r="12" spans="1:27" ht="26.25">
      <c r="A12" s="1681"/>
      <c r="B12" s="1682"/>
      <c r="C12" s="1576" t="str">
        <f t="shared" si="0"/>
        <v>LEGUMERIE</v>
      </c>
      <c r="D12" s="2855" t="str">
        <f t="shared" si="0"/>
        <v xml:space="preserve"> </v>
      </c>
      <c r="E12" s="2855">
        <f t="shared" si="1"/>
        <v>0</v>
      </c>
      <c r="F12" s="2855" t="str">
        <f t="shared" si="1"/>
        <v xml:space="preserve"> </v>
      </c>
      <c r="G12" s="2855">
        <f t="shared" si="1"/>
        <v>0</v>
      </c>
      <c r="H12" s="2855">
        <f t="shared" si="1"/>
        <v>0</v>
      </c>
      <c r="I12" s="2867">
        <f t="shared" si="1"/>
        <v>0</v>
      </c>
      <c r="J12" s="1674" t="str">
        <f>IF(SUM(E12:I12)=0,"",SUM(E12:I12))</f>
        <v/>
      </c>
      <c r="K12" s="1579"/>
      <c r="L12" s="1580" t="str">
        <f t="shared" ref="L12" si="4">IF(J12="","",(J12*K12))</f>
        <v/>
      </c>
      <c r="M12" s="1519">
        <v>25.5</v>
      </c>
      <c r="N12" s="1519"/>
      <c r="P12" s="1581"/>
      <c r="Q12" s="1582"/>
      <c r="R12" s="1598" t="s">
        <v>1460</v>
      </c>
      <c r="S12" s="1584" t="s">
        <v>1456</v>
      </c>
      <c r="T12" s="1599"/>
      <c r="U12" s="1599" t="s">
        <v>1456</v>
      </c>
      <c r="V12" s="1599"/>
      <c r="W12" s="1599"/>
      <c r="X12" s="1599"/>
      <c r="Y12" s="1599" t="str">
        <f>IF(SUM(T12:X12)=0,"",SUM(T12:X12))</f>
        <v/>
      </c>
      <c r="Z12" s="1599"/>
      <c r="AA12" s="1600">
        <f t="shared" si="3"/>
        <v>0</v>
      </c>
    </row>
    <row r="13" spans="1:27" ht="23.25">
      <c r="A13" s="1681"/>
      <c r="B13" s="1682"/>
      <c r="C13" s="2853" t="str">
        <f t="shared" si="0"/>
        <v>truffes melanosporum</v>
      </c>
      <c r="D13" s="2851" t="str">
        <f t="shared" si="0"/>
        <v>Kg</v>
      </c>
      <c r="E13" s="2852">
        <f t="shared" si="1"/>
        <v>0</v>
      </c>
      <c r="F13" s="2852">
        <f t="shared" si="1"/>
        <v>0.01</v>
      </c>
      <c r="G13" s="2852">
        <f t="shared" si="1"/>
        <v>0</v>
      </c>
      <c r="H13" s="2852" t="str">
        <f t="shared" si="1"/>
        <v xml:space="preserve"> </v>
      </c>
      <c r="I13" s="2852">
        <f t="shared" si="1"/>
        <v>0</v>
      </c>
      <c r="J13" s="2857">
        <f t="shared" ref="J13:J24" si="5">SUM(E13:I13)</f>
        <v>0.01</v>
      </c>
      <c r="K13" s="1590"/>
      <c r="L13" s="1591" t="str">
        <f t="shared" ref="L13:L24" si="6">IF(ISBLANK(K13),"",K13*J13)</f>
        <v/>
      </c>
      <c r="M13" s="1519">
        <v>25.5</v>
      </c>
      <c r="N13" s="1519"/>
      <c r="P13" s="1581"/>
      <c r="Q13" s="1582"/>
      <c r="R13" s="1608" t="s">
        <v>2054</v>
      </c>
      <c r="S13" s="1701" t="s">
        <v>122</v>
      </c>
      <c r="T13" s="1592"/>
      <c r="U13" s="1592">
        <v>0.02</v>
      </c>
      <c r="V13" s="1592"/>
      <c r="W13" s="1592" t="s">
        <v>1456</v>
      </c>
      <c r="X13" s="1592"/>
      <c r="Y13" s="1592">
        <f t="shared" ref="Y13:Y24" si="7">SUM(T13:X13)</f>
        <v>0.02</v>
      </c>
      <c r="Z13" s="1592"/>
      <c r="AA13" s="1593">
        <f t="shared" si="3"/>
        <v>0</v>
      </c>
    </row>
    <row r="14" spans="1:27" ht="23.25">
      <c r="A14" s="1681"/>
      <c r="B14" s="1687"/>
      <c r="C14" s="2853" t="str">
        <f t="shared" si="0"/>
        <v>fressinettes</v>
      </c>
      <c r="D14" s="2851" t="str">
        <f t="shared" si="0"/>
        <v>P</v>
      </c>
      <c r="E14" s="2852">
        <f t="shared" si="1"/>
        <v>0</v>
      </c>
      <c r="F14" s="2852">
        <f t="shared" si="1"/>
        <v>0</v>
      </c>
      <c r="G14" s="2852">
        <f t="shared" si="1"/>
        <v>0</v>
      </c>
      <c r="H14" s="2852">
        <f t="shared" si="1"/>
        <v>0</v>
      </c>
      <c r="I14" s="2852">
        <f t="shared" si="1"/>
        <v>5</v>
      </c>
      <c r="J14" s="2857">
        <f t="shared" si="5"/>
        <v>5</v>
      </c>
      <c r="K14" s="1590"/>
      <c r="L14" s="1591" t="str">
        <f t="shared" si="6"/>
        <v/>
      </c>
      <c r="M14" s="1519">
        <v>25.5</v>
      </c>
      <c r="N14" s="1519"/>
      <c r="P14" s="1581"/>
      <c r="Q14" s="1602"/>
      <c r="R14" s="1603" t="s">
        <v>2055</v>
      </c>
      <c r="S14" s="1550" t="s">
        <v>318</v>
      </c>
      <c r="T14" s="1604"/>
      <c r="U14" s="1592"/>
      <c r="V14" s="1592"/>
      <c r="W14" s="1592"/>
      <c r="X14" s="1592">
        <v>10</v>
      </c>
      <c r="Y14" s="1592">
        <f t="shared" si="7"/>
        <v>10</v>
      </c>
      <c r="Z14" s="1592"/>
      <c r="AA14" s="1593">
        <f t="shared" si="3"/>
        <v>0</v>
      </c>
    </row>
    <row r="15" spans="1:27" ht="23.25">
      <c r="A15" s="1681"/>
      <c r="B15" s="1682"/>
      <c r="C15" s="2853">
        <f t="shared" si="0"/>
        <v>0</v>
      </c>
      <c r="D15" s="2851">
        <f t="shared" si="0"/>
        <v>0</v>
      </c>
      <c r="E15" s="2852">
        <f t="shared" si="1"/>
        <v>0</v>
      </c>
      <c r="F15" s="2852">
        <f t="shared" si="1"/>
        <v>0</v>
      </c>
      <c r="G15" s="2852">
        <f t="shared" si="1"/>
        <v>0</v>
      </c>
      <c r="H15" s="2852">
        <f t="shared" si="1"/>
        <v>0</v>
      </c>
      <c r="I15" s="2852">
        <f t="shared" si="1"/>
        <v>0</v>
      </c>
      <c r="J15" s="2857">
        <f t="shared" si="5"/>
        <v>0</v>
      </c>
      <c r="K15" s="1590"/>
      <c r="L15" s="1591" t="str">
        <f t="shared" si="6"/>
        <v/>
      </c>
      <c r="M15" s="1519">
        <v>25.5</v>
      </c>
      <c r="N15" s="1519"/>
      <c r="P15" s="1581"/>
      <c r="Q15" s="1582"/>
      <c r="R15" s="1592"/>
      <c r="S15" s="1550"/>
      <c r="T15" s="1592"/>
      <c r="U15" s="1592"/>
      <c r="V15" s="1592"/>
      <c r="W15" s="1592"/>
      <c r="X15" s="1592"/>
      <c r="Y15" s="1592">
        <f t="shared" si="7"/>
        <v>0</v>
      </c>
      <c r="Z15" s="1592"/>
      <c r="AA15" s="1593">
        <f t="shared" si="3"/>
        <v>0</v>
      </c>
    </row>
    <row r="16" spans="1:27" ht="23.25">
      <c r="A16" s="1681"/>
      <c r="B16" s="1682"/>
      <c r="C16" s="2853">
        <f t="shared" si="0"/>
        <v>0</v>
      </c>
      <c r="D16" s="2851">
        <f t="shared" si="0"/>
        <v>0</v>
      </c>
      <c r="E16" s="2852">
        <f t="shared" si="1"/>
        <v>0</v>
      </c>
      <c r="F16" s="2852">
        <f t="shared" si="1"/>
        <v>0</v>
      </c>
      <c r="G16" s="2852">
        <f t="shared" si="1"/>
        <v>0</v>
      </c>
      <c r="H16" s="2852">
        <f t="shared" si="1"/>
        <v>0</v>
      </c>
      <c r="I16" s="2852">
        <f t="shared" si="1"/>
        <v>0</v>
      </c>
      <c r="J16" s="2857">
        <f t="shared" si="5"/>
        <v>0</v>
      </c>
      <c r="K16" s="1590"/>
      <c r="L16" s="1591" t="str">
        <f t="shared" si="6"/>
        <v/>
      </c>
      <c r="M16" s="1519">
        <v>25.5</v>
      </c>
      <c r="N16" s="1519"/>
      <c r="P16" s="1581"/>
      <c r="Q16" s="1582"/>
      <c r="R16" s="1592"/>
      <c r="S16" s="1550"/>
      <c r="T16" s="1592"/>
      <c r="U16" s="1592"/>
      <c r="V16" s="1592"/>
      <c r="W16" s="1592"/>
      <c r="X16" s="1592"/>
      <c r="Y16" s="1592">
        <f t="shared" si="7"/>
        <v>0</v>
      </c>
      <c r="Z16" s="1592"/>
      <c r="AA16" s="1593">
        <f t="shared" si="3"/>
        <v>0</v>
      </c>
    </row>
    <row r="17" spans="1:27" ht="23.25">
      <c r="A17" s="1681"/>
      <c r="B17" s="1682"/>
      <c r="C17" s="2853">
        <f t="shared" si="0"/>
        <v>0</v>
      </c>
      <c r="D17" s="2851">
        <f t="shared" si="0"/>
        <v>0</v>
      </c>
      <c r="E17" s="2852">
        <f t="shared" si="1"/>
        <v>0</v>
      </c>
      <c r="F17" s="2852">
        <f t="shared" si="1"/>
        <v>0</v>
      </c>
      <c r="G17" s="2852">
        <f t="shared" si="1"/>
        <v>0</v>
      </c>
      <c r="H17" s="2852">
        <f t="shared" si="1"/>
        <v>0</v>
      </c>
      <c r="I17" s="2852">
        <f t="shared" si="1"/>
        <v>0</v>
      </c>
      <c r="J17" s="2857">
        <f t="shared" si="5"/>
        <v>0</v>
      </c>
      <c r="K17" s="1590"/>
      <c r="L17" s="1591" t="str">
        <f t="shared" si="6"/>
        <v/>
      </c>
      <c r="M17" s="1519">
        <v>25.5</v>
      </c>
      <c r="N17" s="1519"/>
      <c r="P17" s="1581"/>
      <c r="Q17" s="1582"/>
      <c r="R17" s="1592"/>
      <c r="S17" s="1550"/>
      <c r="T17" s="1592"/>
      <c r="U17" s="1592"/>
      <c r="V17" s="1608"/>
      <c r="W17" s="1592"/>
      <c r="X17" s="1592"/>
      <c r="Y17" s="1592">
        <f t="shared" si="7"/>
        <v>0</v>
      </c>
      <c r="Z17" s="1592"/>
      <c r="AA17" s="1593">
        <f t="shared" si="3"/>
        <v>0</v>
      </c>
    </row>
    <row r="18" spans="1:27" ht="23.25">
      <c r="A18" s="1681"/>
      <c r="B18" s="1682"/>
      <c r="C18" s="2853">
        <f t="shared" si="0"/>
        <v>0</v>
      </c>
      <c r="D18" s="2851">
        <f t="shared" si="0"/>
        <v>0</v>
      </c>
      <c r="E18" s="2852">
        <f t="shared" si="1"/>
        <v>0</v>
      </c>
      <c r="F18" s="2852">
        <f t="shared" si="1"/>
        <v>0</v>
      </c>
      <c r="G18" s="2852">
        <f t="shared" si="1"/>
        <v>0</v>
      </c>
      <c r="H18" s="2852">
        <f t="shared" si="1"/>
        <v>0</v>
      </c>
      <c r="I18" s="2852">
        <f t="shared" si="1"/>
        <v>0</v>
      </c>
      <c r="J18" s="2857">
        <f t="shared" si="5"/>
        <v>0</v>
      </c>
      <c r="K18" s="1590"/>
      <c r="L18" s="1591" t="str">
        <f t="shared" si="6"/>
        <v/>
      </c>
      <c r="M18" s="1519">
        <v>25.5</v>
      </c>
      <c r="N18" s="1519"/>
      <c r="P18" s="1581"/>
      <c r="Q18" s="1582"/>
      <c r="R18" s="1592"/>
      <c r="S18" s="1550"/>
      <c r="T18" s="1592"/>
      <c r="U18" s="1592"/>
      <c r="V18" s="1608"/>
      <c r="W18" s="1592"/>
      <c r="X18" s="1592"/>
      <c r="Y18" s="1592">
        <f t="shared" si="7"/>
        <v>0</v>
      </c>
      <c r="Z18" s="1592"/>
      <c r="AA18" s="1593">
        <f t="shared" si="3"/>
        <v>0</v>
      </c>
    </row>
    <row r="19" spans="1:27" ht="23.25">
      <c r="A19" s="1681"/>
      <c r="B19" s="1682"/>
      <c r="C19" s="2853">
        <f t="shared" si="0"/>
        <v>0</v>
      </c>
      <c r="D19" s="2851">
        <f t="shared" si="0"/>
        <v>0</v>
      </c>
      <c r="E19" s="2852">
        <f t="shared" si="1"/>
        <v>0</v>
      </c>
      <c r="F19" s="2852">
        <f t="shared" si="1"/>
        <v>0</v>
      </c>
      <c r="G19" s="2852">
        <f t="shared" si="1"/>
        <v>0</v>
      </c>
      <c r="H19" s="2852">
        <f t="shared" si="1"/>
        <v>0</v>
      </c>
      <c r="I19" s="2852">
        <f t="shared" si="1"/>
        <v>0</v>
      </c>
      <c r="J19" s="2857">
        <f t="shared" si="5"/>
        <v>0</v>
      </c>
      <c r="K19" s="1590"/>
      <c r="L19" s="1591" t="str">
        <f t="shared" si="6"/>
        <v/>
      </c>
      <c r="M19" s="1519">
        <v>25.5</v>
      </c>
      <c r="N19" s="1519"/>
      <c r="P19" s="1581"/>
      <c r="Q19" s="1582"/>
      <c r="R19" s="1592"/>
      <c r="S19" s="1550"/>
      <c r="T19" s="1592"/>
      <c r="U19" s="1592"/>
      <c r="W19" s="1592"/>
      <c r="X19" s="1592"/>
      <c r="Y19" s="1592">
        <f t="shared" si="7"/>
        <v>0</v>
      </c>
      <c r="Z19" s="1592"/>
      <c r="AA19" s="1593">
        <f t="shared" si="3"/>
        <v>0</v>
      </c>
    </row>
    <row r="20" spans="1:27" ht="23.25">
      <c r="A20" s="1681"/>
      <c r="B20" s="1682"/>
      <c r="C20" s="2853">
        <f t="shared" si="0"/>
        <v>0</v>
      </c>
      <c r="D20" s="2851">
        <f t="shared" si="0"/>
        <v>0</v>
      </c>
      <c r="E20" s="2852">
        <f t="shared" si="1"/>
        <v>0</v>
      </c>
      <c r="F20" s="2852">
        <f t="shared" si="1"/>
        <v>0</v>
      </c>
      <c r="G20" s="2852">
        <f t="shared" si="1"/>
        <v>0</v>
      </c>
      <c r="H20" s="2852">
        <f t="shared" si="1"/>
        <v>0</v>
      </c>
      <c r="I20" s="2852">
        <f t="shared" si="1"/>
        <v>0</v>
      </c>
      <c r="J20" s="2857">
        <f t="shared" si="5"/>
        <v>0</v>
      </c>
      <c r="K20" s="1590"/>
      <c r="L20" s="1591" t="str">
        <f t="shared" si="6"/>
        <v/>
      </c>
      <c r="M20" s="1519">
        <v>25.5</v>
      </c>
      <c r="N20" s="1519"/>
      <c r="P20" s="1581"/>
      <c r="Q20" s="1582"/>
      <c r="R20" s="1592"/>
      <c r="S20" s="1550"/>
      <c r="T20" s="1592"/>
      <c r="U20" s="1592"/>
      <c r="V20" s="1592"/>
      <c r="W20" s="1592"/>
      <c r="X20" s="1592"/>
      <c r="Y20" s="1592">
        <f t="shared" si="7"/>
        <v>0</v>
      </c>
      <c r="Z20" s="1592"/>
      <c r="AA20" s="1593">
        <f t="shared" si="3"/>
        <v>0</v>
      </c>
    </row>
    <row r="21" spans="1:27" ht="23.25">
      <c r="A21" s="1681"/>
      <c r="B21" s="1682"/>
      <c r="C21" s="2853">
        <f t="shared" si="0"/>
        <v>0</v>
      </c>
      <c r="D21" s="2851">
        <f t="shared" si="0"/>
        <v>0</v>
      </c>
      <c r="E21" s="2852">
        <f t="shared" si="1"/>
        <v>0</v>
      </c>
      <c r="F21" s="2852">
        <f t="shared" si="1"/>
        <v>0</v>
      </c>
      <c r="G21" s="2852">
        <f t="shared" si="1"/>
        <v>0</v>
      </c>
      <c r="H21" s="2852">
        <f t="shared" si="1"/>
        <v>0</v>
      </c>
      <c r="I21" s="2852">
        <f t="shared" si="1"/>
        <v>0</v>
      </c>
      <c r="J21" s="2857">
        <f t="shared" si="5"/>
        <v>0</v>
      </c>
      <c r="K21" s="1590"/>
      <c r="L21" s="1591" t="str">
        <f t="shared" si="6"/>
        <v/>
      </c>
      <c r="M21" s="1519">
        <v>25.5</v>
      </c>
      <c r="N21" s="1519"/>
      <c r="P21" s="1581"/>
      <c r="Q21" s="1582"/>
      <c r="R21" s="1592"/>
      <c r="S21" s="1550"/>
      <c r="T21" s="1592"/>
      <c r="U21" s="1592"/>
      <c r="V21" s="1592"/>
      <c r="W21" s="1592"/>
      <c r="X21" s="1592"/>
      <c r="Y21" s="1592">
        <f t="shared" si="7"/>
        <v>0</v>
      </c>
      <c r="Z21" s="1592"/>
      <c r="AA21" s="1593">
        <f t="shared" si="3"/>
        <v>0</v>
      </c>
    </row>
    <row r="22" spans="1:27" ht="23.25">
      <c r="A22" s="1681"/>
      <c r="B22" s="1682"/>
      <c r="C22" s="2853">
        <f t="shared" ref="C22:D41" si="8">R22</f>
        <v>0</v>
      </c>
      <c r="D22" s="2851">
        <f t="shared" si="8"/>
        <v>0</v>
      </c>
      <c r="E22" s="2852">
        <f t="shared" si="1"/>
        <v>0</v>
      </c>
      <c r="F22" s="2852">
        <f t="shared" si="1"/>
        <v>0</v>
      </c>
      <c r="G22" s="2852">
        <f t="shared" si="1"/>
        <v>0</v>
      </c>
      <c r="H22" s="2852">
        <f t="shared" si="1"/>
        <v>0</v>
      </c>
      <c r="I22" s="2852">
        <f t="shared" si="1"/>
        <v>0</v>
      </c>
      <c r="J22" s="2857">
        <f t="shared" si="5"/>
        <v>0</v>
      </c>
      <c r="K22" s="1590"/>
      <c r="L22" s="1591" t="str">
        <f t="shared" si="6"/>
        <v/>
      </c>
      <c r="M22" s="1519">
        <v>25.5</v>
      </c>
      <c r="N22" s="1519"/>
      <c r="P22" s="1581"/>
      <c r="Q22" s="1582"/>
      <c r="R22" s="1592"/>
      <c r="S22" s="1550"/>
      <c r="T22" s="1592"/>
      <c r="U22" s="1592"/>
      <c r="V22" s="1592"/>
      <c r="W22" s="1592"/>
      <c r="X22" s="1592"/>
      <c r="Y22" s="1592">
        <f t="shared" si="7"/>
        <v>0</v>
      </c>
      <c r="Z22" s="1592"/>
      <c r="AA22" s="1593">
        <f t="shared" si="3"/>
        <v>0</v>
      </c>
    </row>
    <row r="23" spans="1:27" ht="23.25">
      <c r="A23" s="1681"/>
      <c r="B23" s="1682"/>
      <c r="C23" s="2853">
        <f t="shared" si="8"/>
        <v>0</v>
      </c>
      <c r="D23" s="2851">
        <f t="shared" si="8"/>
        <v>0</v>
      </c>
      <c r="E23" s="2852">
        <f t="shared" ref="E23:I42" si="9">IF(ISTEXT(T23),T23,(T23/$I$2)*$L$2)</f>
        <v>0</v>
      </c>
      <c r="F23" s="2852">
        <f t="shared" si="9"/>
        <v>0</v>
      </c>
      <c r="G23" s="2852">
        <f t="shared" si="9"/>
        <v>0</v>
      </c>
      <c r="H23" s="2852">
        <f t="shared" si="9"/>
        <v>0</v>
      </c>
      <c r="I23" s="2852">
        <f t="shared" si="9"/>
        <v>0</v>
      </c>
      <c r="J23" s="2857">
        <f t="shared" si="5"/>
        <v>0</v>
      </c>
      <c r="K23" s="1590"/>
      <c r="L23" s="1591" t="str">
        <f t="shared" si="6"/>
        <v/>
      </c>
      <c r="M23" s="1519">
        <v>25.5</v>
      </c>
      <c r="N23" s="1519"/>
      <c r="P23" s="1581"/>
      <c r="Q23" s="1582"/>
      <c r="R23" s="1592"/>
      <c r="S23" s="1550"/>
      <c r="T23" s="1592"/>
      <c r="U23" s="1592"/>
      <c r="V23" s="1592"/>
      <c r="W23" s="1592"/>
      <c r="X23" s="1592"/>
      <c r="Y23" s="1592">
        <f t="shared" si="7"/>
        <v>0</v>
      </c>
      <c r="Z23" s="1592"/>
      <c r="AA23" s="1593">
        <f t="shared" si="3"/>
        <v>0</v>
      </c>
    </row>
    <row r="24" spans="1:27" ht="23.25">
      <c r="A24" s="1681"/>
      <c r="B24" s="1682"/>
      <c r="C24" s="2853">
        <f t="shared" si="8"/>
        <v>0</v>
      </c>
      <c r="D24" s="2851">
        <f t="shared" si="8"/>
        <v>0</v>
      </c>
      <c r="E24" s="2852">
        <f t="shared" si="9"/>
        <v>0</v>
      </c>
      <c r="F24" s="2852">
        <f t="shared" si="9"/>
        <v>0</v>
      </c>
      <c r="G24" s="2852">
        <f t="shared" si="9"/>
        <v>0</v>
      </c>
      <c r="H24" s="2852">
        <f t="shared" si="9"/>
        <v>0</v>
      </c>
      <c r="I24" s="2852">
        <f t="shared" si="9"/>
        <v>0</v>
      </c>
      <c r="J24" s="2857">
        <f t="shared" si="5"/>
        <v>0</v>
      </c>
      <c r="K24" s="1590"/>
      <c r="L24" s="1591" t="str">
        <f t="shared" si="6"/>
        <v/>
      </c>
      <c r="M24" s="1519">
        <v>25.5</v>
      </c>
      <c r="N24" s="1519"/>
      <c r="P24" s="1581"/>
      <c r="Q24" s="1582"/>
      <c r="R24" s="1592"/>
      <c r="S24" s="1550"/>
      <c r="T24" s="1592"/>
      <c r="U24" s="1592"/>
      <c r="V24" s="1592"/>
      <c r="W24" s="1592"/>
      <c r="X24" s="1592"/>
      <c r="Y24" s="1592">
        <f t="shared" si="7"/>
        <v>0</v>
      </c>
      <c r="Z24" s="1592"/>
      <c r="AA24" s="1593">
        <f t="shared" si="3"/>
        <v>0</v>
      </c>
    </row>
    <row r="25" spans="1:27" ht="26.25">
      <c r="A25" s="1681"/>
      <c r="B25" s="1682"/>
      <c r="C25" s="1576" t="str">
        <f t="shared" si="8"/>
        <v>B.O.F</v>
      </c>
      <c r="D25" s="2855" t="str">
        <f t="shared" si="8"/>
        <v xml:space="preserve"> </v>
      </c>
      <c r="E25" s="2855">
        <f t="shared" si="9"/>
        <v>0</v>
      </c>
      <c r="F25" s="2855">
        <f t="shared" si="9"/>
        <v>0</v>
      </c>
      <c r="G25" s="2855">
        <f t="shared" si="9"/>
        <v>0</v>
      </c>
      <c r="H25" s="2855">
        <f t="shared" si="9"/>
        <v>0</v>
      </c>
      <c r="I25" s="2867">
        <f t="shared" si="9"/>
        <v>0</v>
      </c>
      <c r="J25" s="1674" t="s">
        <v>1456</v>
      </c>
      <c r="K25" s="1579"/>
      <c r="L25" s="1580" t="s">
        <v>1456</v>
      </c>
      <c r="M25" s="1519">
        <v>25.5</v>
      </c>
      <c r="N25" s="1519"/>
      <c r="P25" s="1581"/>
      <c r="Q25" s="1582"/>
      <c r="R25" s="1598" t="s">
        <v>1465</v>
      </c>
      <c r="S25" s="1584" t="s">
        <v>1456</v>
      </c>
      <c r="T25" s="1599"/>
      <c r="U25" s="1599"/>
      <c r="V25" s="1599"/>
      <c r="W25" s="1599"/>
      <c r="X25" s="1599"/>
      <c r="Y25" s="1599" t="s">
        <v>1456</v>
      </c>
      <c r="Z25" s="1599"/>
      <c r="AA25" s="1600">
        <f t="shared" si="3"/>
        <v>0</v>
      </c>
    </row>
    <row r="26" spans="1:27" ht="23.25">
      <c r="A26" s="1681"/>
      <c r="B26" s="1682"/>
      <c r="C26" s="2853" t="str">
        <f t="shared" si="8"/>
        <v>lait</v>
      </c>
      <c r="D26" s="2851" t="str">
        <f t="shared" si="8"/>
        <v>L</v>
      </c>
      <c r="E26" s="2852">
        <f t="shared" si="9"/>
        <v>0</v>
      </c>
      <c r="F26" s="2852">
        <f t="shared" si="9"/>
        <v>0</v>
      </c>
      <c r="G26" s="2852">
        <f t="shared" si="9"/>
        <v>0.125</v>
      </c>
      <c r="H26" s="2852" t="str">
        <f t="shared" si="9"/>
        <v xml:space="preserve"> </v>
      </c>
      <c r="I26" s="2852">
        <f t="shared" si="9"/>
        <v>0</v>
      </c>
      <c r="J26" s="2857">
        <f t="shared" ref="J26:J33" si="10">SUM(E26:I26)</f>
        <v>0.125</v>
      </c>
      <c r="K26" s="1590"/>
      <c r="L26" s="1591" t="str">
        <f t="shared" ref="L26:L33" si="11">IF(ISBLANK(K26),"",K26*J26)</f>
        <v/>
      </c>
      <c r="M26" s="1519">
        <v>25.5</v>
      </c>
      <c r="N26" s="1519"/>
      <c r="P26" s="1581"/>
      <c r="Q26" s="1582"/>
      <c r="R26" s="1592" t="s">
        <v>2035</v>
      </c>
      <c r="S26" s="1550" t="s">
        <v>224</v>
      </c>
      <c r="T26" s="1592"/>
      <c r="U26" s="1592"/>
      <c r="V26" s="1592">
        <v>0.25</v>
      </c>
      <c r="W26" s="1592" t="s">
        <v>1456</v>
      </c>
      <c r="X26" s="1592"/>
      <c r="Y26" s="1592">
        <f t="shared" ref="Y26:Y33" si="12">SUM(T26:X26)</f>
        <v>0.25</v>
      </c>
      <c r="Z26" s="1592"/>
      <c r="AA26" s="1593">
        <f t="shared" si="3"/>
        <v>0</v>
      </c>
    </row>
    <row r="27" spans="1:27" ht="23.25">
      <c r="A27" s="1681"/>
      <c r="B27" s="1682"/>
      <c r="C27" s="2853" t="str">
        <f t="shared" si="8"/>
        <v>œufs</v>
      </c>
      <c r="D27" s="2851" t="str">
        <f t="shared" si="8"/>
        <v>P</v>
      </c>
      <c r="E27" s="2852">
        <f t="shared" si="9"/>
        <v>0</v>
      </c>
      <c r="F27" s="2852">
        <f t="shared" si="9"/>
        <v>0.5</v>
      </c>
      <c r="G27" s="2852">
        <f t="shared" si="9"/>
        <v>1.5</v>
      </c>
      <c r="H27" s="2852" t="str">
        <f t="shared" si="9"/>
        <v xml:space="preserve"> </v>
      </c>
      <c r="I27" s="2852">
        <f t="shared" si="9"/>
        <v>0</v>
      </c>
      <c r="J27" s="2857">
        <f t="shared" si="10"/>
        <v>2</v>
      </c>
      <c r="K27" s="1590"/>
      <c r="L27" s="1591" t="str">
        <f t="shared" si="11"/>
        <v/>
      </c>
      <c r="M27" s="1519">
        <v>25.5</v>
      </c>
      <c r="N27" s="1519"/>
      <c r="P27" s="1581"/>
      <c r="Q27" s="1582"/>
      <c r="R27" s="1592" t="s">
        <v>1723</v>
      </c>
      <c r="S27" s="1550" t="s">
        <v>318</v>
      </c>
      <c r="T27" s="1592"/>
      <c r="U27" s="1592">
        <v>1</v>
      </c>
      <c r="V27" s="1592">
        <v>3</v>
      </c>
      <c r="W27" s="1592" t="s">
        <v>1456</v>
      </c>
      <c r="X27" s="1592"/>
      <c r="Y27" s="1592">
        <f t="shared" si="12"/>
        <v>4</v>
      </c>
      <c r="Z27" s="1592"/>
      <c r="AA27" s="1593">
        <f t="shared" si="3"/>
        <v>0</v>
      </c>
    </row>
    <row r="28" spans="1:27" ht="23.25">
      <c r="A28" s="1681"/>
      <c r="B28" s="1682"/>
      <c r="C28" s="2853" t="str">
        <f t="shared" si="8"/>
        <v>creme UHT</v>
      </c>
      <c r="D28" s="2851" t="str">
        <f t="shared" si="8"/>
        <v>L</v>
      </c>
      <c r="E28" s="2852">
        <f t="shared" si="9"/>
        <v>0</v>
      </c>
      <c r="F28" s="2852">
        <f t="shared" si="9"/>
        <v>0.01</v>
      </c>
      <c r="G28" s="2852">
        <f t="shared" si="9"/>
        <v>0.125</v>
      </c>
      <c r="H28" s="2852">
        <f t="shared" si="9"/>
        <v>0</v>
      </c>
      <c r="I28" s="2852">
        <f t="shared" si="9"/>
        <v>0</v>
      </c>
      <c r="J28" s="2857">
        <f t="shared" si="10"/>
        <v>0.13500000000000001</v>
      </c>
      <c r="K28" s="1590"/>
      <c r="L28" s="1591" t="str">
        <f t="shared" si="11"/>
        <v/>
      </c>
      <c r="M28" s="1519">
        <v>25.5</v>
      </c>
      <c r="N28" s="1519"/>
      <c r="P28" s="1581"/>
      <c r="Q28" s="1582"/>
      <c r="R28" s="1592" t="s">
        <v>2056</v>
      </c>
      <c r="S28" s="1550" t="s">
        <v>224</v>
      </c>
      <c r="T28" s="1592"/>
      <c r="U28" s="1592">
        <v>0.02</v>
      </c>
      <c r="V28" s="1592">
        <v>0.25</v>
      </c>
      <c r="W28" s="1592"/>
      <c r="X28" s="1592"/>
      <c r="Y28" s="1592">
        <f t="shared" si="12"/>
        <v>0.27</v>
      </c>
      <c r="Z28" s="1592"/>
      <c r="AA28" s="1593">
        <f t="shared" si="3"/>
        <v>0</v>
      </c>
    </row>
    <row r="29" spans="1:27" ht="23.25">
      <c r="A29" s="1681"/>
      <c r="B29" s="1682"/>
      <c r="C29" s="2853" t="str">
        <f t="shared" si="8"/>
        <v>beurre</v>
      </c>
      <c r="D29" s="2851" t="str">
        <f t="shared" si="8"/>
        <v>kg</v>
      </c>
      <c r="E29" s="2852">
        <f t="shared" si="9"/>
        <v>0</v>
      </c>
      <c r="F29" s="2852">
        <f t="shared" si="9"/>
        <v>1.4999999999999999E-2</v>
      </c>
      <c r="G29" s="2852">
        <f t="shared" si="9"/>
        <v>0</v>
      </c>
      <c r="H29" s="2852">
        <f t="shared" si="9"/>
        <v>0</v>
      </c>
      <c r="I29" s="2852">
        <f t="shared" si="9"/>
        <v>0</v>
      </c>
      <c r="J29" s="2857">
        <f t="shared" si="10"/>
        <v>1.4999999999999999E-2</v>
      </c>
      <c r="K29" s="1590"/>
      <c r="L29" s="1591" t="str">
        <f t="shared" si="11"/>
        <v/>
      </c>
      <c r="M29" s="1519">
        <v>25.5</v>
      </c>
      <c r="N29" s="1519"/>
      <c r="P29" s="1581"/>
      <c r="Q29" s="1582"/>
      <c r="R29" s="1592" t="s">
        <v>979</v>
      </c>
      <c r="S29" s="1550" t="s">
        <v>166</v>
      </c>
      <c r="T29" s="1592"/>
      <c r="U29" s="1592">
        <v>0.03</v>
      </c>
      <c r="V29" s="1592"/>
      <c r="W29" s="1592"/>
      <c r="X29" s="1592"/>
      <c r="Y29" s="1592">
        <f t="shared" si="12"/>
        <v>0.03</v>
      </c>
      <c r="Z29" s="1592"/>
      <c r="AA29" s="1593">
        <f t="shared" si="3"/>
        <v>0</v>
      </c>
    </row>
    <row r="30" spans="1:27" ht="23.25">
      <c r="A30" s="1681"/>
      <c r="B30" s="1682"/>
      <c r="C30" s="2853">
        <f t="shared" si="8"/>
        <v>0</v>
      </c>
      <c r="D30" s="2851">
        <f t="shared" si="8"/>
        <v>0</v>
      </c>
      <c r="E30" s="2852">
        <f t="shared" si="9"/>
        <v>0</v>
      </c>
      <c r="F30" s="2852">
        <f t="shared" si="9"/>
        <v>0</v>
      </c>
      <c r="G30" s="2852">
        <f t="shared" si="9"/>
        <v>0</v>
      </c>
      <c r="H30" s="2852">
        <f t="shared" si="9"/>
        <v>0</v>
      </c>
      <c r="I30" s="2852">
        <f t="shared" si="9"/>
        <v>0</v>
      </c>
      <c r="J30" s="2857">
        <f t="shared" si="10"/>
        <v>0</v>
      </c>
      <c r="K30" s="1590"/>
      <c r="L30" s="1591" t="str">
        <f t="shared" si="11"/>
        <v/>
      </c>
      <c r="M30" s="1519">
        <v>25.5</v>
      </c>
      <c r="N30" s="1519"/>
      <c r="P30" s="1581"/>
      <c r="Q30" s="1582"/>
      <c r="R30" s="1592"/>
      <c r="S30" s="1550"/>
      <c r="T30" s="1592"/>
      <c r="U30" s="1592"/>
      <c r="V30" s="1592"/>
      <c r="W30" s="1592"/>
      <c r="X30" s="1592"/>
      <c r="Y30" s="1592">
        <f t="shared" si="12"/>
        <v>0</v>
      </c>
      <c r="Z30" s="1592"/>
      <c r="AA30" s="1593">
        <f t="shared" si="3"/>
        <v>0</v>
      </c>
    </row>
    <row r="31" spans="1:27" ht="23.25">
      <c r="A31" s="1681"/>
      <c r="B31" s="1682"/>
      <c r="C31" s="2853">
        <f t="shared" si="8"/>
        <v>0</v>
      </c>
      <c r="D31" s="2851">
        <f t="shared" si="8"/>
        <v>0</v>
      </c>
      <c r="E31" s="2852">
        <f t="shared" si="9"/>
        <v>0</v>
      </c>
      <c r="F31" s="2852">
        <f t="shared" si="9"/>
        <v>0</v>
      </c>
      <c r="G31" s="2852">
        <f t="shared" si="9"/>
        <v>0</v>
      </c>
      <c r="H31" s="2852">
        <f t="shared" si="9"/>
        <v>0</v>
      </c>
      <c r="I31" s="2852">
        <f t="shared" si="9"/>
        <v>0</v>
      </c>
      <c r="J31" s="2857">
        <f t="shared" si="10"/>
        <v>0</v>
      </c>
      <c r="K31" s="1590"/>
      <c r="L31" s="1591" t="str">
        <f t="shared" si="11"/>
        <v/>
      </c>
      <c r="M31" s="1519">
        <v>25.5</v>
      </c>
      <c r="N31" s="1519"/>
      <c r="P31" s="1581"/>
      <c r="Q31" s="1582"/>
      <c r="R31" s="1592"/>
      <c r="S31" s="1550"/>
      <c r="T31" s="1592"/>
      <c r="U31" s="1592"/>
      <c r="V31" s="1592"/>
      <c r="W31" s="1592"/>
      <c r="X31" s="1592"/>
      <c r="Y31" s="1592">
        <f t="shared" si="12"/>
        <v>0</v>
      </c>
      <c r="Z31" s="1592"/>
      <c r="AA31" s="1593">
        <f t="shared" si="3"/>
        <v>0</v>
      </c>
    </row>
    <row r="32" spans="1:27" ht="23.25">
      <c r="A32" s="1681"/>
      <c r="B32" s="1682"/>
      <c r="C32" s="2853">
        <f t="shared" si="8"/>
        <v>0</v>
      </c>
      <c r="D32" s="2851">
        <f t="shared" si="8"/>
        <v>0</v>
      </c>
      <c r="E32" s="2852">
        <f t="shared" si="9"/>
        <v>0</v>
      </c>
      <c r="F32" s="2852">
        <f t="shared" si="9"/>
        <v>0</v>
      </c>
      <c r="G32" s="2852">
        <f t="shared" si="9"/>
        <v>0</v>
      </c>
      <c r="H32" s="2852">
        <f t="shared" si="9"/>
        <v>0</v>
      </c>
      <c r="I32" s="2852">
        <f t="shared" si="9"/>
        <v>0</v>
      </c>
      <c r="J32" s="2857">
        <f t="shared" si="10"/>
        <v>0</v>
      </c>
      <c r="K32" s="1590"/>
      <c r="L32" s="1591" t="str">
        <f t="shared" si="11"/>
        <v/>
      </c>
      <c r="M32" s="1519">
        <v>25.5</v>
      </c>
      <c r="N32" s="1519"/>
      <c r="P32" s="1581"/>
      <c r="Q32" s="1582"/>
      <c r="R32" s="1592"/>
      <c r="S32" s="1550"/>
      <c r="T32" s="1592"/>
      <c r="U32" s="1592"/>
      <c r="V32" s="1592"/>
      <c r="W32" s="1592"/>
      <c r="X32" s="1592"/>
      <c r="Y32" s="1592">
        <f t="shared" si="12"/>
        <v>0</v>
      </c>
      <c r="Z32" s="1592"/>
      <c r="AA32" s="1593">
        <f t="shared" si="3"/>
        <v>0</v>
      </c>
    </row>
    <row r="33" spans="1:27" ht="23.25">
      <c r="A33" s="1681"/>
      <c r="B33" s="1682"/>
      <c r="C33" s="2853">
        <f t="shared" si="8"/>
        <v>0</v>
      </c>
      <c r="D33" s="2851">
        <f t="shared" si="8"/>
        <v>0</v>
      </c>
      <c r="E33" s="2852">
        <f t="shared" si="9"/>
        <v>0</v>
      </c>
      <c r="F33" s="2852">
        <f t="shared" si="9"/>
        <v>0</v>
      </c>
      <c r="G33" s="2852">
        <f t="shared" si="9"/>
        <v>0</v>
      </c>
      <c r="H33" s="2852">
        <f t="shared" si="9"/>
        <v>0</v>
      </c>
      <c r="I33" s="2852">
        <f t="shared" si="9"/>
        <v>0</v>
      </c>
      <c r="J33" s="2857">
        <f t="shared" si="10"/>
        <v>0</v>
      </c>
      <c r="K33" s="1590"/>
      <c r="L33" s="1591" t="str">
        <f t="shared" si="11"/>
        <v/>
      </c>
      <c r="M33" s="1519">
        <v>25.5</v>
      </c>
      <c r="N33" s="1519"/>
      <c r="P33" s="1581"/>
      <c r="Q33" s="1582"/>
      <c r="R33" s="1592"/>
      <c r="S33" s="1550"/>
      <c r="T33" s="1592"/>
      <c r="U33" s="1592"/>
      <c r="V33" s="1592"/>
      <c r="W33" s="1592"/>
      <c r="X33" s="1592"/>
      <c r="Y33" s="1592">
        <f t="shared" si="12"/>
        <v>0</v>
      </c>
      <c r="Z33" s="1592"/>
      <c r="AA33" s="1593">
        <f t="shared" si="3"/>
        <v>0</v>
      </c>
    </row>
    <row r="34" spans="1:27" ht="26.25">
      <c r="A34" s="1681"/>
      <c r="B34" s="1682"/>
      <c r="C34" s="1576" t="str">
        <f t="shared" si="8"/>
        <v>ECONOMAT/CAVE</v>
      </c>
      <c r="D34" s="2855" t="str">
        <f t="shared" si="8"/>
        <v xml:space="preserve"> </v>
      </c>
      <c r="E34" s="2855">
        <f t="shared" si="9"/>
        <v>0</v>
      </c>
      <c r="F34" s="2855">
        <f t="shared" si="9"/>
        <v>0</v>
      </c>
      <c r="G34" s="2855">
        <f t="shared" si="9"/>
        <v>0</v>
      </c>
      <c r="H34" s="2855">
        <f t="shared" si="9"/>
        <v>0</v>
      </c>
      <c r="I34" s="2867">
        <f t="shared" si="9"/>
        <v>0</v>
      </c>
      <c r="J34" s="1674" t="s">
        <v>1456</v>
      </c>
      <c r="K34" s="1579"/>
      <c r="L34" s="1580" t="s">
        <v>1456</v>
      </c>
      <c r="M34" s="1519">
        <v>25.5</v>
      </c>
      <c r="N34" s="1519"/>
      <c r="P34" s="1581"/>
      <c r="Q34" s="1582"/>
      <c r="R34" s="1598" t="s">
        <v>1967</v>
      </c>
      <c r="S34" s="1584" t="s">
        <v>1456</v>
      </c>
      <c r="T34" s="1599"/>
      <c r="U34" s="1599"/>
      <c r="V34" s="1599"/>
      <c r="W34" s="1599"/>
      <c r="X34" s="1599"/>
      <c r="Y34" s="1599" t="s">
        <v>1456</v>
      </c>
      <c r="Z34" s="1599"/>
      <c r="AA34" s="1600">
        <f t="shared" si="3"/>
        <v>0</v>
      </c>
    </row>
    <row r="35" spans="1:27" ht="23.25">
      <c r="A35" s="1681"/>
      <c r="B35" s="1682"/>
      <c r="C35" s="2853" t="str">
        <f t="shared" si="8"/>
        <v>chocolat 64%</v>
      </c>
      <c r="D35" s="2851" t="str">
        <f t="shared" si="8"/>
        <v>kg</v>
      </c>
      <c r="E35" s="2852">
        <f t="shared" si="9"/>
        <v>0</v>
      </c>
      <c r="F35" s="2852">
        <f t="shared" si="9"/>
        <v>0</v>
      </c>
      <c r="G35" s="2852">
        <f t="shared" si="9"/>
        <v>0</v>
      </c>
      <c r="H35" s="2852">
        <f t="shared" si="9"/>
        <v>0.1</v>
      </c>
      <c r="I35" s="2852">
        <f t="shared" si="9"/>
        <v>0.05</v>
      </c>
      <c r="J35" s="2857">
        <f t="shared" ref="J35:J46" si="13">SUM(E35:I35)</f>
        <v>0.15000000000000002</v>
      </c>
      <c r="K35" s="1590"/>
      <c r="L35" s="1591" t="str">
        <f t="shared" ref="L35:L46" si="14">IF(ISBLANK(K35),"",K35*J35)</f>
        <v/>
      </c>
      <c r="M35" s="1519">
        <v>25.5</v>
      </c>
      <c r="N35" s="1519"/>
      <c r="P35" s="1581"/>
      <c r="Q35" s="1582"/>
      <c r="R35" s="1592" t="s">
        <v>2057</v>
      </c>
      <c r="S35" s="1550" t="s">
        <v>166</v>
      </c>
      <c r="T35" s="1592"/>
      <c r="U35" s="1592"/>
      <c r="V35" s="1592"/>
      <c r="W35" s="1592">
        <v>0.2</v>
      </c>
      <c r="X35" s="1592">
        <v>0.1</v>
      </c>
      <c r="Y35" s="1592">
        <f t="shared" ref="Y35:Y46" si="15">SUM(T35:X35)</f>
        <v>0.30000000000000004</v>
      </c>
      <c r="Z35" s="1592"/>
      <c r="AA35" s="1593">
        <f t="shared" si="3"/>
        <v>0</v>
      </c>
    </row>
    <row r="36" spans="1:27" ht="23.25">
      <c r="A36" s="1681"/>
      <c r="B36" s="1682"/>
      <c r="C36" s="2853" t="str">
        <f t="shared" si="8"/>
        <v>sucre</v>
      </c>
      <c r="D36" s="2851" t="str">
        <f t="shared" si="8"/>
        <v>kg</v>
      </c>
      <c r="E36" s="2852">
        <f t="shared" si="9"/>
        <v>0</v>
      </c>
      <c r="F36" s="2852">
        <f t="shared" si="9"/>
        <v>0</v>
      </c>
      <c r="G36" s="2852">
        <f t="shared" si="9"/>
        <v>2.5000000000000001E-2</v>
      </c>
      <c r="H36" s="2852">
        <f t="shared" si="9"/>
        <v>0.05</v>
      </c>
      <c r="I36" s="2852">
        <f t="shared" si="9"/>
        <v>0</v>
      </c>
      <c r="J36" s="2857">
        <f t="shared" si="13"/>
        <v>7.5000000000000011E-2</v>
      </c>
      <c r="K36" s="1590"/>
      <c r="L36" s="1591" t="str">
        <f t="shared" si="14"/>
        <v/>
      </c>
      <c r="M36" s="1519">
        <v>25.5</v>
      </c>
      <c r="N36" s="1519"/>
      <c r="P36" s="1581"/>
      <c r="Q36" s="1582"/>
      <c r="R36" s="1592" t="s">
        <v>216</v>
      </c>
      <c r="S36" s="1550" t="s">
        <v>166</v>
      </c>
      <c r="T36" s="1592"/>
      <c r="U36" s="1592"/>
      <c r="V36" s="1592">
        <v>0.05</v>
      </c>
      <c r="W36" s="1592">
        <v>0.1</v>
      </c>
      <c r="X36" s="1592"/>
      <c r="Y36" s="1592">
        <f t="shared" si="15"/>
        <v>0.15000000000000002</v>
      </c>
      <c r="Z36" s="1592"/>
      <c r="AA36" s="1593">
        <f t="shared" si="3"/>
        <v>0</v>
      </c>
    </row>
    <row r="37" spans="1:27" ht="23.25">
      <c r="A37" s="1681"/>
      <c r="B37" s="1682"/>
      <c r="C37" s="2853" t="str">
        <f t="shared" si="8"/>
        <v>vanille</v>
      </c>
      <c r="D37" s="2851" t="str">
        <f t="shared" si="8"/>
        <v>g</v>
      </c>
      <c r="E37" s="2852">
        <f t="shared" si="9"/>
        <v>0</v>
      </c>
      <c r="F37" s="2852">
        <f t="shared" si="9"/>
        <v>0</v>
      </c>
      <c r="G37" s="2852">
        <f t="shared" si="9"/>
        <v>5.0000000000000001E-3</v>
      </c>
      <c r="H37" s="2852" t="str">
        <f t="shared" si="9"/>
        <v xml:space="preserve"> </v>
      </c>
      <c r="I37" s="2852">
        <f t="shared" si="9"/>
        <v>0</v>
      </c>
      <c r="J37" s="2857">
        <f t="shared" si="13"/>
        <v>5.0000000000000001E-3</v>
      </c>
      <c r="K37" s="1590"/>
      <c r="L37" s="1591" t="str">
        <f t="shared" si="14"/>
        <v/>
      </c>
      <c r="M37" s="1519">
        <v>25.5</v>
      </c>
      <c r="N37" s="1519"/>
      <c r="P37" s="1581"/>
      <c r="Q37" s="1582"/>
      <c r="R37" s="1592" t="s">
        <v>2058</v>
      </c>
      <c r="S37" s="1550" t="s">
        <v>2059</v>
      </c>
      <c r="T37" s="1592"/>
      <c r="U37" s="1592"/>
      <c r="V37" s="1281">
        <v>0.01</v>
      </c>
      <c r="W37" s="1592" t="s">
        <v>1456</v>
      </c>
      <c r="X37" s="1592"/>
      <c r="Y37" s="1592">
        <f t="shared" si="15"/>
        <v>0.01</v>
      </c>
      <c r="Z37" s="1592"/>
      <c r="AA37" s="1593">
        <f t="shared" si="3"/>
        <v>0</v>
      </c>
    </row>
    <row r="38" spans="1:27" ht="23.25">
      <c r="A38" s="1681"/>
      <c r="B38" s="1682"/>
      <c r="C38" s="2853" t="str">
        <f t="shared" si="8"/>
        <v>couverture ivoire</v>
      </c>
      <c r="D38" s="2851" t="str">
        <f t="shared" si="8"/>
        <v>kg</v>
      </c>
      <c r="E38" s="2852">
        <f t="shared" si="9"/>
        <v>0</v>
      </c>
      <c r="F38" s="2852">
        <f t="shared" si="9"/>
        <v>7.4999999999999997E-2</v>
      </c>
      <c r="G38" s="2852">
        <f t="shared" si="9"/>
        <v>0</v>
      </c>
      <c r="H38" s="2852">
        <f t="shared" si="9"/>
        <v>0</v>
      </c>
      <c r="I38" s="2852">
        <f t="shared" si="9"/>
        <v>0</v>
      </c>
      <c r="J38" s="2857">
        <f t="shared" si="13"/>
        <v>7.4999999999999997E-2</v>
      </c>
      <c r="K38" s="1590"/>
      <c r="L38" s="1591" t="str">
        <f t="shared" si="14"/>
        <v/>
      </c>
      <c r="M38" s="1519">
        <v>25.5</v>
      </c>
      <c r="N38" s="1519"/>
      <c r="P38" s="1581"/>
      <c r="Q38" s="1582"/>
      <c r="R38" s="1592" t="s">
        <v>2060</v>
      </c>
      <c r="S38" s="1550" t="s">
        <v>166</v>
      </c>
      <c r="T38" s="1592"/>
      <c r="U38" s="1592">
        <v>0.15</v>
      </c>
      <c r="V38" s="1592"/>
      <c r="W38" s="1592"/>
      <c r="X38" s="1592"/>
      <c r="Y38" s="1592">
        <f t="shared" si="15"/>
        <v>0.15</v>
      </c>
      <c r="Z38" s="1592"/>
      <c r="AA38" s="1593">
        <f t="shared" si="3"/>
        <v>0</v>
      </c>
    </row>
    <row r="39" spans="1:27" ht="23.25">
      <c r="A39" s="1681"/>
      <c r="B39" s="1682"/>
      <c r="C39" s="2853" t="str">
        <f t="shared" si="8"/>
        <v>sucre glace</v>
      </c>
      <c r="D39" s="2851" t="str">
        <f t="shared" si="8"/>
        <v>kg</v>
      </c>
      <c r="E39" s="2852">
        <f t="shared" si="9"/>
        <v>0</v>
      </c>
      <c r="F39" s="2852">
        <f t="shared" si="9"/>
        <v>2.5000000000000001E-2</v>
      </c>
      <c r="G39" s="2852">
        <f t="shared" si="9"/>
        <v>0</v>
      </c>
      <c r="H39" s="2852">
        <f t="shared" si="9"/>
        <v>0</v>
      </c>
      <c r="I39" s="2852">
        <f t="shared" si="9"/>
        <v>0</v>
      </c>
      <c r="J39" s="2857">
        <f t="shared" si="13"/>
        <v>2.5000000000000001E-2</v>
      </c>
      <c r="K39" s="1590"/>
      <c r="L39" s="1591" t="str">
        <f t="shared" si="14"/>
        <v/>
      </c>
      <c r="M39" s="1519">
        <v>25.5</v>
      </c>
      <c r="N39" s="1519"/>
      <c r="P39" s="1581"/>
      <c r="Q39" s="1582"/>
      <c r="R39" s="1592" t="s">
        <v>1702</v>
      </c>
      <c r="S39" s="1550" t="s">
        <v>166</v>
      </c>
      <c r="T39" s="1592"/>
      <c r="U39" s="1592">
        <v>0.05</v>
      </c>
      <c r="V39" s="1592"/>
      <c r="W39" s="1592"/>
      <c r="X39" s="1592"/>
      <c r="Y39" s="1592">
        <f t="shared" si="15"/>
        <v>0.05</v>
      </c>
      <c r="Z39" s="1592"/>
      <c r="AA39" s="1593">
        <f t="shared" si="3"/>
        <v>0</v>
      </c>
    </row>
    <row r="40" spans="1:27" ht="23.25">
      <c r="A40" s="1681"/>
      <c r="B40" s="1682"/>
      <c r="C40" s="2853" t="str">
        <f t="shared" si="8"/>
        <v>liqueur de banane</v>
      </c>
      <c r="D40" s="2851" t="str">
        <f t="shared" si="8"/>
        <v>L</v>
      </c>
      <c r="E40" s="2852">
        <f t="shared" si="9"/>
        <v>0</v>
      </c>
      <c r="F40" s="2852">
        <f t="shared" si="9"/>
        <v>0</v>
      </c>
      <c r="G40" s="2852">
        <f t="shared" si="9"/>
        <v>0.05</v>
      </c>
      <c r="H40" s="2852">
        <f t="shared" si="9"/>
        <v>0</v>
      </c>
      <c r="I40" s="2852">
        <f t="shared" si="9"/>
        <v>0</v>
      </c>
      <c r="J40" s="2857">
        <f t="shared" si="13"/>
        <v>0.05</v>
      </c>
      <c r="K40" s="1697"/>
      <c r="L40" s="1591" t="str">
        <f t="shared" si="14"/>
        <v/>
      </c>
      <c r="M40" s="1519">
        <v>25.5</v>
      </c>
      <c r="N40" s="1519"/>
      <c r="P40" s="1581"/>
      <c r="Q40" s="1582"/>
      <c r="R40" s="1592" t="s">
        <v>2061</v>
      </c>
      <c r="S40" s="1550" t="s">
        <v>224</v>
      </c>
      <c r="T40" s="1592"/>
      <c r="U40" s="1592"/>
      <c r="V40" s="1281">
        <v>0.1</v>
      </c>
      <c r="W40" s="1592"/>
      <c r="X40" s="1592"/>
      <c r="Y40" s="1592">
        <f t="shared" si="15"/>
        <v>0.1</v>
      </c>
      <c r="Z40" s="1592"/>
      <c r="AA40" s="1593">
        <f t="shared" si="3"/>
        <v>0</v>
      </c>
    </row>
    <row r="41" spans="1:27" ht="23.25">
      <c r="A41" s="1681"/>
      <c r="B41" s="1682"/>
      <c r="C41" s="2853" t="str">
        <f t="shared" si="8"/>
        <v>gélatine</v>
      </c>
      <c r="D41" s="2851" t="str">
        <f t="shared" si="8"/>
        <v>F</v>
      </c>
      <c r="E41" s="2852">
        <f t="shared" si="9"/>
        <v>0</v>
      </c>
      <c r="F41" s="2852">
        <f t="shared" si="9"/>
        <v>0</v>
      </c>
      <c r="G41" s="2852">
        <f t="shared" si="9"/>
        <v>2</v>
      </c>
      <c r="H41" s="2852">
        <f t="shared" si="9"/>
        <v>0</v>
      </c>
      <c r="I41" s="2852">
        <f t="shared" si="9"/>
        <v>0</v>
      </c>
      <c r="J41" s="2857">
        <f t="shared" si="13"/>
        <v>2</v>
      </c>
      <c r="K41" s="1590"/>
      <c r="L41" s="1591" t="str">
        <f t="shared" si="14"/>
        <v/>
      </c>
      <c r="M41" s="1519">
        <v>25.5</v>
      </c>
      <c r="N41" s="1519"/>
      <c r="P41" s="1581"/>
      <c r="Q41" s="1582"/>
      <c r="R41" s="1592" t="s">
        <v>219</v>
      </c>
      <c r="S41" s="1550" t="s">
        <v>142</v>
      </c>
      <c r="T41" s="1592"/>
      <c r="U41" s="1592"/>
      <c r="V41" s="1592">
        <v>4</v>
      </c>
      <c r="W41" s="1592"/>
      <c r="X41" s="1592"/>
      <c r="Y41" s="1592">
        <f t="shared" si="15"/>
        <v>4</v>
      </c>
      <c r="Z41" s="1592"/>
      <c r="AA41" s="1593">
        <f t="shared" si="3"/>
        <v>0</v>
      </c>
    </row>
    <row r="42" spans="1:27" ht="23.25">
      <c r="A42" s="1681"/>
      <c r="B42" s="1682"/>
      <c r="C42" s="2853" t="str">
        <f t="shared" ref="C42:D46" si="16">R42</f>
        <v>sucre roux</v>
      </c>
      <c r="D42" s="2851" t="str">
        <f t="shared" si="16"/>
        <v>kg</v>
      </c>
      <c r="E42" s="2852">
        <f t="shared" si="9"/>
        <v>0</v>
      </c>
      <c r="F42" s="2852">
        <f t="shared" si="9"/>
        <v>0</v>
      </c>
      <c r="G42" s="2852">
        <f t="shared" si="9"/>
        <v>0</v>
      </c>
      <c r="H42" s="2852">
        <f t="shared" si="9"/>
        <v>0</v>
      </c>
      <c r="I42" s="2852">
        <f t="shared" si="9"/>
        <v>2.5000000000000001E-2</v>
      </c>
      <c r="J42" s="2857">
        <f t="shared" si="13"/>
        <v>2.5000000000000001E-2</v>
      </c>
      <c r="K42" s="1590"/>
      <c r="L42" s="1591" t="str">
        <f t="shared" si="14"/>
        <v/>
      </c>
      <c r="M42" s="1519">
        <v>25.5</v>
      </c>
      <c r="N42" s="1519"/>
      <c r="P42" s="1581"/>
      <c r="Q42" s="1582"/>
      <c r="R42" s="1592" t="s">
        <v>2062</v>
      </c>
      <c r="S42" s="1550" t="s">
        <v>166</v>
      </c>
      <c r="T42" s="1592"/>
      <c r="U42" s="1592"/>
      <c r="V42" s="1592"/>
      <c r="W42" s="1592"/>
      <c r="X42" s="1592">
        <v>0.05</v>
      </c>
      <c r="Y42" s="1592">
        <f t="shared" si="15"/>
        <v>0.05</v>
      </c>
      <c r="Z42" s="1592"/>
      <c r="AA42" s="1593">
        <f t="shared" si="3"/>
        <v>0</v>
      </c>
    </row>
    <row r="43" spans="1:27" ht="23.25">
      <c r="A43" s="1681"/>
      <c r="B43" s="1682"/>
      <c r="C43" s="2853" t="str">
        <f t="shared" si="16"/>
        <v>feuilles d'or</v>
      </c>
      <c r="D43" s="2851" t="str">
        <f t="shared" si="16"/>
        <v>pm</v>
      </c>
      <c r="E43" s="2852">
        <f t="shared" ref="E43:I46" si="17">IF(ISTEXT(T43),T43,(T43/$I$2)*$L$2)</f>
        <v>0</v>
      </c>
      <c r="F43" s="2852">
        <f t="shared" si="17"/>
        <v>0</v>
      </c>
      <c r="G43" s="2852">
        <f t="shared" si="17"/>
        <v>0</v>
      </c>
      <c r="H43" s="2852">
        <f t="shared" si="17"/>
        <v>0</v>
      </c>
      <c r="I43" s="2852" t="str">
        <f t="shared" si="17"/>
        <v>pm</v>
      </c>
      <c r="J43" s="2857">
        <f t="shared" si="13"/>
        <v>0</v>
      </c>
      <c r="K43" s="1590"/>
      <c r="L43" s="1591" t="str">
        <f t="shared" si="14"/>
        <v/>
      </c>
      <c r="M43" s="1519">
        <v>25.5</v>
      </c>
      <c r="N43" s="1519"/>
      <c r="P43" s="1581"/>
      <c r="Q43" s="1582"/>
      <c r="R43" s="1592" t="s">
        <v>2063</v>
      </c>
      <c r="S43" s="1550" t="s">
        <v>214</v>
      </c>
      <c r="T43" s="1592"/>
      <c r="U43" s="1592"/>
      <c r="V43" s="1592"/>
      <c r="W43" s="1592"/>
      <c r="X43" s="1592" t="s">
        <v>214</v>
      </c>
      <c r="Y43" s="1592">
        <f t="shared" si="15"/>
        <v>0</v>
      </c>
      <c r="Z43" s="1592"/>
      <c r="AA43" s="1593">
        <f t="shared" si="3"/>
        <v>0</v>
      </c>
    </row>
    <row r="44" spans="1:27" ht="25.5" customHeight="1">
      <c r="A44" s="1681"/>
      <c r="B44" s="1682"/>
      <c r="C44" s="2853" t="str">
        <f t="shared" si="16"/>
        <v>cognac</v>
      </c>
      <c r="D44" s="2851" t="str">
        <f t="shared" si="16"/>
        <v>L</v>
      </c>
      <c r="E44" s="2852">
        <f t="shared" si="17"/>
        <v>0</v>
      </c>
      <c r="F44" s="2852">
        <f t="shared" si="17"/>
        <v>0</v>
      </c>
      <c r="G44" s="2852">
        <f t="shared" si="17"/>
        <v>1.4999999999999999E-2</v>
      </c>
      <c r="H44" s="2852">
        <f t="shared" si="17"/>
        <v>0</v>
      </c>
      <c r="I44" s="2852">
        <f t="shared" si="17"/>
        <v>0</v>
      </c>
      <c r="J44" s="2857">
        <f t="shared" si="13"/>
        <v>1.4999999999999999E-2</v>
      </c>
      <c r="K44" s="1590"/>
      <c r="L44" s="1591" t="str">
        <f t="shared" si="14"/>
        <v/>
      </c>
      <c r="M44" s="1519">
        <v>25.5</v>
      </c>
      <c r="N44" s="1519"/>
      <c r="P44" s="1581"/>
      <c r="Q44" s="1582"/>
      <c r="R44" s="1592" t="s">
        <v>1930</v>
      </c>
      <c r="S44" s="1550" t="s">
        <v>224</v>
      </c>
      <c r="T44" s="1592"/>
      <c r="U44" s="1592"/>
      <c r="V44" s="1592">
        <v>0.03</v>
      </c>
      <c r="W44" s="1592"/>
      <c r="X44" s="1592"/>
      <c r="Y44" s="1592">
        <f t="shared" si="15"/>
        <v>0.03</v>
      </c>
      <c r="Z44" s="1592"/>
      <c r="AA44" s="1593">
        <f t="shared" si="3"/>
        <v>0</v>
      </c>
    </row>
    <row r="45" spans="1:27" ht="25.5" customHeight="1">
      <c r="A45" s="1681"/>
      <c r="B45" s="1682"/>
      <c r="C45" s="2853">
        <f t="shared" si="16"/>
        <v>0</v>
      </c>
      <c r="D45" s="2851">
        <f t="shared" si="16"/>
        <v>0</v>
      </c>
      <c r="E45" s="2852">
        <f t="shared" si="17"/>
        <v>0</v>
      </c>
      <c r="F45" s="2852">
        <f t="shared" si="17"/>
        <v>0</v>
      </c>
      <c r="G45" s="2852">
        <f t="shared" si="17"/>
        <v>0</v>
      </c>
      <c r="H45" s="2852">
        <f t="shared" si="17"/>
        <v>0</v>
      </c>
      <c r="I45" s="2852">
        <f t="shared" si="17"/>
        <v>0</v>
      </c>
      <c r="J45" s="2857">
        <f t="shared" si="13"/>
        <v>0</v>
      </c>
      <c r="K45" s="1590"/>
      <c r="L45" s="1591" t="str">
        <f t="shared" si="14"/>
        <v/>
      </c>
      <c r="M45" s="1519">
        <v>25.5</v>
      </c>
      <c r="N45" s="1519"/>
      <c r="P45" s="1581"/>
      <c r="Q45" s="1582"/>
      <c r="R45" s="1592"/>
      <c r="S45" s="1550"/>
      <c r="T45" s="1592"/>
      <c r="U45" s="1592"/>
      <c r="V45" s="1592"/>
      <c r="W45" s="1592"/>
      <c r="X45" s="1592"/>
      <c r="Y45" s="1592">
        <f t="shared" si="15"/>
        <v>0</v>
      </c>
      <c r="Z45" s="1592"/>
      <c r="AA45" s="1593">
        <f t="shared" si="3"/>
        <v>0</v>
      </c>
    </row>
    <row r="46" spans="1:27" ht="25.5" customHeight="1">
      <c r="A46" s="1689"/>
      <c r="B46" s="1682"/>
      <c r="C46" s="2853">
        <f t="shared" si="16"/>
        <v>0</v>
      </c>
      <c r="D46" s="2851">
        <f t="shared" si="16"/>
        <v>0</v>
      </c>
      <c r="E46" s="2852">
        <f t="shared" si="17"/>
        <v>0</v>
      </c>
      <c r="F46" s="2852">
        <f t="shared" si="17"/>
        <v>0</v>
      </c>
      <c r="G46" s="2852">
        <f t="shared" si="17"/>
        <v>0</v>
      </c>
      <c r="H46" s="2852">
        <f t="shared" si="17"/>
        <v>0</v>
      </c>
      <c r="I46" s="2852">
        <f t="shared" si="17"/>
        <v>0</v>
      </c>
      <c r="J46" s="2857">
        <f t="shared" si="13"/>
        <v>0</v>
      </c>
      <c r="K46" s="1590"/>
      <c r="L46" s="1591" t="str">
        <f t="shared" si="14"/>
        <v/>
      </c>
      <c r="M46" s="1519">
        <v>25.5</v>
      </c>
      <c r="N46" s="1519"/>
      <c r="P46" s="1520"/>
      <c r="Q46" s="1582"/>
      <c r="R46" s="1592"/>
      <c r="S46" s="1550"/>
      <c r="T46" s="1610"/>
      <c r="U46" s="1610"/>
      <c r="V46" s="1610"/>
      <c r="W46" s="1610"/>
      <c r="X46" s="1610"/>
      <c r="Y46" s="1592">
        <f t="shared" si="15"/>
        <v>0</v>
      </c>
      <c r="Z46" s="1592"/>
      <c r="AA46" s="1611">
        <f t="shared" si="3"/>
        <v>0</v>
      </c>
    </row>
    <row r="47" spans="1:27" ht="25.5" customHeight="1">
      <c r="A47" s="1614"/>
      <c r="B47" s="1690" t="s">
        <v>1480</v>
      </c>
      <c r="C47" s="1615"/>
      <c r="D47" s="1615"/>
      <c r="E47" s="1615"/>
      <c r="F47" s="1615"/>
      <c r="G47" s="1614"/>
      <c r="H47" s="1615"/>
      <c r="I47" s="1615"/>
      <c r="J47" s="1615" t="str">
        <f t="shared" ref="J47" si="18">IF(SUM(E47:I47)=0,"",SUM(E47:I47))</f>
        <v/>
      </c>
      <c r="K47" s="1615" t="s">
        <v>2411</v>
      </c>
      <c r="L47" s="1616" t="str">
        <f>IF(J47="","",(J47*K47))</f>
        <v/>
      </c>
      <c r="M47" s="1519">
        <v>25.5</v>
      </c>
      <c r="N47" s="1519"/>
      <c r="P47" s="1533"/>
      <c r="Q47" s="1617" t="s">
        <v>1480</v>
      </c>
      <c r="R47" s="1536"/>
      <c r="S47" s="1536"/>
      <c r="T47" s="1192"/>
      <c r="U47" s="1192"/>
      <c r="V47" s="1533"/>
      <c r="W47" s="1536"/>
      <c r="X47" s="1536"/>
      <c r="Y47" s="1536" t="str">
        <f>IF(SUM(T47:X47)=0,"",SUM(T47:X47))</f>
        <v/>
      </c>
      <c r="Z47" s="1536" t="s">
        <v>2411</v>
      </c>
      <c r="AA47" s="1616" t="str">
        <f>IF(Y47="","",(Y47*Z47))</f>
        <v/>
      </c>
    </row>
    <row r="48" spans="1:27" ht="25.5" customHeight="1">
      <c r="A48" s="1681"/>
      <c r="B48" s="1618" t="s">
        <v>2064</v>
      </c>
      <c r="C48" s="1619"/>
      <c r="D48" s="1618"/>
      <c r="E48" s="1619"/>
      <c r="F48" s="1619"/>
      <c r="G48" s="3522" t="s">
        <v>2288</v>
      </c>
      <c r="H48" s="3523"/>
      <c r="I48" s="1620">
        <f>L2</f>
        <v>5</v>
      </c>
      <c r="J48" s="1621"/>
      <c r="K48" s="1621"/>
      <c r="L48" s="1622">
        <f>SUM(L8:L46)</f>
        <v>0</v>
      </c>
      <c r="M48" s="1519">
        <v>25.5</v>
      </c>
      <c r="N48" s="1519"/>
      <c r="P48" s="1581"/>
      <c r="Q48" s="1352" t="s">
        <v>2064</v>
      </c>
      <c r="R48" s="1623"/>
      <c r="S48" s="1192"/>
      <c r="T48" s="1623"/>
      <c r="U48" s="1623"/>
      <c r="V48" s="1624" t="s">
        <v>1482</v>
      </c>
      <c r="W48" s="1625"/>
      <c r="X48" s="1625"/>
      <c r="Y48" s="1625"/>
      <c r="Z48" s="1625"/>
      <c r="AA48" s="1626">
        <f>SUM(AA8:AA47)</f>
        <v>0</v>
      </c>
    </row>
    <row r="49" spans="1:27" ht="25.5" customHeight="1">
      <c r="A49" s="1681"/>
      <c r="B49" s="1618" t="s">
        <v>2065</v>
      </c>
      <c r="C49" s="1618"/>
      <c r="D49" s="1618"/>
      <c r="E49" s="1618"/>
      <c r="F49" s="1618"/>
      <c r="G49" s="3548" t="s">
        <v>1483</v>
      </c>
      <c r="H49" s="3549"/>
      <c r="I49" s="3549"/>
      <c r="J49" s="3549"/>
      <c r="K49" s="1627">
        <v>0.02</v>
      </c>
      <c r="L49" s="1622">
        <f>L48*K49</f>
        <v>0</v>
      </c>
      <c r="M49" s="1519">
        <v>25.5</v>
      </c>
      <c r="N49" s="1519"/>
      <c r="P49" s="1581"/>
      <c r="Q49" s="1352" t="s">
        <v>2065</v>
      </c>
      <c r="R49" s="1192"/>
      <c r="S49" s="1192"/>
      <c r="T49" s="1192"/>
      <c r="U49" s="1192"/>
      <c r="V49" s="1628" t="s">
        <v>1483</v>
      </c>
      <c r="W49" s="1192"/>
      <c r="X49" s="1192"/>
      <c r="Y49" s="1192"/>
      <c r="Z49" s="1192"/>
      <c r="AA49" s="1537"/>
    </row>
    <row r="50" spans="1:27" ht="25.5" customHeight="1" thickBot="1">
      <c r="A50" s="1689"/>
      <c r="B50" s="1694"/>
      <c r="C50" s="1694"/>
      <c r="D50" s="1694"/>
      <c r="E50" s="1694"/>
      <c r="F50" s="1694"/>
      <c r="G50" s="3614" t="s">
        <v>2289</v>
      </c>
      <c r="H50" s="3615"/>
      <c r="I50" s="3615"/>
      <c r="J50" s="3615"/>
      <c r="K50" s="1630"/>
      <c r="L50" s="1631">
        <f>(L48+L49)/I48</f>
        <v>0</v>
      </c>
      <c r="M50" s="1519">
        <v>25.5</v>
      </c>
      <c r="N50" s="1519"/>
      <c r="P50" s="1520"/>
      <c r="Q50" s="1632"/>
      <c r="R50" s="1633"/>
      <c r="S50" s="1633"/>
      <c r="T50" s="1633"/>
      <c r="U50" s="1633"/>
      <c r="V50" s="1634" t="s">
        <v>1484</v>
      </c>
      <c r="W50" s="1633"/>
      <c r="X50" s="1633"/>
      <c r="Y50" s="1633"/>
      <c r="Z50" s="1635"/>
      <c r="AA50" s="1636">
        <f>AA48/X2</f>
        <v>0</v>
      </c>
    </row>
    <row r="51" spans="1:27">
      <c r="M51" s="1519"/>
      <c r="N51" s="1519"/>
    </row>
    <row r="52" spans="1:27">
      <c r="M52" s="1519"/>
      <c r="N52" s="1519"/>
    </row>
    <row r="53" spans="1:27">
      <c r="M53" s="1519"/>
      <c r="N53" s="1519"/>
    </row>
    <row r="54" spans="1:27">
      <c r="M54" s="1519"/>
      <c r="N54" s="1519"/>
    </row>
    <row r="55" spans="1:27">
      <c r="M55" s="1519"/>
      <c r="N55" s="1519"/>
    </row>
    <row r="56" spans="1:27">
      <c r="M56" s="1519"/>
      <c r="N56" s="1519"/>
    </row>
    <row r="57" spans="1:27">
      <c r="M57" s="1519"/>
      <c r="N57" s="1519"/>
    </row>
    <row r="58" spans="1:27">
      <c r="M58" s="1519"/>
      <c r="N58" s="1519"/>
    </row>
    <row r="59" spans="1:27">
      <c r="M59" s="1519"/>
      <c r="N59" s="1519"/>
    </row>
    <row r="60" spans="1:27">
      <c r="M60" s="1519"/>
      <c r="N60" s="1519"/>
    </row>
    <row r="61" spans="1:27">
      <c r="M61" s="1519"/>
      <c r="N61" s="1519"/>
    </row>
    <row r="62" spans="1:27">
      <c r="M62" s="1519"/>
      <c r="N62" s="1519"/>
    </row>
    <row r="63" spans="1:27">
      <c r="M63" s="1519"/>
      <c r="N63" s="1519"/>
    </row>
    <row r="64" spans="1:27">
      <c r="M64" s="1519"/>
      <c r="N64" s="1519"/>
    </row>
    <row r="65" spans="13:14">
      <c r="M65" s="1519"/>
      <c r="N65" s="1519"/>
    </row>
    <row r="66" spans="13:14">
      <c r="M66" s="1519"/>
      <c r="N66" s="1519"/>
    </row>
    <row r="67" spans="13:14">
      <c r="M67" s="1519"/>
      <c r="N67" s="1519"/>
    </row>
    <row r="68" spans="13:14">
      <c r="M68" s="1519"/>
      <c r="N68" s="1519"/>
    </row>
    <row r="69" spans="13:14">
      <c r="M69" s="1519"/>
      <c r="N69" s="1519"/>
    </row>
    <row r="70" spans="13:14">
      <c r="M70" s="1519"/>
      <c r="N70" s="1519"/>
    </row>
    <row r="71" spans="13:14">
      <c r="M71" s="1519"/>
      <c r="N71" s="1519"/>
    </row>
    <row r="72" spans="13:14">
      <c r="M72" s="1519"/>
      <c r="N72" s="1519"/>
    </row>
    <row r="73" spans="13:14">
      <c r="M73" s="1519"/>
      <c r="N73" s="1519"/>
    </row>
    <row r="74" spans="13:14">
      <c r="M74" s="1519"/>
      <c r="N74" s="1519"/>
    </row>
    <row r="75" spans="13:14">
      <c r="M75" s="1519"/>
      <c r="N75" s="1519"/>
    </row>
    <row r="76" spans="13:14">
      <c r="M76" s="1519"/>
      <c r="N76" s="1519"/>
    </row>
    <row r="77" spans="13:14">
      <c r="M77" s="1519"/>
      <c r="N77" s="1519"/>
    </row>
    <row r="78" spans="13:14">
      <c r="M78" s="1519"/>
      <c r="N78" s="1519"/>
    </row>
    <row r="79" spans="13:14">
      <c r="M79" s="1519"/>
      <c r="N79" s="1519"/>
    </row>
    <row r="80" spans="13:14">
      <c r="M80" s="1519"/>
      <c r="N80" s="1519"/>
    </row>
    <row r="81" spans="13:14">
      <c r="M81" s="1519"/>
      <c r="N81" s="1519"/>
    </row>
    <row r="82" spans="13:14">
      <c r="M82" s="1519"/>
      <c r="N82" s="1519"/>
    </row>
    <row r="83" spans="13:14">
      <c r="M83" s="1519"/>
      <c r="N83" s="1519"/>
    </row>
    <row r="84" spans="13:14">
      <c r="M84" s="1519"/>
      <c r="N84" s="1519"/>
    </row>
    <row r="85" spans="13:14">
      <c r="M85" s="1519"/>
      <c r="N85" s="1519"/>
    </row>
    <row r="86" spans="13:14">
      <c r="M86" s="1519"/>
      <c r="N86" s="1519"/>
    </row>
    <row r="87" spans="13:14">
      <c r="M87" s="1519"/>
      <c r="N87" s="1519"/>
    </row>
    <row r="88" spans="13:14">
      <c r="M88" s="1519"/>
      <c r="N88" s="1519"/>
    </row>
    <row r="89" spans="13:14">
      <c r="M89" s="1519"/>
      <c r="N89" s="1519"/>
    </row>
    <row r="90" spans="13:14">
      <c r="M90" s="1519"/>
      <c r="N90" s="1519"/>
    </row>
    <row r="91" spans="13:14">
      <c r="M91" s="1519"/>
      <c r="N91" s="1519"/>
    </row>
    <row r="92" spans="13:14">
      <c r="M92" s="1519"/>
      <c r="N92" s="1519"/>
    </row>
    <row r="93" spans="13:14">
      <c r="M93" s="1519"/>
      <c r="N93" s="1519"/>
    </row>
    <row r="94" spans="13:14">
      <c r="M94" s="1519"/>
      <c r="N94" s="1519"/>
    </row>
    <row r="95" spans="13:14">
      <c r="M95" s="1519"/>
      <c r="N95" s="1519"/>
    </row>
    <row r="96" spans="13:14">
      <c r="M96" s="1519"/>
      <c r="N96" s="1519"/>
    </row>
    <row r="97" spans="13:14">
      <c r="M97" s="1519"/>
      <c r="N97" s="1519"/>
    </row>
    <row r="98" spans="13:14">
      <c r="M98" s="1519"/>
      <c r="N98" s="1519"/>
    </row>
  </sheetData>
  <mergeCells count="8">
    <mergeCell ref="G49:J49"/>
    <mergeCell ref="G50:J50"/>
    <mergeCell ref="P1:AA1"/>
    <mergeCell ref="B2:G2"/>
    <mergeCell ref="Q2:V2"/>
    <mergeCell ref="B4:E4"/>
    <mergeCell ref="Q4:T4"/>
    <mergeCell ref="G48:H48"/>
  </mergeCell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&amp;C&amp;D &amp;T&amp;R2TSB</oddHeader>
    <oddFooter>&amp;L&amp;F</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B286"/>
  <sheetViews>
    <sheetView showZeros="0" topLeftCell="A228" zoomScaleNormal="100" workbookViewId="0">
      <selection activeCell="A243" sqref="A243:A281"/>
    </sheetView>
  </sheetViews>
  <sheetFormatPr baseColWidth="10" defaultRowHeight="15"/>
  <cols>
    <col min="1" max="1" width="3.7109375" style="1180" customWidth="1"/>
    <col min="2" max="2" width="60.7109375" style="1180" customWidth="1"/>
    <col min="3" max="11" width="12.7109375" style="1180" customWidth="1"/>
    <col min="12" max="12" width="4.7109375" style="1180" customWidth="1"/>
    <col min="13" max="13" width="60.7109375" style="1180" customWidth="1"/>
    <col min="14" max="18" width="12.7109375" style="1180" customWidth="1"/>
    <col min="19" max="19" width="23.85546875" style="1180" customWidth="1"/>
    <col min="20" max="20" width="11" style="1180" customWidth="1"/>
    <col min="21" max="21" width="10.7109375" style="1180" customWidth="1"/>
    <col min="22" max="22" width="16.7109375" style="1180" customWidth="1"/>
    <col min="23" max="23" width="60.7109375" style="1180" customWidth="1"/>
    <col min="24" max="31" width="12.7109375" style="1180" customWidth="1"/>
    <col min="32" max="32" width="33.85546875" style="1180" customWidth="1"/>
    <col min="33" max="47" width="12.7109375" style="1180" customWidth="1"/>
    <col min="48" max="16384" width="11.42578125" style="1180"/>
  </cols>
  <sheetData>
    <row r="1" spans="1:80" s="1834" customFormat="1" ht="18.95" customHeight="1">
      <c r="A1" s="708">
        <v>3</v>
      </c>
      <c r="B1" s="385">
        <v>60</v>
      </c>
      <c r="C1" s="385">
        <v>12</v>
      </c>
      <c r="D1" s="385">
        <v>12</v>
      </c>
      <c r="E1" s="385">
        <v>12</v>
      </c>
      <c r="F1" s="385">
        <v>12</v>
      </c>
      <c r="G1" s="385">
        <v>12</v>
      </c>
      <c r="H1" s="385">
        <v>12</v>
      </c>
      <c r="I1" s="385">
        <v>12</v>
      </c>
      <c r="J1" s="385"/>
      <c r="K1" s="385"/>
      <c r="L1" s="708">
        <v>4</v>
      </c>
      <c r="M1" s="385">
        <v>60</v>
      </c>
      <c r="N1" s="385">
        <v>12</v>
      </c>
      <c r="O1" s="385">
        <v>12</v>
      </c>
      <c r="P1" s="385">
        <v>12</v>
      </c>
      <c r="Q1" s="385">
        <v>12</v>
      </c>
      <c r="R1" s="385">
        <v>12</v>
      </c>
      <c r="S1" s="387" t="s">
        <v>2297</v>
      </c>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1180"/>
      <c r="AX1" s="1180"/>
      <c r="AY1" s="1180"/>
      <c r="AZ1" s="1180"/>
      <c r="BA1" s="1180"/>
      <c r="BB1" s="1180"/>
      <c r="BC1" s="1180"/>
      <c r="BD1" s="1180"/>
      <c r="BE1" s="1180"/>
      <c r="BF1" s="1180"/>
      <c r="BG1" s="1180"/>
      <c r="BH1" s="1180"/>
      <c r="BI1" s="1180"/>
      <c r="BJ1" s="1180"/>
      <c r="BK1" s="1180"/>
      <c r="BL1" s="1180"/>
      <c r="BM1" s="1180"/>
      <c r="BN1" s="1180"/>
      <c r="BO1" s="1180"/>
      <c r="BP1" s="1180"/>
      <c r="BQ1" s="1180"/>
      <c r="BR1" s="1180"/>
      <c r="BS1" s="1180"/>
      <c r="BT1" s="1180"/>
      <c r="BU1" s="1180"/>
      <c r="BV1" s="1180"/>
      <c r="BW1" s="1180"/>
      <c r="BX1" s="1180"/>
      <c r="BY1" s="1180"/>
      <c r="BZ1" s="1180"/>
      <c r="CA1" s="1180"/>
      <c r="CB1" s="390" t="s">
        <v>2298</v>
      </c>
    </row>
    <row r="2" spans="1:80" ht="83.25" customHeight="1">
      <c r="B2" s="3722" t="s">
        <v>2190</v>
      </c>
      <c r="C2" s="3723"/>
      <c r="D2" s="3723"/>
      <c r="E2" s="3723"/>
      <c r="F2" s="3723"/>
      <c r="G2" s="3723"/>
      <c r="H2" s="3723"/>
      <c r="I2" s="3723"/>
      <c r="J2" s="3723"/>
      <c r="K2" s="3723"/>
      <c r="L2" s="3723"/>
      <c r="M2" s="3723"/>
      <c r="N2" s="3723"/>
      <c r="O2" s="3723"/>
      <c r="P2" s="3723"/>
      <c r="Q2" s="3723"/>
      <c r="R2" s="3723"/>
      <c r="S2" s="1201"/>
      <c r="T2" s="1835"/>
      <c r="U2" s="1835"/>
      <c r="V2" s="1835"/>
      <c r="W2" s="1835"/>
      <c r="X2" s="1835"/>
      <c r="Y2" s="1835"/>
      <c r="Z2" s="1835"/>
      <c r="AA2" s="1835"/>
      <c r="AB2" s="1835"/>
      <c r="AC2" s="1835"/>
      <c r="AD2" s="1835"/>
      <c r="AE2" s="1835"/>
      <c r="AG2" s="1836"/>
      <c r="AH2" s="1836"/>
      <c r="AI2" s="1836"/>
      <c r="AJ2" s="1836"/>
      <c r="AK2" s="1836"/>
      <c r="AL2" s="1836"/>
      <c r="AM2" s="1836"/>
      <c r="AN2" s="1836"/>
      <c r="AO2" s="1836"/>
      <c r="AP2" s="1836"/>
      <c r="AQ2" s="1836"/>
      <c r="AR2" s="1836"/>
      <c r="AS2" s="1836"/>
      <c r="AT2" s="1836"/>
      <c r="AU2" s="1836"/>
    </row>
    <row r="3" spans="1:80" ht="18.95" customHeight="1" thickBot="1">
      <c r="A3" s="391"/>
      <c r="H3" s="388"/>
      <c r="I3" s="388"/>
      <c r="J3" s="388"/>
      <c r="K3" s="388"/>
      <c r="L3" s="388"/>
      <c r="M3" s="388"/>
      <c r="N3" s="388"/>
      <c r="O3" s="388"/>
      <c r="P3" s="388"/>
      <c r="Q3" s="388"/>
      <c r="R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row>
    <row r="4" spans="1:80" ht="26.25" customHeight="1" thickBot="1">
      <c r="A4" s="1837" t="s">
        <v>2299</v>
      </c>
      <c r="B4" s="3670" t="s">
        <v>2300</v>
      </c>
      <c r="C4" s="3671"/>
      <c r="D4" s="3671"/>
      <c r="E4" s="3671"/>
      <c r="F4" s="3671"/>
      <c r="G4" s="3671"/>
      <c r="H4" s="3672"/>
      <c r="I4" s="3707" t="s">
        <v>2481</v>
      </c>
      <c r="J4" s="3708"/>
      <c r="K4" s="1838"/>
      <c r="L4" s="3670" t="s">
        <v>2301</v>
      </c>
      <c r="M4" s="3671"/>
      <c r="N4" s="3671"/>
      <c r="O4" s="3671"/>
      <c r="P4" s="3671"/>
      <c r="Q4" s="3671"/>
      <c r="R4" s="3671"/>
      <c r="S4" s="133" t="s">
        <v>2302</v>
      </c>
      <c r="T4" s="3673" t="s">
        <v>2303</v>
      </c>
      <c r="U4" s="3674"/>
      <c r="V4" s="3674"/>
      <c r="W4" s="3674"/>
      <c r="X4" s="3674"/>
      <c r="Y4" s="395"/>
      <c r="Z4" s="395"/>
      <c r="AA4" s="395"/>
      <c r="AB4" s="395"/>
      <c r="AC4" s="395"/>
      <c r="AD4" s="395"/>
      <c r="AE4" s="395"/>
      <c r="AG4" s="394"/>
      <c r="AH4" s="395"/>
      <c r="AI4" s="395"/>
      <c r="AJ4" s="395"/>
      <c r="AK4" s="395"/>
      <c r="AL4" s="395"/>
      <c r="AM4" s="395"/>
      <c r="AN4" s="395"/>
      <c r="AO4" s="395"/>
      <c r="AP4" s="395"/>
      <c r="AQ4" s="395"/>
      <c r="AR4" s="395"/>
      <c r="AS4" s="395"/>
      <c r="AT4" s="395"/>
      <c r="AU4" s="395"/>
    </row>
    <row r="5" spans="1:80" ht="30" customHeight="1">
      <c r="A5" s="1839" t="s">
        <v>2305</v>
      </c>
      <c r="B5" s="3683" t="str">
        <f>U5</f>
        <v>COMPRESSION DE TOURTEAU AVOCAT TROPICAL MANGUE ACIDULEE, SORBET BERGAMOTE CORIANDRE ESTRAGON</v>
      </c>
      <c r="C5" s="3684"/>
      <c r="D5" s="3684"/>
      <c r="E5" s="3684"/>
      <c r="F5" s="3684"/>
      <c r="G5" s="3684"/>
      <c r="H5" s="1840" t="str">
        <f>X5</f>
        <v>N°1</v>
      </c>
      <c r="I5" s="3709"/>
      <c r="J5" s="3710"/>
      <c r="K5" s="1838"/>
      <c r="L5" s="3685" t="str">
        <f>U5</f>
        <v>COMPRESSION DE TOURTEAU AVOCAT TROPICAL MANGUE ACIDULEE, SORBET BERGAMOTE CORIANDRE ESTRAGON</v>
      </c>
      <c r="M5" s="3686"/>
      <c r="N5" s="3686"/>
      <c r="O5" s="3686"/>
      <c r="P5" s="3686"/>
      <c r="Q5" s="3686"/>
      <c r="R5" s="1841" t="str">
        <f>X5</f>
        <v>N°1</v>
      </c>
      <c r="S5" s="400" t="s">
        <v>2307</v>
      </c>
      <c r="T5" s="401" t="s">
        <v>150</v>
      </c>
      <c r="U5" s="3687" t="s">
        <v>2190</v>
      </c>
      <c r="V5" s="3687"/>
      <c r="W5" s="3687"/>
      <c r="X5" s="402" t="s">
        <v>2290</v>
      </c>
      <c r="Y5" s="1842"/>
      <c r="Z5" s="1842"/>
      <c r="AA5" s="1842"/>
      <c r="AB5" s="82" t="str">
        <f>LEFT(ADDRESS(1,COLUMN(),4),LEN(ADDRESS(1,COLUMN(),4))-1)</f>
        <v>AB</v>
      </c>
      <c r="AC5" s="1842"/>
      <c r="AD5" s="1842"/>
      <c r="AE5" s="1843"/>
      <c r="AG5" s="3713" t="s">
        <v>2308</v>
      </c>
      <c r="AH5" s="3714"/>
      <c r="AI5" s="3714"/>
      <c r="AJ5" s="3714"/>
      <c r="AK5" s="3714"/>
      <c r="AL5" s="3714"/>
      <c r="AM5" s="3714"/>
      <c r="AN5" s="3714"/>
      <c r="AO5" s="3714"/>
      <c r="AP5" s="3714"/>
      <c r="AQ5" s="3714"/>
      <c r="AR5" s="3714"/>
      <c r="AS5" s="3714"/>
      <c r="AT5" s="3714"/>
      <c r="AU5" s="3714"/>
    </row>
    <row r="6" spans="1:80" ht="18" customHeight="1">
      <c r="A6" s="3715"/>
      <c r="B6" s="3735">
        <f>W6</f>
        <v>0</v>
      </c>
      <c r="C6" s="3736"/>
      <c r="D6" s="3736"/>
      <c r="E6" s="3736"/>
      <c r="F6" s="3736"/>
      <c r="G6" s="3736"/>
      <c r="H6" s="403"/>
      <c r="I6" s="3709"/>
      <c r="J6" s="3710"/>
      <c r="K6" s="1838"/>
      <c r="L6" s="1844" t="s">
        <v>152</v>
      </c>
      <c r="M6" s="1845">
        <f>W6</f>
        <v>0</v>
      </c>
      <c r="N6" s="1846"/>
      <c r="O6" s="1847"/>
      <c r="P6" s="1847"/>
      <c r="Q6" s="1847"/>
      <c r="R6" s="1848"/>
      <c r="S6" s="133" t="s">
        <v>2310</v>
      </c>
      <c r="T6" s="405" t="s">
        <v>2311</v>
      </c>
      <c r="U6" s="406"/>
      <c r="V6" s="406"/>
      <c r="W6" s="3718"/>
      <c r="X6" s="3719"/>
      <c r="Y6" s="3720" t="s">
        <v>2312</v>
      </c>
      <c r="Z6" s="3720"/>
      <c r="AA6" s="3720"/>
      <c r="AB6" s="3720"/>
      <c r="AC6" s="3720"/>
      <c r="AD6" s="3720"/>
      <c r="AE6" s="3721"/>
      <c r="AG6" s="3733" t="s">
        <v>2312</v>
      </c>
      <c r="AH6" s="3734"/>
      <c r="AI6" s="3734"/>
      <c r="AJ6" s="3734"/>
      <c r="AK6" s="3734"/>
      <c r="AL6" s="3734"/>
      <c r="AM6" s="3734"/>
      <c r="AN6" s="3734"/>
      <c r="AO6" s="3734"/>
      <c r="AP6" s="3734"/>
      <c r="AQ6" s="3734"/>
      <c r="AR6" s="3734"/>
      <c r="AS6" s="3734"/>
      <c r="AT6" s="3734"/>
      <c r="AU6" s="3734"/>
    </row>
    <row r="7" spans="1:80" ht="18" customHeight="1" thickBot="1">
      <c r="A7" s="3715"/>
      <c r="B7" s="3716" t="str">
        <f>U7</f>
        <v>CHRISTIAN FRECHEDE  Lycée Hotelier de la Rochelle et de Tahiti en 2020</v>
      </c>
      <c r="C7" s="3717" t="s">
        <v>2309</v>
      </c>
      <c r="D7" s="3717"/>
      <c r="E7" s="3717"/>
      <c r="F7" s="3717"/>
      <c r="G7" s="3717"/>
      <c r="H7" s="1846"/>
      <c r="I7" s="3709"/>
      <c r="J7" s="3710"/>
      <c r="K7" s="1838"/>
      <c r="L7" s="1844" t="s">
        <v>154</v>
      </c>
      <c r="M7" s="1849" t="str">
        <f>U7</f>
        <v>CHRISTIAN FRECHEDE  Lycée Hotelier de la Rochelle et de Tahiti en 2020</v>
      </c>
      <c r="N7" s="1845"/>
      <c r="O7" s="1845"/>
      <c r="P7" s="1845"/>
      <c r="Q7" s="1846"/>
      <c r="R7" s="1850"/>
      <c r="S7" s="133" t="s">
        <v>2310</v>
      </c>
      <c r="T7" s="408" t="s">
        <v>2313</v>
      </c>
      <c r="U7" s="3737" t="s">
        <v>2864</v>
      </c>
      <c r="V7" s="3737"/>
      <c r="W7" s="3737"/>
      <c r="X7" s="3738"/>
      <c r="Y7" s="3720"/>
      <c r="Z7" s="3720"/>
      <c r="AA7" s="3720"/>
      <c r="AB7" s="3720"/>
      <c r="AC7" s="3720"/>
      <c r="AD7" s="3720"/>
      <c r="AE7" s="3721"/>
      <c r="AG7" s="3733"/>
      <c r="AH7" s="3734"/>
      <c r="AI7" s="3734"/>
      <c r="AJ7" s="3734"/>
      <c r="AK7" s="3734"/>
      <c r="AL7" s="3734"/>
      <c r="AM7" s="3734"/>
      <c r="AN7" s="3734"/>
      <c r="AO7" s="3734"/>
      <c r="AP7" s="3734"/>
      <c r="AQ7" s="3734"/>
      <c r="AR7" s="3734"/>
      <c r="AS7" s="3734"/>
      <c r="AT7" s="3734"/>
      <c r="AU7" s="3734"/>
    </row>
    <row r="8" spans="1:80" ht="18" customHeight="1">
      <c r="A8" s="3715"/>
      <c r="B8" s="1851"/>
      <c r="C8" s="1502"/>
      <c r="D8" s="1502"/>
      <c r="E8" s="3693" t="s">
        <v>2314</v>
      </c>
      <c r="F8" s="3693"/>
      <c r="G8" s="3739">
        <v>10</v>
      </c>
      <c r="H8" s="409" t="s">
        <v>2315</v>
      </c>
      <c r="I8" s="3709"/>
      <c r="J8" s="3710"/>
      <c r="K8" s="1838"/>
      <c r="L8" s="768"/>
      <c r="M8" s="411"/>
      <c r="N8" s="411"/>
      <c r="O8" s="412"/>
      <c r="P8" s="412"/>
      <c r="Q8" s="413"/>
      <c r="R8" s="769"/>
      <c r="S8" s="133" t="s">
        <v>2310</v>
      </c>
      <c r="T8" s="415" t="s">
        <v>1952</v>
      </c>
      <c r="U8" s="2840" t="s">
        <v>107</v>
      </c>
      <c r="V8" s="362"/>
      <c r="W8" s="362"/>
      <c r="X8" s="362"/>
      <c r="Y8" s="3740" t="s">
        <v>2316</v>
      </c>
      <c r="Z8" s="3740"/>
      <c r="AA8" s="3741"/>
      <c r="AB8" s="3742" t="str">
        <f>IF(AB11&gt;0,"vous avez saisi un % de perte pour TOUTE LA RECETTE dans la cellule ❽",IF(AB62&gt;0,"Vous avez saisi des pourcentages de PERTES par produit dans la colonne ❾","Vous pouvez saisir un % de perte pour chaque PRODUIT ou pour la recette"))</f>
        <v>Vous pouvez saisir un % de perte pour chaque PRODUIT ou pour la recette</v>
      </c>
      <c r="AC8" s="3743"/>
      <c r="AD8" s="3743"/>
      <c r="AE8" s="3744"/>
      <c r="AG8" s="477"/>
      <c r="AH8" s="1063"/>
      <c r="AI8" s="1063"/>
      <c r="AJ8" s="478"/>
      <c r="AK8" s="478"/>
      <c r="AL8" s="478"/>
      <c r="AM8" s="478"/>
      <c r="AN8" s="478"/>
      <c r="AO8" s="478"/>
      <c r="AP8" s="478"/>
      <c r="AQ8" s="479"/>
      <c r="AR8" s="479"/>
      <c r="AS8" s="479"/>
      <c r="AT8" s="479"/>
      <c r="AU8" s="480"/>
    </row>
    <row r="9" spans="1:80" ht="18" customHeight="1">
      <c r="A9" s="3715"/>
      <c r="B9" s="3745" t="str">
        <f>IF(G10=1,AG9,IF(G10=2,AJ9,IF(G10=3,AN9,IF(G10&gt;3,"LE N° DE CHOIX S'ARRETE AU N° 3"))))</f>
        <v xml:space="preserve">Choix N°1 = RECETTE DE L'AUTEUR AVEC VOTRE POIDS DEMANDÉ </v>
      </c>
      <c r="C9" s="3746"/>
      <c r="D9" s="3746"/>
      <c r="E9" s="3693"/>
      <c r="F9" s="3693"/>
      <c r="G9" s="3739"/>
      <c r="H9" s="1852">
        <f>E11/G8</f>
        <v>0.70865000000000011</v>
      </c>
      <c r="I9" s="3709"/>
      <c r="J9" s="3710"/>
      <c r="K9" s="1838"/>
      <c r="L9" s="1853"/>
      <c r="M9" s="345" t="s">
        <v>1949</v>
      </c>
      <c r="N9" s="417">
        <f>V9</f>
        <v>1</v>
      </c>
      <c r="O9" s="417"/>
      <c r="P9" s="417"/>
      <c r="Q9" s="345" t="s">
        <v>1950</v>
      </c>
      <c r="R9" s="770" t="str">
        <f>X9</f>
        <v>?</v>
      </c>
      <c r="S9" s="133" t="s">
        <v>2310</v>
      </c>
      <c r="T9" s="418"/>
      <c r="U9" s="340" t="s">
        <v>1949</v>
      </c>
      <c r="V9" s="341">
        <v>1</v>
      </c>
      <c r="W9" s="340" t="s">
        <v>1950</v>
      </c>
      <c r="X9" s="419" t="s">
        <v>32</v>
      </c>
      <c r="Y9" s="3740"/>
      <c r="Z9" s="3740"/>
      <c r="AA9" s="3741"/>
      <c r="AB9" s="3742"/>
      <c r="AC9" s="3743"/>
      <c r="AD9" s="3743"/>
      <c r="AE9" s="3744"/>
      <c r="AG9" s="3726" t="s">
        <v>2317</v>
      </c>
      <c r="AH9" s="3724"/>
      <c r="AI9" s="3725"/>
      <c r="AJ9" s="3724" t="s">
        <v>2318</v>
      </c>
      <c r="AK9" s="3724"/>
      <c r="AL9" s="3724"/>
      <c r="AM9" s="3725"/>
      <c r="AN9" s="3726" t="s">
        <v>2319</v>
      </c>
      <c r="AO9" s="3724"/>
      <c r="AP9" s="3724"/>
      <c r="AQ9" s="3725"/>
      <c r="AR9" s="3726" t="s">
        <v>2320</v>
      </c>
      <c r="AS9" s="3724"/>
      <c r="AT9" s="3724"/>
      <c r="AU9" s="3724"/>
    </row>
    <row r="10" spans="1:80" ht="18" customHeight="1">
      <c r="A10" s="3715"/>
      <c r="B10" s="1854" t="str">
        <f>IF(G10=1,"Recette sans % de pertes","saisissez vos % de perte colonne")</f>
        <v>Recette sans % de pertes</v>
      </c>
      <c r="C10" s="1855" t="str">
        <f>AB5</f>
        <v>AB</v>
      </c>
      <c r="D10" s="483"/>
      <c r="E10" s="484"/>
      <c r="F10" s="485" t="s">
        <v>2321</v>
      </c>
      <c r="G10" s="1856">
        <v>1</v>
      </c>
      <c r="H10" s="409" t="s">
        <v>2322</v>
      </c>
      <c r="I10" s="3709"/>
      <c r="J10" s="3710"/>
      <c r="K10" s="1838"/>
      <c r="L10" s="771"/>
      <c r="M10" s="421"/>
      <c r="N10" s="422"/>
      <c r="O10" s="422"/>
      <c r="P10" s="422"/>
      <c r="Q10" s="423"/>
      <c r="R10" s="772"/>
      <c r="S10" s="133" t="s">
        <v>2310</v>
      </c>
      <c r="T10" s="425" t="str">
        <f>B10</f>
        <v>Recette sans % de pertes</v>
      </c>
      <c r="U10" s="426"/>
      <c r="V10" s="426"/>
      <c r="W10" s="427" t="str">
        <f>AB5</f>
        <v>AB</v>
      </c>
      <c r="X10" s="1857"/>
      <c r="Y10" s="3740"/>
      <c r="Z10" s="3740"/>
      <c r="AA10" s="3741"/>
      <c r="AB10" s="3742"/>
      <c r="AC10" s="3743"/>
      <c r="AD10" s="3743"/>
      <c r="AE10" s="3744"/>
      <c r="AG10" s="3726"/>
      <c r="AH10" s="3724"/>
      <c r="AI10" s="3725"/>
      <c r="AJ10" s="3726"/>
      <c r="AK10" s="3724"/>
      <c r="AL10" s="3724"/>
      <c r="AM10" s="3725"/>
      <c r="AN10" s="3726"/>
      <c r="AO10" s="3724"/>
      <c r="AP10" s="3724"/>
      <c r="AQ10" s="3725"/>
      <c r="AR10" s="3726"/>
      <c r="AS10" s="3724"/>
      <c r="AT10" s="3724"/>
      <c r="AU10" s="3724"/>
    </row>
    <row r="11" spans="1:80" ht="30" customHeight="1">
      <c r="A11" s="3715"/>
      <c r="B11" s="1858" t="s">
        <v>2323</v>
      </c>
      <c r="C11" s="1859"/>
      <c r="D11" s="1859" t="str">
        <f>IF(G10=1,"CHOIX N° 1",IF(G10=2,"CHOIX N° 2",IF(G10=3,"CHOIX N° 3","QUEL CHOIX?")))</f>
        <v>CHOIX N° 1</v>
      </c>
      <c r="E11" s="1860">
        <f>E62</f>
        <v>7.0865000000000009</v>
      </c>
      <c r="F11" s="1861"/>
      <c r="G11" s="1860">
        <f>G62</f>
        <v>0</v>
      </c>
      <c r="H11" s="1852">
        <f>G11/G8</f>
        <v>0</v>
      </c>
      <c r="I11" s="3709"/>
      <c r="J11" s="3710"/>
      <c r="K11" s="1838"/>
      <c r="L11" s="1851"/>
      <c r="M11" s="1502"/>
      <c r="N11" s="1502"/>
      <c r="O11" s="1502"/>
      <c r="P11" s="1502"/>
      <c r="Q11" s="1502"/>
      <c r="R11" s="1862"/>
      <c r="S11" s="400" t="s">
        <v>2307</v>
      </c>
      <c r="T11" s="3727" t="s">
        <v>2357</v>
      </c>
      <c r="U11" s="3728"/>
      <c r="V11" s="3728"/>
      <c r="W11" s="1863" t="s">
        <v>2324</v>
      </c>
      <c r="X11" s="1864">
        <v>4</v>
      </c>
      <c r="Y11" s="3729">
        <v>1</v>
      </c>
      <c r="Z11" s="3729"/>
      <c r="AA11" s="3730"/>
      <c r="AB11" s="1865"/>
      <c r="AC11" s="489" t="s">
        <v>2325</v>
      </c>
      <c r="AD11" s="490"/>
      <c r="AE11" s="491"/>
      <c r="AG11" s="492"/>
      <c r="AH11" s="493" t="s">
        <v>2326</v>
      </c>
      <c r="AI11" s="494">
        <f>G8</f>
        <v>10</v>
      </c>
      <c r="AJ11" s="492"/>
      <c r="AK11" s="495"/>
      <c r="AL11" s="493" t="s">
        <v>2327</v>
      </c>
      <c r="AM11" s="494">
        <f>G8</f>
        <v>10</v>
      </c>
      <c r="AN11" s="496"/>
      <c r="AO11" s="493"/>
      <c r="AP11" s="493" t="s">
        <v>2328</v>
      </c>
      <c r="AQ11" s="497">
        <f>G8</f>
        <v>10</v>
      </c>
      <c r="AR11" s="495"/>
      <c r="AS11" s="498">
        <f>SUM(AS13:AS42)</f>
        <v>0</v>
      </c>
      <c r="AT11" s="1866"/>
      <c r="AU11" s="1867"/>
    </row>
    <row r="12" spans="1:80" ht="36.75" customHeight="1">
      <c r="A12" s="3715"/>
      <c r="B12" s="759" t="s">
        <v>2329</v>
      </c>
      <c r="C12" s="433" t="s">
        <v>2330</v>
      </c>
      <c r="D12" s="434" t="s">
        <v>2331</v>
      </c>
      <c r="E12" s="434" t="s">
        <v>2332</v>
      </c>
      <c r="F12" s="1868" t="s">
        <v>1201</v>
      </c>
      <c r="G12" s="436" t="s">
        <v>2333</v>
      </c>
      <c r="H12" s="1869" t="s">
        <v>2334</v>
      </c>
      <c r="I12" s="3709"/>
      <c r="J12" s="3710"/>
      <c r="K12" s="1838"/>
      <c r="L12" s="3731" t="s">
        <v>1951</v>
      </c>
      <c r="M12" s="3406"/>
      <c r="N12" s="3406"/>
      <c r="O12" s="3406"/>
      <c r="P12" s="3406"/>
      <c r="Q12" s="3406"/>
      <c r="R12" s="3732"/>
      <c r="S12" s="400" t="s">
        <v>2335</v>
      </c>
      <c r="T12" s="1870" t="s">
        <v>2330</v>
      </c>
      <c r="U12" s="1871" t="s">
        <v>2331</v>
      </c>
      <c r="V12" s="1872" t="s">
        <v>2336</v>
      </c>
      <c r="W12" s="1873" t="s">
        <v>2337</v>
      </c>
      <c r="X12" s="1874">
        <f>X61/X11</f>
        <v>0.70864999999999989</v>
      </c>
      <c r="Y12" s="501" t="s">
        <v>2338</v>
      </c>
      <c r="Z12" s="501" t="s">
        <v>2330</v>
      </c>
      <c r="AA12" s="502" t="s">
        <v>2331</v>
      </c>
      <c r="AB12" s="503" t="s">
        <v>2339</v>
      </c>
      <c r="AC12" s="504" t="s">
        <v>2340</v>
      </c>
      <c r="AD12" s="501" t="s">
        <v>2341</v>
      </c>
      <c r="AE12" s="502" t="s">
        <v>1253</v>
      </c>
      <c r="AF12" s="1875" t="s">
        <v>22</v>
      </c>
      <c r="AG12" s="505" t="s">
        <v>2332</v>
      </c>
      <c r="AH12" s="501" t="s">
        <v>2330</v>
      </c>
      <c r="AI12" s="501" t="s">
        <v>2331</v>
      </c>
      <c r="AJ12" s="439" t="s">
        <v>2333</v>
      </c>
      <c r="AK12" s="501" t="s">
        <v>2332</v>
      </c>
      <c r="AL12" s="501" t="s">
        <v>2330</v>
      </c>
      <c r="AM12" s="502" t="s">
        <v>2331</v>
      </c>
      <c r="AN12" s="501" t="s">
        <v>2333</v>
      </c>
      <c r="AO12" s="440" t="s">
        <v>2332</v>
      </c>
      <c r="AP12" s="501" t="s">
        <v>2330</v>
      </c>
      <c r="AQ12" s="502" t="s">
        <v>2331</v>
      </c>
      <c r="AR12" s="505" t="s">
        <v>2333</v>
      </c>
      <c r="AS12" s="501" t="s">
        <v>2332</v>
      </c>
      <c r="AT12" s="501" t="s">
        <v>2330</v>
      </c>
      <c r="AU12" s="501" t="s">
        <v>2331</v>
      </c>
    </row>
    <row r="13" spans="1:80" ht="18.95" customHeight="1">
      <c r="A13" s="3715"/>
      <c r="B13" s="766" t="str">
        <f t="shared" ref="B13:B60" si="0">W13</f>
        <v>ETAPE 1 : Sorbet bergamote à la coriandre et à l'estragon</v>
      </c>
      <c r="C13" s="1876">
        <f>IF(G10=1,AH13,IF(G10=2,AL13,IF(G10=3,AP13,IF(G10=4,AT13))))</f>
        <v>0</v>
      </c>
      <c r="D13" s="1877">
        <f>IF(G10=1,AI13,IF(G10=2,AM13,IF(G10=3,AQ13,IF(G10=4,AU13))))</f>
        <v>0</v>
      </c>
      <c r="E13" s="1878">
        <f>IF(G10=1,AG13,IF(G10=2,AK13,IF(G10=3,AO13,IF(G10=4,AS13))))</f>
        <v>0</v>
      </c>
      <c r="F13" s="444" t="str">
        <f>IF(G10=1,"",IF(E13=G13,"",AD13))</f>
        <v/>
      </c>
      <c r="G13" s="1879" t="str">
        <f>IF(G10=1,"",IF(G10=2,AJ13,IF(G10=3,AN13,IF(G10=4,AR13))))</f>
        <v/>
      </c>
      <c r="H13" s="445">
        <f>X13/X61</f>
        <v>0</v>
      </c>
      <c r="I13" s="3709"/>
      <c r="J13" s="3710"/>
      <c r="K13" s="1838"/>
      <c r="L13" s="1062">
        <v>1</v>
      </c>
      <c r="M13" s="349" t="s">
        <v>2194</v>
      </c>
      <c r="N13" s="349"/>
      <c r="O13" s="349"/>
      <c r="P13" s="349"/>
      <c r="Q13" s="349"/>
      <c r="R13" s="773"/>
      <c r="S13" s="133" t="s">
        <v>2310</v>
      </c>
      <c r="T13" s="1880"/>
      <c r="U13" s="1881"/>
      <c r="V13" s="1882"/>
      <c r="W13" s="446" t="s">
        <v>2194</v>
      </c>
      <c r="X13" s="1883">
        <f t="shared" ref="X13:X60" si="1">IF(ISBLANK(T13),V13,(V13*T13))</f>
        <v>0</v>
      </c>
      <c r="Y13" s="1884">
        <f>(X13/X61)*Y11</f>
        <v>0</v>
      </c>
      <c r="Z13" s="1885" t="str">
        <f>IF(ISBLANK(T13),"",(T13/X61)*Y11)</f>
        <v/>
      </c>
      <c r="AA13" s="1886">
        <f>U13</f>
        <v>0</v>
      </c>
      <c r="AB13" s="1887"/>
      <c r="AC13" s="512">
        <f>AB11</f>
        <v>0</v>
      </c>
      <c r="AD13" s="512">
        <f>AB13+AC13</f>
        <v>0</v>
      </c>
      <c r="AE13" s="513">
        <f>1-AD13</f>
        <v>1</v>
      </c>
      <c r="AG13" s="1888">
        <f>((X13/X11)*AI11)</f>
        <v>0</v>
      </c>
      <c r="AH13" s="1885">
        <f>IF(ISTEXT(T13),T13,IF(ISBLANK(T13),0,(T13/X11)*AI11))</f>
        <v>0</v>
      </c>
      <c r="AI13" s="1889">
        <f t="shared" ref="AI13" si="2">U13</f>
        <v>0</v>
      </c>
      <c r="AJ13" s="1890">
        <f t="shared" ref="AJ13" si="3">AK13*AE13</f>
        <v>0</v>
      </c>
      <c r="AK13" s="1891">
        <f>(X13/X11)*AM11</f>
        <v>0</v>
      </c>
      <c r="AL13" s="1885">
        <f>IF(ISBLANK(T13),0,(T13/X11)*AM11)</f>
        <v>0</v>
      </c>
      <c r="AM13" s="1886">
        <f t="shared" ref="AM13" si="4">U13</f>
        <v>0</v>
      </c>
      <c r="AN13" s="1891">
        <f>AK13</f>
        <v>0</v>
      </c>
      <c r="AO13" s="1892">
        <f t="shared" ref="AO13" si="5">(AN13*AD13)+AN13</f>
        <v>0</v>
      </c>
      <c r="AP13" s="1885">
        <f>IF(ISBLANK(T13),0,(T13/X61)*AO62)</f>
        <v>0</v>
      </c>
      <c r="AQ13" s="1886">
        <f t="shared" ref="AQ13" si="6">U13</f>
        <v>0</v>
      </c>
      <c r="AR13" s="1893" t="s">
        <v>2342</v>
      </c>
      <c r="AS13" s="1894" t="s">
        <v>2343</v>
      </c>
      <c r="AT13" s="1894" t="s">
        <v>2344</v>
      </c>
      <c r="AU13" s="1894">
        <v>3</v>
      </c>
    </row>
    <row r="14" spans="1:80" ht="18.95" customHeight="1">
      <c r="A14" s="3715"/>
      <c r="B14" s="760" t="str">
        <f t="shared" si="0"/>
        <v>Coriandre</v>
      </c>
      <c r="C14" s="1876">
        <f>IF(G10=1,AH14,IF(G10=2,AL14,IF(G10=3,AP14,IF(G10=4,AT14))))</f>
        <v>1.875</v>
      </c>
      <c r="D14" s="1877" t="str">
        <f>IF(G10=1,AI14,IF(G10=2,AM14,IF(G10=3,AQ14,IF(G10=4,AU14))))</f>
        <v>Bte</v>
      </c>
      <c r="E14" s="1878">
        <f>IF(G10=1,AG14,IF(G10=2,AK14,IF(G10=3,AO14,IF(G10=4,AS14))))</f>
        <v>0</v>
      </c>
      <c r="F14" s="444" t="str">
        <f>IF(G10=1,"",IF(E14=G14,"",AD14))</f>
        <v/>
      </c>
      <c r="G14" s="1879" t="str">
        <f>IF(G10=1,"",IF(G10=2,AJ14,IF(G10=3,AN14,IF(G10=4,AR14))))</f>
        <v/>
      </c>
      <c r="H14" s="445">
        <f>X14/X61</f>
        <v>0</v>
      </c>
      <c r="I14" s="3709"/>
      <c r="J14" s="3710"/>
      <c r="K14" s="1838"/>
      <c r="L14" s="1062">
        <v>1</v>
      </c>
      <c r="M14" s="349" t="s">
        <v>2362</v>
      </c>
      <c r="N14" s="349"/>
      <c r="O14" s="349"/>
      <c r="P14" s="349"/>
      <c r="Q14" s="349"/>
      <c r="R14" s="773"/>
      <c r="S14" s="133" t="s">
        <v>2310</v>
      </c>
      <c r="T14" s="1880">
        <v>0.75</v>
      </c>
      <c r="U14" s="1881" t="s">
        <v>2210</v>
      </c>
      <c r="V14" s="1882"/>
      <c r="W14" s="446" t="s">
        <v>2199</v>
      </c>
      <c r="X14" s="1883">
        <f t="shared" si="1"/>
        <v>0</v>
      </c>
      <c r="Y14" s="1884">
        <f>(X14/X61)*Y11</f>
        <v>0</v>
      </c>
      <c r="Z14" s="1885">
        <f>IF(ISBLANK(T14),"",(T14/X61)*Y11)</f>
        <v>0.26458759613349331</v>
      </c>
      <c r="AA14" s="1886" t="str">
        <f>U14</f>
        <v>Bte</v>
      </c>
      <c r="AB14" s="1887"/>
      <c r="AC14" s="512">
        <f>AB11</f>
        <v>0</v>
      </c>
      <c r="AD14" s="512">
        <f t="shared" ref="AD14:AD60" si="7">AB14+AC14</f>
        <v>0</v>
      </c>
      <c r="AE14" s="513">
        <f t="shared" ref="AE14:AE60" si="8">1-AD14</f>
        <v>1</v>
      </c>
      <c r="AG14" s="1888">
        <f>((X14/X11)*AI11)</f>
        <v>0</v>
      </c>
      <c r="AH14" s="1885">
        <f>IF(ISTEXT(T14),T14,IF(ISBLANK(T14),0,(T14/X11)*AI11))</f>
        <v>1.875</v>
      </c>
      <c r="AI14" s="1889" t="str">
        <f t="shared" ref="AI14:AI60" si="9">U14</f>
        <v>Bte</v>
      </c>
      <c r="AJ14" s="1890">
        <f t="shared" ref="AJ14:AJ60" si="10">AK14*AE14</f>
        <v>0</v>
      </c>
      <c r="AK14" s="1891">
        <f>(X14/X11)*AM11</f>
        <v>0</v>
      </c>
      <c r="AL14" s="1885">
        <f>IF(ISBLANK(T14),0,(T14/X11)*AM11)</f>
        <v>1.875</v>
      </c>
      <c r="AM14" s="1886" t="str">
        <f t="shared" ref="AM14:AM60" si="11">U14</f>
        <v>Bte</v>
      </c>
      <c r="AN14" s="1891">
        <f t="shared" ref="AN14:AN60" si="12">AK14</f>
        <v>0</v>
      </c>
      <c r="AO14" s="1892">
        <f t="shared" ref="AO14:AO60" si="13">(AN14*AD14)+AN14</f>
        <v>0</v>
      </c>
      <c r="AP14" s="1885">
        <f>IF(ISBLANK(T14),0,(T14/X61)*AO62)</f>
        <v>1.8750000000000007</v>
      </c>
      <c r="AQ14" s="1886" t="str">
        <f t="shared" ref="AQ14:AQ60" si="14">U14</f>
        <v>Bte</v>
      </c>
      <c r="AR14" s="1893" t="s">
        <v>2342</v>
      </c>
      <c r="AS14" s="1894" t="s">
        <v>2343</v>
      </c>
      <c r="AT14" s="1894" t="s">
        <v>2344</v>
      </c>
      <c r="AU14" s="1894">
        <v>3</v>
      </c>
    </row>
    <row r="15" spans="1:80" ht="18.95" customHeight="1">
      <c r="A15" s="3715"/>
      <c r="B15" s="760" t="str">
        <f t="shared" si="0"/>
        <v>Eau</v>
      </c>
      <c r="C15" s="1876">
        <f>IF(G10=1,AH15,IF(G10=2,AL15,IF(G10=3,AP15,IF(G10=4,AT15))))</f>
        <v>0</v>
      </c>
      <c r="D15" s="1877">
        <f>IF(G10=1,AI15,IF(G10=2,AM15,IF(G10=3,AQ15,IF(G10=4,AU15))))</f>
        <v>0</v>
      </c>
      <c r="E15" s="1878">
        <f>IF(G10=1,AG15,IF(G10=2,AK15,IF(G10=3,AO15,IF(G10=4,AS15))))</f>
        <v>1.25</v>
      </c>
      <c r="F15" s="444" t="str">
        <f>IF(G10=1,"",IF(E15=G15,"",AD15))</f>
        <v/>
      </c>
      <c r="G15" s="1879" t="str">
        <f>IF(G10=1,"",IF(G10=2,AJ15,IF(G10=3,AN15,IF(G10=4,AR15))))</f>
        <v/>
      </c>
      <c r="H15" s="445">
        <f>X15/X61</f>
        <v>0.1763917307556622</v>
      </c>
      <c r="I15" s="3709"/>
      <c r="J15" s="3710"/>
      <c r="K15" s="1838"/>
      <c r="L15" s="1062">
        <v>2</v>
      </c>
      <c r="M15" s="349" t="s">
        <v>2363</v>
      </c>
      <c r="N15" s="349"/>
      <c r="O15" s="349"/>
      <c r="P15" s="349"/>
      <c r="Q15" s="349"/>
      <c r="R15" s="773"/>
      <c r="S15" s="133" t="s">
        <v>2310</v>
      </c>
      <c r="T15" s="1880"/>
      <c r="U15" s="1881"/>
      <c r="V15" s="1882">
        <v>0.5</v>
      </c>
      <c r="W15" s="446" t="s">
        <v>1053</v>
      </c>
      <c r="X15" s="1883">
        <f t="shared" si="1"/>
        <v>0.5</v>
      </c>
      <c r="Y15" s="1884">
        <f>(X15/X61)*Y11</f>
        <v>0.1763917307556622</v>
      </c>
      <c r="Z15" s="1885" t="str">
        <f>IF(ISBLANK(T15),"",(T15/X61)*Y11)</f>
        <v/>
      </c>
      <c r="AA15" s="1886">
        <f>U15</f>
        <v>0</v>
      </c>
      <c r="AB15" s="1887"/>
      <c r="AC15" s="512">
        <f>AB11</f>
        <v>0</v>
      </c>
      <c r="AD15" s="512">
        <f t="shared" si="7"/>
        <v>0</v>
      </c>
      <c r="AE15" s="513">
        <f t="shared" si="8"/>
        <v>1</v>
      </c>
      <c r="AG15" s="1888">
        <f>((X15/X11)*AI11)</f>
        <v>1.25</v>
      </c>
      <c r="AH15" s="1885">
        <f>IF(ISTEXT(T15),T15,IF(ISBLANK(T15),0,(T15/X11)*AI11))</f>
        <v>0</v>
      </c>
      <c r="AI15" s="1889">
        <f t="shared" si="9"/>
        <v>0</v>
      </c>
      <c r="AJ15" s="1890">
        <f t="shared" si="10"/>
        <v>1.25</v>
      </c>
      <c r="AK15" s="1891">
        <f>(X15/X11)*AM11</f>
        <v>1.25</v>
      </c>
      <c r="AL15" s="1885">
        <f>IF(ISBLANK(T15),0,(T15/X11)*AM11)</f>
        <v>0</v>
      </c>
      <c r="AM15" s="1886">
        <f t="shared" si="11"/>
        <v>0</v>
      </c>
      <c r="AN15" s="1891">
        <f t="shared" si="12"/>
        <v>1.25</v>
      </c>
      <c r="AO15" s="1892">
        <f t="shared" si="13"/>
        <v>1.25</v>
      </c>
      <c r="AP15" s="1885">
        <f>IF(ISBLANK(T15),0,(T15/X61)*AO62)</f>
        <v>0</v>
      </c>
      <c r="AQ15" s="1886">
        <f t="shared" si="14"/>
        <v>0</v>
      </c>
      <c r="AR15" s="1893" t="s">
        <v>2342</v>
      </c>
      <c r="AS15" s="1894" t="s">
        <v>2343</v>
      </c>
      <c r="AT15" s="1894" t="s">
        <v>2344</v>
      </c>
      <c r="AU15" s="1894">
        <v>3</v>
      </c>
    </row>
    <row r="16" spans="1:80" ht="18.95" customHeight="1">
      <c r="A16" s="3715"/>
      <c r="B16" s="760" t="str">
        <f t="shared" si="0"/>
        <v>Estragon</v>
      </c>
      <c r="C16" s="1876">
        <f>IF(G10=1,AH16,IF(G10=2,AL16,IF(G10=3,AP16,IF(G10=4,AT16))))</f>
        <v>1.25</v>
      </c>
      <c r="D16" s="1877" t="str">
        <f>IF(G10=1,AI16,IF(G10=2,AM16,IF(G10=3,AQ16,IF(G10=4,AU16))))</f>
        <v>bte</v>
      </c>
      <c r="E16" s="1878">
        <f>IF(G10=1,AG16,IF(G10=2,AK16,IF(G10=3,AO16,IF(G10=4,AS16))))</f>
        <v>0</v>
      </c>
      <c r="F16" s="444" t="str">
        <f>IF(G10=1,"",IF(E16=G16,"",AD16))</f>
        <v/>
      </c>
      <c r="G16" s="1879" t="str">
        <f>IF(G10=1,"",IF(G10=2,AJ16,IF(G10=3,AN16,IF(G10=4,AR16))))</f>
        <v/>
      </c>
      <c r="H16" s="445">
        <f>X16/X61</f>
        <v>0</v>
      </c>
      <c r="I16" s="3709"/>
      <c r="J16" s="3710"/>
      <c r="K16" s="1838"/>
      <c r="L16" s="1062">
        <v>3</v>
      </c>
      <c r="M16" s="349" t="s">
        <v>2364</v>
      </c>
      <c r="N16" s="349"/>
      <c r="O16" s="349"/>
      <c r="P16" s="349"/>
      <c r="Q16" s="349"/>
      <c r="R16" s="773"/>
      <c r="S16" s="133" t="s">
        <v>2310</v>
      </c>
      <c r="T16" s="1880">
        <v>0.5</v>
      </c>
      <c r="U16" s="1881" t="s">
        <v>218</v>
      </c>
      <c r="V16" s="1882"/>
      <c r="W16" s="446" t="s">
        <v>2200</v>
      </c>
      <c r="X16" s="1883">
        <f t="shared" si="1"/>
        <v>0</v>
      </c>
      <c r="Y16" s="1884">
        <f>(X16/X61)*Y11</f>
        <v>0</v>
      </c>
      <c r="Z16" s="1885">
        <f>IF(ISBLANK(T16),"",(T16/X61)*Y11)</f>
        <v>0.1763917307556622</v>
      </c>
      <c r="AA16" s="1886" t="str">
        <f t="shared" ref="AA16:AA60" si="15">U16</f>
        <v>bte</v>
      </c>
      <c r="AB16" s="1887"/>
      <c r="AC16" s="512">
        <f>AB11</f>
        <v>0</v>
      </c>
      <c r="AD16" s="512">
        <f t="shared" si="7"/>
        <v>0</v>
      </c>
      <c r="AE16" s="513">
        <f t="shared" si="8"/>
        <v>1</v>
      </c>
      <c r="AG16" s="1888">
        <f>((X16/X11)*AI11)</f>
        <v>0</v>
      </c>
      <c r="AH16" s="1885">
        <f>IF(ISTEXT(T16),T16,IF(ISBLANK(T16),0,(T16/X11)*AI11))</f>
        <v>1.25</v>
      </c>
      <c r="AI16" s="1889" t="str">
        <f t="shared" si="9"/>
        <v>bte</v>
      </c>
      <c r="AJ16" s="1890">
        <f t="shared" si="10"/>
        <v>0</v>
      </c>
      <c r="AK16" s="1891">
        <f>(X16/X11)*AM11</f>
        <v>0</v>
      </c>
      <c r="AL16" s="1885">
        <f>IF(ISBLANK(T16),0,(T16/X11)*AM11)</f>
        <v>1.25</v>
      </c>
      <c r="AM16" s="1886" t="str">
        <f t="shared" si="11"/>
        <v>bte</v>
      </c>
      <c r="AN16" s="1891">
        <f t="shared" si="12"/>
        <v>0</v>
      </c>
      <c r="AO16" s="1892">
        <f t="shared" si="13"/>
        <v>0</v>
      </c>
      <c r="AP16" s="1885">
        <f>IF(ISBLANK(T16),0,(T16/X61)*AO62)</f>
        <v>1.2500000000000002</v>
      </c>
      <c r="AQ16" s="1886" t="str">
        <f t="shared" si="14"/>
        <v>bte</v>
      </c>
      <c r="AR16" s="1893" t="s">
        <v>2342</v>
      </c>
      <c r="AS16" s="1894" t="s">
        <v>2343</v>
      </c>
      <c r="AT16" s="1894" t="s">
        <v>2344</v>
      </c>
      <c r="AU16" s="1894">
        <v>3</v>
      </c>
    </row>
    <row r="17" spans="1:47" ht="18.95" customHeight="1">
      <c r="A17" s="3715"/>
      <c r="B17" s="760" t="str">
        <f t="shared" si="0"/>
        <v>Glucose</v>
      </c>
      <c r="C17" s="1876">
        <f>IF(G10=1,AH17,IF(G10=2,AL17,IF(G10=3,AP17,IF(G10=4,AT17))))</f>
        <v>0</v>
      </c>
      <c r="D17" s="1877">
        <f>IF(G10=1,AI17,IF(G10=2,AM17,IF(G10=3,AQ17,IF(G10=4,AU17))))</f>
        <v>0</v>
      </c>
      <c r="E17" s="1878">
        <f>IF(G10=1,AG17,IF(G10=2,AK17,IF(G10=3,AO17,IF(G10=4,AS17))))</f>
        <v>0.1875</v>
      </c>
      <c r="F17" s="444" t="str">
        <f>IF(G10=1,"",IF(E17=G17,"",AD17))</f>
        <v/>
      </c>
      <c r="G17" s="1879" t="str">
        <f>IF(G10=1,"",IF(G10=2,AJ17,IF(G10=3,AN17,IF(G10=4,AR17))))</f>
        <v/>
      </c>
      <c r="H17" s="445">
        <f>X17/X61</f>
        <v>2.6458759613349328E-2</v>
      </c>
      <c r="I17" s="3709"/>
      <c r="J17" s="3710"/>
      <c r="K17" s="1838"/>
      <c r="L17" s="1062">
        <v>4</v>
      </c>
      <c r="M17" s="349" t="s">
        <v>2365</v>
      </c>
      <c r="N17" s="349"/>
      <c r="O17" s="349"/>
      <c r="P17" s="349"/>
      <c r="Q17" s="349"/>
      <c r="R17" s="773"/>
      <c r="S17" s="133" t="s">
        <v>2310</v>
      </c>
      <c r="T17" s="1880"/>
      <c r="U17" s="1881"/>
      <c r="V17" s="1882">
        <v>7.4999999999999997E-2</v>
      </c>
      <c r="W17" s="446" t="s">
        <v>2201</v>
      </c>
      <c r="X17" s="1883">
        <f t="shared" si="1"/>
        <v>7.4999999999999997E-2</v>
      </c>
      <c r="Y17" s="1884">
        <f>(X17/X61)*Y11</f>
        <v>2.6458759613349328E-2</v>
      </c>
      <c r="Z17" s="1885" t="str">
        <f>IF(ISBLANK(T17),"",(T17/X61)*Y11)</f>
        <v/>
      </c>
      <c r="AA17" s="1886">
        <f t="shared" si="15"/>
        <v>0</v>
      </c>
      <c r="AB17" s="1887"/>
      <c r="AC17" s="512">
        <f>AB11</f>
        <v>0</v>
      </c>
      <c r="AD17" s="512">
        <f t="shared" si="7"/>
        <v>0</v>
      </c>
      <c r="AE17" s="513">
        <f t="shared" si="8"/>
        <v>1</v>
      </c>
      <c r="AG17" s="1888">
        <f>((X17/X11)*AI11)</f>
        <v>0.1875</v>
      </c>
      <c r="AH17" s="1885">
        <f>IF(ISTEXT(T17),T17,IF(ISBLANK(T17),0,(T17/X11)*AI11))</f>
        <v>0</v>
      </c>
      <c r="AI17" s="1889">
        <f t="shared" si="9"/>
        <v>0</v>
      </c>
      <c r="AJ17" s="1890">
        <f t="shared" si="10"/>
        <v>0.1875</v>
      </c>
      <c r="AK17" s="1891">
        <f>(X17/X11)*AM11</f>
        <v>0.1875</v>
      </c>
      <c r="AL17" s="1885">
        <f>IF(ISBLANK(T17),0,(T17/X11)*AM11)</f>
        <v>0</v>
      </c>
      <c r="AM17" s="1886">
        <f t="shared" si="11"/>
        <v>0</v>
      </c>
      <c r="AN17" s="1891">
        <f t="shared" si="12"/>
        <v>0.1875</v>
      </c>
      <c r="AO17" s="1892">
        <f t="shared" si="13"/>
        <v>0.1875</v>
      </c>
      <c r="AP17" s="1885">
        <f>IF(ISBLANK(T17),0,(T17/X61)*AO62)</f>
        <v>0</v>
      </c>
      <c r="AQ17" s="1886">
        <f t="shared" si="14"/>
        <v>0</v>
      </c>
      <c r="AR17" s="1893" t="s">
        <v>2342</v>
      </c>
      <c r="AS17" s="1894" t="s">
        <v>2343</v>
      </c>
      <c r="AT17" s="1894" t="s">
        <v>2344</v>
      </c>
      <c r="AU17" s="1894">
        <v>3</v>
      </c>
    </row>
    <row r="18" spans="1:47" ht="18.95" customHeight="1">
      <c r="A18" s="3715"/>
      <c r="B18" s="761" t="str">
        <f t="shared" si="0"/>
        <v>Purée de bergamote</v>
      </c>
      <c r="C18" s="1876">
        <f>IF(G10=1,AH18,IF(G10=2,AL18,IF(G10=3,AP18,IF(G10=4,AT18))))</f>
        <v>0</v>
      </c>
      <c r="D18" s="1877">
        <f>IF(G10=1,AI18,IF(G10=2,AM18,IF(G10=3,AQ18,IF(G10=4,AU18))))</f>
        <v>0</v>
      </c>
      <c r="E18" s="1878">
        <f>IF(G10=1,AG18,IF(G10=2,AK18,IF(G10=3,AO18,IF(G10=4,AS18))))</f>
        <v>0.625</v>
      </c>
      <c r="F18" s="444" t="str">
        <f>IF(G10=1,"",IF(E18=G18,"",AD18))</f>
        <v/>
      </c>
      <c r="G18" s="1879" t="str">
        <f>IF(G10=1,"",IF(G10=2,AJ18,IF(G10=3,AN18,IF(G10=4,AR18))))</f>
        <v/>
      </c>
      <c r="H18" s="445">
        <f>X18/X61</f>
        <v>8.8195865377831098E-2</v>
      </c>
      <c r="I18" s="3709"/>
      <c r="J18" s="3710"/>
      <c r="K18" s="1838"/>
      <c r="L18" s="1062"/>
      <c r="M18" s="349"/>
      <c r="N18" s="349"/>
      <c r="O18" s="349"/>
      <c r="P18" s="349"/>
      <c r="Q18" s="349"/>
      <c r="R18" s="773"/>
      <c r="S18" s="133" t="s">
        <v>2310</v>
      </c>
      <c r="T18" s="1880"/>
      <c r="U18" s="1881"/>
      <c r="V18" s="1882">
        <v>0.25</v>
      </c>
      <c r="W18" s="446" t="s">
        <v>2202</v>
      </c>
      <c r="X18" s="1883">
        <f t="shared" si="1"/>
        <v>0.25</v>
      </c>
      <c r="Y18" s="1884">
        <f>(X18/X61)*Y11</f>
        <v>8.8195865377831098E-2</v>
      </c>
      <c r="Z18" s="1885" t="str">
        <f>IF(ISBLANK(T18),"",(T18/X61)*Y11)</f>
        <v/>
      </c>
      <c r="AA18" s="1886">
        <f t="shared" si="15"/>
        <v>0</v>
      </c>
      <c r="AB18" s="1887"/>
      <c r="AC18" s="512">
        <f>AB11</f>
        <v>0</v>
      </c>
      <c r="AD18" s="512">
        <f t="shared" si="7"/>
        <v>0</v>
      </c>
      <c r="AE18" s="513">
        <f t="shared" si="8"/>
        <v>1</v>
      </c>
      <c r="AG18" s="1888">
        <f>((X18/X11)*AI11)</f>
        <v>0.625</v>
      </c>
      <c r="AH18" s="1885">
        <f>IF(ISTEXT(T18),T18,IF(ISBLANK(T18),0,(T18/X11)*AI11))</f>
        <v>0</v>
      </c>
      <c r="AI18" s="1889">
        <f t="shared" si="9"/>
        <v>0</v>
      </c>
      <c r="AJ18" s="1890">
        <f t="shared" si="10"/>
        <v>0.625</v>
      </c>
      <c r="AK18" s="1891">
        <f>(X18/X11)*AM11</f>
        <v>0.625</v>
      </c>
      <c r="AL18" s="1885">
        <f>IF(ISBLANK(T18),0,(T18/X11)*AM11)</f>
        <v>0</v>
      </c>
      <c r="AM18" s="1886">
        <f t="shared" si="11"/>
        <v>0</v>
      </c>
      <c r="AN18" s="1891">
        <f t="shared" si="12"/>
        <v>0.625</v>
      </c>
      <c r="AO18" s="1892">
        <f t="shared" si="13"/>
        <v>0.625</v>
      </c>
      <c r="AP18" s="1885">
        <f>IF(ISBLANK(T18),0,(T18/X61)*AO62)</f>
        <v>0</v>
      </c>
      <c r="AQ18" s="1886">
        <f t="shared" si="14"/>
        <v>0</v>
      </c>
      <c r="AR18" s="1893" t="s">
        <v>2342</v>
      </c>
      <c r="AS18" s="1894" t="s">
        <v>2343</v>
      </c>
      <c r="AT18" s="1894" t="s">
        <v>2344</v>
      </c>
      <c r="AU18" s="1894">
        <v>3</v>
      </c>
    </row>
    <row r="19" spans="1:47" ht="18.95" customHeight="1">
      <c r="A19" s="3715"/>
      <c r="B19" s="761" t="str">
        <f t="shared" si="0"/>
        <v>Sucre</v>
      </c>
      <c r="C19" s="1876">
        <f>IF(G10=1,AH19,IF(G10=2,AL19,IF(G10=3,AP19,IF(G10=4,AT19))))</f>
        <v>0</v>
      </c>
      <c r="D19" s="1877">
        <f>IF(G10=1,AI19,IF(G10=2,AM19,IF(G10=3,AQ19,IF(G10=4,AU19))))</f>
        <v>0</v>
      </c>
      <c r="E19" s="1878">
        <f>IF(G10=1,AG19,IF(G10=2,AK19,IF(G10=3,AO19,IF(G10=4,AS19))))</f>
        <v>0.125</v>
      </c>
      <c r="F19" s="444" t="str">
        <f>IF(G10=1,"",IF(E19=G19,"",AD19))</f>
        <v/>
      </c>
      <c r="G19" s="1879" t="str">
        <f>IF(G10=1,"",IF(G10=2,AJ19,IF(G10=3,AN19,IF(G10=4,AR19))))</f>
        <v/>
      </c>
      <c r="H19" s="445">
        <f>X19/X61</f>
        <v>1.7639173075566221E-2</v>
      </c>
      <c r="I19" s="3709"/>
      <c r="J19" s="3710"/>
      <c r="K19" s="1838"/>
      <c r="L19" s="1062"/>
      <c r="M19" s="349"/>
      <c r="N19" s="349"/>
      <c r="O19" s="349"/>
      <c r="P19" s="349"/>
      <c r="Q19" s="349"/>
      <c r="R19" s="773"/>
      <c r="S19" s="133" t="s">
        <v>2310</v>
      </c>
      <c r="T19" s="1880"/>
      <c r="U19" s="1881"/>
      <c r="V19" s="1882">
        <v>0.05</v>
      </c>
      <c r="W19" s="446" t="s">
        <v>2203</v>
      </c>
      <c r="X19" s="1883">
        <f t="shared" si="1"/>
        <v>0.05</v>
      </c>
      <c r="Y19" s="1884">
        <f>(X19/X61)*Y11</f>
        <v>1.7639173075566221E-2</v>
      </c>
      <c r="Z19" s="1885" t="str">
        <f>IF(ISBLANK(T19),"",(T19/X61)*Y11)</f>
        <v/>
      </c>
      <c r="AA19" s="1886">
        <f t="shared" si="15"/>
        <v>0</v>
      </c>
      <c r="AB19" s="1887"/>
      <c r="AC19" s="512">
        <f>AB11</f>
        <v>0</v>
      </c>
      <c r="AD19" s="512">
        <f t="shared" si="7"/>
        <v>0</v>
      </c>
      <c r="AE19" s="513">
        <f t="shared" si="8"/>
        <v>1</v>
      </c>
      <c r="AG19" s="1888">
        <f>((X19/X11)*AI11)</f>
        <v>0.125</v>
      </c>
      <c r="AH19" s="1885">
        <f>IF(ISTEXT(T19),T19,IF(ISBLANK(T19),0,(T19/X11)*AI11))</f>
        <v>0</v>
      </c>
      <c r="AI19" s="1889">
        <f t="shared" si="9"/>
        <v>0</v>
      </c>
      <c r="AJ19" s="1890">
        <f t="shared" si="10"/>
        <v>0.125</v>
      </c>
      <c r="AK19" s="1891">
        <f>(X19/X11)*AM11</f>
        <v>0.125</v>
      </c>
      <c r="AL19" s="1885">
        <f>IF(ISBLANK(T19),0,(T19/X11)*AM11)</f>
        <v>0</v>
      </c>
      <c r="AM19" s="1886">
        <f t="shared" si="11"/>
        <v>0</v>
      </c>
      <c r="AN19" s="1891">
        <f t="shared" si="12"/>
        <v>0.125</v>
      </c>
      <c r="AO19" s="1892">
        <f t="shared" si="13"/>
        <v>0.125</v>
      </c>
      <c r="AP19" s="1885">
        <f>IF(ISBLANK(T19),0,(T19/X61)*AO62)</f>
        <v>0</v>
      </c>
      <c r="AQ19" s="1886">
        <f t="shared" si="14"/>
        <v>0</v>
      </c>
      <c r="AR19" s="1893" t="s">
        <v>2342</v>
      </c>
      <c r="AS19" s="1894" t="s">
        <v>2343</v>
      </c>
      <c r="AT19" s="1894" t="s">
        <v>2344</v>
      </c>
      <c r="AU19" s="1894">
        <v>3</v>
      </c>
    </row>
    <row r="20" spans="1:47" ht="18.95" customHeight="1">
      <c r="A20" s="3715"/>
      <c r="B20" s="761">
        <f t="shared" si="0"/>
        <v>0</v>
      </c>
      <c r="C20" s="1876">
        <f>IF(G10=1,AH20,IF(G10=2,AL20,IF(G10=3,AP20,IF(G10=4,AT20))))</f>
        <v>0</v>
      </c>
      <c r="D20" s="1877">
        <f>IF(G10=1,AI20,IF(G10=2,AM20,IF(G10=3,AQ20,IF(G10=4,AU20))))</f>
        <v>0</v>
      </c>
      <c r="E20" s="1878">
        <f>IF(G10=1,AG20,IF(G10=2,AK20,IF(G10=3,AO20,IF(G10=4,AS20))))</f>
        <v>0</v>
      </c>
      <c r="F20" s="444" t="str">
        <f>IF(G10=1,"",IF(E20=G20,"",AD20))</f>
        <v/>
      </c>
      <c r="G20" s="1879" t="str">
        <f>IF(G10=1,"",IF(G10=2,AJ20,IF(G10=3,AN20,IF(G10=4,AR20))))</f>
        <v/>
      </c>
      <c r="H20" s="445">
        <f>X20/X61</f>
        <v>0</v>
      </c>
      <c r="I20" s="3709"/>
      <c r="J20" s="3710"/>
      <c r="K20" s="1838"/>
      <c r="L20" s="1062"/>
      <c r="M20" s="349"/>
      <c r="N20" s="349"/>
      <c r="O20" s="349"/>
      <c r="P20" s="349"/>
      <c r="Q20" s="349"/>
      <c r="R20" s="773"/>
      <c r="S20" s="133" t="s">
        <v>2310</v>
      </c>
      <c r="T20" s="1880"/>
      <c r="U20" s="1881"/>
      <c r="V20" s="1882"/>
      <c r="W20" s="446"/>
      <c r="X20" s="1883">
        <f t="shared" si="1"/>
        <v>0</v>
      </c>
      <c r="Y20" s="1884">
        <f>(X20/X61)*Y11</f>
        <v>0</v>
      </c>
      <c r="Z20" s="1885" t="str">
        <f>IF(ISBLANK(T20),"",(T20/X61)*Y11)</f>
        <v/>
      </c>
      <c r="AA20" s="1886">
        <f t="shared" si="15"/>
        <v>0</v>
      </c>
      <c r="AB20" s="1887"/>
      <c r="AC20" s="512">
        <f>AB11</f>
        <v>0</v>
      </c>
      <c r="AD20" s="512">
        <f t="shared" si="7"/>
        <v>0</v>
      </c>
      <c r="AE20" s="513">
        <f t="shared" si="8"/>
        <v>1</v>
      </c>
      <c r="AG20" s="1888">
        <f>((X20/X11)*AI11)</f>
        <v>0</v>
      </c>
      <c r="AH20" s="1885">
        <f>IF(ISTEXT(T20),T20,IF(ISBLANK(T20),0,(T20/X11)*AI11))</f>
        <v>0</v>
      </c>
      <c r="AI20" s="1889">
        <f t="shared" si="9"/>
        <v>0</v>
      </c>
      <c r="AJ20" s="1890">
        <f t="shared" si="10"/>
        <v>0</v>
      </c>
      <c r="AK20" s="1891">
        <f>(X20/X11)*AM11</f>
        <v>0</v>
      </c>
      <c r="AL20" s="1885">
        <f>IF(ISBLANK(T20),0,(T20/X11)*AM11)</f>
        <v>0</v>
      </c>
      <c r="AM20" s="1886">
        <f t="shared" si="11"/>
        <v>0</v>
      </c>
      <c r="AN20" s="1891">
        <f t="shared" si="12"/>
        <v>0</v>
      </c>
      <c r="AO20" s="1892">
        <f t="shared" si="13"/>
        <v>0</v>
      </c>
      <c r="AP20" s="1885">
        <f>IF(ISBLANK(T20),0,(T20/X61)*AO62)</f>
        <v>0</v>
      </c>
      <c r="AQ20" s="1886">
        <f t="shared" si="14"/>
        <v>0</v>
      </c>
      <c r="AR20" s="1893" t="s">
        <v>2342</v>
      </c>
      <c r="AS20" s="1894" t="s">
        <v>2343</v>
      </c>
      <c r="AT20" s="1894" t="s">
        <v>2344</v>
      </c>
      <c r="AU20" s="1894">
        <v>3</v>
      </c>
    </row>
    <row r="21" spans="1:47" ht="18.95" customHeight="1">
      <c r="A21" s="3715"/>
      <c r="B21" s="767" t="str">
        <f t="shared" si="0"/>
        <v>ETAPE 2 : Tuile spring roll</v>
      </c>
      <c r="C21" s="1876">
        <f>IF(G10=1,AH21,IF(G10=2,AL21,IF(G10=3,AP21,IF(G10=4,AT21))))</f>
        <v>0</v>
      </c>
      <c r="D21" s="1877">
        <f>IF(G10=1,AI21,IF(G10=2,AM21,IF(G10=3,AQ21,IF(G10=4,AU21))))</f>
        <v>0</v>
      </c>
      <c r="E21" s="1878">
        <f>IF(G10=1,AG21,IF(G10=2,AK21,IF(G10=3,AO21,IF(G10=4,AS21))))</f>
        <v>0</v>
      </c>
      <c r="F21" s="444" t="str">
        <f>IF(G10=1,"",IF(E21=G21,"",AD21))</f>
        <v/>
      </c>
      <c r="G21" s="1879" t="str">
        <f>IF(G10=1,"",IF(G10=2,AJ21,IF(G10=3,AN21,IF(G10=4,AR21))))</f>
        <v/>
      </c>
      <c r="H21" s="445">
        <f>X21/X61</f>
        <v>0</v>
      </c>
      <c r="I21" s="3709"/>
      <c r="J21" s="3710"/>
      <c r="K21" s="1838"/>
      <c r="L21" s="1062"/>
      <c r="M21" s="349" t="s">
        <v>2211</v>
      </c>
      <c r="N21" s="349"/>
      <c r="O21" s="349"/>
      <c r="P21" s="349"/>
      <c r="Q21" s="349"/>
      <c r="R21" s="773"/>
      <c r="S21" s="133" t="s">
        <v>2310</v>
      </c>
      <c r="T21" s="1880"/>
      <c r="U21" s="1881"/>
      <c r="V21" s="1882"/>
      <c r="W21" s="446" t="s">
        <v>2211</v>
      </c>
      <c r="X21" s="1883">
        <f t="shared" si="1"/>
        <v>0</v>
      </c>
      <c r="Y21" s="1884">
        <f>(X21/X61)*Y11</f>
        <v>0</v>
      </c>
      <c r="Z21" s="1885" t="str">
        <f>IF(ISBLANK(T21),"",(T21/X61)*Y11)</f>
        <v/>
      </c>
      <c r="AA21" s="1886">
        <f t="shared" si="15"/>
        <v>0</v>
      </c>
      <c r="AB21" s="1887"/>
      <c r="AC21" s="512">
        <f>AB11</f>
        <v>0</v>
      </c>
      <c r="AD21" s="512">
        <f t="shared" si="7"/>
        <v>0</v>
      </c>
      <c r="AE21" s="513">
        <f t="shared" si="8"/>
        <v>1</v>
      </c>
      <c r="AG21" s="1888">
        <f>((X21/X11)*AI11)</f>
        <v>0</v>
      </c>
      <c r="AH21" s="1885">
        <f>IF(ISTEXT(T21),T21,IF(ISBLANK(T21),0,(T21/X11)*AI11))</f>
        <v>0</v>
      </c>
      <c r="AI21" s="1889">
        <f t="shared" si="9"/>
        <v>0</v>
      </c>
      <c r="AJ21" s="1890">
        <f t="shared" si="10"/>
        <v>0</v>
      </c>
      <c r="AK21" s="1891">
        <f>(X21/X11)*AM11</f>
        <v>0</v>
      </c>
      <c r="AL21" s="1885">
        <f>IF(ISBLANK(T21),0,(T21/X11)*AM11)</f>
        <v>0</v>
      </c>
      <c r="AM21" s="1886">
        <f t="shared" si="11"/>
        <v>0</v>
      </c>
      <c r="AN21" s="1891">
        <f t="shared" si="12"/>
        <v>0</v>
      </c>
      <c r="AO21" s="1892">
        <f t="shared" si="13"/>
        <v>0</v>
      </c>
      <c r="AP21" s="1885">
        <f>IF(ISBLANK(T21),0,(T21/X61)*AO62)</f>
        <v>0</v>
      </c>
      <c r="AQ21" s="1886">
        <f t="shared" si="14"/>
        <v>0</v>
      </c>
      <c r="AR21" s="1893" t="s">
        <v>2342</v>
      </c>
      <c r="AS21" s="1894" t="s">
        <v>2343</v>
      </c>
      <c r="AT21" s="1894" t="s">
        <v>2344</v>
      </c>
      <c r="AU21" s="1894">
        <v>3</v>
      </c>
    </row>
    <row r="22" spans="1:47" ht="18.95" customHeight="1">
      <c r="A22" s="3715"/>
      <c r="B22" s="761" t="str">
        <f t="shared" si="0"/>
        <v>Feuille spring roll</v>
      </c>
      <c r="C22" s="1876">
        <f>IF(G10=1,AH22,IF(G10=2,AL22,IF(G10=3,AP22,IF(G10=4,AT22))))</f>
        <v>10</v>
      </c>
      <c r="D22" s="1877" t="str">
        <f>IF(G10=1,AI22,IF(G10=2,AM22,IF(G10=3,AQ22,IF(G10=4,AU22))))</f>
        <v>Pce</v>
      </c>
      <c r="E22" s="1878">
        <f>IF(G10=1,AG22,IF(G10=2,AK22,IF(G10=3,AO22,IF(G10=4,AS22))))</f>
        <v>0</v>
      </c>
      <c r="F22" s="444" t="str">
        <f>IF(G10=1,"",IF(E22=G22,"",AD22))</f>
        <v/>
      </c>
      <c r="G22" s="1879" t="str">
        <f>IF(G10=1,"",IF(G10=2,AJ22,IF(G10=3,AN22,IF(G10=4,AR22))))</f>
        <v/>
      </c>
      <c r="H22" s="445">
        <f>X22/X61</f>
        <v>0</v>
      </c>
      <c r="I22" s="3709"/>
      <c r="J22" s="3710"/>
      <c r="K22" s="1838"/>
      <c r="L22" s="1062">
        <v>1</v>
      </c>
      <c r="M22" s="349" t="s">
        <v>2366</v>
      </c>
      <c r="N22" s="349"/>
      <c r="O22" s="349"/>
      <c r="P22" s="349"/>
      <c r="Q22" s="349"/>
      <c r="R22" s="773"/>
      <c r="S22" s="133" t="s">
        <v>2310</v>
      </c>
      <c r="T22" s="1880">
        <v>4</v>
      </c>
      <c r="U22" s="1881" t="s">
        <v>2152</v>
      </c>
      <c r="V22" s="1882"/>
      <c r="W22" s="446" t="s">
        <v>2212</v>
      </c>
      <c r="X22" s="1883">
        <f t="shared" si="1"/>
        <v>0</v>
      </c>
      <c r="Y22" s="1884">
        <f>(X22/X61)*Y11</f>
        <v>0</v>
      </c>
      <c r="Z22" s="1885">
        <f>IF(ISBLANK(T22),"",(T22/X61)*Y11)</f>
        <v>1.4111338460452976</v>
      </c>
      <c r="AA22" s="1886" t="str">
        <f t="shared" si="15"/>
        <v>Pce</v>
      </c>
      <c r="AB22" s="1887"/>
      <c r="AC22" s="512">
        <f>AB11</f>
        <v>0</v>
      </c>
      <c r="AD22" s="512">
        <f t="shared" si="7"/>
        <v>0</v>
      </c>
      <c r="AE22" s="513">
        <f t="shared" si="8"/>
        <v>1</v>
      </c>
      <c r="AG22" s="1888">
        <f>((X22/X11)*AI11)</f>
        <v>0</v>
      </c>
      <c r="AH22" s="1885">
        <f>IF(ISTEXT(T22),T22,IF(ISBLANK(T22),0,(T22/X11)*AI11))</f>
        <v>10</v>
      </c>
      <c r="AI22" s="1889" t="str">
        <f t="shared" si="9"/>
        <v>Pce</v>
      </c>
      <c r="AJ22" s="1890">
        <f t="shared" si="10"/>
        <v>0</v>
      </c>
      <c r="AK22" s="1891">
        <f>(X22/X11)*AM11</f>
        <v>0</v>
      </c>
      <c r="AL22" s="1885">
        <f>IF(ISBLANK(T22),0,(T22/X11)*AM11)</f>
        <v>10</v>
      </c>
      <c r="AM22" s="1886" t="str">
        <f t="shared" si="11"/>
        <v>Pce</v>
      </c>
      <c r="AN22" s="1891">
        <f t="shared" si="12"/>
        <v>0</v>
      </c>
      <c r="AO22" s="1892">
        <f t="shared" si="13"/>
        <v>0</v>
      </c>
      <c r="AP22" s="1885">
        <f>IF(ISBLANK(T22),0,(T22/X61)*AO62)</f>
        <v>10.000000000000002</v>
      </c>
      <c r="AQ22" s="1886" t="str">
        <f t="shared" si="14"/>
        <v>Pce</v>
      </c>
      <c r="AR22" s="1893" t="s">
        <v>2342</v>
      </c>
      <c r="AS22" s="1894" t="s">
        <v>2343</v>
      </c>
      <c r="AT22" s="1894" t="s">
        <v>2344</v>
      </c>
      <c r="AU22" s="1894">
        <v>3</v>
      </c>
    </row>
    <row r="23" spans="1:47" ht="18.95" customHeight="1">
      <c r="A23" s="3715"/>
      <c r="B23" s="761" t="str">
        <f t="shared" si="0"/>
        <v>Huile de tournesol 5 cl (densité 0.8)</v>
      </c>
      <c r="C23" s="1876">
        <f>IF(G10=1,AH23,IF(G10=2,AL23,IF(G10=3,AP23,IF(G10=4,AT23))))</f>
        <v>0</v>
      </c>
      <c r="D23" s="1877">
        <f>IF(G10=1,AI23,IF(G10=2,AM23,IF(G10=3,AQ23,IF(G10=4,AU23))))</f>
        <v>0</v>
      </c>
      <c r="E23" s="1878">
        <f>IF(G10=1,AG23,IF(G10=2,AK23,IF(G10=3,AO23,IF(G10=4,AS23))))</f>
        <v>0.11500000000000002</v>
      </c>
      <c r="F23" s="444" t="str">
        <f>IF(G10=1,"",IF(E23=G23,"",AD23))</f>
        <v/>
      </c>
      <c r="G23" s="1879" t="str">
        <f>IF(G10=1,"",IF(G10=2,AJ23,IF(G10=3,AN23,IF(G10=4,AR23))))</f>
        <v/>
      </c>
      <c r="H23" s="445">
        <f>X23/X61</f>
        <v>1.6228039229520926E-2</v>
      </c>
      <c r="I23" s="3709"/>
      <c r="J23" s="3710"/>
      <c r="K23" s="1838"/>
      <c r="L23" s="1062">
        <v>2</v>
      </c>
      <c r="M23" s="349" t="s">
        <v>2367</v>
      </c>
      <c r="N23" s="349"/>
      <c r="O23" s="349"/>
      <c r="P23" s="349"/>
      <c r="Q23" s="349"/>
      <c r="R23" s="773"/>
      <c r="S23" s="133" t="s">
        <v>2310</v>
      </c>
      <c r="T23" s="1880"/>
      <c r="U23" s="1881"/>
      <c r="V23" s="1882">
        <v>4.6000000000000006E-2</v>
      </c>
      <c r="W23" s="446" t="s">
        <v>2380</v>
      </c>
      <c r="X23" s="1883">
        <f t="shared" si="1"/>
        <v>4.6000000000000006E-2</v>
      </c>
      <c r="Y23" s="1884">
        <f>(X23/X61)*Y11</f>
        <v>1.6228039229520926E-2</v>
      </c>
      <c r="Z23" s="1885" t="str">
        <f>IF(ISBLANK(T23),"",(T23/X61)*Y11)</f>
        <v/>
      </c>
      <c r="AA23" s="1886">
        <f t="shared" si="15"/>
        <v>0</v>
      </c>
      <c r="AB23" s="1887"/>
      <c r="AC23" s="512">
        <f>AB11</f>
        <v>0</v>
      </c>
      <c r="AD23" s="512">
        <f t="shared" si="7"/>
        <v>0</v>
      </c>
      <c r="AE23" s="513">
        <f t="shared" si="8"/>
        <v>1</v>
      </c>
      <c r="AG23" s="1888">
        <f>((X23/X11)*AI11)</f>
        <v>0.11500000000000002</v>
      </c>
      <c r="AH23" s="1885">
        <f>IF(ISTEXT(T23),T23,IF(ISBLANK(T23),0,(T23/X11)*AI11))</f>
        <v>0</v>
      </c>
      <c r="AI23" s="1889">
        <f t="shared" si="9"/>
        <v>0</v>
      </c>
      <c r="AJ23" s="1890">
        <f t="shared" si="10"/>
        <v>0.11500000000000002</v>
      </c>
      <c r="AK23" s="1891">
        <f>(X23/X11)*AM11</f>
        <v>0.11500000000000002</v>
      </c>
      <c r="AL23" s="1885">
        <f>IF(ISBLANK(T23),0,(T23/X11)*AM11)</f>
        <v>0</v>
      </c>
      <c r="AM23" s="1886">
        <f t="shared" si="11"/>
        <v>0</v>
      </c>
      <c r="AN23" s="1891">
        <f t="shared" si="12"/>
        <v>0.11500000000000002</v>
      </c>
      <c r="AO23" s="1892">
        <f t="shared" si="13"/>
        <v>0.11500000000000002</v>
      </c>
      <c r="AP23" s="1885">
        <f>IF(ISBLANK(T23),0,(T23/X61)*AO62)</f>
        <v>0</v>
      </c>
      <c r="AQ23" s="1886">
        <f t="shared" si="14"/>
        <v>0</v>
      </c>
      <c r="AR23" s="1893" t="s">
        <v>2342</v>
      </c>
      <c r="AS23" s="1894" t="s">
        <v>2343</v>
      </c>
      <c r="AT23" s="1894" t="s">
        <v>2344</v>
      </c>
      <c r="AU23" s="1894">
        <v>3</v>
      </c>
    </row>
    <row r="24" spans="1:47" ht="18.95" customHeight="1">
      <c r="A24" s="3715"/>
      <c r="B24" s="761">
        <f t="shared" si="0"/>
        <v>0</v>
      </c>
      <c r="C24" s="1876">
        <f>IF(G10=1,AH24,IF(G10=2,AL24,IF(G10=3,AP24,IF(G10=4,AT24))))</f>
        <v>0</v>
      </c>
      <c r="D24" s="1877">
        <f>IF(G10=1,AI24,IF(G10=2,AM24,IF(G10=3,AQ24,IF(G10=4,AU24))))</f>
        <v>0</v>
      </c>
      <c r="E24" s="1878">
        <f>IF(G10=1,AG24,IF(G10=2,AK24,IF(G10=3,AO24,IF(G10=4,AS24))))</f>
        <v>0</v>
      </c>
      <c r="F24" s="444" t="str">
        <f>IF(G10=1,"",IF(E24=G24,"",AD24))</f>
        <v/>
      </c>
      <c r="G24" s="1879" t="str">
        <f>IF(G10=1,"",IF(G10=2,AJ24,IF(G10=3,AN24,IF(G10=4,AR24))))</f>
        <v/>
      </c>
      <c r="H24" s="445">
        <f>X24/X61</f>
        <v>0</v>
      </c>
      <c r="I24" s="3709"/>
      <c r="J24" s="3710"/>
      <c r="K24" s="1838"/>
      <c r="L24" s="1062">
        <v>3</v>
      </c>
      <c r="M24" s="349" t="s">
        <v>2368</v>
      </c>
      <c r="N24" s="349"/>
      <c r="O24" s="349"/>
      <c r="P24" s="349"/>
      <c r="Q24" s="349"/>
      <c r="R24" s="773"/>
      <c r="S24" s="133" t="s">
        <v>2310</v>
      </c>
      <c r="T24" s="1880"/>
      <c r="U24" s="1881"/>
      <c r="V24" s="1882"/>
      <c r="W24" s="446"/>
      <c r="X24" s="1883">
        <f t="shared" si="1"/>
        <v>0</v>
      </c>
      <c r="Y24" s="1884">
        <f>(X24/X61)*Y11</f>
        <v>0</v>
      </c>
      <c r="Z24" s="1885" t="str">
        <f>IF(ISBLANK(T24),"",(T24/X61)*Y11)</f>
        <v/>
      </c>
      <c r="AA24" s="1886">
        <f t="shared" si="15"/>
        <v>0</v>
      </c>
      <c r="AB24" s="1887"/>
      <c r="AC24" s="512">
        <f>AB11</f>
        <v>0</v>
      </c>
      <c r="AD24" s="512">
        <f t="shared" si="7"/>
        <v>0</v>
      </c>
      <c r="AE24" s="513">
        <f t="shared" si="8"/>
        <v>1</v>
      </c>
      <c r="AG24" s="1888">
        <f>((X24/X11)*AI11)</f>
        <v>0</v>
      </c>
      <c r="AH24" s="1885">
        <f>IF(ISTEXT(T24),T24,IF(ISBLANK(T24),0,(T24/X11)*AI11))</f>
        <v>0</v>
      </c>
      <c r="AI24" s="1889">
        <f t="shared" si="9"/>
        <v>0</v>
      </c>
      <c r="AJ24" s="1890">
        <f t="shared" si="10"/>
        <v>0</v>
      </c>
      <c r="AK24" s="1891">
        <f>(X24/X11)*AM11</f>
        <v>0</v>
      </c>
      <c r="AL24" s="1885">
        <f>IF(ISBLANK(T24),0,(T24/X11)*AM11)</f>
        <v>0</v>
      </c>
      <c r="AM24" s="1886">
        <f t="shared" si="11"/>
        <v>0</v>
      </c>
      <c r="AN24" s="1891">
        <f t="shared" si="12"/>
        <v>0</v>
      </c>
      <c r="AO24" s="1892">
        <f t="shared" si="13"/>
        <v>0</v>
      </c>
      <c r="AP24" s="1885">
        <f>IF(ISBLANK(T24),0,(T24/X61)*AO62)</f>
        <v>0</v>
      </c>
      <c r="AQ24" s="1886">
        <f t="shared" si="14"/>
        <v>0</v>
      </c>
      <c r="AR24" s="1893" t="s">
        <v>2342</v>
      </c>
      <c r="AS24" s="1894" t="s">
        <v>2343</v>
      </c>
      <c r="AT24" s="1894" t="s">
        <v>2344</v>
      </c>
      <c r="AU24" s="1894">
        <v>3</v>
      </c>
    </row>
    <row r="25" spans="1:47" ht="18.95" customHeight="1">
      <c r="A25" s="3715"/>
      <c r="B25" s="767" t="str">
        <f t="shared" si="0"/>
        <v>ETAPE 3 : La compression</v>
      </c>
      <c r="C25" s="1876">
        <f>IF(G10=1,AH25,IF(G10=2,AL25,IF(G10=3,AP25,IF(G10=4,AT25))))</f>
        <v>0</v>
      </c>
      <c r="D25" s="1877">
        <f>IF(G10=1,AI25,IF(G10=2,AM25,IF(G10=3,AQ25,IF(G10=4,AU25))))</f>
        <v>0</v>
      </c>
      <c r="E25" s="1878">
        <f>IF(G10=1,AG25,IF(G10=2,AK25,IF(G10=3,AO25,IF(G10=4,AS25))))</f>
        <v>0</v>
      </c>
      <c r="F25" s="444" t="str">
        <f>IF(G10=1,"",IF(E25=G25,"",AD25))</f>
        <v/>
      </c>
      <c r="G25" s="1879" t="str">
        <f>IF(G10=1,"",IF(G10=2,AJ25,IF(G10=3,AN25,IF(G10=4,AR25))))</f>
        <v/>
      </c>
      <c r="H25" s="445">
        <f>X25/X61</f>
        <v>0</v>
      </c>
      <c r="I25" s="3709"/>
      <c r="J25" s="3710"/>
      <c r="K25" s="1838"/>
      <c r="L25" s="1062"/>
      <c r="M25" s="349"/>
      <c r="N25" s="349"/>
      <c r="O25" s="349"/>
      <c r="P25" s="349"/>
      <c r="Q25" s="349"/>
      <c r="R25" s="773"/>
      <c r="S25" s="133" t="s">
        <v>2310</v>
      </c>
      <c r="T25" s="1880"/>
      <c r="U25" s="1881"/>
      <c r="V25" s="1882"/>
      <c r="W25" s="446" t="s">
        <v>2215</v>
      </c>
      <c r="X25" s="1883">
        <f t="shared" si="1"/>
        <v>0</v>
      </c>
      <c r="Y25" s="1884">
        <f>(X25/X61)*Y11</f>
        <v>0</v>
      </c>
      <c r="Z25" s="1885" t="str">
        <f>IF(ISBLANK(T25),"",(T25/X61)*Y11)</f>
        <v/>
      </c>
      <c r="AA25" s="1886">
        <f t="shared" si="15"/>
        <v>0</v>
      </c>
      <c r="AB25" s="1887"/>
      <c r="AC25" s="512">
        <f>AB11</f>
        <v>0</v>
      </c>
      <c r="AD25" s="512">
        <f t="shared" si="7"/>
        <v>0</v>
      </c>
      <c r="AE25" s="513">
        <f t="shared" si="8"/>
        <v>1</v>
      </c>
      <c r="AG25" s="1888">
        <f>((X25/X11)*AI11)</f>
        <v>0</v>
      </c>
      <c r="AH25" s="1885">
        <f>IF(ISTEXT(T25),T25,IF(ISBLANK(T25),0,(T25/X11)*AI11))</f>
        <v>0</v>
      </c>
      <c r="AI25" s="1889">
        <f t="shared" si="9"/>
        <v>0</v>
      </c>
      <c r="AJ25" s="1890">
        <f t="shared" si="10"/>
        <v>0</v>
      </c>
      <c r="AK25" s="1891">
        <f>(X25/X11)*AM11</f>
        <v>0</v>
      </c>
      <c r="AL25" s="1885">
        <f>IF(ISBLANK(T25),0,(T25/X11)*AM11)</f>
        <v>0</v>
      </c>
      <c r="AM25" s="1886">
        <f t="shared" si="11"/>
        <v>0</v>
      </c>
      <c r="AN25" s="1891">
        <f t="shared" si="12"/>
        <v>0</v>
      </c>
      <c r="AO25" s="1892">
        <f t="shared" si="13"/>
        <v>0</v>
      </c>
      <c r="AP25" s="1885">
        <f>IF(ISBLANK(T25),0,(T25/X61)*AO62)</f>
        <v>0</v>
      </c>
      <c r="AQ25" s="1886">
        <f t="shared" si="14"/>
        <v>0</v>
      </c>
      <c r="AR25" s="1893" t="s">
        <v>2342</v>
      </c>
      <c r="AS25" s="1894" t="s">
        <v>2343</v>
      </c>
      <c r="AT25" s="1894" t="s">
        <v>2344</v>
      </c>
      <c r="AU25" s="1894">
        <v>3</v>
      </c>
    </row>
    <row r="26" spans="1:47" ht="18.95" customHeight="1">
      <c r="A26" s="3715"/>
      <c r="B26" s="761" t="str">
        <f t="shared" si="0"/>
        <v>AgarAgar</v>
      </c>
      <c r="C26" s="1876">
        <f>IF(G10=1,AH26,IF(G10=2,AL26,IF(G10=3,AP26,IF(G10=4,AT26))))</f>
        <v>0</v>
      </c>
      <c r="D26" s="1877">
        <f>IF(G10=1,AI26,IF(G10=2,AM26,IF(G10=3,AQ26,IF(G10=4,AU26))))</f>
        <v>0</v>
      </c>
      <c r="E26" s="1878">
        <f>IF(G10=1,AG26,IF(G10=2,AK26,IF(G10=3,AO26,IF(G10=4,AS26))))</f>
        <v>7.4999999999999997E-2</v>
      </c>
      <c r="F26" s="444" t="str">
        <f>IF(G10=1,"",IF(E26=G26,"",AD26))</f>
        <v/>
      </c>
      <c r="G26" s="1879" t="str">
        <f>IF(G10=1,"",IF(G10=2,AJ26,IF(G10=3,AN26,IF(G10=4,AR26))))</f>
        <v/>
      </c>
      <c r="H26" s="445">
        <f>X26/X61</f>
        <v>1.0583503845339732E-2</v>
      </c>
      <c r="I26" s="3709"/>
      <c r="J26" s="3710"/>
      <c r="K26" s="1838"/>
      <c r="L26" s="1062"/>
      <c r="M26" s="349" t="s">
        <v>2215</v>
      </c>
      <c r="N26" s="349"/>
      <c r="O26" s="349"/>
      <c r="P26" s="349"/>
      <c r="Q26" s="349"/>
      <c r="R26" s="773"/>
      <c r="S26" s="133" t="s">
        <v>2310</v>
      </c>
      <c r="T26" s="1880"/>
      <c r="U26" s="1881"/>
      <c r="V26" s="1882">
        <v>0.03</v>
      </c>
      <c r="W26" s="446" t="s">
        <v>2369</v>
      </c>
      <c r="X26" s="1883">
        <f t="shared" si="1"/>
        <v>0.03</v>
      </c>
      <c r="Y26" s="1884">
        <f>(X26/X61)*Y11</f>
        <v>1.0583503845339732E-2</v>
      </c>
      <c r="Z26" s="1885" t="str">
        <f>IF(ISBLANK(T26),"",(T26/X61)*Y11)</f>
        <v/>
      </c>
      <c r="AA26" s="1886">
        <f t="shared" si="15"/>
        <v>0</v>
      </c>
      <c r="AB26" s="1887"/>
      <c r="AC26" s="512">
        <f>AB11</f>
        <v>0</v>
      </c>
      <c r="AD26" s="512">
        <f t="shared" si="7"/>
        <v>0</v>
      </c>
      <c r="AE26" s="513">
        <f t="shared" si="8"/>
        <v>1</v>
      </c>
      <c r="AG26" s="1888">
        <f>((X26/X11)*AI11)</f>
        <v>7.4999999999999997E-2</v>
      </c>
      <c r="AH26" s="1885">
        <f>IF(ISTEXT(T26),T26,IF(ISBLANK(T26),0,(T26/X11)*AI11))</f>
        <v>0</v>
      </c>
      <c r="AI26" s="1889">
        <f t="shared" si="9"/>
        <v>0</v>
      </c>
      <c r="AJ26" s="1890">
        <f t="shared" si="10"/>
        <v>7.4999999999999997E-2</v>
      </c>
      <c r="AK26" s="1891">
        <f>(X26/X11)*AM11</f>
        <v>7.4999999999999997E-2</v>
      </c>
      <c r="AL26" s="1885">
        <f>IF(ISBLANK(T26),0,(T26/X11)*AM11)</f>
        <v>0</v>
      </c>
      <c r="AM26" s="1886">
        <f t="shared" si="11"/>
        <v>0</v>
      </c>
      <c r="AN26" s="1891">
        <f t="shared" si="12"/>
        <v>7.4999999999999997E-2</v>
      </c>
      <c r="AO26" s="1892">
        <f t="shared" si="13"/>
        <v>7.4999999999999997E-2</v>
      </c>
      <c r="AP26" s="1885">
        <f>IF(ISBLANK(T26),0,(T26/X61)*AO62)</f>
        <v>0</v>
      </c>
      <c r="AQ26" s="1886">
        <f t="shared" si="14"/>
        <v>0</v>
      </c>
      <c r="AR26" s="1893" t="s">
        <v>2342</v>
      </c>
      <c r="AS26" s="1894" t="s">
        <v>2343</v>
      </c>
      <c r="AT26" s="1894" t="s">
        <v>2344</v>
      </c>
      <c r="AU26" s="1894">
        <v>3</v>
      </c>
    </row>
    <row r="27" spans="1:47" ht="18.95" customHeight="1">
      <c r="A27" s="3715"/>
      <c r="B27" s="761" t="str">
        <f t="shared" si="0"/>
        <v>Avocat tropical</v>
      </c>
      <c r="C27" s="1876">
        <f>IF(G10=1,AH27,IF(G10=2,AL27,IF(G10=3,AP27,IF(G10=4,AT27))))</f>
        <v>2.5</v>
      </c>
      <c r="D27" s="1877" t="str">
        <f>IF(G10=1,AI27,IF(G10=2,AM27,IF(G10=3,AQ27,IF(G10=4,AU27))))</f>
        <v>pce</v>
      </c>
      <c r="E27" s="1878">
        <f>IF(G10=1,AG27,IF(G10=2,AK27,IF(G10=3,AO27,IF(G10=4,AS27))))</f>
        <v>0</v>
      </c>
      <c r="F27" s="444" t="str">
        <f>IF(G10=1,"",IF(E27=G27,"",AD27))</f>
        <v/>
      </c>
      <c r="G27" s="1879" t="str">
        <f>IF(G10=1,"",IF(G10=2,AJ27,IF(G10=3,AN27,IF(G10=4,AR27))))</f>
        <v/>
      </c>
      <c r="H27" s="445">
        <f>X27/X61</f>
        <v>0</v>
      </c>
      <c r="I27" s="3709"/>
      <c r="J27" s="3710"/>
      <c r="K27" s="1838"/>
      <c r="L27" s="1062">
        <v>1</v>
      </c>
      <c r="M27" s="349" t="s">
        <v>2370</v>
      </c>
      <c r="N27" s="349"/>
      <c r="O27" s="349"/>
      <c r="P27" s="349"/>
      <c r="Q27" s="349"/>
      <c r="R27" s="773"/>
      <c r="S27" s="133" t="s">
        <v>2310</v>
      </c>
      <c r="T27" s="1880">
        <v>1</v>
      </c>
      <c r="U27" s="1881" t="s">
        <v>2236</v>
      </c>
      <c r="V27" s="1882"/>
      <c r="W27" s="446" t="s">
        <v>2216</v>
      </c>
      <c r="X27" s="1883">
        <f t="shared" si="1"/>
        <v>0</v>
      </c>
      <c r="Y27" s="1884">
        <f>(X27/X61)*Y11</f>
        <v>0</v>
      </c>
      <c r="Z27" s="1885">
        <f>IF(ISBLANK(T27),"",(T27/X61)*Y11)</f>
        <v>0.35278346151132439</v>
      </c>
      <c r="AA27" s="1886" t="str">
        <f t="shared" si="15"/>
        <v>pce</v>
      </c>
      <c r="AB27" s="1887"/>
      <c r="AC27" s="512">
        <f>AB11</f>
        <v>0</v>
      </c>
      <c r="AD27" s="512">
        <f t="shared" si="7"/>
        <v>0</v>
      </c>
      <c r="AE27" s="513">
        <f t="shared" si="8"/>
        <v>1</v>
      </c>
      <c r="AG27" s="1888">
        <f>((X27/X11)*AI11)</f>
        <v>0</v>
      </c>
      <c r="AH27" s="1885">
        <f>IF(ISTEXT(T27),T27,IF(ISBLANK(T27),0,(T27/X11)*AI11))</f>
        <v>2.5</v>
      </c>
      <c r="AI27" s="1889" t="str">
        <f t="shared" si="9"/>
        <v>pce</v>
      </c>
      <c r="AJ27" s="1890">
        <f t="shared" si="10"/>
        <v>0</v>
      </c>
      <c r="AK27" s="1891">
        <f>(X27/X11)*AM11</f>
        <v>0</v>
      </c>
      <c r="AL27" s="1885">
        <f>IF(ISBLANK(T27),0,(T27/X11)*AM11)</f>
        <v>2.5</v>
      </c>
      <c r="AM27" s="1886" t="str">
        <f t="shared" si="11"/>
        <v>pce</v>
      </c>
      <c r="AN27" s="1891">
        <f t="shared" si="12"/>
        <v>0</v>
      </c>
      <c r="AO27" s="1892">
        <f t="shared" si="13"/>
        <v>0</v>
      </c>
      <c r="AP27" s="1885">
        <f>IF(ISBLANK(T27),0,(T27/X61)*AO62)</f>
        <v>2.5000000000000004</v>
      </c>
      <c r="AQ27" s="1886" t="str">
        <f t="shared" si="14"/>
        <v>pce</v>
      </c>
      <c r="AR27" s="1893" t="s">
        <v>2342</v>
      </c>
      <c r="AS27" s="1894" t="s">
        <v>2343</v>
      </c>
      <c r="AT27" s="1894" t="s">
        <v>2344</v>
      </c>
      <c r="AU27" s="1894">
        <v>3</v>
      </c>
    </row>
    <row r="28" spans="1:47" ht="18.95" customHeight="1">
      <c r="A28" s="3715"/>
      <c r="B28" s="761" t="str">
        <f t="shared" si="0"/>
        <v>Citron</v>
      </c>
      <c r="C28" s="1876">
        <f>IF(G10=1,AH28,IF(G10=2,AL28,IF(G10=3,AP28,IF(G10=4,AT28))))</f>
        <v>2.5</v>
      </c>
      <c r="D28" s="1877" t="str">
        <f>IF(G10=1,AI28,IF(G10=2,AM28,IF(G10=3,AQ28,IF(G10=4,AU28))))</f>
        <v>pce</v>
      </c>
      <c r="E28" s="1878">
        <f>IF(G10=1,AG28,IF(G10=2,AK28,IF(G10=3,AO28,IF(G10=4,AS28))))</f>
        <v>0</v>
      </c>
      <c r="F28" s="444" t="str">
        <f>IF(G10=1,"",IF(E28=G28,"",AD28))</f>
        <v/>
      </c>
      <c r="G28" s="1879" t="str">
        <f>IF(G10=1,"",IF(G10=2,AJ28,IF(G10=3,AN28,IF(G10=4,AR28))))</f>
        <v/>
      </c>
      <c r="H28" s="445">
        <f>X28/X61</f>
        <v>0</v>
      </c>
      <c r="I28" s="3709"/>
      <c r="J28" s="3710"/>
      <c r="K28" s="1838"/>
      <c r="L28" s="1062">
        <v>2</v>
      </c>
      <c r="M28" s="349" t="s">
        <v>2371</v>
      </c>
      <c r="N28" s="349"/>
      <c r="O28" s="349"/>
      <c r="P28" s="349"/>
      <c r="Q28" s="349"/>
      <c r="R28" s="773"/>
      <c r="S28" s="133" t="s">
        <v>2310</v>
      </c>
      <c r="T28" s="1880">
        <v>1</v>
      </c>
      <c r="U28" s="1881" t="s">
        <v>2236</v>
      </c>
      <c r="V28" s="1882"/>
      <c r="W28" s="446" t="s">
        <v>2217</v>
      </c>
      <c r="X28" s="1883">
        <f t="shared" si="1"/>
        <v>0</v>
      </c>
      <c r="Y28" s="1884">
        <f>(X28/X61)*Y11</f>
        <v>0</v>
      </c>
      <c r="Z28" s="1885">
        <f>IF(ISBLANK(T28),"",(T28/X61)*Y11)</f>
        <v>0.35278346151132439</v>
      </c>
      <c r="AA28" s="1886" t="str">
        <f t="shared" si="15"/>
        <v>pce</v>
      </c>
      <c r="AB28" s="1887"/>
      <c r="AC28" s="512">
        <f>AB11</f>
        <v>0</v>
      </c>
      <c r="AD28" s="512">
        <f t="shared" si="7"/>
        <v>0</v>
      </c>
      <c r="AE28" s="513">
        <f t="shared" si="8"/>
        <v>1</v>
      </c>
      <c r="AG28" s="1888">
        <f>((X28/X11)*AI11)</f>
        <v>0</v>
      </c>
      <c r="AH28" s="1885">
        <f>IF(ISTEXT(T28),T28,IF(ISBLANK(T28),0,(T28/X11)*AI11))</f>
        <v>2.5</v>
      </c>
      <c r="AI28" s="1889" t="str">
        <f t="shared" si="9"/>
        <v>pce</v>
      </c>
      <c r="AJ28" s="1890">
        <f t="shared" si="10"/>
        <v>0</v>
      </c>
      <c r="AK28" s="1891">
        <f>(X28/X11)*AM11</f>
        <v>0</v>
      </c>
      <c r="AL28" s="1885">
        <f>IF(ISBLANK(T28),0,(T28/X11)*AM11)</f>
        <v>2.5</v>
      </c>
      <c r="AM28" s="1886" t="str">
        <f t="shared" si="11"/>
        <v>pce</v>
      </c>
      <c r="AN28" s="1891">
        <f t="shared" si="12"/>
        <v>0</v>
      </c>
      <c r="AO28" s="1892">
        <f t="shared" si="13"/>
        <v>0</v>
      </c>
      <c r="AP28" s="1885">
        <f>IF(ISBLANK(T28),0,(T28/X61)*AO62)</f>
        <v>2.5000000000000004</v>
      </c>
      <c r="AQ28" s="1886" t="str">
        <f t="shared" si="14"/>
        <v>pce</v>
      </c>
      <c r="AR28" s="1893" t="s">
        <v>2342</v>
      </c>
      <c r="AS28" s="1894" t="s">
        <v>2343</v>
      </c>
      <c r="AT28" s="1894" t="s">
        <v>2344</v>
      </c>
      <c r="AU28" s="1894">
        <v>3</v>
      </c>
    </row>
    <row r="29" spans="1:47" ht="18.95" customHeight="1">
      <c r="A29" s="3715"/>
      <c r="B29" s="761" t="str">
        <f t="shared" si="0"/>
        <v>Coriandre ¼ de botte</v>
      </c>
      <c r="C29" s="1876">
        <f>IF(G10=1,AH29,IF(G10=2,AL29,IF(G10=3,AP29,IF(G10=4,AT29))))</f>
        <v>0.625</v>
      </c>
      <c r="D29" s="1877" t="str">
        <f>IF(G10=1,AI29,IF(G10=2,AM29,IF(G10=3,AQ29,IF(G10=4,AU29))))</f>
        <v>bte</v>
      </c>
      <c r="E29" s="1878">
        <f>IF(G10=1,AG29,IF(G10=2,AK29,IF(G10=3,AO29,IF(G10=4,AS29))))</f>
        <v>0</v>
      </c>
      <c r="F29" s="444" t="str">
        <f>IF(G10=1,"",IF(E29=G29,"",AD29))</f>
        <v/>
      </c>
      <c r="G29" s="1879" t="str">
        <f>IF(G10=1,"",IF(G10=2,AJ29,IF(G10=3,AN29,IF(G10=4,AR29))))</f>
        <v/>
      </c>
      <c r="H29" s="445">
        <f>X29/X61</f>
        <v>0</v>
      </c>
      <c r="I29" s="3709"/>
      <c r="J29" s="3710"/>
      <c r="K29" s="1838"/>
      <c r="L29" s="1062">
        <v>3</v>
      </c>
      <c r="M29" s="349" t="s">
        <v>2372</v>
      </c>
      <c r="N29" s="349"/>
      <c r="O29" s="349"/>
      <c r="P29" s="349"/>
      <c r="Q29" s="349"/>
      <c r="R29" s="773"/>
      <c r="S29" s="133" t="s">
        <v>2310</v>
      </c>
      <c r="T29" s="1880">
        <v>0.25</v>
      </c>
      <c r="U29" s="1881" t="s">
        <v>218</v>
      </c>
      <c r="V29" s="1882"/>
      <c r="W29" s="446" t="s">
        <v>2384</v>
      </c>
      <c r="X29" s="1883">
        <f t="shared" si="1"/>
        <v>0</v>
      </c>
      <c r="Y29" s="1884">
        <f>(X29/X61)*Y11</f>
        <v>0</v>
      </c>
      <c r="Z29" s="1885">
        <f>IF(ISBLANK(T29),"",(T29/X61)*Y11)</f>
        <v>8.8195865377831098E-2</v>
      </c>
      <c r="AA29" s="1886" t="str">
        <f t="shared" si="15"/>
        <v>bte</v>
      </c>
      <c r="AB29" s="1887"/>
      <c r="AC29" s="512">
        <f>AB11</f>
        <v>0</v>
      </c>
      <c r="AD29" s="512">
        <f t="shared" si="7"/>
        <v>0</v>
      </c>
      <c r="AE29" s="513">
        <f t="shared" si="8"/>
        <v>1</v>
      </c>
      <c r="AG29" s="1888">
        <f>((X29/X11)*AI11)</f>
        <v>0</v>
      </c>
      <c r="AH29" s="1885">
        <f>IF(ISTEXT(T29),T29,IF(ISBLANK(T29),0,(T29/X11)*AI11))</f>
        <v>0.625</v>
      </c>
      <c r="AI29" s="1889" t="str">
        <f t="shared" si="9"/>
        <v>bte</v>
      </c>
      <c r="AJ29" s="1890">
        <f t="shared" si="10"/>
        <v>0</v>
      </c>
      <c r="AK29" s="1891">
        <f>(X29/X11)*AM11</f>
        <v>0</v>
      </c>
      <c r="AL29" s="1885">
        <f>IF(ISBLANK(T29),0,(T29/X11)*AM11)</f>
        <v>0.625</v>
      </c>
      <c r="AM29" s="1886" t="str">
        <f t="shared" si="11"/>
        <v>bte</v>
      </c>
      <c r="AN29" s="1891">
        <f t="shared" si="12"/>
        <v>0</v>
      </c>
      <c r="AO29" s="1892">
        <f t="shared" si="13"/>
        <v>0</v>
      </c>
      <c r="AP29" s="1885">
        <f>IF(ISBLANK(T29),0,(T29/X61)*AO62)</f>
        <v>0.62500000000000011</v>
      </c>
      <c r="AQ29" s="1886" t="str">
        <f t="shared" si="14"/>
        <v>bte</v>
      </c>
      <c r="AR29" s="1893" t="s">
        <v>2342</v>
      </c>
      <c r="AS29" s="1894" t="s">
        <v>2343</v>
      </c>
      <c r="AT29" s="1894" t="s">
        <v>2344</v>
      </c>
      <c r="AU29" s="1894">
        <v>3</v>
      </c>
    </row>
    <row r="30" spans="1:47" ht="18.95" customHeight="1">
      <c r="A30" s="3715"/>
      <c r="B30" s="761" t="str">
        <f t="shared" si="0"/>
        <v>Échalote</v>
      </c>
      <c r="C30" s="1876">
        <f>IF(G10=1,AH30,IF(G10=2,AL30,IF(G10=3,AP30,IF(G10=4,AT30))))</f>
        <v>0</v>
      </c>
      <c r="D30" s="1877">
        <f>IF(G10=1,AI30,IF(G10=2,AM30,IF(G10=3,AQ30,IF(G10=4,AU30))))</f>
        <v>0</v>
      </c>
      <c r="E30" s="1878">
        <f>IF(G10=1,AG30,IF(G10=2,AK30,IF(G10=3,AO30,IF(G10=4,AS30))))</f>
        <v>0.125</v>
      </c>
      <c r="F30" s="444" t="str">
        <f>IF(G10=1,"",IF(E30=G30,"",AD30))</f>
        <v/>
      </c>
      <c r="G30" s="1879" t="str">
        <f>IF(G10=1,"",IF(G10=2,AJ30,IF(G10=3,AN30,IF(G10=4,AR30))))</f>
        <v/>
      </c>
      <c r="H30" s="445">
        <f>X30/X61</f>
        <v>1.7639173075566221E-2</v>
      </c>
      <c r="I30" s="3709"/>
      <c r="J30" s="3710"/>
      <c r="K30" s="1838"/>
      <c r="L30" s="1062">
        <v>4</v>
      </c>
      <c r="M30" s="349" t="s">
        <v>2373</v>
      </c>
      <c r="N30" s="349"/>
      <c r="O30" s="349"/>
      <c r="P30" s="349"/>
      <c r="Q30" s="349"/>
      <c r="R30" s="773"/>
      <c r="S30" s="133" t="s">
        <v>2310</v>
      </c>
      <c r="T30" s="1880"/>
      <c r="U30" s="1881"/>
      <c r="V30" s="1882">
        <v>0.05</v>
      </c>
      <c r="W30" s="446" t="s">
        <v>2218</v>
      </c>
      <c r="X30" s="1883">
        <f t="shared" si="1"/>
        <v>0.05</v>
      </c>
      <c r="Y30" s="1884">
        <f>(X30/X61)*Y11</f>
        <v>1.7639173075566221E-2</v>
      </c>
      <c r="Z30" s="1885" t="str">
        <f>IF(ISBLANK(T30),"",(T30/X61)*Y11)</f>
        <v/>
      </c>
      <c r="AA30" s="1886">
        <f t="shared" si="15"/>
        <v>0</v>
      </c>
      <c r="AB30" s="1887"/>
      <c r="AC30" s="512">
        <f>AB11</f>
        <v>0</v>
      </c>
      <c r="AD30" s="512">
        <f t="shared" si="7"/>
        <v>0</v>
      </c>
      <c r="AE30" s="513">
        <f t="shared" si="8"/>
        <v>1</v>
      </c>
      <c r="AG30" s="1888">
        <f>((X30/X11)*AI11)</f>
        <v>0.125</v>
      </c>
      <c r="AH30" s="1885">
        <f>IF(ISTEXT(T30),T30,IF(ISBLANK(T30),0,(T30/X11)*AI11))</f>
        <v>0</v>
      </c>
      <c r="AI30" s="1889">
        <f t="shared" si="9"/>
        <v>0</v>
      </c>
      <c r="AJ30" s="1890">
        <f t="shared" si="10"/>
        <v>0.125</v>
      </c>
      <c r="AK30" s="1891">
        <f>(X30/X11)*AM11</f>
        <v>0.125</v>
      </c>
      <c r="AL30" s="1885">
        <f>IF(ISBLANK(T30),0,(T30/X11)*AM11)</f>
        <v>0</v>
      </c>
      <c r="AM30" s="1886">
        <f t="shared" si="11"/>
        <v>0</v>
      </c>
      <c r="AN30" s="1891">
        <f t="shared" si="12"/>
        <v>0.125</v>
      </c>
      <c r="AO30" s="1892">
        <f t="shared" si="13"/>
        <v>0.125</v>
      </c>
      <c r="AP30" s="1885">
        <f>IF(ISBLANK(T30),0,(T30/X61)*AO62)</f>
        <v>0</v>
      </c>
      <c r="AQ30" s="1886">
        <f t="shared" si="14"/>
        <v>0</v>
      </c>
      <c r="AR30" s="1893" t="s">
        <v>2342</v>
      </c>
      <c r="AS30" s="1894" t="s">
        <v>2343</v>
      </c>
      <c r="AT30" s="1894" t="s">
        <v>2344</v>
      </c>
      <c r="AU30" s="1894">
        <v>3</v>
      </c>
    </row>
    <row r="31" spans="1:47" ht="18.95" customHeight="1">
      <c r="A31" s="3715"/>
      <c r="B31" s="761" t="str">
        <f t="shared" si="0"/>
        <v>Huile d’olive 0.08 L  densité 0.08</v>
      </c>
      <c r="C31" s="1876">
        <f>IF(G10=1,AH31,IF(G10=2,AL31,IF(G10=3,AP31,IF(G10=4,AT31))))</f>
        <v>0</v>
      </c>
      <c r="D31" s="1877">
        <f>IF(G10=1,AI31,IF(G10=2,AM31,IF(G10=3,AQ31,IF(G10=4,AU31))))</f>
        <v>0</v>
      </c>
      <c r="E31" s="1878">
        <f>IF(G10=1,AG31,IF(G10=2,AK31,IF(G10=3,AO31,IF(G10=4,AS31))))</f>
        <v>0.18400000000000002</v>
      </c>
      <c r="F31" s="444" t="str">
        <f>IF(G10=1,"",IF(E31=G31,"",AD31))</f>
        <v/>
      </c>
      <c r="G31" s="1879" t="str">
        <f>IF(G10=1,"",IF(G10=2,AJ31,IF(G10=3,AN31,IF(G10=4,AR31))))</f>
        <v/>
      </c>
      <c r="H31" s="445">
        <f>X31/X61</f>
        <v>2.596486276723348E-2</v>
      </c>
      <c r="I31" s="3709"/>
      <c r="J31" s="3710"/>
      <c r="K31" s="1838"/>
      <c r="L31" s="1062">
        <v>5</v>
      </c>
      <c r="M31" s="349" t="s">
        <v>2374</v>
      </c>
      <c r="N31" s="349"/>
      <c r="O31" s="349"/>
      <c r="P31" s="349"/>
      <c r="Q31" s="349"/>
      <c r="R31" s="773"/>
      <c r="S31" s="133" t="s">
        <v>2310</v>
      </c>
      <c r="T31" s="1880"/>
      <c r="U31" s="1881"/>
      <c r="V31" s="1882">
        <v>7.3600000000000013E-2</v>
      </c>
      <c r="W31" s="446" t="s">
        <v>2382</v>
      </c>
      <c r="X31" s="1883">
        <f t="shared" si="1"/>
        <v>7.3600000000000013E-2</v>
      </c>
      <c r="Y31" s="1884">
        <f>(X31/X61)*Y11</f>
        <v>2.596486276723348E-2</v>
      </c>
      <c r="Z31" s="1885" t="str">
        <f>IF(ISBLANK(T31),"",(T31/X61)*Y11)</f>
        <v/>
      </c>
      <c r="AA31" s="1886">
        <f t="shared" si="15"/>
        <v>0</v>
      </c>
      <c r="AB31" s="1887"/>
      <c r="AC31" s="512">
        <f>AB11</f>
        <v>0</v>
      </c>
      <c r="AD31" s="512">
        <f t="shared" si="7"/>
        <v>0</v>
      </c>
      <c r="AE31" s="513">
        <f t="shared" si="8"/>
        <v>1</v>
      </c>
      <c r="AG31" s="1888">
        <f>((X31/X11)*AI11)</f>
        <v>0.18400000000000002</v>
      </c>
      <c r="AH31" s="1885">
        <f>IF(ISTEXT(T31),T31,IF(ISBLANK(T31),0,(T31/X11)*AI11))</f>
        <v>0</v>
      </c>
      <c r="AI31" s="1889">
        <f t="shared" si="9"/>
        <v>0</v>
      </c>
      <c r="AJ31" s="1890">
        <f t="shared" si="10"/>
        <v>0.18400000000000002</v>
      </c>
      <c r="AK31" s="1891">
        <f>(X31/X11)*AM11</f>
        <v>0.18400000000000002</v>
      </c>
      <c r="AL31" s="1885">
        <f>IF(ISBLANK(T31),0,(T31/X11)*AM11)</f>
        <v>0</v>
      </c>
      <c r="AM31" s="1886">
        <f t="shared" si="11"/>
        <v>0</v>
      </c>
      <c r="AN31" s="1891">
        <f t="shared" si="12"/>
        <v>0.18400000000000002</v>
      </c>
      <c r="AO31" s="1892">
        <f t="shared" si="13"/>
        <v>0.18400000000000002</v>
      </c>
      <c r="AP31" s="1885">
        <f>IF(ISBLANK(T31),0,(T31/X61)*AO62)</f>
        <v>0</v>
      </c>
      <c r="AQ31" s="1886">
        <f t="shared" si="14"/>
        <v>0</v>
      </c>
      <c r="AR31" s="1893" t="s">
        <v>2342</v>
      </c>
      <c r="AS31" s="1894" t="s">
        <v>2343</v>
      </c>
      <c r="AT31" s="1894" t="s">
        <v>2344</v>
      </c>
      <c r="AU31" s="1894">
        <v>3</v>
      </c>
    </row>
    <row r="32" spans="1:47" ht="18.95" customHeight="1">
      <c r="A32" s="3715"/>
      <c r="B32" s="761" t="str">
        <f t="shared" si="0"/>
        <v>Curry jaune</v>
      </c>
      <c r="C32" s="1876">
        <f>IF(G10=1,AH32,IF(G10=2,AL32,IF(G10=3,AP32,IF(G10=4,AT32))))</f>
        <v>0</v>
      </c>
      <c r="D32" s="1877" t="str">
        <f>IF(G10=1,AI32,IF(G10=2,AM32,IF(G10=3,AQ32,IF(G10=4,AU32))))</f>
        <v>Pm</v>
      </c>
      <c r="E32" s="1878">
        <f>IF(G10=1,AG32,IF(G10=2,AK32,IF(G10=3,AO32,IF(G10=4,AS32))))</f>
        <v>0</v>
      </c>
      <c r="F32" s="444" t="str">
        <f>IF(G10=1,"",IF(E32=G32,"",AD32))</f>
        <v/>
      </c>
      <c r="G32" s="1879" t="str">
        <f>IF(G10=1,"",IF(G10=2,AJ32,IF(G10=3,AN32,IF(G10=4,AR32))))</f>
        <v/>
      </c>
      <c r="H32" s="445">
        <f>X32/X61</f>
        <v>0</v>
      </c>
      <c r="I32" s="3709"/>
      <c r="J32" s="3710"/>
      <c r="K32" s="1838"/>
      <c r="L32" s="1062">
        <v>5</v>
      </c>
      <c r="M32" s="449" t="s">
        <v>2375</v>
      </c>
      <c r="N32" s="449"/>
      <c r="O32" s="449"/>
      <c r="P32" s="449"/>
      <c r="Q32" s="449"/>
      <c r="R32" s="774"/>
      <c r="S32" s="133" t="s">
        <v>2310</v>
      </c>
      <c r="T32" s="1880"/>
      <c r="U32" s="1881" t="s">
        <v>1472</v>
      </c>
      <c r="V32" s="1882"/>
      <c r="W32" s="446" t="s">
        <v>2220</v>
      </c>
      <c r="X32" s="1883">
        <f t="shared" si="1"/>
        <v>0</v>
      </c>
      <c r="Y32" s="1884">
        <f>(X32/X61)*Y11</f>
        <v>0</v>
      </c>
      <c r="Z32" s="1885" t="str">
        <f>IF(ISBLANK(T32),"",(T32/X61)*Y11)</f>
        <v/>
      </c>
      <c r="AA32" s="1886" t="str">
        <f t="shared" si="15"/>
        <v>Pm</v>
      </c>
      <c r="AB32" s="1887"/>
      <c r="AC32" s="512">
        <f>AB11</f>
        <v>0</v>
      </c>
      <c r="AD32" s="512">
        <f t="shared" si="7"/>
        <v>0</v>
      </c>
      <c r="AE32" s="513">
        <f t="shared" si="8"/>
        <v>1</v>
      </c>
      <c r="AG32" s="1888">
        <f>((X32/X11)*AI11)</f>
        <v>0</v>
      </c>
      <c r="AH32" s="1885">
        <f>IF(ISTEXT(T32),T32,IF(ISBLANK(T32),0,(T32/X11)*AI11))</f>
        <v>0</v>
      </c>
      <c r="AI32" s="1889" t="str">
        <f t="shared" si="9"/>
        <v>Pm</v>
      </c>
      <c r="AJ32" s="1890">
        <f t="shared" si="10"/>
        <v>0</v>
      </c>
      <c r="AK32" s="1891">
        <f>(X32/X11)*AM11</f>
        <v>0</v>
      </c>
      <c r="AL32" s="1885">
        <f>IF(ISBLANK(T32),0,(T32/X11)*AM11)</f>
        <v>0</v>
      </c>
      <c r="AM32" s="1886" t="str">
        <f t="shared" si="11"/>
        <v>Pm</v>
      </c>
      <c r="AN32" s="1891">
        <f t="shared" si="12"/>
        <v>0</v>
      </c>
      <c r="AO32" s="1892">
        <f t="shared" si="13"/>
        <v>0</v>
      </c>
      <c r="AP32" s="1885">
        <f>IF(ISBLANK(T32),0,(T32/X61)*AO62)</f>
        <v>0</v>
      </c>
      <c r="AQ32" s="1886" t="str">
        <f t="shared" si="14"/>
        <v>Pm</v>
      </c>
      <c r="AR32" s="1893" t="s">
        <v>2342</v>
      </c>
      <c r="AS32" s="1894" t="s">
        <v>2343</v>
      </c>
      <c r="AT32" s="1894" t="s">
        <v>2344</v>
      </c>
      <c r="AU32" s="1894">
        <v>3</v>
      </c>
    </row>
    <row r="33" spans="1:47" ht="18.95" customHeight="1">
      <c r="A33" s="3715"/>
      <c r="B33" s="761" t="str">
        <f t="shared" si="0"/>
        <v>Huile de tournesol 0.25L densité 0.08</v>
      </c>
      <c r="C33" s="1876">
        <f>IF(G10=1,AH33,IF(G10=2,AL33,IF(G10=3,AP33,IF(G10=4,AT33))))</f>
        <v>0</v>
      </c>
      <c r="D33" s="1877">
        <f>IF(G10=1,AI33,IF(G10=2,AM33,IF(G10=3,AQ33,IF(G10=4,AU33))))</f>
        <v>0</v>
      </c>
      <c r="E33" s="1878">
        <f>IF(G10=1,AG33,IF(G10=2,AK33,IF(G10=3,AO33,IF(G10=4,AS33))))</f>
        <v>0.57500000000000007</v>
      </c>
      <c r="F33" s="444" t="str">
        <f>IF(G10=1,"",IF(E33=G33,"",AD33))</f>
        <v/>
      </c>
      <c r="G33" s="1879" t="str">
        <f>IF(G10=1,"",IF(G10=2,AJ33,IF(G10=3,AN33,IF(G10=4,AR33))))</f>
        <v/>
      </c>
      <c r="H33" s="445">
        <f>X33/X61</f>
        <v>8.1140196147604621E-2</v>
      </c>
      <c r="I33" s="3709"/>
      <c r="J33" s="3710"/>
      <c r="K33" s="1838"/>
      <c r="L33" s="1062">
        <v>6</v>
      </c>
      <c r="M33" s="3675" t="s">
        <v>2376</v>
      </c>
      <c r="N33" s="3675"/>
      <c r="O33" s="3675"/>
      <c r="P33" s="3675"/>
      <c r="Q33" s="3675"/>
      <c r="R33" s="3676"/>
      <c r="S33" s="133" t="s">
        <v>2310</v>
      </c>
      <c r="T33" s="1880"/>
      <c r="U33" s="1881"/>
      <c r="V33" s="1882">
        <v>0.23</v>
      </c>
      <c r="W33" s="446" t="s">
        <v>2383</v>
      </c>
      <c r="X33" s="1883">
        <f t="shared" si="1"/>
        <v>0.23</v>
      </c>
      <c r="Y33" s="1884">
        <f>(X33/X61)*Y11</f>
        <v>8.1140196147604621E-2</v>
      </c>
      <c r="Z33" s="1885" t="str">
        <f>IF(ISBLANK(T33),"",(T33/X61)*Y11)</f>
        <v/>
      </c>
      <c r="AA33" s="1886">
        <f t="shared" si="15"/>
        <v>0</v>
      </c>
      <c r="AB33" s="1887"/>
      <c r="AC33" s="512">
        <f>AB11</f>
        <v>0</v>
      </c>
      <c r="AD33" s="512">
        <f t="shared" si="7"/>
        <v>0</v>
      </c>
      <c r="AE33" s="513">
        <f t="shared" si="8"/>
        <v>1</v>
      </c>
      <c r="AG33" s="1888">
        <f>((X33/X11)*AI11)</f>
        <v>0.57500000000000007</v>
      </c>
      <c r="AH33" s="1885">
        <f>IF(ISTEXT(T33),T33,IF(ISBLANK(T33),0,(T33/X11)*AI11))</f>
        <v>0</v>
      </c>
      <c r="AI33" s="1889">
        <f t="shared" si="9"/>
        <v>0</v>
      </c>
      <c r="AJ33" s="1890">
        <f t="shared" si="10"/>
        <v>0.57500000000000007</v>
      </c>
      <c r="AK33" s="1891">
        <f>(X33/X11)*AM11</f>
        <v>0.57500000000000007</v>
      </c>
      <c r="AL33" s="1885">
        <f>IF(ISBLANK(T33),0,(T33/X11)*AM11)</f>
        <v>0</v>
      </c>
      <c r="AM33" s="1886">
        <f t="shared" si="11"/>
        <v>0</v>
      </c>
      <c r="AN33" s="1891">
        <f t="shared" si="12"/>
        <v>0.57500000000000007</v>
      </c>
      <c r="AO33" s="1892">
        <f t="shared" si="13"/>
        <v>0.57500000000000007</v>
      </c>
      <c r="AP33" s="1885">
        <f>IF(ISBLANK(T33),0,(T33/X61)*AO62)</f>
        <v>0</v>
      </c>
      <c r="AQ33" s="1886">
        <f t="shared" si="14"/>
        <v>0</v>
      </c>
      <c r="AR33" s="1893" t="s">
        <v>2342</v>
      </c>
      <c r="AS33" s="1894" t="s">
        <v>2343</v>
      </c>
      <c r="AT33" s="1894" t="s">
        <v>2344</v>
      </c>
      <c r="AU33" s="1894">
        <v>3</v>
      </c>
    </row>
    <row r="34" spans="1:47" ht="18.95" customHeight="1">
      <c r="A34" s="3715"/>
      <c r="B34" s="761" t="str">
        <f t="shared" si="0"/>
        <v>Jaune d'oeuf</v>
      </c>
      <c r="C34" s="1876">
        <f>IF(G10=1,AH34,IF(G10=2,AL34,IF(G10=3,AP34,IF(G10=4,AT34))))</f>
        <v>2.5</v>
      </c>
      <c r="D34" s="1877" t="str">
        <f>IF(G10=1,AI34,IF(G10=2,AM34,IF(G10=3,AQ34,IF(G10=4,AU34))))</f>
        <v>pce</v>
      </c>
      <c r="E34" s="1878">
        <f>IF(G10=1,AG34,IF(G10=2,AK34,IF(G10=3,AO34,IF(G10=4,AS34))))</f>
        <v>0</v>
      </c>
      <c r="F34" s="444" t="str">
        <f>IF(G10=1,"",IF(E34=G34,"",AD34))</f>
        <v/>
      </c>
      <c r="G34" s="1879" t="str">
        <f>IF(G10=1,"",IF(G10=2,AJ34,IF(G10=3,AN34,IF(G10=4,AR34))))</f>
        <v/>
      </c>
      <c r="H34" s="445">
        <f>X34/X61</f>
        <v>0</v>
      </c>
      <c r="I34" s="3709"/>
      <c r="J34" s="3710"/>
      <c r="K34" s="1838"/>
      <c r="L34" s="1062"/>
      <c r="M34" s="3675"/>
      <c r="N34" s="3675"/>
      <c r="O34" s="3675"/>
      <c r="P34" s="3675"/>
      <c r="Q34" s="3675"/>
      <c r="R34" s="3676"/>
      <c r="S34" s="133" t="s">
        <v>2310</v>
      </c>
      <c r="T34" s="1880">
        <v>1</v>
      </c>
      <c r="U34" s="1881" t="s">
        <v>2236</v>
      </c>
      <c r="V34" s="1882"/>
      <c r="W34" s="446" t="s">
        <v>2221</v>
      </c>
      <c r="X34" s="1883">
        <f t="shared" si="1"/>
        <v>0</v>
      </c>
      <c r="Y34" s="1884">
        <f>(X34/X61)*Y11</f>
        <v>0</v>
      </c>
      <c r="Z34" s="1885">
        <f>IF(ISBLANK(T34),"",(T34/X61)*Y11)</f>
        <v>0.35278346151132439</v>
      </c>
      <c r="AA34" s="1886" t="str">
        <f t="shared" si="15"/>
        <v>pce</v>
      </c>
      <c r="AB34" s="1887"/>
      <c r="AC34" s="512">
        <f>AB11</f>
        <v>0</v>
      </c>
      <c r="AD34" s="512">
        <f t="shared" si="7"/>
        <v>0</v>
      </c>
      <c r="AE34" s="513">
        <f t="shared" si="8"/>
        <v>1</v>
      </c>
      <c r="AG34" s="1888">
        <f>((X34/X11)*AI11)</f>
        <v>0</v>
      </c>
      <c r="AH34" s="1885">
        <f>IF(ISTEXT(T34),T34,IF(ISBLANK(T34),0,(T34/X11)*AI11))</f>
        <v>2.5</v>
      </c>
      <c r="AI34" s="1889" t="str">
        <f t="shared" si="9"/>
        <v>pce</v>
      </c>
      <c r="AJ34" s="1890">
        <f t="shared" si="10"/>
        <v>0</v>
      </c>
      <c r="AK34" s="1891">
        <f>(X34/X11)*AM11</f>
        <v>0</v>
      </c>
      <c r="AL34" s="1885">
        <f>IF(ISBLANK(T34),0,(T34/X11)*AM11)</f>
        <v>2.5</v>
      </c>
      <c r="AM34" s="1886" t="str">
        <f t="shared" si="11"/>
        <v>pce</v>
      </c>
      <c r="AN34" s="1891">
        <f t="shared" si="12"/>
        <v>0</v>
      </c>
      <c r="AO34" s="1892">
        <f t="shared" si="13"/>
        <v>0</v>
      </c>
      <c r="AP34" s="1885">
        <f>IF(ISBLANK(T34),0,(T34/X61)*AO62)</f>
        <v>2.5000000000000004</v>
      </c>
      <c r="AQ34" s="1886" t="str">
        <f t="shared" si="14"/>
        <v>pce</v>
      </c>
      <c r="AR34" s="1893" t="s">
        <v>2342</v>
      </c>
      <c r="AS34" s="1894" t="s">
        <v>2343</v>
      </c>
      <c r="AT34" s="1894" t="s">
        <v>2344</v>
      </c>
      <c r="AU34" s="1894">
        <v>3</v>
      </c>
    </row>
    <row r="35" spans="1:47" ht="18.95" customHeight="1">
      <c r="A35" s="3715"/>
      <c r="B35" s="761" t="str">
        <f t="shared" si="0"/>
        <v>Mangue</v>
      </c>
      <c r="C35" s="1876">
        <f>IF(G10=1,AH35,IF(G10=2,AL35,IF(G10=3,AP35,IF(G10=4,AT35))))</f>
        <v>2.5</v>
      </c>
      <c r="D35" s="1877" t="str">
        <f>IF(G10=1,AI35,IF(G10=2,AM35,IF(G10=3,AQ35,IF(G10=4,AU35))))</f>
        <v>pce</v>
      </c>
      <c r="E35" s="1878">
        <f>IF(G10=1,AG35,IF(G10=2,AK35,IF(G10=3,AO35,IF(G10=4,AS35))))</f>
        <v>0</v>
      </c>
      <c r="F35" s="444" t="str">
        <f>IF(G10=1,"",IF(E35=G35,"",AD35))</f>
        <v/>
      </c>
      <c r="G35" s="1879" t="str">
        <f>IF(G10=1,"",IF(G10=2,AJ35,IF(G10=3,AN35,IF(G10=4,AR35))))</f>
        <v/>
      </c>
      <c r="H35" s="445">
        <f>X35/X61</f>
        <v>0</v>
      </c>
      <c r="I35" s="3709"/>
      <c r="J35" s="3710"/>
      <c r="K35" s="1838"/>
      <c r="L35" s="1062"/>
      <c r="M35" s="349"/>
      <c r="N35" s="349"/>
      <c r="O35" s="349"/>
      <c r="P35" s="349"/>
      <c r="Q35" s="349"/>
      <c r="R35" s="773"/>
      <c r="S35" s="133" t="s">
        <v>2310</v>
      </c>
      <c r="T35" s="1880">
        <v>1</v>
      </c>
      <c r="U35" s="1881" t="s">
        <v>2236</v>
      </c>
      <c r="V35" s="1882"/>
      <c r="W35" s="446" t="s">
        <v>2222</v>
      </c>
      <c r="X35" s="1883">
        <f t="shared" si="1"/>
        <v>0</v>
      </c>
      <c r="Y35" s="1884">
        <f>(X35/X61)*Y11</f>
        <v>0</v>
      </c>
      <c r="Z35" s="1885">
        <f>IF(ISBLANK(T35),"",(T35/X61)*Y11)</f>
        <v>0.35278346151132439</v>
      </c>
      <c r="AA35" s="1886" t="str">
        <f t="shared" si="15"/>
        <v>pce</v>
      </c>
      <c r="AB35" s="1887"/>
      <c r="AC35" s="512">
        <f>AB11</f>
        <v>0</v>
      </c>
      <c r="AD35" s="512">
        <f t="shared" si="7"/>
        <v>0</v>
      </c>
      <c r="AE35" s="513">
        <f t="shared" si="8"/>
        <v>1</v>
      </c>
      <c r="AG35" s="1888">
        <f>((X35/X11)*AI11)</f>
        <v>0</v>
      </c>
      <c r="AH35" s="1885">
        <f>IF(ISTEXT(T35),T35,IF(ISBLANK(T35),0,(T35/X11)*AI11))</f>
        <v>2.5</v>
      </c>
      <c r="AI35" s="1889" t="str">
        <f t="shared" si="9"/>
        <v>pce</v>
      </c>
      <c r="AJ35" s="1890">
        <f t="shared" si="10"/>
        <v>0</v>
      </c>
      <c r="AK35" s="1891">
        <f>(X35/X11)*AM11</f>
        <v>0</v>
      </c>
      <c r="AL35" s="1885">
        <f>IF(ISBLANK(T35),0,(T35/X11)*AM11)</f>
        <v>2.5</v>
      </c>
      <c r="AM35" s="1886" t="str">
        <f t="shared" si="11"/>
        <v>pce</v>
      </c>
      <c r="AN35" s="1891">
        <f t="shared" si="12"/>
        <v>0</v>
      </c>
      <c r="AO35" s="1892">
        <f t="shared" si="13"/>
        <v>0</v>
      </c>
      <c r="AP35" s="1885">
        <f>IF(ISBLANK(T35),0,(T35/X61)*AO62)</f>
        <v>2.5000000000000004</v>
      </c>
      <c r="AQ35" s="1886" t="str">
        <f t="shared" si="14"/>
        <v>pce</v>
      </c>
      <c r="AR35" s="1893" t="s">
        <v>2342</v>
      </c>
      <c r="AS35" s="1894" t="s">
        <v>2343</v>
      </c>
      <c r="AT35" s="1894" t="s">
        <v>2344</v>
      </c>
      <c r="AU35" s="1894">
        <v>3</v>
      </c>
    </row>
    <row r="36" spans="1:47" ht="18.95" customHeight="1">
      <c r="A36" s="3715"/>
      <c r="B36" s="761" t="str">
        <f t="shared" si="0"/>
        <v>Moutarde</v>
      </c>
      <c r="C36" s="1876">
        <f>IF(G10=1,AH36,IF(G10=2,AL36,IF(G10=3,AP36,IF(G10=4,AT36))))</f>
        <v>0</v>
      </c>
      <c r="D36" s="1877">
        <f>IF(G10=1,AI36,IF(G10=2,AM36,IF(G10=3,AQ36,IF(G10=4,AU36))))</f>
        <v>0</v>
      </c>
      <c r="E36" s="1878">
        <f>IF(G10=1,AG36,IF(G10=2,AK36,IF(G10=3,AO36,IF(G10=4,AS36))))</f>
        <v>7.4999999999999997E-2</v>
      </c>
      <c r="F36" s="444" t="str">
        <f>IF(G10=1,"",IF(E36=G36,"",AD36))</f>
        <v/>
      </c>
      <c r="G36" s="1879" t="str">
        <f>IF(G10=1,"",IF(G10=2,AJ36,IF(G10=3,AN36,IF(G10=4,AR36))))</f>
        <v/>
      </c>
      <c r="H36" s="445">
        <f>X36/X61</f>
        <v>1.0583503845339732E-2</v>
      </c>
      <c r="I36" s="3709"/>
      <c r="J36" s="3710"/>
      <c r="K36" s="1838"/>
      <c r="L36" s="1062"/>
      <c r="M36" s="349"/>
      <c r="N36" s="349"/>
      <c r="O36" s="349"/>
      <c r="P36" s="349"/>
      <c r="Q36" s="349"/>
      <c r="R36" s="773"/>
      <c r="S36" s="133" t="s">
        <v>2310</v>
      </c>
      <c r="T36" s="1880"/>
      <c r="U36" s="1881"/>
      <c r="V36" s="1882">
        <v>0.03</v>
      </c>
      <c r="W36" s="446" t="s">
        <v>2223</v>
      </c>
      <c r="X36" s="1883">
        <f t="shared" si="1"/>
        <v>0.03</v>
      </c>
      <c r="Y36" s="1884">
        <f>(X36/X61)*Y11</f>
        <v>1.0583503845339732E-2</v>
      </c>
      <c r="Z36" s="1885" t="str">
        <f>IF(ISBLANK(T36),"",(T36/X61)*Y11)</f>
        <v/>
      </c>
      <c r="AA36" s="1886">
        <f t="shared" si="15"/>
        <v>0</v>
      </c>
      <c r="AB36" s="1887"/>
      <c r="AC36" s="512">
        <f>AB11</f>
        <v>0</v>
      </c>
      <c r="AD36" s="512">
        <f t="shared" si="7"/>
        <v>0</v>
      </c>
      <c r="AE36" s="513">
        <f t="shared" si="8"/>
        <v>1</v>
      </c>
      <c r="AG36" s="1888">
        <f>((X36/X11)*AI11)</f>
        <v>7.4999999999999997E-2</v>
      </c>
      <c r="AH36" s="1885">
        <f>IF(ISTEXT(T36),T36,IF(ISBLANK(T36),0,(T36/X11)*AI11))</f>
        <v>0</v>
      </c>
      <c r="AI36" s="1889">
        <f t="shared" si="9"/>
        <v>0</v>
      </c>
      <c r="AJ36" s="1890">
        <f t="shared" si="10"/>
        <v>7.4999999999999997E-2</v>
      </c>
      <c r="AK36" s="1891">
        <f>(X36/X11)*AM11</f>
        <v>7.4999999999999997E-2</v>
      </c>
      <c r="AL36" s="1885">
        <f>IF(ISBLANK(T36),0,(T36/X11)*AM11)</f>
        <v>0</v>
      </c>
      <c r="AM36" s="1886">
        <f t="shared" si="11"/>
        <v>0</v>
      </c>
      <c r="AN36" s="1891">
        <f t="shared" si="12"/>
        <v>7.4999999999999997E-2</v>
      </c>
      <c r="AO36" s="1892">
        <f t="shared" si="13"/>
        <v>7.4999999999999997E-2</v>
      </c>
      <c r="AP36" s="1885">
        <f>IF(ISBLANK(T36),0,(T36/X61)*AO62)</f>
        <v>0</v>
      </c>
      <c r="AQ36" s="1886">
        <f t="shared" si="14"/>
        <v>0</v>
      </c>
      <c r="AR36" s="1893" t="s">
        <v>2342</v>
      </c>
      <c r="AS36" s="1894" t="s">
        <v>2343</v>
      </c>
      <c r="AT36" s="1894" t="s">
        <v>2344</v>
      </c>
      <c r="AU36" s="1894">
        <v>3</v>
      </c>
    </row>
    <row r="37" spans="1:47" ht="18.95" customHeight="1">
      <c r="A37" s="3715"/>
      <c r="B37" s="761" t="str">
        <f t="shared" si="0"/>
        <v>Piment</v>
      </c>
      <c r="C37" s="1876">
        <f>IF(G10=1,AH37,IF(G10=2,AL37,IF(G10=3,AP37,IF(G10=4,AT37))))</f>
        <v>0</v>
      </c>
      <c r="D37" s="1877" t="str">
        <f>IF(G10=1,AI37,IF(G10=2,AM37,IF(G10=3,AQ37,IF(G10=4,AU37))))</f>
        <v>pm</v>
      </c>
      <c r="E37" s="1878">
        <f>IF(G10=1,AG37,IF(G10=2,AK37,IF(G10=3,AO37,IF(G10=4,AS37))))</f>
        <v>0</v>
      </c>
      <c r="F37" s="444" t="str">
        <f>IF(G10=1,"",IF(E37=G37,"",AD37))</f>
        <v/>
      </c>
      <c r="G37" s="1879" t="str">
        <f>IF(G10=1,"",IF(G10=2,AJ37,IF(G10=3,AN37,IF(G10=4,AR37))))</f>
        <v/>
      </c>
      <c r="H37" s="445">
        <f>X37/X61</f>
        <v>0</v>
      </c>
      <c r="I37" s="3709"/>
      <c r="J37" s="3710"/>
      <c r="K37" s="1838"/>
      <c r="L37" s="1062"/>
      <c r="M37" s="349"/>
      <c r="N37" s="349"/>
      <c r="O37" s="349"/>
      <c r="P37" s="349"/>
      <c r="Q37" s="349"/>
      <c r="R37" s="773"/>
      <c r="S37" s="133" t="s">
        <v>2310</v>
      </c>
      <c r="T37" s="1880"/>
      <c r="U37" s="1881" t="s">
        <v>214</v>
      </c>
      <c r="V37" s="1882"/>
      <c r="W37" s="446" t="s">
        <v>2224</v>
      </c>
      <c r="X37" s="1883">
        <f t="shared" si="1"/>
        <v>0</v>
      </c>
      <c r="Y37" s="1884">
        <f>(X37/X61)*Y11</f>
        <v>0</v>
      </c>
      <c r="Z37" s="1885" t="str">
        <f>IF(ISBLANK(T37),"",(T37/X61)*Y11)</f>
        <v/>
      </c>
      <c r="AA37" s="1886" t="str">
        <f t="shared" si="15"/>
        <v>pm</v>
      </c>
      <c r="AB37" s="1887"/>
      <c r="AC37" s="512">
        <f>AB11</f>
        <v>0</v>
      </c>
      <c r="AD37" s="512">
        <f t="shared" si="7"/>
        <v>0</v>
      </c>
      <c r="AE37" s="513">
        <f t="shared" si="8"/>
        <v>1</v>
      </c>
      <c r="AG37" s="1888">
        <f>((X37/X11)*AI11)</f>
        <v>0</v>
      </c>
      <c r="AH37" s="1885">
        <f>IF(ISTEXT(T37),T37,IF(ISBLANK(T37),0,(T37/X11)*AI11))</f>
        <v>0</v>
      </c>
      <c r="AI37" s="1889" t="str">
        <f t="shared" si="9"/>
        <v>pm</v>
      </c>
      <c r="AJ37" s="1890">
        <f t="shared" si="10"/>
        <v>0</v>
      </c>
      <c r="AK37" s="1891">
        <f>(X37/X11)*AM11</f>
        <v>0</v>
      </c>
      <c r="AL37" s="1885">
        <f>IF(ISBLANK(T37),0,(T37/X11)*AM11)</f>
        <v>0</v>
      </c>
      <c r="AM37" s="1886" t="str">
        <f t="shared" si="11"/>
        <v>pm</v>
      </c>
      <c r="AN37" s="1891">
        <f t="shared" si="12"/>
        <v>0</v>
      </c>
      <c r="AO37" s="1892">
        <f t="shared" si="13"/>
        <v>0</v>
      </c>
      <c r="AP37" s="1885">
        <f>IF(ISBLANK(T37),0,(T37/X61)*AO62)</f>
        <v>0</v>
      </c>
      <c r="AQ37" s="1886" t="str">
        <f t="shared" si="14"/>
        <v>pm</v>
      </c>
      <c r="AR37" s="1893" t="s">
        <v>2342</v>
      </c>
      <c r="AS37" s="1894" t="s">
        <v>2343</v>
      </c>
      <c r="AT37" s="1894" t="s">
        <v>2344</v>
      </c>
      <c r="AU37" s="1894">
        <v>3</v>
      </c>
    </row>
    <row r="38" spans="1:47" ht="18.95" customHeight="1">
      <c r="A38" s="3715"/>
      <c r="B38" s="761" t="str">
        <f t="shared" si="0"/>
        <v>Pinces de tourteau</v>
      </c>
      <c r="C38" s="1876">
        <f>IF(G10=1,AH38,IF(G10=2,AL38,IF(G10=3,AP38,IF(G10=4,AT38))))</f>
        <v>0</v>
      </c>
      <c r="D38" s="1877">
        <f>IF(G10=1,AI38,IF(G10=2,AM38,IF(G10=3,AQ38,IF(G10=4,AU38))))</f>
        <v>0</v>
      </c>
      <c r="E38" s="1878">
        <f>IF(G10=1,AG38,IF(G10=2,AK38,IF(G10=3,AO38,IF(G10=4,AS38))))</f>
        <v>2.5</v>
      </c>
      <c r="F38" s="444" t="str">
        <f>IF(G10=1,"",IF(E38=G38,"",AD38))</f>
        <v/>
      </c>
      <c r="G38" s="1879" t="str">
        <f>IF(G10=1,"",IF(G10=2,AJ38,IF(G10=3,AN38,IF(G10=4,AR38))))</f>
        <v/>
      </c>
      <c r="H38" s="445">
        <f>X38/X61</f>
        <v>0.35278346151132439</v>
      </c>
      <c r="I38" s="3709"/>
      <c r="J38" s="3710"/>
      <c r="K38" s="1838"/>
      <c r="L38" s="1062"/>
      <c r="M38" s="349"/>
      <c r="N38" s="349"/>
      <c r="O38" s="349"/>
      <c r="P38" s="349"/>
      <c r="Q38" s="349"/>
      <c r="R38" s="773"/>
      <c r="S38" s="133" t="s">
        <v>2310</v>
      </c>
      <c r="T38" s="1880"/>
      <c r="U38" s="1881"/>
      <c r="V38" s="1882">
        <v>1</v>
      </c>
      <c r="W38" s="446" t="s">
        <v>2225</v>
      </c>
      <c r="X38" s="1883">
        <f t="shared" si="1"/>
        <v>1</v>
      </c>
      <c r="Y38" s="1884">
        <f>(X38/X61)*Y11</f>
        <v>0.35278346151132439</v>
      </c>
      <c r="Z38" s="1885" t="str">
        <f>IF(ISBLANK(T38),"",(T38/X61)*Y11)</f>
        <v/>
      </c>
      <c r="AA38" s="1886">
        <f t="shared" si="15"/>
        <v>0</v>
      </c>
      <c r="AB38" s="1887"/>
      <c r="AC38" s="512">
        <f>AB11</f>
        <v>0</v>
      </c>
      <c r="AD38" s="512">
        <f t="shared" si="7"/>
        <v>0</v>
      </c>
      <c r="AE38" s="513">
        <f t="shared" si="8"/>
        <v>1</v>
      </c>
      <c r="AG38" s="1888">
        <f>((X38/X11)*AI11)</f>
        <v>2.5</v>
      </c>
      <c r="AH38" s="1885">
        <f>IF(ISTEXT(T38),T38,IF(ISBLANK(T38),0,(T38/X11)*AI11))</f>
        <v>0</v>
      </c>
      <c r="AI38" s="1889">
        <f t="shared" si="9"/>
        <v>0</v>
      </c>
      <c r="AJ38" s="1890">
        <f t="shared" si="10"/>
        <v>2.5</v>
      </c>
      <c r="AK38" s="1891">
        <f>(X38/X11)*AM11</f>
        <v>2.5</v>
      </c>
      <c r="AL38" s="1885">
        <f>IF(ISBLANK(T38),0,(T38/X11)*AM11)</f>
        <v>0</v>
      </c>
      <c r="AM38" s="1886">
        <f t="shared" si="11"/>
        <v>0</v>
      </c>
      <c r="AN38" s="1891">
        <f t="shared" si="12"/>
        <v>2.5</v>
      </c>
      <c r="AO38" s="1892">
        <f t="shared" si="13"/>
        <v>2.5</v>
      </c>
      <c r="AP38" s="1885">
        <f>IF(ISBLANK(T38),0,(T38/X61)*AO62)</f>
        <v>0</v>
      </c>
      <c r="AQ38" s="1886">
        <f t="shared" si="14"/>
        <v>0</v>
      </c>
      <c r="AR38" s="1893" t="s">
        <v>2342</v>
      </c>
      <c r="AS38" s="1894" t="s">
        <v>2343</v>
      </c>
      <c r="AT38" s="1894" t="s">
        <v>2344</v>
      </c>
      <c r="AU38" s="1894">
        <v>3</v>
      </c>
    </row>
    <row r="39" spans="1:47" ht="18.95" customHeight="1">
      <c r="A39" s="3715"/>
      <c r="B39" s="761" t="str">
        <f t="shared" si="0"/>
        <v>Poireau</v>
      </c>
      <c r="C39" s="1876">
        <f>IF(G10=1,AH39,IF(G10=2,AL39,IF(G10=3,AP39,IF(G10=4,AT39))))</f>
        <v>2.5</v>
      </c>
      <c r="D39" s="1877" t="str">
        <f>IF(G10=1,AI39,IF(G10=2,AM39,IF(G10=3,AQ39,IF(G10=4,AU39))))</f>
        <v>pce</v>
      </c>
      <c r="E39" s="1878">
        <f>IF(G10=1,AG39,IF(G10=2,AK39,IF(G10=3,AO39,IF(G10=4,AS39))))</f>
        <v>0</v>
      </c>
      <c r="F39" s="444" t="str">
        <f>IF(G10=1,"",IF(E39=G39,"",AD39))</f>
        <v/>
      </c>
      <c r="G39" s="1879" t="str">
        <f>IF(G10=1,"",IF(G10=2,AJ39,IF(G10=3,AN39,IF(G10=4,AR39))))</f>
        <v/>
      </c>
      <c r="H39" s="445">
        <f>X39/X61</f>
        <v>0</v>
      </c>
      <c r="I39" s="3709"/>
      <c r="J39" s="3710"/>
      <c r="K39" s="1838"/>
      <c r="L39" s="1062"/>
      <c r="M39" s="349"/>
      <c r="N39" s="349"/>
      <c r="O39" s="349"/>
      <c r="P39" s="349"/>
      <c r="Q39" s="349"/>
      <c r="R39" s="773"/>
      <c r="S39" s="133" t="s">
        <v>2310</v>
      </c>
      <c r="T39" s="1880">
        <v>1</v>
      </c>
      <c r="U39" s="1881" t="s">
        <v>2236</v>
      </c>
      <c r="V39" s="1882"/>
      <c r="W39" s="446" t="s">
        <v>2226</v>
      </c>
      <c r="X39" s="1883">
        <f t="shared" si="1"/>
        <v>0</v>
      </c>
      <c r="Y39" s="1884">
        <f>(X39/X61)*Y11</f>
        <v>0</v>
      </c>
      <c r="Z39" s="1885">
        <f>IF(ISBLANK(T39),"",(T39/X61)*Y11)</f>
        <v>0.35278346151132439</v>
      </c>
      <c r="AA39" s="1886" t="str">
        <f t="shared" si="15"/>
        <v>pce</v>
      </c>
      <c r="AB39" s="1887"/>
      <c r="AC39" s="512">
        <f>AB11</f>
        <v>0</v>
      </c>
      <c r="AD39" s="512">
        <f t="shared" si="7"/>
        <v>0</v>
      </c>
      <c r="AE39" s="513">
        <f t="shared" si="8"/>
        <v>1</v>
      </c>
      <c r="AG39" s="1888">
        <f>((X39/X11)*AI11)</f>
        <v>0</v>
      </c>
      <c r="AH39" s="1885">
        <f>IF(ISTEXT(T39),T39,IF(ISBLANK(T39),0,(T39/X11)*AI11))</f>
        <v>2.5</v>
      </c>
      <c r="AI39" s="1889" t="str">
        <f t="shared" si="9"/>
        <v>pce</v>
      </c>
      <c r="AJ39" s="1890">
        <f t="shared" si="10"/>
        <v>0</v>
      </c>
      <c r="AK39" s="1891">
        <f>(X39/X11)*AM11</f>
        <v>0</v>
      </c>
      <c r="AL39" s="1885">
        <f>IF(ISBLANK(T39),0,(T39/X11)*AM11)</f>
        <v>2.5</v>
      </c>
      <c r="AM39" s="1886" t="str">
        <f t="shared" si="11"/>
        <v>pce</v>
      </c>
      <c r="AN39" s="1891">
        <f t="shared" si="12"/>
        <v>0</v>
      </c>
      <c r="AO39" s="1892">
        <f t="shared" si="13"/>
        <v>0</v>
      </c>
      <c r="AP39" s="1885">
        <f>IF(ISBLANK(T39),0,(T39/X61)*AO62)</f>
        <v>2.5000000000000004</v>
      </c>
      <c r="AQ39" s="1886" t="str">
        <f t="shared" si="14"/>
        <v>pce</v>
      </c>
      <c r="AR39" s="1893" t="s">
        <v>2342</v>
      </c>
      <c r="AS39" s="1894" t="s">
        <v>2343</v>
      </c>
      <c r="AT39" s="1894" t="s">
        <v>2344</v>
      </c>
      <c r="AU39" s="1894">
        <v>3</v>
      </c>
    </row>
    <row r="40" spans="1:47" ht="18.95" customHeight="1">
      <c r="A40" s="3715"/>
      <c r="B40" s="761" t="str">
        <f t="shared" si="0"/>
        <v>Purée de mangue</v>
      </c>
      <c r="C40" s="1876">
        <f>IF(G10=1,AH40,IF(G10=2,AL40,IF(G10=3,AP40,IF(G10=4,AT40))))</f>
        <v>0</v>
      </c>
      <c r="D40" s="1877">
        <f>IF(G10=1,AI40,IF(G10=2,AM40,IF(G10=3,AQ40,IF(G10=4,AU40))))</f>
        <v>0</v>
      </c>
      <c r="E40" s="1878">
        <f>IF(G10=1,AG40,IF(G10=2,AK40,IF(G10=3,AO40,IF(G10=4,AS40))))</f>
        <v>0.625</v>
      </c>
      <c r="F40" s="444" t="str">
        <f>IF(G10=1,"",IF(E40=G40,"",AD40))</f>
        <v/>
      </c>
      <c r="G40" s="1879" t="str">
        <f>IF(G10=1,"",IF(G10=2,AJ40,IF(G10=3,AN40,IF(G10=4,AR40))))</f>
        <v/>
      </c>
      <c r="H40" s="445">
        <f>X40/X61</f>
        <v>8.8195865377831098E-2</v>
      </c>
      <c r="I40" s="3709"/>
      <c r="J40" s="3710"/>
      <c r="K40" s="1838"/>
      <c r="L40" s="1062"/>
      <c r="M40" s="349"/>
      <c r="N40" s="349"/>
      <c r="O40" s="349"/>
      <c r="P40" s="349"/>
      <c r="Q40" s="349"/>
      <c r="R40" s="773"/>
      <c r="S40" s="133" t="s">
        <v>2310</v>
      </c>
      <c r="T40" s="1880"/>
      <c r="U40" s="1881"/>
      <c r="V40" s="1882">
        <v>0.25</v>
      </c>
      <c r="W40" s="446" t="s">
        <v>2227</v>
      </c>
      <c r="X40" s="1883">
        <f t="shared" si="1"/>
        <v>0.25</v>
      </c>
      <c r="Y40" s="1884">
        <f>(X40/X61)*Y11</f>
        <v>8.8195865377831098E-2</v>
      </c>
      <c r="Z40" s="1885" t="str">
        <f>IF(ISBLANK(T40),"",(T40/X61)*Y11)</f>
        <v/>
      </c>
      <c r="AA40" s="1886">
        <f t="shared" si="15"/>
        <v>0</v>
      </c>
      <c r="AB40" s="1887"/>
      <c r="AC40" s="512">
        <f>AB11</f>
        <v>0</v>
      </c>
      <c r="AD40" s="512">
        <f t="shared" si="7"/>
        <v>0</v>
      </c>
      <c r="AE40" s="513">
        <f t="shared" si="8"/>
        <v>1</v>
      </c>
      <c r="AG40" s="1888">
        <f>((X40/X11)*AI11)</f>
        <v>0.625</v>
      </c>
      <c r="AH40" s="1885">
        <f>IF(ISTEXT(T40),T40,IF(ISBLANK(T40),0,(T40/X11)*AI11))</f>
        <v>0</v>
      </c>
      <c r="AI40" s="1889">
        <f t="shared" si="9"/>
        <v>0</v>
      </c>
      <c r="AJ40" s="1890">
        <f t="shared" si="10"/>
        <v>0.625</v>
      </c>
      <c r="AK40" s="1891">
        <f>(X40/X11)*AM11</f>
        <v>0.625</v>
      </c>
      <c r="AL40" s="1885">
        <f>IF(ISBLANK(T40),0,(T40/X11)*AM11)</f>
        <v>0</v>
      </c>
      <c r="AM40" s="1886">
        <f t="shared" si="11"/>
        <v>0</v>
      </c>
      <c r="AN40" s="1891">
        <f t="shared" si="12"/>
        <v>0.625</v>
      </c>
      <c r="AO40" s="1892">
        <f t="shared" si="13"/>
        <v>0.625</v>
      </c>
      <c r="AP40" s="1885">
        <f>IF(ISBLANK(T40),0,(T40/X61)*AO62)</f>
        <v>0</v>
      </c>
      <c r="AQ40" s="1886">
        <f t="shared" si="14"/>
        <v>0</v>
      </c>
      <c r="AR40" s="1893" t="s">
        <v>2342</v>
      </c>
      <c r="AS40" s="1894" t="s">
        <v>2343</v>
      </c>
      <c r="AT40" s="1894" t="s">
        <v>2344</v>
      </c>
      <c r="AU40" s="1894">
        <v>3</v>
      </c>
    </row>
    <row r="41" spans="1:47" ht="18.95" customHeight="1">
      <c r="A41" s="3715"/>
      <c r="B41" s="761" t="str">
        <f t="shared" si="0"/>
        <v>Purée passion</v>
      </c>
      <c r="C41" s="1876">
        <f>IF(G10=1,AH41,IF(G10=2,AL41,IF(G10=3,AP41,IF(G10=4,AT41))))</f>
        <v>0</v>
      </c>
      <c r="D41" s="1877">
        <f>IF(G10=1,AI41,IF(G10=2,AM41,IF(G10=3,AQ41,IF(G10=4,AU41))))</f>
        <v>0</v>
      </c>
      <c r="E41" s="1878">
        <f>IF(G10=1,AG41,IF(G10=2,AK41,IF(G10=3,AO41,IF(G10=4,AS41))))</f>
        <v>0.125</v>
      </c>
      <c r="F41" s="444" t="str">
        <f>IF(G10=1,"",IF(E41=G41,"",AD41))</f>
        <v/>
      </c>
      <c r="G41" s="1879" t="str">
        <f>IF(G10=1,"",IF(G10=2,AJ41,IF(G10=3,AN41,IF(G10=4,AR41))))</f>
        <v/>
      </c>
      <c r="H41" s="445">
        <f>X41/X61</f>
        <v>1.7639173075566221E-2</v>
      </c>
      <c r="I41" s="3709"/>
      <c r="J41" s="3710"/>
      <c r="K41" s="1838"/>
      <c r="L41" s="1062"/>
      <c r="M41" s="349"/>
      <c r="N41" s="349"/>
      <c r="O41" s="349"/>
      <c r="P41" s="349"/>
      <c r="Q41" s="349"/>
      <c r="R41" s="773"/>
      <c r="S41" s="133" t="s">
        <v>2310</v>
      </c>
      <c r="T41" s="1880"/>
      <c r="U41" s="1881"/>
      <c r="V41" s="1882">
        <v>0.05</v>
      </c>
      <c r="W41" s="446" t="s">
        <v>2228</v>
      </c>
      <c r="X41" s="1883">
        <f t="shared" si="1"/>
        <v>0.05</v>
      </c>
      <c r="Y41" s="1884">
        <f>(X41/X61)*Y11</f>
        <v>1.7639173075566221E-2</v>
      </c>
      <c r="Z41" s="1885" t="str">
        <f>IF(ISBLANK(T41),"",(T41/X61)*Y11)</f>
        <v/>
      </c>
      <c r="AA41" s="1886">
        <f t="shared" si="15"/>
        <v>0</v>
      </c>
      <c r="AB41" s="1887"/>
      <c r="AC41" s="512">
        <f>AB11</f>
        <v>0</v>
      </c>
      <c r="AD41" s="512">
        <f t="shared" si="7"/>
        <v>0</v>
      </c>
      <c r="AE41" s="513">
        <f t="shared" si="8"/>
        <v>1</v>
      </c>
      <c r="AG41" s="1888">
        <f>((X41/X11)*AI11)</f>
        <v>0.125</v>
      </c>
      <c r="AH41" s="1885">
        <f>IF(ISTEXT(T41),T41,IF(ISBLANK(T41),0,(T41/X11)*AI11))</f>
        <v>0</v>
      </c>
      <c r="AI41" s="1889">
        <f t="shared" si="9"/>
        <v>0</v>
      </c>
      <c r="AJ41" s="1890">
        <f t="shared" si="10"/>
        <v>0.125</v>
      </c>
      <c r="AK41" s="1891">
        <f>(X41/X11)*AM11</f>
        <v>0.125</v>
      </c>
      <c r="AL41" s="1885">
        <f>IF(ISBLANK(T41),0,(T41/X11)*AM11)</f>
        <v>0</v>
      </c>
      <c r="AM41" s="1886">
        <f t="shared" si="11"/>
        <v>0</v>
      </c>
      <c r="AN41" s="1891">
        <f t="shared" si="12"/>
        <v>0.125</v>
      </c>
      <c r="AO41" s="1892">
        <f t="shared" si="13"/>
        <v>0.125</v>
      </c>
      <c r="AP41" s="1885">
        <f>IF(ISBLANK(T41),0,(T41/X61)*AO62)</f>
        <v>0</v>
      </c>
      <c r="AQ41" s="1886">
        <f t="shared" si="14"/>
        <v>0</v>
      </c>
      <c r="AR41" s="1893" t="s">
        <v>2342</v>
      </c>
      <c r="AS41" s="1894" t="s">
        <v>2343</v>
      </c>
      <c r="AT41" s="1894" t="s">
        <v>2344</v>
      </c>
      <c r="AU41" s="1894">
        <v>3</v>
      </c>
    </row>
    <row r="42" spans="1:47" ht="18.95" customHeight="1">
      <c r="A42" s="3715"/>
      <c r="B42" s="761" t="str">
        <f t="shared" si="0"/>
        <v>Vinaigre de xérès</v>
      </c>
      <c r="C42" s="1876">
        <f>IF(G10=1,AH42,IF(G10=2,AL42,IF(G10=3,AP42,IF(G10=4,AT42))))</f>
        <v>0</v>
      </c>
      <c r="D42" s="1877">
        <f>IF(G10=1,AI42,IF(G10=2,AM42,IF(G10=3,AQ42,IF(G10=4,AU42))))</f>
        <v>0</v>
      </c>
      <c r="E42" s="1878">
        <f>IF(G10=1,AG42,IF(G10=2,AK42,IF(G10=3,AO42,IF(G10=4,AS42))))</f>
        <v>0.05</v>
      </c>
      <c r="F42" s="444" t="str">
        <f>IF(G10=1,"",IF(E42=G42,"",AD42))</f>
        <v/>
      </c>
      <c r="G42" s="1879" t="str">
        <f>IF(G10=1,"",IF(G10=2,AJ42,IF(G10=3,AN42,IF(G10=4,AR42))))</f>
        <v/>
      </c>
      <c r="H42" s="445">
        <f>X42/X61</f>
        <v>7.0556692302264886E-3</v>
      </c>
      <c r="I42" s="3709"/>
      <c r="J42" s="3710"/>
      <c r="K42" s="1838"/>
      <c r="L42" s="1062"/>
      <c r="M42" s="349"/>
      <c r="N42" s="349"/>
      <c r="O42" s="349"/>
      <c r="P42" s="349"/>
      <c r="Q42" s="349"/>
      <c r="R42" s="773"/>
      <c r="S42" s="133" t="s">
        <v>2310</v>
      </c>
      <c r="T42" s="1880"/>
      <c r="U42" s="1881"/>
      <c r="V42" s="1882">
        <v>0.02</v>
      </c>
      <c r="W42" s="446" t="s">
        <v>2229</v>
      </c>
      <c r="X42" s="1883">
        <f t="shared" si="1"/>
        <v>0.02</v>
      </c>
      <c r="Y42" s="1884">
        <f>(X42/X61)*Y11</f>
        <v>7.0556692302264886E-3</v>
      </c>
      <c r="Z42" s="1885" t="str">
        <f>IF(ISBLANK(T42),"",(T42/X61)*Y11)</f>
        <v/>
      </c>
      <c r="AA42" s="1886">
        <f t="shared" si="15"/>
        <v>0</v>
      </c>
      <c r="AB42" s="1887"/>
      <c r="AC42" s="512">
        <f>AB11</f>
        <v>0</v>
      </c>
      <c r="AD42" s="512">
        <f t="shared" si="7"/>
        <v>0</v>
      </c>
      <c r="AE42" s="513">
        <f t="shared" si="8"/>
        <v>1</v>
      </c>
      <c r="AG42" s="1888">
        <f>((X42/X11)*AI11)</f>
        <v>0.05</v>
      </c>
      <c r="AH42" s="1885">
        <f>IF(ISTEXT(T42),T42,IF(ISBLANK(T42),0,(T42/X11)*AI11))</f>
        <v>0</v>
      </c>
      <c r="AI42" s="1889">
        <f t="shared" si="9"/>
        <v>0</v>
      </c>
      <c r="AJ42" s="1890">
        <f t="shared" si="10"/>
        <v>0.05</v>
      </c>
      <c r="AK42" s="1891">
        <f>(X42/X11)*AM11</f>
        <v>0.05</v>
      </c>
      <c r="AL42" s="1885">
        <f>IF(ISBLANK(T42),0,(T42/X11)*AM11)</f>
        <v>0</v>
      </c>
      <c r="AM42" s="1886">
        <f t="shared" si="11"/>
        <v>0</v>
      </c>
      <c r="AN42" s="1891">
        <f t="shared" si="12"/>
        <v>0.05</v>
      </c>
      <c r="AO42" s="1892">
        <f t="shared" si="13"/>
        <v>0.05</v>
      </c>
      <c r="AP42" s="1885">
        <f>IF(ISBLANK(T42),0,(T42/X61)*AO62)</f>
        <v>0</v>
      </c>
      <c r="AQ42" s="1886">
        <f t="shared" si="14"/>
        <v>0</v>
      </c>
      <c r="AR42" s="1893" t="s">
        <v>2342</v>
      </c>
      <c r="AS42" s="1894" t="s">
        <v>2343</v>
      </c>
      <c r="AT42" s="1894" t="s">
        <v>2344</v>
      </c>
      <c r="AU42" s="1894">
        <v>3</v>
      </c>
    </row>
    <row r="43" spans="1:47" ht="18.95" customHeight="1">
      <c r="A43" s="3715"/>
      <c r="B43" s="761">
        <f t="shared" ref="B43:B57" si="16">W43</f>
        <v>0</v>
      </c>
      <c r="C43" s="1876">
        <f>IF(G10=1,AH43,IF(G10=2,AL43,IF(G10=3,AP43,IF(G10=4,AT43))))</f>
        <v>0</v>
      </c>
      <c r="D43" s="1877">
        <f>IF(G10=1,AI43,IF(G10=2,AM43,IF(G10=3,AQ43,IF(G10=4,AU43))))</f>
        <v>0</v>
      </c>
      <c r="E43" s="1878">
        <f>IF(G10=1,AG43,IF(G10=2,AK43,IF(G10=3,AO43,IF(G10=4,AS43))))</f>
        <v>0</v>
      </c>
      <c r="F43" s="444" t="str">
        <f>IF(G10=1,"",IF(E43=G43,"",AD43))</f>
        <v/>
      </c>
      <c r="G43" s="1879" t="str">
        <f>IF(G10=1,"",IF(G10=2,AJ43,IF(G10=3,AN43,IF(G10=4,AR43))))</f>
        <v/>
      </c>
      <c r="H43" s="445">
        <f>X43/X61</f>
        <v>0</v>
      </c>
      <c r="I43" s="3709"/>
      <c r="J43" s="3710"/>
      <c r="K43" s="1838"/>
      <c r="L43" s="1062"/>
      <c r="M43" s="349"/>
      <c r="N43" s="349"/>
      <c r="O43" s="349"/>
      <c r="P43" s="349"/>
      <c r="Q43" s="349"/>
      <c r="R43" s="773"/>
      <c r="S43" s="133" t="s">
        <v>2310</v>
      </c>
      <c r="T43" s="1880"/>
      <c r="U43" s="1881"/>
      <c r="V43" s="1882"/>
      <c r="W43" s="446"/>
      <c r="X43" s="1883">
        <f t="shared" si="1"/>
        <v>0</v>
      </c>
      <c r="Y43" s="1884">
        <f>(X43/X61)*Y11</f>
        <v>0</v>
      </c>
      <c r="Z43" s="1885" t="str">
        <f>IF(ISBLANK(T43),"",(T43/X61)*Y11)</f>
        <v/>
      </c>
      <c r="AA43" s="1886">
        <f t="shared" si="15"/>
        <v>0</v>
      </c>
      <c r="AB43" s="1887"/>
      <c r="AC43" s="512">
        <f>AB11</f>
        <v>0</v>
      </c>
      <c r="AD43" s="512">
        <f t="shared" si="7"/>
        <v>0</v>
      </c>
      <c r="AE43" s="513">
        <f t="shared" si="8"/>
        <v>1</v>
      </c>
      <c r="AG43" s="1888">
        <f>((X43/X11)*AI11)</f>
        <v>0</v>
      </c>
      <c r="AH43" s="1885">
        <f>IF(ISTEXT(T43),T43,IF(ISBLANK(T43),0,(T43/X11)*AI11))</f>
        <v>0</v>
      </c>
      <c r="AI43" s="1889">
        <f t="shared" si="9"/>
        <v>0</v>
      </c>
      <c r="AJ43" s="1890">
        <f t="shared" si="10"/>
        <v>0</v>
      </c>
      <c r="AK43" s="1891">
        <f>(X43/X11)*AM11</f>
        <v>0</v>
      </c>
      <c r="AL43" s="1885">
        <f>IF(ISBLANK(T43),0,(T43/X11)*AM11)</f>
        <v>0</v>
      </c>
      <c r="AM43" s="1886">
        <f t="shared" si="11"/>
        <v>0</v>
      </c>
      <c r="AN43" s="1891">
        <f t="shared" si="12"/>
        <v>0</v>
      </c>
      <c r="AO43" s="1892">
        <f t="shared" si="13"/>
        <v>0</v>
      </c>
      <c r="AP43" s="1885">
        <f>IF(ISBLANK(T43),0,(T43/X61)*AO62)</f>
        <v>0</v>
      </c>
      <c r="AQ43" s="1886">
        <f t="shared" si="14"/>
        <v>0</v>
      </c>
      <c r="AR43" s="1893" t="s">
        <v>2342</v>
      </c>
      <c r="AS43" s="1894" t="s">
        <v>2343</v>
      </c>
      <c r="AT43" s="1894" t="s">
        <v>2344</v>
      </c>
      <c r="AU43" s="1894">
        <v>3</v>
      </c>
    </row>
    <row r="44" spans="1:47" ht="18.95" customHeight="1">
      <c r="A44" s="3715"/>
      <c r="B44" s="767" t="str">
        <f t="shared" si="16"/>
        <v>ETAPE 4 : Coulis de mangue acidulé</v>
      </c>
      <c r="C44" s="1876">
        <f>IF(G10=1,AH44,IF(G10=2,AL44,IF(G10=3,AP44,IF(G10=4,AT44))))</f>
        <v>0</v>
      </c>
      <c r="D44" s="1877">
        <f>IF(G10=1,AI44,IF(G10=2,AM44,IF(G10=3,AQ44,IF(G10=4,AU44))))</f>
        <v>0</v>
      </c>
      <c r="E44" s="1878">
        <f>IF(G10=1,AG44,IF(G10=2,AK44,IF(G10=3,AO44,IF(G10=4,AS44))))</f>
        <v>0</v>
      </c>
      <c r="F44" s="444" t="str">
        <f>IF(G10=1,"",IF(E44=G44,"",AD44))</f>
        <v/>
      </c>
      <c r="G44" s="1879" t="str">
        <f>IF(G10=1,"",IF(G10=2,AJ44,IF(G10=3,AN44,IF(G10=4,AR44))))</f>
        <v/>
      </c>
      <c r="H44" s="445">
        <f>X44/X61</f>
        <v>0</v>
      </c>
      <c r="I44" s="3709"/>
      <c r="J44" s="3710"/>
      <c r="K44" s="1838"/>
      <c r="L44" s="1062"/>
      <c r="M44" s="349" t="s">
        <v>2237</v>
      </c>
      <c r="N44" s="349"/>
      <c r="O44" s="349"/>
      <c r="P44" s="349"/>
      <c r="Q44" s="349"/>
      <c r="R44" s="773"/>
      <c r="S44" s="133" t="s">
        <v>2310</v>
      </c>
      <c r="T44" s="1880"/>
      <c r="U44" s="1881"/>
      <c r="V44" s="1882"/>
      <c r="W44" s="446" t="s">
        <v>2237</v>
      </c>
      <c r="X44" s="1883">
        <f t="shared" si="1"/>
        <v>0</v>
      </c>
      <c r="Y44" s="1884">
        <f>(X44/X61)*Y11</f>
        <v>0</v>
      </c>
      <c r="Z44" s="1885" t="str">
        <f>IF(ISBLANK(T44),"",(T44/X61)*Y11)</f>
        <v/>
      </c>
      <c r="AA44" s="1886">
        <f t="shared" si="15"/>
        <v>0</v>
      </c>
      <c r="AB44" s="1887"/>
      <c r="AC44" s="512">
        <f>AB11</f>
        <v>0</v>
      </c>
      <c r="AD44" s="512">
        <f t="shared" si="7"/>
        <v>0</v>
      </c>
      <c r="AE44" s="513">
        <f t="shared" si="8"/>
        <v>1</v>
      </c>
      <c r="AG44" s="1888">
        <f>((X44/X11)*AI11)</f>
        <v>0</v>
      </c>
      <c r="AH44" s="1885">
        <f>IF(ISTEXT(T44),T44,IF(ISBLANK(T44),0,(T44/X11)*AI11))</f>
        <v>0</v>
      </c>
      <c r="AI44" s="1889">
        <f t="shared" si="9"/>
        <v>0</v>
      </c>
      <c r="AJ44" s="1890">
        <f t="shared" si="10"/>
        <v>0</v>
      </c>
      <c r="AK44" s="1891">
        <f>(X44/X11)*AM11</f>
        <v>0</v>
      </c>
      <c r="AL44" s="1885">
        <f>IF(ISBLANK(T44),0,(T44/X11)*AM11)</f>
        <v>0</v>
      </c>
      <c r="AM44" s="1886">
        <f t="shared" si="11"/>
        <v>0</v>
      </c>
      <c r="AN44" s="1891">
        <f t="shared" si="12"/>
        <v>0</v>
      </c>
      <c r="AO44" s="1892">
        <f t="shared" si="13"/>
        <v>0</v>
      </c>
      <c r="AP44" s="1885">
        <f>IF(ISBLANK(T44),0,(T44/X61)*AO62)</f>
        <v>0</v>
      </c>
      <c r="AQ44" s="1886">
        <f t="shared" si="14"/>
        <v>0</v>
      </c>
      <c r="AR44" s="1893" t="s">
        <v>2342</v>
      </c>
      <c r="AS44" s="1894" t="s">
        <v>2343</v>
      </c>
      <c r="AT44" s="1894" t="s">
        <v>2344</v>
      </c>
      <c r="AU44" s="1894">
        <v>3</v>
      </c>
    </row>
    <row r="45" spans="1:47" ht="18.95" customHeight="1">
      <c r="A45" s="3715"/>
      <c r="B45" s="761" t="str">
        <f t="shared" si="16"/>
        <v>Purée de mangue</v>
      </c>
      <c r="C45" s="1876">
        <f>IF(G10=1,AH45,IF(G10=2,AL45,IF(G10=3,AP45,IF(G10=4,AT45))))</f>
        <v>0</v>
      </c>
      <c r="D45" s="1877">
        <f>IF(G10=1,AI45,IF(G10=2,AM45,IF(G10=3,AQ45,IF(G10=4,AU45))))</f>
        <v>0</v>
      </c>
      <c r="E45" s="1878">
        <f>IF(G10=1,AG45,IF(G10=2,AK45,IF(G10=3,AO45,IF(G10=4,AS45))))</f>
        <v>0.375</v>
      </c>
      <c r="F45" s="444" t="str">
        <f>IF(G10=1,"",IF(E45=G45,"",AD45))</f>
        <v/>
      </c>
      <c r="G45" s="1879" t="str">
        <f>IF(G10=1,"",IF(G10=2,AJ45,IF(G10=3,AN45,IF(G10=4,AR45))))</f>
        <v/>
      </c>
      <c r="H45" s="445">
        <f>X45/X61</f>
        <v>5.2917519226698656E-2</v>
      </c>
      <c r="I45" s="3709"/>
      <c r="J45" s="3710"/>
      <c r="K45" s="1838"/>
      <c r="L45" s="1062">
        <v>1</v>
      </c>
      <c r="M45" s="349" t="s">
        <v>2377</v>
      </c>
      <c r="N45" s="349"/>
      <c r="O45" s="349"/>
      <c r="P45" s="349"/>
      <c r="Q45" s="349"/>
      <c r="R45" s="773"/>
      <c r="S45" s="133" t="s">
        <v>2310</v>
      </c>
      <c r="T45" s="1880"/>
      <c r="U45" s="1881"/>
      <c r="V45" s="1882">
        <v>0.15</v>
      </c>
      <c r="W45" s="446" t="s">
        <v>2227</v>
      </c>
      <c r="X45" s="1883">
        <f t="shared" si="1"/>
        <v>0.15</v>
      </c>
      <c r="Y45" s="1884">
        <f>(X45/X61)*Y11</f>
        <v>5.2917519226698656E-2</v>
      </c>
      <c r="Z45" s="1885" t="str">
        <f>IF(ISBLANK(T45),"",(T45/X61)*Y11)</f>
        <v/>
      </c>
      <c r="AA45" s="1886">
        <f t="shared" si="15"/>
        <v>0</v>
      </c>
      <c r="AB45" s="1887"/>
      <c r="AC45" s="512">
        <f>AB11</f>
        <v>0</v>
      </c>
      <c r="AD45" s="512">
        <f t="shared" si="7"/>
        <v>0</v>
      </c>
      <c r="AE45" s="513">
        <f t="shared" si="8"/>
        <v>1</v>
      </c>
      <c r="AG45" s="1888">
        <f>((X45/X11)*AI11)</f>
        <v>0.375</v>
      </c>
      <c r="AH45" s="1885">
        <f>IF(ISTEXT(T45),T45,IF(ISBLANK(T45),0,(T45/X11)*AI11))</f>
        <v>0</v>
      </c>
      <c r="AI45" s="1889">
        <f t="shared" si="9"/>
        <v>0</v>
      </c>
      <c r="AJ45" s="1890">
        <f t="shared" si="10"/>
        <v>0.375</v>
      </c>
      <c r="AK45" s="1891">
        <f>(X45/X11)*AM11</f>
        <v>0.375</v>
      </c>
      <c r="AL45" s="1885">
        <f>IF(ISBLANK(T45),0,(T45/X11)*AM11)</f>
        <v>0</v>
      </c>
      <c r="AM45" s="1886">
        <f t="shared" si="11"/>
        <v>0</v>
      </c>
      <c r="AN45" s="1891">
        <f t="shared" si="12"/>
        <v>0.375</v>
      </c>
      <c r="AO45" s="1892">
        <f t="shared" si="13"/>
        <v>0.375</v>
      </c>
      <c r="AP45" s="1885">
        <f>IF(ISBLANK(T45),0,(T45/X61)*AO62)</f>
        <v>0</v>
      </c>
      <c r="AQ45" s="1886">
        <f t="shared" si="14"/>
        <v>0</v>
      </c>
      <c r="AR45" s="1893" t="s">
        <v>2342</v>
      </c>
      <c r="AS45" s="1894" t="s">
        <v>2343</v>
      </c>
      <c r="AT45" s="1894" t="s">
        <v>2344</v>
      </c>
      <c r="AU45" s="1894">
        <v>3</v>
      </c>
    </row>
    <row r="46" spans="1:47" ht="18.95" customHeight="1">
      <c r="A46" s="3715"/>
      <c r="B46" s="761" t="str">
        <f t="shared" si="16"/>
        <v>Vinaigre balsamique blanc</v>
      </c>
      <c r="C46" s="1876">
        <f>IF(G10=1,AH46,IF(G10=2,AL46,IF(G10=3,AP46,IF(G10=4,AT46))))</f>
        <v>0</v>
      </c>
      <c r="D46" s="1877">
        <f>IF(G10=1,AI46,IF(G10=2,AM46,IF(G10=3,AQ46,IF(G10=4,AU46))))</f>
        <v>0</v>
      </c>
      <c r="E46" s="1878">
        <f>IF(G10=1,AG46,IF(G10=2,AK46,IF(G10=3,AO46,IF(G10=4,AS46))))</f>
        <v>7.4999999999999997E-2</v>
      </c>
      <c r="F46" s="444" t="str">
        <f>IF(G10=1,"",IF(E46=G46,"",AD46))</f>
        <v/>
      </c>
      <c r="G46" s="1879" t="str">
        <f>IF(G10=1,"",IF(G10=2,AJ46,IF(G10=3,AN46,IF(G10=4,AR46))))</f>
        <v/>
      </c>
      <c r="H46" s="445">
        <f>X46/X61</f>
        <v>1.0583503845339732E-2</v>
      </c>
      <c r="I46" s="3709"/>
      <c r="J46" s="3710"/>
      <c r="K46" s="1838"/>
      <c r="L46" s="1062"/>
      <c r="M46" s="349"/>
      <c r="N46" s="349"/>
      <c r="O46" s="349"/>
      <c r="P46" s="349"/>
      <c r="Q46" s="349"/>
      <c r="R46" s="773"/>
      <c r="S46" s="133" t="s">
        <v>2310</v>
      </c>
      <c r="T46" s="1880"/>
      <c r="U46" s="1881"/>
      <c r="V46" s="1882">
        <v>0.03</v>
      </c>
      <c r="W46" s="446" t="s">
        <v>2238</v>
      </c>
      <c r="X46" s="1883">
        <f t="shared" si="1"/>
        <v>0.03</v>
      </c>
      <c r="Y46" s="1884">
        <f>(X46/X61)*Y11</f>
        <v>1.0583503845339732E-2</v>
      </c>
      <c r="Z46" s="1885" t="str">
        <f>IF(ISBLANK(T46),"",(T46/X61)*Y11)</f>
        <v/>
      </c>
      <c r="AA46" s="1886">
        <f t="shared" si="15"/>
        <v>0</v>
      </c>
      <c r="AB46" s="1887"/>
      <c r="AC46" s="512">
        <f>AB11</f>
        <v>0</v>
      </c>
      <c r="AD46" s="512">
        <f t="shared" si="7"/>
        <v>0</v>
      </c>
      <c r="AE46" s="513">
        <f t="shared" si="8"/>
        <v>1</v>
      </c>
      <c r="AG46" s="1888">
        <f>((X46/X11)*AI11)</f>
        <v>7.4999999999999997E-2</v>
      </c>
      <c r="AH46" s="1885">
        <f>IF(ISTEXT(T46),T46,IF(ISBLANK(T46),0,(T46/X11)*AI11))</f>
        <v>0</v>
      </c>
      <c r="AI46" s="1889">
        <f t="shared" si="9"/>
        <v>0</v>
      </c>
      <c r="AJ46" s="1890">
        <f t="shared" si="10"/>
        <v>7.4999999999999997E-2</v>
      </c>
      <c r="AK46" s="1891">
        <f>(X46/X11)*AM11</f>
        <v>7.4999999999999997E-2</v>
      </c>
      <c r="AL46" s="1885">
        <f>IF(ISBLANK(T46),0,(T46/X11)*AM11)</f>
        <v>0</v>
      </c>
      <c r="AM46" s="1886">
        <f t="shared" si="11"/>
        <v>0</v>
      </c>
      <c r="AN46" s="1891">
        <f t="shared" si="12"/>
        <v>7.4999999999999997E-2</v>
      </c>
      <c r="AO46" s="1892">
        <f t="shared" si="13"/>
        <v>7.4999999999999997E-2</v>
      </c>
      <c r="AP46" s="1885">
        <f>IF(ISBLANK(T46),0,(T46/X61)*AO62)</f>
        <v>0</v>
      </c>
      <c r="AQ46" s="1886">
        <f t="shared" si="14"/>
        <v>0</v>
      </c>
      <c r="AR46" s="1893" t="s">
        <v>2342</v>
      </c>
      <c r="AS46" s="1894" t="s">
        <v>2343</v>
      </c>
      <c r="AT46" s="1894" t="s">
        <v>2344</v>
      </c>
      <c r="AU46" s="1894">
        <v>3</v>
      </c>
    </row>
    <row r="47" spans="1:47" ht="18.95" customHeight="1">
      <c r="A47" s="3715"/>
      <c r="B47" s="761">
        <f t="shared" si="16"/>
        <v>0</v>
      </c>
      <c r="C47" s="1876">
        <f>IF(G10=1,AH47,IF(G10=2,AL47,IF(G10=3,AP47,IF(G10=4,AT47))))</f>
        <v>0</v>
      </c>
      <c r="D47" s="1877">
        <f>IF(G10=1,AI47,IF(G10=2,AM47,IF(G10=3,AQ47,IF(G10=4,AU47))))</f>
        <v>0</v>
      </c>
      <c r="E47" s="1878">
        <f>IF(G10=1,AG47,IF(G10=2,AK47,IF(G10=3,AO47,IF(G10=4,AS47))))</f>
        <v>0</v>
      </c>
      <c r="F47" s="444" t="str">
        <f>IF(G10=1,"",IF(E47=G47,"",AD47))</f>
        <v/>
      </c>
      <c r="G47" s="1879" t="str">
        <f>IF(G10=1,"",IF(G10=2,AJ47,IF(G10=3,AN47,IF(G10=4,AR47))))</f>
        <v/>
      </c>
      <c r="H47" s="445">
        <f>X47/X61</f>
        <v>0</v>
      </c>
      <c r="I47" s="3709"/>
      <c r="J47" s="3710"/>
      <c r="K47" s="1838"/>
      <c r="L47" s="1062"/>
      <c r="M47" s="349"/>
      <c r="N47" s="349"/>
      <c r="O47" s="349"/>
      <c r="P47" s="349"/>
      <c r="Q47" s="349"/>
      <c r="R47" s="773"/>
      <c r="S47" s="133" t="s">
        <v>2310</v>
      </c>
      <c r="T47" s="1880"/>
      <c r="U47" s="1881"/>
      <c r="V47" s="1882"/>
      <c r="W47" s="446"/>
      <c r="X47" s="1883">
        <f t="shared" si="1"/>
        <v>0</v>
      </c>
      <c r="Y47" s="1884">
        <f>(X47/X61)*Y11</f>
        <v>0</v>
      </c>
      <c r="Z47" s="1885" t="str">
        <f>IF(ISBLANK(T47),"",(T47/X61)*Y11)</f>
        <v/>
      </c>
      <c r="AA47" s="1886">
        <f t="shared" si="15"/>
        <v>0</v>
      </c>
      <c r="AB47" s="1887"/>
      <c r="AC47" s="512">
        <f>AB11</f>
        <v>0</v>
      </c>
      <c r="AD47" s="512">
        <f t="shared" si="7"/>
        <v>0</v>
      </c>
      <c r="AE47" s="513">
        <f t="shared" si="8"/>
        <v>1</v>
      </c>
      <c r="AG47" s="1888">
        <f>((X47/X11)*AI11)</f>
        <v>0</v>
      </c>
      <c r="AH47" s="1885">
        <f>IF(ISTEXT(T47),T47,IF(ISBLANK(T47),0,(T47/X11)*AI11))</f>
        <v>0</v>
      </c>
      <c r="AI47" s="1889">
        <f t="shared" si="9"/>
        <v>0</v>
      </c>
      <c r="AJ47" s="1890">
        <f t="shared" si="10"/>
        <v>0</v>
      </c>
      <c r="AK47" s="1891">
        <f>(X47/X11)*AM11</f>
        <v>0</v>
      </c>
      <c r="AL47" s="1885">
        <f>IF(ISBLANK(T47),0,(T47/X11)*AM11)</f>
        <v>0</v>
      </c>
      <c r="AM47" s="1886">
        <f t="shared" si="11"/>
        <v>0</v>
      </c>
      <c r="AN47" s="1891">
        <f t="shared" si="12"/>
        <v>0</v>
      </c>
      <c r="AO47" s="1892">
        <f t="shared" si="13"/>
        <v>0</v>
      </c>
      <c r="AP47" s="1885">
        <f>IF(ISBLANK(T47),0,(T47/X61)*AO62)</f>
        <v>0</v>
      </c>
      <c r="AQ47" s="1886">
        <f t="shared" si="14"/>
        <v>0</v>
      </c>
      <c r="AR47" s="1893" t="s">
        <v>2342</v>
      </c>
      <c r="AS47" s="1894" t="s">
        <v>2343</v>
      </c>
      <c r="AT47" s="1894" t="s">
        <v>2344</v>
      </c>
      <c r="AU47" s="1894">
        <v>3</v>
      </c>
    </row>
    <row r="48" spans="1:47" ht="18.95" customHeight="1">
      <c r="A48" s="3715"/>
      <c r="B48" s="767" t="str">
        <f t="shared" si="16"/>
        <v>ETAPE 5 : Finition</v>
      </c>
      <c r="C48" s="1876">
        <f>IF(G10=1,AH48,IF(G10=2,AL48,IF(G10=3,AP48,IF(G10=4,AT48))))</f>
        <v>0</v>
      </c>
      <c r="D48" s="1877">
        <f>IF(G10=1,AI48,IF(G10=2,AM48,IF(G10=3,AQ48,IF(G10=4,AU48))))</f>
        <v>0</v>
      </c>
      <c r="E48" s="1878">
        <f>IF(G10=1,AG48,IF(G10=2,AK48,IF(G10=3,AO48,IF(G10=4,AS48))))</f>
        <v>0</v>
      </c>
      <c r="F48" s="444" t="str">
        <f>IF(G10=1,"",IF(E48=G48,"",AD48))</f>
        <v/>
      </c>
      <c r="G48" s="1879" t="str">
        <f>IF(G10=1,"",IF(G10=2,AJ48,IF(G10=3,AN48,IF(G10=4,AR48))))</f>
        <v/>
      </c>
      <c r="H48" s="445">
        <f>X48/X61</f>
        <v>0</v>
      </c>
      <c r="I48" s="3709"/>
      <c r="J48" s="3710"/>
      <c r="K48" s="1838"/>
      <c r="L48" s="1062"/>
      <c r="M48" s="349" t="s">
        <v>2240</v>
      </c>
      <c r="N48" s="349"/>
      <c r="O48" s="349"/>
      <c r="P48" s="349"/>
      <c r="Q48" s="349"/>
      <c r="R48" s="773"/>
      <c r="S48" s="133" t="s">
        <v>2310</v>
      </c>
      <c r="T48" s="1880"/>
      <c r="U48" s="1881"/>
      <c r="V48" s="1882"/>
      <c r="W48" s="446" t="s">
        <v>2240</v>
      </c>
      <c r="X48" s="1883">
        <f t="shared" si="1"/>
        <v>0</v>
      </c>
      <c r="Y48" s="1884">
        <f>(X48/X61)*Y11</f>
        <v>0</v>
      </c>
      <c r="Z48" s="1885" t="str">
        <f>IF(ISBLANK(T48),"",(T48/X61)*Y11)</f>
        <v/>
      </c>
      <c r="AA48" s="1886">
        <f t="shared" si="15"/>
        <v>0</v>
      </c>
      <c r="AB48" s="1887"/>
      <c r="AC48" s="512">
        <f>AB11</f>
        <v>0</v>
      </c>
      <c r="AD48" s="512">
        <f t="shared" si="7"/>
        <v>0</v>
      </c>
      <c r="AE48" s="513">
        <f t="shared" si="8"/>
        <v>1</v>
      </c>
      <c r="AG48" s="1888">
        <f>((X48/X11)*AI11)</f>
        <v>0</v>
      </c>
      <c r="AH48" s="1885">
        <f>IF(ISTEXT(T48),T48,IF(ISBLANK(T48),0,(T48/X11)*AI11))</f>
        <v>0</v>
      </c>
      <c r="AI48" s="1889">
        <f t="shared" si="9"/>
        <v>0</v>
      </c>
      <c r="AJ48" s="1890">
        <f t="shared" si="10"/>
        <v>0</v>
      </c>
      <c r="AK48" s="1891">
        <f>(X48/X11)*AM11</f>
        <v>0</v>
      </c>
      <c r="AL48" s="1885">
        <f>IF(ISBLANK(T48),0,(T48/X11)*AM11)</f>
        <v>0</v>
      </c>
      <c r="AM48" s="1886">
        <f t="shared" si="11"/>
        <v>0</v>
      </c>
      <c r="AN48" s="1891">
        <f t="shared" si="12"/>
        <v>0</v>
      </c>
      <c r="AO48" s="1892">
        <f t="shared" si="13"/>
        <v>0</v>
      </c>
      <c r="AP48" s="1885">
        <f>IF(ISBLANK(T48),0,(T48/X61)*AO62)</f>
        <v>0</v>
      </c>
      <c r="AQ48" s="1886">
        <f t="shared" si="14"/>
        <v>0</v>
      </c>
      <c r="AR48" s="1893" t="s">
        <v>2342</v>
      </c>
      <c r="AS48" s="1894" t="s">
        <v>2343</v>
      </c>
      <c r="AT48" s="1894" t="s">
        <v>2344</v>
      </c>
      <c r="AU48" s="1894">
        <v>3</v>
      </c>
    </row>
    <row r="49" spans="1:47" ht="18.95" customHeight="1">
      <c r="A49" s="3715"/>
      <c r="B49" s="761" t="str">
        <f t="shared" si="16"/>
        <v>Ibéris violette</v>
      </c>
      <c r="C49" s="1876">
        <f>IF(G10=1,AH49,IF(G10=2,AL49,IF(G10=3,AP49,IF(G10=4,AT49))))</f>
        <v>20</v>
      </c>
      <c r="D49" s="1877" t="str">
        <f>IF(G10=1,AI49,IF(G10=2,AM49,IF(G10=3,AQ49,IF(G10=4,AU49))))</f>
        <v>Pièces</v>
      </c>
      <c r="E49" s="1878">
        <f>IF(G10=1,AG49,IF(G10=2,AK49,IF(G10=3,AO49,IF(G10=4,AS49))))</f>
        <v>0</v>
      </c>
      <c r="F49" s="444" t="str">
        <f>IF(G10=1,"",IF(E49=G49,"",AD49))</f>
        <v/>
      </c>
      <c r="G49" s="1879" t="str">
        <f>IF(G10=1,"",IF(G10=2,AJ49,IF(G10=3,AN49,IF(G10=4,AR49))))</f>
        <v/>
      </c>
      <c r="H49" s="445">
        <f>X49/X61</f>
        <v>0</v>
      </c>
      <c r="I49" s="3709"/>
      <c r="J49" s="3710"/>
      <c r="K49" s="1838"/>
      <c r="L49" s="1062">
        <v>1</v>
      </c>
      <c r="M49" s="349" t="s">
        <v>2378</v>
      </c>
      <c r="N49" s="349"/>
      <c r="O49" s="349"/>
      <c r="P49" s="349"/>
      <c r="Q49" s="349"/>
      <c r="R49" s="773"/>
      <c r="S49" s="133" t="s">
        <v>2310</v>
      </c>
      <c r="T49" s="1880">
        <v>8</v>
      </c>
      <c r="U49" s="1881" t="s">
        <v>2244</v>
      </c>
      <c r="V49" s="1882"/>
      <c r="W49" s="446" t="s">
        <v>2241</v>
      </c>
      <c r="X49" s="1883">
        <f t="shared" si="1"/>
        <v>0</v>
      </c>
      <c r="Y49" s="1884">
        <f>(X49/X61)*Y11</f>
        <v>0</v>
      </c>
      <c r="Z49" s="1885">
        <f>IF(ISBLANK(T49),"",(T49/X61)*Y11)</f>
        <v>2.8222676920905951</v>
      </c>
      <c r="AA49" s="1886" t="str">
        <f t="shared" si="15"/>
        <v>Pièces</v>
      </c>
      <c r="AB49" s="1887"/>
      <c r="AC49" s="512">
        <f>AB11</f>
        <v>0</v>
      </c>
      <c r="AD49" s="512">
        <f t="shared" si="7"/>
        <v>0</v>
      </c>
      <c r="AE49" s="513">
        <f t="shared" si="8"/>
        <v>1</v>
      </c>
      <c r="AG49" s="1888">
        <f>((X49/X11)*AI11)</f>
        <v>0</v>
      </c>
      <c r="AH49" s="1885">
        <f>IF(ISTEXT(T49),T49,IF(ISBLANK(T49),0,(T49/X11)*AI11))</f>
        <v>20</v>
      </c>
      <c r="AI49" s="1889" t="str">
        <f t="shared" si="9"/>
        <v>Pièces</v>
      </c>
      <c r="AJ49" s="1890">
        <f t="shared" si="10"/>
        <v>0</v>
      </c>
      <c r="AK49" s="1891">
        <f>(X49/X11)*AM11</f>
        <v>0</v>
      </c>
      <c r="AL49" s="1885">
        <f>IF(ISBLANK(T49),0,(T49/X11)*AM11)</f>
        <v>20</v>
      </c>
      <c r="AM49" s="1886" t="str">
        <f t="shared" si="11"/>
        <v>Pièces</v>
      </c>
      <c r="AN49" s="1891">
        <f t="shared" si="12"/>
        <v>0</v>
      </c>
      <c r="AO49" s="1892">
        <f t="shared" si="13"/>
        <v>0</v>
      </c>
      <c r="AP49" s="1885">
        <f>IF(ISBLANK(T49),0,(T49/X61)*AO62)</f>
        <v>20.000000000000004</v>
      </c>
      <c r="AQ49" s="1886" t="str">
        <f t="shared" si="14"/>
        <v>Pièces</v>
      </c>
      <c r="AR49" s="1893" t="s">
        <v>2342</v>
      </c>
      <c r="AS49" s="1894" t="s">
        <v>2343</v>
      </c>
      <c r="AT49" s="1894" t="s">
        <v>2344</v>
      </c>
      <c r="AU49" s="1894">
        <v>3</v>
      </c>
    </row>
    <row r="50" spans="1:47" ht="18.95" customHeight="1">
      <c r="A50" s="3715"/>
      <c r="B50" s="761" t="str">
        <f t="shared" si="16"/>
        <v>Tagette mandarine</v>
      </c>
      <c r="C50" s="1876">
        <f>IF(G10=1,AH50,IF(G10=2,AL50,IF(G10=3,AP50,IF(G10=4,AT50))))</f>
        <v>30</v>
      </c>
      <c r="D50" s="1877" t="str">
        <f>IF(G10=1,AI50,IF(G10=2,AM50,IF(G10=3,AQ50,IF(G10=4,AU50))))</f>
        <v>Pièces</v>
      </c>
      <c r="E50" s="1878">
        <f>IF(G10=1,AG50,IF(G10=2,AK50,IF(G10=3,AO50,IF(G10=4,AS50))))</f>
        <v>0</v>
      </c>
      <c r="F50" s="444" t="str">
        <f>IF(G10=1,"",IF(E50=G50,"",AD50))</f>
        <v/>
      </c>
      <c r="G50" s="1879" t="str">
        <f>IF(G10=1,"",IF(G10=2,AJ50,IF(G10=3,AN50,IF(G10=4,AR50))))</f>
        <v/>
      </c>
      <c r="H50" s="445">
        <f>X50/X61</f>
        <v>0</v>
      </c>
      <c r="I50" s="3709"/>
      <c r="J50" s="3710"/>
      <c r="K50" s="1838"/>
      <c r="L50" s="1062">
        <v>2</v>
      </c>
      <c r="M50" s="551" t="s">
        <v>2387</v>
      </c>
      <c r="N50" s="349"/>
      <c r="O50" s="349"/>
      <c r="P50" s="349"/>
      <c r="Q50" s="349"/>
      <c r="R50" s="773"/>
      <c r="S50" s="133" t="s">
        <v>2310</v>
      </c>
      <c r="T50" s="1880">
        <v>12</v>
      </c>
      <c r="U50" s="1881" t="s">
        <v>2244</v>
      </c>
      <c r="V50" s="1882"/>
      <c r="W50" s="446" t="s">
        <v>2242</v>
      </c>
      <c r="X50" s="1883">
        <f t="shared" si="1"/>
        <v>0</v>
      </c>
      <c r="Y50" s="1884">
        <f>(X50/X61)*Y11</f>
        <v>0</v>
      </c>
      <c r="Z50" s="1885">
        <f>IF(ISBLANK(T50),"",(T50/X61)*Y11)</f>
        <v>4.2334015381358929</v>
      </c>
      <c r="AA50" s="1886" t="str">
        <f t="shared" si="15"/>
        <v>Pièces</v>
      </c>
      <c r="AB50" s="1887"/>
      <c r="AC50" s="512">
        <f>AB11</f>
        <v>0</v>
      </c>
      <c r="AD50" s="512">
        <f t="shared" si="7"/>
        <v>0</v>
      </c>
      <c r="AE50" s="513">
        <f t="shared" si="8"/>
        <v>1</v>
      </c>
      <c r="AG50" s="1888">
        <f>((X50/X11)*AI11)</f>
        <v>0</v>
      </c>
      <c r="AH50" s="1885">
        <f>IF(ISTEXT(T50),T50,IF(ISBLANK(T50),0,(T50/X11)*AI11))</f>
        <v>30</v>
      </c>
      <c r="AI50" s="1889" t="str">
        <f t="shared" si="9"/>
        <v>Pièces</v>
      </c>
      <c r="AJ50" s="1890">
        <f t="shared" si="10"/>
        <v>0</v>
      </c>
      <c r="AK50" s="1891">
        <f>(X50/X11)*AM11</f>
        <v>0</v>
      </c>
      <c r="AL50" s="1885">
        <f>IF(ISBLANK(T50),0,(T50/X11)*AM11)</f>
        <v>30</v>
      </c>
      <c r="AM50" s="1886" t="str">
        <f t="shared" si="11"/>
        <v>Pièces</v>
      </c>
      <c r="AN50" s="1891">
        <f t="shared" si="12"/>
        <v>0</v>
      </c>
      <c r="AO50" s="1892">
        <f t="shared" si="13"/>
        <v>0</v>
      </c>
      <c r="AP50" s="1885">
        <f>IF(ISBLANK(T50),0,(T50/X61)*AO62)</f>
        <v>30.000000000000011</v>
      </c>
      <c r="AQ50" s="1886" t="str">
        <f t="shared" si="14"/>
        <v>Pièces</v>
      </c>
      <c r="AR50" s="1893" t="s">
        <v>2342</v>
      </c>
      <c r="AS50" s="1894" t="s">
        <v>2343</v>
      </c>
      <c r="AT50" s="1894" t="s">
        <v>2344</v>
      </c>
      <c r="AU50" s="1894">
        <v>3</v>
      </c>
    </row>
    <row r="51" spans="1:47" ht="18.95" customHeight="1">
      <c r="A51" s="3715"/>
      <c r="B51" s="761" t="str">
        <f t="shared" si="16"/>
        <v>Daikon cress</v>
      </c>
      <c r="C51" s="1876">
        <f>IF(G10=1,AH51,IF(G10=2,AL51,IF(G10=3,AP51,IF(G10=4,AT51))))</f>
        <v>40</v>
      </c>
      <c r="D51" s="1877" t="str">
        <f>IF(G10=1,AI51,IF(G10=2,AM51,IF(G10=3,AQ51,IF(G10=4,AU51))))</f>
        <v>Brins</v>
      </c>
      <c r="E51" s="1878">
        <f>IF(G10=1,AG51,IF(G10=2,AK51,IF(G10=3,AO51,IF(G10=4,AS51))))</f>
        <v>0</v>
      </c>
      <c r="F51" s="444" t="str">
        <f>IF(G10=1,"",IF(E51=G51,"",AD51))</f>
        <v/>
      </c>
      <c r="G51" s="1879" t="str">
        <f>IF(G10=1,"",IF(G10=2,AJ51,IF(G10=3,AN51,IF(G10=4,AR51))))</f>
        <v/>
      </c>
      <c r="H51" s="445">
        <f>X51/X61</f>
        <v>0</v>
      </c>
      <c r="I51" s="3709"/>
      <c r="J51" s="3710"/>
      <c r="K51" s="1838"/>
      <c r="L51" s="1062">
        <v>3</v>
      </c>
      <c r="M51" s="551" t="s">
        <v>2388</v>
      </c>
      <c r="N51" s="349"/>
      <c r="O51" s="349"/>
      <c r="P51" s="349"/>
      <c r="Q51" s="349"/>
      <c r="R51" s="773"/>
      <c r="S51" s="133" t="s">
        <v>2310</v>
      </c>
      <c r="T51" s="1880">
        <v>16</v>
      </c>
      <c r="U51" s="1881" t="s">
        <v>2245</v>
      </c>
      <c r="V51" s="1882"/>
      <c r="W51" s="446" t="s">
        <v>2243</v>
      </c>
      <c r="X51" s="1883">
        <f t="shared" si="1"/>
        <v>0</v>
      </c>
      <c r="Y51" s="1884">
        <f>(X51/X61)*Y11</f>
        <v>0</v>
      </c>
      <c r="Z51" s="1885">
        <f>IF(ISBLANK(T51),"",(T51/X61)*Y11)</f>
        <v>5.6445353841811903</v>
      </c>
      <c r="AA51" s="1886" t="str">
        <f t="shared" si="15"/>
        <v>Brins</v>
      </c>
      <c r="AB51" s="1887"/>
      <c r="AC51" s="512">
        <f>AB11</f>
        <v>0</v>
      </c>
      <c r="AD51" s="512">
        <f t="shared" si="7"/>
        <v>0</v>
      </c>
      <c r="AE51" s="513">
        <f t="shared" si="8"/>
        <v>1</v>
      </c>
      <c r="AG51" s="1888">
        <f>((X51/X11)*AI11)</f>
        <v>0</v>
      </c>
      <c r="AH51" s="1885">
        <f>IF(ISTEXT(T51),T51,IF(ISBLANK(T51),0,(T51/X11)*AI11))</f>
        <v>40</v>
      </c>
      <c r="AI51" s="1889" t="str">
        <f t="shared" si="9"/>
        <v>Brins</v>
      </c>
      <c r="AJ51" s="1890">
        <f t="shared" si="10"/>
        <v>0</v>
      </c>
      <c r="AK51" s="1891">
        <f>(X51/X11)*AM11</f>
        <v>0</v>
      </c>
      <c r="AL51" s="1885">
        <f>IF(ISBLANK(T51),0,(T51/X11)*AM11)</f>
        <v>40</v>
      </c>
      <c r="AM51" s="1886" t="str">
        <f t="shared" si="11"/>
        <v>Brins</v>
      </c>
      <c r="AN51" s="1891">
        <f t="shared" si="12"/>
        <v>0</v>
      </c>
      <c r="AO51" s="1892">
        <f t="shared" si="13"/>
        <v>0</v>
      </c>
      <c r="AP51" s="1885">
        <f>IF(ISBLANK(T51),0,(T51/X61)*AO62)</f>
        <v>40.000000000000007</v>
      </c>
      <c r="AQ51" s="1886" t="str">
        <f t="shared" si="14"/>
        <v>Brins</v>
      </c>
      <c r="AR51" s="1893" t="s">
        <v>2342</v>
      </c>
      <c r="AS51" s="1894" t="s">
        <v>2343</v>
      </c>
      <c r="AT51" s="1894" t="s">
        <v>2344</v>
      </c>
      <c r="AU51" s="1894">
        <v>3</v>
      </c>
    </row>
    <row r="52" spans="1:47" ht="18.95" customHeight="1">
      <c r="A52" s="3715"/>
      <c r="B52" s="761">
        <f t="shared" si="16"/>
        <v>0</v>
      </c>
      <c r="C52" s="1876">
        <f>IF(G10=1,AH52,IF(G10=2,AL52,IF(G10=3,AP52,IF(G10=4,AT52))))</f>
        <v>0</v>
      </c>
      <c r="D52" s="1877">
        <f>IF(G10=1,AI52,IF(G10=2,AM52,IF(G10=3,AQ52,IF(G10=4,AU52))))</f>
        <v>0</v>
      </c>
      <c r="E52" s="1878">
        <f>IF(G10=1,AG52,IF(G10=2,AK52,IF(G10=3,AO52,IF(G10=4,AS52))))</f>
        <v>0</v>
      </c>
      <c r="F52" s="444" t="str">
        <f>IF(G10=1,"",IF(E52=G52,"",AD52))</f>
        <v/>
      </c>
      <c r="G52" s="1879" t="str">
        <f>IF(G10=1,"",IF(G10=2,AJ52,IF(G10=3,AN52,IF(G10=4,AR52))))</f>
        <v/>
      </c>
      <c r="H52" s="445">
        <f>X52/X61</f>
        <v>0</v>
      </c>
      <c r="I52" s="3709"/>
      <c r="J52" s="3710"/>
      <c r="K52" s="1838"/>
      <c r="L52" s="1062">
        <v>4</v>
      </c>
      <c r="M52" s="551" t="s">
        <v>2389</v>
      </c>
      <c r="N52" s="349"/>
      <c r="O52" s="349"/>
      <c r="P52" s="349"/>
      <c r="Q52" s="349"/>
      <c r="R52" s="773"/>
      <c r="S52" s="133" t="s">
        <v>2310</v>
      </c>
      <c r="T52" s="1880"/>
      <c r="U52" s="1881"/>
      <c r="V52" s="1882"/>
      <c r="W52" s="446"/>
      <c r="X52" s="1883">
        <f t="shared" si="1"/>
        <v>0</v>
      </c>
      <c r="Y52" s="1884">
        <f>(X52/X61)*Y11</f>
        <v>0</v>
      </c>
      <c r="Z52" s="1885" t="str">
        <f>IF(ISBLANK(T52),"",(T52/X61)*Y11)</f>
        <v/>
      </c>
      <c r="AA52" s="1886">
        <f t="shared" si="15"/>
        <v>0</v>
      </c>
      <c r="AB52" s="1887"/>
      <c r="AC52" s="512">
        <f>AB11</f>
        <v>0</v>
      </c>
      <c r="AD52" s="512">
        <f t="shared" si="7"/>
        <v>0</v>
      </c>
      <c r="AE52" s="513">
        <f t="shared" si="8"/>
        <v>1</v>
      </c>
      <c r="AG52" s="1888">
        <f>((X52/X11)*AI11)</f>
        <v>0</v>
      </c>
      <c r="AH52" s="1885">
        <f>IF(ISTEXT(T52),T52,IF(ISBLANK(T52),0,(T52/X11)*AI11))</f>
        <v>0</v>
      </c>
      <c r="AI52" s="1889">
        <f t="shared" si="9"/>
        <v>0</v>
      </c>
      <c r="AJ52" s="1890">
        <f t="shared" si="10"/>
        <v>0</v>
      </c>
      <c r="AK52" s="1891">
        <f>(X52/X11)*AM11</f>
        <v>0</v>
      </c>
      <c r="AL52" s="1885">
        <f>IF(ISBLANK(T52),0,(T52/X11)*AM11)</f>
        <v>0</v>
      </c>
      <c r="AM52" s="1886">
        <f t="shared" si="11"/>
        <v>0</v>
      </c>
      <c r="AN52" s="1891">
        <f t="shared" si="12"/>
        <v>0</v>
      </c>
      <c r="AO52" s="1892">
        <f t="shared" si="13"/>
        <v>0</v>
      </c>
      <c r="AP52" s="1885">
        <f>IF(ISBLANK(T52),0,(T52/X61)*AO62)</f>
        <v>0</v>
      </c>
      <c r="AQ52" s="1886">
        <f t="shared" si="14"/>
        <v>0</v>
      </c>
      <c r="AR52" s="1893" t="s">
        <v>2342</v>
      </c>
      <c r="AS52" s="1894" t="s">
        <v>2343</v>
      </c>
      <c r="AT52" s="1894" t="s">
        <v>2344</v>
      </c>
      <c r="AU52" s="1894">
        <v>3</v>
      </c>
    </row>
    <row r="53" spans="1:47" ht="18.95" customHeight="1">
      <c r="A53" s="3715"/>
      <c r="B53" s="761">
        <f t="shared" si="16"/>
        <v>0</v>
      </c>
      <c r="C53" s="1876">
        <f>IF(G10=1,AH53,IF(G10=2,AL53,IF(G10=3,AP53,IF(G10=4,AT53))))</f>
        <v>0</v>
      </c>
      <c r="D53" s="1877">
        <f>IF(G10=1,AI53,IF(G10=2,AM53,IF(G10=3,AQ53,IF(G10=4,AU53))))</f>
        <v>0</v>
      </c>
      <c r="E53" s="1878">
        <f>IF(G10=1,AG53,IF(G10=2,AK53,IF(G10=3,AO53,IF(G10=4,AS53))))</f>
        <v>0</v>
      </c>
      <c r="F53" s="444" t="str">
        <f>IF(G10=1,"",IF(E53=G53,"",AD53))</f>
        <v/>
      </c>
      <c r="G53" s="1879" t="str">
        <f>IF(G10=1,"",IF(G10=2,AJ53,IF(G10=3,AN53,IF(G10=4,AR53))))</f>
        <v/>
      </c>
      <c r="H53" s="445">
        <f>X53/X61</f>
        <v>0</v>
      </c>
      <c r="I53" s="3709"/>
      <c r="J53" s="3710"/>
      <c r="K53" s="1838"/>
      <c r="L53" s="1062">
        <v>5</v>
      </c>
      <c r="M53" s="349" t="s">
        <v>2390</v>
      </c>
      <c r="N53" s="349"/>
      <c r="O53" s="349"/>
      <c r="P53" s="349"/>
      <c r="Q53" s="349"/>
      <c r="R53" s="773"/>
      <c r="S53" s="133" t="s">
        <v>2310</v>
      </c>
      <c r="T53" s="1880"/>
      <c r="U53" s="1881"/>
      <c r="V53" s="1882"/>
      <c r="W53" s="446"/>
      <c r="X53" s="1883">
        <f t="shared" si="1"/>
        <v>0</v>
      </c>
      <c r="Y53" s="1884">
        <f>(X53/X61)*Y11</f>
        <v>0</v>
      </c>
      <c r="Z53" s="1885" t="str">
        <f>IF(ISBLANK(T53),"",(T53/X61)*Y11)</f>
        <v/>
      </c>
      <c r="AA53" s="1886">
        <f t="shared" si="15"/>
        <v>0</v>
      </c>
      <c r="AB53" s="1887"/>
      <c r="AC53" s="512">
        <f>AB11</f>
        <v>0</v>
      </c>
      <c r="AD53" s="512">
        <f t="shared" si="7"/>
        <v>0</v>
      </c>
      <c r="AE53" s="513">
        <f t="shared" si="8"/>
        <v>1</v>
      </c>
      <c r="AG53" s="1888">
        <f>((X53/X11)*AI11)</f>
        <v>0</v>
      </c>
      <c r="AH53" s="1885">
        <f>IF(ISTEXT(T53),T53,IF(ISBLANK(T53),0,(T53/X11)*AI11))</f>
        <v>0</v>
      </c>
      <c r="AI53" s="1889">
        <f t="shared" si="9"/>
        <v>0</v>
      </c>
      <c r="AJ53" s="1890">
        <f t="shared" si="10"/>
        <v>0</v>
      </c>
      <c r="AK53" s="1891">
        <f>(X53/X11)*AM11</f>
        <v>0</v>
      </c>
      <c r="AL53" s="1885">
        <f>IF(ISBLANK(T53),0,(T53/X11)*AM11)</f>
        <v>0</v>
      </c>
      <c r="AM53" s="1886">
        <f t="shared" si="11"/>
        <v>0</v>
      </c>
      <c r="AN53" s="1891">
        <f t="shared" si="12"/>
        <v>0</v>
      </c>
      <c r="AO53" s="1892">
        <f t="shared" si="13"/>
        <v>0</v>
      </c>
      <c r="AP53" s="1885">
        <f>IF(ISBLANK(T53),0,(T53/X61)*AO62)</f>
        <v>0</v>
      </c>
      <c r="AQ53" s="1886">
        <f t="shared" si="14"/>
        <v>0</v>
      </c>
      <c r="AR53" s="1893" t="s">
        <v>2342</v>
      </c>
      <c r="AS53" s="1894" t="s">
        <v>2343</v>
      </c>
      <c r="AT53" s="1894" t="s">
        <v>2344</v>
      </c>
      <c r="AU53" s="1894">
        <v>3</v>
      </c>
    </row>
    <row r="54" spans="1:47" ht="18.95" customHeight="1">
      <c r="A54" s="3715"/>
      <c r="B54" s="761">
        <f t="shared" si="16"/>
        <v>0</v>
      </c>
      <c r="C54" s="1876">
        <f>IF(G10=1,AH54,IF(G10=2,AL54,IF(G10=3,AP54,IF(G10=4,AT54))))</f>
        <v>0</v>
      </c>
      <c r="D54" s="1877">
        <f>IF(G10=1,AI54,IF(G10=2,AM54,IF(G10=3,AQ54,IF(G10=4,AU54))))</f>
        <v>0</v>
      </c>
      <c r="E54" s="1878">
        <f>IF(G10=1,AG54,IF(G10=2,AK54,IF(G10=3,AO54,IF(G10=4,AS54))))</f>
        <v>0</v>
      </c>
      <c r="F54" s="444" t="str">
        <f>IF(G10=1,"",IF(E54=G54,"",AD54))</f>
        <v/>
      </c>
      <c r="G54" s="1879" t="str">
        <f>IF(G10=1,"",IF(G10=2,AJ54,IF(G10=3,AN54,IF(G10=4,AR54))))</f>
        <v/>
      </c>
      <c r="H54" s="445">
        <f>X54/X61</f>
        <v>0</v>
      </c>
      <c r="I54" s="3709"/>
      <c r="J54" s="3710"/>
      <c r="K54" s="1838"/>
      <c r="L54" s="1062"/>
      <c r="M54" s="349" t="s">
        <v>2391</v>
      </c>
      <c r="N54" s="349"/>
      <c r="O54" s="349"/>
      <c r="P54" s="349"/>
      <c r="Q54" s="349"/>
      <c r="R54" s="773"/>
      <c r="S54" s="133" t="s">
        <v>2310</v>
      </c>
      <c r="T54" s="1880"/>
      <c r="U54" s="1881"/>
      <c r="V54" s="1882"/>
      <c r="W54" s="446"/>
      <c r="X54" s="1883">
        <f t="shared" si="1"/>
        <v>0</v>
      </c>
      <c r="Y54" s="1884">
        <f>(X54/X61)*Y11</f>
        <v>0</v>
      </c>
      <c r="Z54" s="1885" t="str">
        <f>IF(ISBLANK(T54),"",(T54/X61)*Y11)</f>
        <v/>
      </c>
      <c r="AA54" s="1886">
        <f t="shared" si="15"/>
        <v>0</v>
      </c>
      <c r="AB54" s="1887"/>
      <c r="AC54" s="512">
        <f>AB11</f>
        <v>0</v>
      </c>
      <c r="AD54" s="512">
        <f t="shared" si="7"/>
        <v>0</v>
      </c>
      <c r="AE54" s="513">
        <f t="shared" si="8"/>
        <v>1</v>
      </c>
      <c r="AG54" s="1888">
        <f>((X54/X11)*AI11)</f>
        <v>0</v>
      </c>
      <c r="AH54" s="1885">
        <f>IF(ISTEXT(T54),T54,IF(ISBLANK(T54),0,(T54/X11)*AI11))</f>
        <v>0</v>
      </c>
      <c r="AI54" s="1889">
        <f t="shared" si="9"/>
        <v>0</v>
      </c>
      <c r="AJ54" s="1890">
        <f t="shared" si="10"/>
        <v>0</v>
      </c>
      <c r="AK54" s="1891">
        <f>(X54/X11)*AM11</f>
        <v>0</v>
      </c>
      <c r="AL54" s="1885">
        <f>IF(ISBLANK(T54),0,(T54/X11)*AM11)</f>
        <v>0</v>
      </c>
      <c r="AM54" s="1886">
        <f t="shared" si="11"/>
        <v>0</v>
      </c>
      <c r="AN54" s="1891">
        <f t="shared" si="12"/>
        <v>0</v>
      </c>
      <c r="AO54" s="1892">
        <f t="shared" si="13"/>
        <v>0</v>
      </c>
      <c r="AP54" s="1885">
        <f>IF(ISBLANK(T54),0,(T54/X61)*AO62)</f>
        <v>0</v>
      </c>
      <c r="AQ54" s="1886">
        <f t="shared" si="14"/>
        <v>0</v>
      </c>
      <c r="AR54" s="1893" t="s">
        <v>2342</v>
      </c>
      <c r="AS54" s="1894" t="s">
        <v>2343</v>
      </c>
      <c r="AT54" s="1894" t="s">
        <v>2344</v>
      </c>
      <c r="AU54" s="1894">
        <v>3</v>
      </c>
    </row>
    <row r="55" spans="1:47" ht="18.95" customHeight="1">
      <c r="A55" s="3715"/>
      <c r="B55" s="761">
        <f t="shared" si="16"/>
        <v>0</v>
      </c>
      <c r="C55" s="1876">
        <f>IF(G10=1,AH55,IF(G10=2,AL55,IF(G10=3,AP55,IF(G10=4,AT55))))</f>
        <v>0</v>
      </c>
      <c r="D55" s="1877">
        <f>IF(G10=1,AI55,IF(G10=2,AM55,IF(G10=3,AQ55,IF(G10=4,AU55))))</f>
        <v>0</v>
      </c>
      <c r="E55" s="1878">
        <f>IF(G10=1,AG55,IF(G10=2,AK55,IF(G10=3,AO55,IF(G10=4,AS55))))</f>
        <v>0</v>
      </c>
      <c r="F55" s="444" t="str">
        <f>IF(G10=1,"",IF(E55=G55,"",AD55))</f>
        <v/>
      </c>
      <c r="G55" s="1879" t="str">
        <f>IF(G10=1,"",IF(G10=2,AJ55,IF(G10=3,AN55,IF(G10=4,AR55))))</f>
        <v/>
      </c>
      <c r="H55" s="445">
        <f>X55/X61</f>
        <v>0</v>
      </c>
      <c r="I55" s="3709"/>
      <c r="J55" s="3710"/>
      <c r="K55" s="1838"/>
      <c r="L55" s="1062"/>
      <c r="M55" s="349"/>
      <c r="N55" s="349"/>
      <c r="O55" s="349"/>
      <c r="P55" s="349"/>
      <c r="Q55" s="349"/>
      <c r="R55" s="773"/>
      <c r="S55" s="133" t="s">
        <v>2310</v>
      </c>
      <c r="T55" s="1880"/>
      <c r="U55" s="1881"/>
      <c r="V55" s="1882"/>
      <c r="W55" s="446"/>
      <c r="X55" s="1883">
        <f t="shared" si="1"/>
        <v>0</v>
      </c>
      <c r="Y55" s="1884">
        <f>(X55/X61)*Y11</f>
        <v>0</v>
      </c>
      <c r="Z55" s="1885" t="str">
        <f>IF(ISBLANK(T55),"",(T55/X61)*Y11)</f>
        <v/>
      </c>
      <c r="AA55" s="1886">
        <f t="shared" si="15"/>
        <v>0</v>
      </c>
      <c r="AB55" s="1887"/>
      <c r="AC55" s="512">
        <f>AB11</f>
        <v>0</v>
      </c>
      <c r="AD55" s="512">
        <f t="shared" si="7"/>
        <v>0</v>
      </c>
      <c r="AE55" s="513">
        <f t="shared" si="8"/>
        <v>1</v>
      </c>
      <c r="AG55" s="1888">
        <f>((X55/X11)*AI11)</f>
        <v>0</v>
      </c>
      <c r="AH55" s="1885">
        <f>IF(ISTEXT(T55),T55,IF(ISBLANK(T55),0,(T55/X11)*AI11))</f>
        <v>0</v>
      </c>
      <c r="AI55" s="1889">
        <f t="shared" si="9"/>
        <v>0</v>
      </c>
      <c r="AJ55" s="1890">
        <f t="shared" si="10"/>
        <v>0</v>
      </c>
      <c r="AK55" s="1891">
        <f>(X55/X11)*AM11</f>
        <v>0</v>
      </c>
      <c r="AL55" s="1885">
        <f>IF(ISBLANK(T55),0,(T55/X11)*AM11)</f>
        <v>0</v>
      </c>
      <c r="AM55" s="1886">
        <f t="shared" si="11"/>
        <v>0</v>
      </c>
      <c r="AN55" s="1891">
        <f t="shared" si="12"/>
        <v>0</v>
      </c>
      <c r="AO55" s="1892">
        <f t="shared" si="13"/>
        <v>0</v>
      </c>
      <c r="AP55" s="1885">
        <f>IF(ISBLANK(T55),0,(T55/X61)*AO62)</f>
        <v>0</v>
      </c>
      <c r="AQ55" s="1886">
        <f t="shared" si="14"/>
        <v>0</v>
      </c>
      <c r="AR55" s="1893" t="s">
        <v>2342</v>
      </c>
      <c r="AS55" s="1894" t="s">
        <v>2343</v>
      </c>
      <c r="AT55" s="1894" t="s">
        <v>2344</v>
      </c>
      <c r="AU55" s="1894">
        <v>3</v>
      </c>
    </row>
    <row r="56" spans="1:47" ht="18.95" customHeight="1">
      <c r="A56" s="3715"/>
      <c r="B56" s="761">
        <f t="shared" si="16"/>
        <v>0</v>
      </c>
      <c r="C56" s="1876">
        <f>IF(G10=1,AH56,IF(G10=2,AL56,IF(G10=3,AP56,IF(G10=4,AT56))))</f>
        <v>0</v>
      </c>
      <c r="D56" s="1877">
        <f>IF(G10=1,AI56,IF(G10=2,AM56,IF(G10=3,AQ56,IF(G10=4,AU56))))</f>
        <v>0</v>
      </c>
      <c r="E56" s="1878">
        <f>IF(G10=1,AG56,IF(G10=2,AK56,IF(G10=3,AO56,IF(G10=4,AS56))))</f>
        <v>0</v>
      </c>
      <c r="F56" s="444" t="str">
        <f>IF(G10=1,"",IF(E56=G56,"",AD56))</f>
        <v/>
      </c>
      <c r="G56" s="1879" t="str">
        <f>IF(G10=1,"",IF(G10=2,AJ56,IF(G10=3,AN56,IF(G10=4,AR56))))</f>
        <v/>
      </c>
      <c r="H56" s="445">
        <f>X56/X61</f>
        <v>0</v>
      </c>
      <c r="I56" s="3709"/>
      <c r="J56" s="3710"/>
      <c r="K56" s="1838"/>
      <c r="L56" s="1062"/>
      <c r="M56" s="349"/>
      <c r="N56" s="349"/>
      <c r="O56" s="349"/>
      <c r="P56" s="349"/>
      <c r="Q56" s="349"/>
      <c r="R56" s="773"/>
      <c r="S56" s="133" t="s">
        <v>2310</v>
      </c>
      <c r="T56" s="1880"/>
      <c r="U56" s="1881"/>
      <c r="V56" s="1882"/>
      <c r="W56" s="446"/>
      <c r="X56" s="1883">
        <f t="shared" si="1"/>
        <v>0</v>
      </c>
      <c r="Y56" s="1884">
        <f>(X56/X61)*Y11</f>
        <v>0</v>
      </c>
      <c r="Z56" s="1885" t="str">
        <f>IF(ISBLANK(T56),"",(T56/X61)*Y11)</f>
        <v/>
      </c>
      <c r="AA56" s="1886">
        <f t="shared" si="15"/>
        <v>0</v>
      </c>
      <c r="AB56" s="1887"/>
      <c r="AC56" s="512">
        <f>AB11</f>
        <v>0</v>
      </c>
      <c r="AD56" s="512">
        <f t="shared" si="7"/>
        <v>0</v>
      </c>
      <c r="AE56" s="513">
        <f t="shared" si="8"/>
        <v>1</v>
      </c>
      <c r="AG56" s="1888">
        <f>((X56/X11)*AI11)</f>
        <v>0</v>
      </c>
      <c r="AH56" s="1885">
        <f>IF(ISTEXT(T56),T56,IF(ISBLANK(T56),0,(T56/X11)*AI11))</f>
        <v>0</v>
      </c>
      <c r="AI56" s="1889">
        <f t="shared" si="9"/>
        <v>0</v>
      </c>
      <c r="AJ56" s="1890">
        <f t="shared" si="10"/>
        <v>0</v>
      </c>
      <c r="AK56" s="1891">
        <f>(X56/X11)*AM11</f>
        <v>0</v>
      </c>
      <c r="AL56" s="1885">
        <f>IF(ISBLANK(T56),0,(T56/X11)*AM11)</f>
        <v>0</v>
      </c>
      <c r="AM56" s="1886">
        <f t="shared" si="11"/>
        <v>0</v>
      </c>
      <c r="AN56" s="1891">
        <f t="shared" si="12"/>
        <v>0</v>
      </c>
      <c r="AO56" s="1892">
        <f t="shared" si="13"/>
        <v>0</v>
      </c>
      <c r="AP56" s="1885">
        <f>IF(ISBLANK(T56),0,(T56/X61)*AO62)</f>
        <v>0</v>
      </c>
      <c r="AQ56" s="1886">
        <f t="shared" si="14"/>
        <v>0</v>
      </c>
      <c r="AR56" s="1893" t="s">
        <v>2342</v>
      </c>
      <c r="AS56" s="1894" t="s">
        <v>2343</v>
      </c>
      <c r="AT56" s="1894" t="s">
        <v>2344</v>
      </c>
      <c r="AU56" s="1894">
        <v>3</v>
      </c>
    </row>
    <row r="57" spans="1:47" ht="18.95" customHeight="1">
      <c r="A57" s="3715"/>
      <c r="B57" s="761">
        <f t="shared" si="16"/>
        <v>0</v>
      </c>
      <c r="C57" s="1876">
        <f>IF(G10=1,AH57,IF(G10=2,AL57,IF(G10=3,AP57,IF(G10=4,AT57))))</f>
        <v>0</v>
      </c>
      <c r="D57" s="1877">
        <f>IF(G10=1,AI57,IF(G10=2,AM57,IF(G10=3,AQ57,IF(G10=4,AU57))))</f>
        <v>0</v>
      </c>
      <c r="E57" s="1878">
        <f>IF(G10=1,AG57,IF(G10=2,AK57,IF(G10=3,AO57,IF(G10=4,AS57))))</f>
        <v>0</v>
      </c>
      <c r="F57" s="444" t="str">
        <f>IF(G10=1,"",IF(E57=G57,"",AD57))</f>
        <v/>
      </c>
      <c r="G57" s="1879" t="str">
        <f>IF(G10=1,"",IF(G10=2,AJ57,IF(G10=3,AN57,IF(G10=4,AR57))))</f>
        <v/>
      </c>
      <c r="H57" s="445">
        <f>X57/X61</f>
        <v>0</v>
      </c>
      <c r="I57" s="3709"/>
      <c r="J57" s="3710"/>
      <c r="K57" s="1838"/>
      <c r="L57" s="1062"/>
      <c r="M57" s="349"/>
      <c r="N57" s="349"/>
      <c r="O57" s="349"/>
      <c r="P57" s="349"/>
      <c r="Q57" s="349"/>
      <c r="R57" s="773"/>
      <c r="S57" s="133" t="s">
        <v>2310</v>
      </c>
      <c r="T57" s="1880"/>
      <c r="U57" s="1881"/>
      <c r="V57" s="1882"/>
      <c r="W57" s="446"/>
      <c r="X57" s="1883">
        <f t="shared" si="1"/>
        <v>0</v>
      </c>
      <c r="Y57" s="1884">
        <f>(X57/X61)*Y11</f>
        <v>0</v>
      </c>
      <c r="Z57" s="1885" t="str">
        <f>IF(ISBLANK(T57),"",(T57/X61)*Y11)</f>
        <v/>
      </c>
      <c r="AA57" s="1886">
        <f t="shared" si="15"/>
        <v>0</v>
      </c>
      <c r="AB57" s="1887"/>
      <c r="AC57" s="512">
        <f>AB11</f>
        <v>0</v>
      </c>
      <c r="AD57" s="512">
        <f t="shared" si="7"/>
        <v>0</v>
      </c>
      <c r="AE57" s="513">
        <f t="shared" si="8"/>
        <v>1</v>
      </c>
      <c r="AG57" s="1888">
        <f>((X57/X11)*AI11)</f>
        <v>0</v>
      </c>
      <c r="AH57" s="1885">
        <f>IF(ISTEXT(T57),T57,IF(ISBLANK(T57),0,(T57/X11)*AI11))</f>
        <v>0</v>
      </c>
      <c r="AI57" s="1889">
        <f t="shared" si="9"/>
        <v>0</v>
      </c>
      <c r="AJ57" s="1890">
        <f t="shared" si="10"/>
        <v>0</v>
      </c>
      <c r="AK57" s="1891">
        <f>(X57/X11)*AM11</f>
        <v>0</v>
      </c>
      <c r="AL57" s="1885">
        <f>IF(ISBLANK(T57),0,(T57/X11)*AM11)</f>
        <v>0</v>
      </c>
      <c r="AM57" s="1886">
        <f t="shared" si="11"/>
        <v>0</v>
      </c>
      <c r="AN57" s="1891">
        <f t="shared" si="12"/>
        <v>0</v>
      </c>
      <c r="AO57" s="1892">
        <f t="shared" si="13"/>
        <v>0</v>
      </c>
      <c r="AP57" s="1885">
        <f>IF(ISBLANK(T57),0,(T57/X61)*AO62)</f>
        <v>0</v>
      </c>
      <c r="AQ57" s="1886">
        <f t="shared" si="14"/>
        <v>0</v>
      </c>
      <c r="AR57" s="1893" t="s">
        <v>2342</v>
      </c>
      <c r="AS57" s="1894" t="s">
        <v>2343</v>
      </c>
      <c r="AT57" s="1894" t="s">
        <v>2344</v>
      </c>
      <c r="AU57" s="1894">
        <v>3</v>
      </c>
    </row>
    <row r="58" spans="1:47" ht="18.95" customHeight="1">
      <c r="A58" s="3715"/>
      <c r="B58" s="761">
        <f t="shared" si="0"/>
        <v>0</v>
      </c>
      <c r="C58" s="1876">
        <f>IF(G10=1,AH58,IF(G10=2,AL58,IF(G10=3,AP58,IF(G10=4,AT58))))</f>
        <v>0</v>
      </c>
      <c r="D58" s="1877">
        <f>IF(G10=1,AI58,IF(G10=2,AM58,IF(G10=3,AQ58,IF(G10=4,AU58))))</f>
        <v>0</v>
      </c>
      <c r="E58" s="1878">
        <f>IF(G10=1,AG58,IF(G10=2,AK58,IF(G10=3,AO58,IF(G10=4,AS58))))</f>
        <v>0</v>
      </c>
      <c r="F58" s="444" t="str">
        <f>IF(G10=1,"",IF(E58=G58,"",AD58))</f>
        <v/>
      </c>
      <c r="G58" s="1879" t="str">
        <f>IF(G10=1,"",IF(G10=2,AJ58,IF(G10=3,AN58,IF(G10=4,AR58))))</f>
        <v/>
      </c>
      <c r="H58" s="445">
        <f>X58/X61</f>
        <v>0</v>
      </c>
      <c r="I58" s="3709"/>
      <c r="J58" s="3710"/>
      <c r="K58" s="1838"/>
      <c r="L58" s="1062"/>
      <c r="M58" s="349"/>
      <c r="N58" s="349"/>
      <c r="O58" s="349"/>
      <c r="P58" s="349"/>
      <c r="Q58" s="349"/>
      <c r="R58" s="773"/>
      <c r="S58" s="133" t="s">
        <v>2310</v>
      </c>
      <c r="T58" s="1880"/>
      <c r="U58" s="1881"/>
      <c r="V58" s="1882"/>
      <c r="W58" s="446"/>
      <c r="X58" s="1883">
        <f t="shared" si="1"/>
        <v>0</v>
      </c>
      <c r="Y58" s="1884">
        <f>(X58/X61)*Y11</f>
        <v>0</v>
      </c>
      <c r="Z58" s="1885" t="str">
        <f>IF(ISBLANK(T58),"",(T58/X61)*Y11)</f>
        <v/>
      </c>
      <c r="AA58" s="1886">
        <f t="shared" si="15"/>
        <v>0</v>
      </c>
      <c r="AB58" s="1887"/>
      <c r="AC58" s="512">
        <f>AB11</f>
        <v>0</v>
      </c>
      <c r="AD58" s="512">
        <f t="shared" si="7"/>
        <v>0</v>
      </c>
      <c r="AE58" s="513">
        <f t="shared" si="8"/>
        <v>1</v>
      </c>
      <c r="AG58" s="1888">
        <f>((X58/X11)*AI11)</f>
        <v>0</v>
      </c>
      <c r="AH58" s="1885">
        <f>IF(ISTEXT(T58),T58,IF(ISBLANK(T58),0,(T58/X11)*AI11))</f>
        <v>0</v>
      </c>
      <c r="AI58" s="1889">
        <f t="shared" si="9"/>
        <v>0</v>
      </c>
      <c r="AJ58" s="1890">
        <f t="shared" si="10"/>
        <v>0</v>
      </c>
      <c r="AK58" s="1891">
        <f>(X58/X11)*AM11</f>
        <v>0</v>
      </c>
      <c r="AL58" s="1885">
        <f>IF(ISBLANK(T58),0,(T58/X11)*AM11)</f>
        <v>0</v>
      </c>
      <c r="AM58" s="1886">
        <f t="shared" si="11"/>
        <v>0</v>
      </c>
      <c r="AN58" s="1891">
        <f t="shared" si="12"/>
        <v>0</v>
      </c>
      <c r="AO58" s="1892">
        <f t="shared" si="13"/>
        <v>0</v>
      </c>
      <c r="AP58" s="1885">
        <f>IF(ISBLANK(T58),0,(T58/X61)*AO62)</f>
        <v>0</v>
      </c>
      <c r="AQ58" s="1886">
        <f t="shared" si="14"/>
        <v>0</v>
      </c>
      <c r="AR58" s="1893" t="s">
        <v>2342</v>
      </c>
      <c r="AS58" s="1894" t="s">
        <v>2343</v>
      </c>
      <c r="AT58" s="1894" t="s">
        <v>2344</v>
      </c>
      <c r="AU58" s="1894">
        <v>3</v>
      </c>
    </row>
    <row r="59" spans="1:47" ht="18.95" customHeight="1">
      <c r="A59" s="3715"/>
      <c r="B59" s="761">
        <f t="shared" si="0"/>
        <v>0</v>
      </c>
      <c r="C59" s="1876">
        <f>IF(G10=1,AH59,IF(G10=2,AL59,IF(G10=3,AP59,IF(G10=4,AT59))))</f>
        <v>0</v>
      </c>
      <c r="D59" s="1877">
        <f>IF(G10=1,AI59,IF(G10=2,AM59,IF(G10=3,AQ59,IF(G10=4,AU59))))</f>
        <v>0</v>
      </c>
      <c r="E59" s="1878">
        <f>IF(G10=1,AG59,IF(G10=2,AK59,IF(G10=3,AO59,IF(G10=4,AS59))))</f>
        <v>0</v>
      </c>
      <c r="F59" s="444" t="str">
        <f>IF(G10=1,"",IF(E59=G59,"",AD59))</f>
        <v/>
      </c>
      <c r="G59" s="1879" t="str">
        <f>IF(G10=1,"",IF(G10=2,AJ59,IF(G10=3,AN59,IF(G10=4,AR59))))</f>
        <v/>
      </c>
      <c r="H59" s="445">
        <f>X59/X61</f>
        <v>0</v>
      </c>
      <c r="I59" s="3709"/>
      <c r="J59" s="3710"/>
      <c r="K59" s="1838"/>
      <c r="L59" s="1062"/>
      <c r="M59" s="349"/>
      <c r="N59" s="349"/>
      <c r="O59" s="349"/>
      <c r="P59" s="349"/>
      <c r="Q59" s="349"/>
      <c r="R59" s="773"/>
      <c r="S59" s="133" t="s">
        <v>2310</v>
      </c>
      <c r="T59" s="1880"/>
      <c r="U59" s="1881"/>
      <c r="V59" s="1882"/>
      <c r="W59" s="446"/>
      <c r="X59" s="1883">
        <f t="shared" si="1"/>
        <v>0</v>
      </c>
      <c r="Y59" s="1884">
        <f>(X59/X61)*Y11</f>
        <v>0</v>
      </c>
      <c r="Z59" s="1885" t="str">
        <f>IF(ISBLANK(T59),"",(T59/X61)*Y11)</f>
        <v/>
      </c>
      <c r="AA59" s="1886">
        <f t="shared" si="15"/>
        <v>0</v>
      </c>
      <c r="AB59" s="1887"/>
      <c r="AC59" s="512">
        <f>AB11</f>
        <v>0</v>
      </c>
      <c r="AD59" s="512">
        <f t="shared" si="7"/>
        <v>0</v>
      </c>
      <c r="AE59" s="513">
        <f t="shared" si="8"/>
        <v>1</v>
      </c>
      <c r="AG59" s="1888">
        <f>((X59/X11)*AI11)</f>
        <v>0</v>
      </c>
      <c r="AH59" s="1885">
        <f>IF(ISTEXT(T59),T59,IF(ISBLANK(T59),0,(T59/X11)*AI11))</f>
        <v>0</v>
      </c>
      <c r="AI59" s="1889">
        <f t="shared" si="9"/>
        <v>0</v>
      </c>
      <c r="AJ59" s="1890">
        <f t="shared" si="10"/>
        <v>0</v>
      </c>
      <c r="AK59" s="1891">
        <f>(X59/X11)*AM11</f>
        <v>0</v>
      </c>
      <c r="AL59" s="1885">
        <f>IF(ISBLANK(T59),0,(T59/X11)*AM11)</f>
        <v>0</v>
      </c>
      <c r="AM59" s="1886">
        <f t="shared" si="11"/>
        <v>0</v>
      </c>
      <c r="AN59" s="1891">
        <f t="shared" si="12"/>
        <v>0</v>
      </c>
      <c r="AO59" s="1892">
        <f t="shared" si="13"/>
        <v>0</v>
      </c>
      <c r="AP59" s="1885">
        <f>IF(ISBLANK(T59),0,(T59/X61)*AO62)</f>
        <v>0</v>
      </c>
      <c r="AQ59" s="1886">
        <f t="shared" si="14"/>
        <v>0</v>
      </c>
      <c r="AR59" s="1893" t="s">
        <v>2342</v>
      </c>
      <c r="AS59" s="1894" t="s">
        <v>2343</v>
      </c>
      <c r="AT59" s="1894" t="s">
        <v>2344</v>
      </c>
      <c r="AU59" s="1894">
        <v>3</v>
      </c>
    </row>
    <row r="60" spans="1:47" ht="18.95" customHeight="1" thickBot="1">
      <c r="A60" s="3715"/>
      <c r="B60" s="761">
        <f t="shared" si="0"/>
        <v>0</v>
      </c>
      <c r="C60" s="1876">
        <f>IF(G10=1,AH60,IF(G10=2,AL60,IF(G10=3,AP60,IF(G10=4,AT60))))</f>
        <v>0</v>
      </c>
      <c r="D60" s="1877">
        <f>IF(G10=1,AI60,IF(G10=2,AM60,IF(G10=3,AQ60,IF(G10=4,AU60))))</f>
        <v>0</v>
      </c>
      <c r="E60" s="1878">
        <f>IF(G10=1,AG60,IF(G10=2,AK60,IF(G10=3,AO60,IF(G10=4,AS60))))</f>
        <v>0</v>
      </c>
      <c r="F60" s="444" t="str">
        <f>IF(G10=1,"",IF(E60=G60,"",AD60))</f>
        <v/>
      </c>
      <c r="G60" s="1879" t="str">
        <f>IF(G10=1,"",IF(G10=2,AJ60,IF(G10=3,AN60,IF(G10=4,AR60))))</f>
        <v/>
      </c>
      <c r="H60" s="445">
        <f>X60/X61</f>
        <v>0</v>
      </c>
      <c r="I60" s="3709"/>
      <c r="J60" s="3710"/>
      <c r="K60" s="1838"/>
      <c r="L60" s="1062">
        <v>47</v>
      </c>
      <c r="M60" s="453" t="s">
        <v>1058</v>
      </c>
      <c r="N60" s="449"/>
      <c r="O60" s="449"/>
      <c r="P60" s="449"/>
      <c r="Q60" s="449"/>
      <c r="R60" s="774"/>
      <c r="S60" s="133" t="s">
        <v>2310</v>
      </c>
      <c r="T60" s="1880"/>
      <c r="U60" s="1881"/>
      <c r="V60" s="1882"/>
      <c r="W60" s="446"/>
      <c r="X60" s="1883">
        <f t="shared" si="1"/>
        <v>0</v>
      </c>
      <c r="Y60" s="1884">
        <f>(X60/X61)*Y11</f>
        <v>0</v>
      </c>
      <c r="Z60" s="1885" t="str">
        <f>IF(ISBLANK(T60),"",(T60/X61)*Y11)</f>
        <v/>
      </c>
      <c r="AA60" s="1886">
        <f t="shared" si="15"/>
        <v>0</v>
      </c>
      <c r="AB60" s="1887"/>
      <c r="AC60" s="512">
        <f>AB11</f>
        <v>0</v>
      </c>
      <c r="AD60" s="512">
        <f t="shared" si="7"/>
        <v>0</v>
      </c>
      <c r="AE60" s="513">
        <f t="shared" si="8"/>
        <v>1</v>
      </c>
      <c r="AF60" s="1846"/>
      <c r="AG60" s="1888">
        <f>((X60/X11)*AI11)</f>
        <v>0</v>
      </c>
      <c r="AH60" s="1885">
        <f>IF(ISTEXT(T60),T60,IF(ISBLANK(T60),0,(T60/X11)*AI11))</f>
        <v>0</v>
      </c>
      <c r="AI60" s="1889">
        <f t="shared" si="9"/>
        <v>0</v>
      </c>
      <c r="AJ60" s="1890">
        <f t="shared" si="10"/>
        <v>0</v>
      </c>
      <c r="AK60" s="1891">
        <f>(X60/X11)*AM11</f>
        <v>0</v>
      </c>
      <c r="AL60" s="1885">
        <f>IF(ISBLANK(T60),0,(T60/X11)*AM11)</f>
        <v>0</v>
      </c>
      <c r="AM60" s="1886">
        <f t="shared" si="11"/>
        <v>0</v>
      </c>
      <c r="AN60" s="1891">
        <f t="shared" si="12"/>
        <v>0</v>
      </c>
      <c r="AO60" s="1892">
        <f t="shared" si="13"/>
        <v>0</v>
      </c>
      <c r="AP60" s="1885">
        <f>IF(ISBLANK(T60),0,(T60/X61)*AO62)</f>
        <v>0</v>
      </c>
      <c r="AQ60" s="1886">
        <f t="shared" si="14"/>
        <v>0</v>
      </c>
      <c r="AR60" s="1893" t="s">
        <v>2342</v>
      </c>
      <c r="AS60" s="1894" t="s">
        <v>2343</v>
      </c>
      <c r="AT60" s="1894" t="s">
        <v>2344</v>
      </c>
      <c r="AU60" s="1894">
        <v>3</v>
      </c>
    </row>
    <row r="61" spans="1:47" ht="19.5" customHeight="1" thickBot="1">
      <c r="A61" s="3715"/>
      <c r="B61" s="526"/>
      <c r="C61" s="451" t="s">
        <v>1314</v>
      </c>
      <c r="D61" s="450" t="s">
        <v>2345</v>
      </c>
      <c r="E61" s="450" t="s">
        <v>2346</v>
      </c>
      <c r="F61" s="452" t="s">
        <v>2347</v>
      </c>
      <c r="G61" s="450" t="s">
        <v>2348</v>
      </c>
      <c r="H61" s="450"/>
      <c r="I61" s="3709"/>
      <c r="J61" s="3710"/>
      <c r="K61" s="1838"/>
      <c r="L61" s="1062">
        <v>48</v>
      </c>
      <c r="M61" s="1895" t="s">
        <v>1062</v>
      </c>
      <c r="N61" s="449"/>
      <c r="O61" s="449"/>
      <c r="P61" s="449"/>
      <c r="Q61" s="449"/>
      <c r="R61" s="774"/>
      <c r="S61" s="133" t="s">
        <v>2310</v>
      </c>
      <c r="T61" s="1896">
        <f>T62/1000</f>
        <v>0.13500000000000001</v>
      </c>
      <c r="U61" s="1897"/>
      <c r="V61" s="1898">
        <f>SUM(V13:V60)</f>
        <v>2.8345999999999996</v>
      </c>
      <c r="W61" s="1899" t="s">
        <v>2349</v>
      </c>
      <c r="X61" s="1900">
        <f>SUM(X13:X60)</f>
        <v>2.8345999999999996</v>
      </c>
      <c r="Y61" s="456"/>
      <c r="Z61" s="456"/>
      <c r="AA61" s="524"/>
      <c r="AB61" s="525"/>
      <c r="AC61" s="525"/>
      <c r="AD61" s="525"/>
      <c r="AE61" s="524"/>
      <c r="AG61" s="526" t="s">
        <v>1314</v>
      </c>
      <c r="AH61" s="525"/>
      <c r="AI61" s="525"/>
      <c r="AJ61" s="526" t="s">
        <v>1314</v>
      </c>
      <c r="AK61" s="450" t="s">
        <v>1314</v>
      </c>
      <c r="AL61" s="450" t="s">
        <v>1378</v>
      </c>
      <c r="AM61" s="527" t="s">
        <v>2345</v>
      </c>
      <c r="AN61" s="526" t="s">
        <v>1314</v>
      </c>
      <c r="AO61" s="450" t="s">
        <v>1314</v>
      </c>
      <c r="AP61" s="450" t="s">
        <v>1378</v>
      </c>
      <c r="AQ61" s="527" t="s">
        <v>2345</v>
      </c>
      <c r="AR61" s="450"/>
      <c r="AS61" s="528"/>
      <c r="AT61" s="450"/>
      <c r="AU61" s="450"/>
    </row>
    <row r="62" spans="1:47" ht="19.5" customHeight="1">
      <c r="A62" s="3715"/>
      <c r="B62" s="762"/>
      <c r="C62" s="1901">
        <f>SUM(C13:C60)</f>
        <v>116.25</v>
      </c>
      <c r="D62" s="1902" t="str">
        <f>IF((G62)=0,"",(E62-G62))</f>
        <v/>
      </c>
      <c r="E62" s="1902">
        <f>SUM(E13:E60)</f>
        <v>7.0865000000000009</v>
      </c>
      <c r="F62" s="1903" t="e">
        <f>D62/E62</f>
        <v>#VALUE!</v>
      </c>
      <c r="G62" s="1902">
        <f>SUM(G13:G60)</f>
        <v>0</v>
      </c>
      <c r="H62" s="1904">
        <f>SUM(H13:H60)</f>
        <v>1</v>
      </c>
      <c r="I62" s="3709"/>
      <c r="J62" s="3710"/>
      <c r="K62" s="1838"/>
      <c r="L62" s="1062">
        <v>49</v>
      </c>
      <c r="M62" s="1895" t="s">
        <v>2392</v>
      </c>
      <c r="N62" s="449"/>
      <c r="O62" s="449"/>
      <c r="P62" s="449"/>
      <c r="Q62" s="449"/>
      <c r="R62" s="774"/>
      <c r="S62" s="133" t="s">
        <v>2310</v>
      </c>
      <c r="T62" s="3700">
        <v>135</v>
      </c>
      <c r="U62" s="3702" t="s">
        <v>2350</v>
      </c>
      <c r="V62" s="3702"/>
      <c r="W62" s="3704" t="s">
        <v>2351</v>
      </c>
      <c r="X62" s="3681">
        <f>X61/(T62/1000)</f>
        <v>20.997037037037032</v>
      </c>
      <c r="Y62" s="1902">
        <f>SUM(Y13:Y61)</f>
        <v>1</v>
      </c>
      <c r="Z62" s="1905">
        <f>SUM(Z13:Z61)</f>
        <v>16.404430960276585</v>
      </c>
      <c r="AA62" s="1906" t="s">
        <v>2352</v>
      </c>
      <c r="AB62" s="532">
        <f>COUNTIF(AD13:AD60,"&gt;0")</f>
        <v>0</v>
      </c>
      <c r="AC62" s="1902"/>
      <c r="AD62" s="1907"/>
      <c r="AE62" s="1906"/>
      <c r="AG62" s="1908">
        <f>SUM(AG13:AG60)</f>
        <v>7.0865000000000009</v>
      </c>
      <c r="AH62" s="1907"/>
      <c r="AI62" s="1907"/>
      <c r="AJ62" s="1908">
        <f>SUM(AJ13:AJ60)</f>
        <v>7.0865000000000009</v>
      </c>
      <c r="AK62" s="1902">
        <f>SUM(AK13:AK60)</f>
        <v>7.0865000000000009</v>
      </c>
      <c r="AL62" s="535">
        <f>(AM62/AK62%)</f>
        <v>0</v>
      </c>
      <c r="AM62" s="1909">
        <f>AK62-AJ62</f>
        <v>0</v>
      </c>
      <c r="AN62" s="1902">
        <f>SUM(AN13:AN60)</f>
        <v>7.0865000000000009</v>
      </c>
      <c r="AO62" s="1902">
        <f>SUM(AO13:AO60)</f>
        <v>7.0865000000000009</v>
      </c>
      <c r="AP62" s="537">
        <f>(AQ62/AO62%)</f>
        <v>0</v>
      </c>
      <c r="AQ62" s="1909">
        <f>AO62-AN62</f>
        <v>0</v>
      </c>
      <c r="AR62" s="1910"/>
      <c r="AS62" s="1911"/>
      <c r="AT62" s="1910"/>
      <c r="AU62" s="1912"/>
    </row>
    <row r="63" spans="1:47" ht="19.5" customHeight="1" thickBot="1">
      <c r="A63" s="3715"/>
      <c r="B63" s="526"/>
      <c r="C63" s="450"/>
      <c r="D63" s="450"/>
      <c r="E63" s="450"/>
      <c r="F63" s="450"/>
      <c r="G63" s="450"/>
      <c r="H63" s="450"/>
      <c r="I63" s="3709"/>
      <c r="J63" s="3710"/>
      <c r="K63" s="1838"/>
      <c r="L63" s="1062">
        <v>50</v>
      </c>
      <c r="M63" s="460" t="s">
        <v>1957</v>
      </c>
      <c r="N63" s="461" t="s">
        <v>1088</v>
      </c>
      <c r="O63" s="461"/>
      <c r="P63" s="461"/>
      <c r="Q63" s="462"/>
      <c r="R63" s="774"/>
      <c r="S63" s="133" t="s">
        <v>2310</v>
      </c>
      <c r="T63" s="3701"/>
      <c r="U63" s="3703"/>
      <c r="V63" s="3703"/>
      <c r="W63" s="3705"/>
      <c r="X63" s="3682"/>
      <c r="Y63" s="456"/>
      <c r="Z63" s="456"/>
      <c r="AA63" s="524"/>
      <c r="AB63" s="525"/>
      <c r="AC63" s="525"/>
      <c r="AD63" s="525"/>
      <c r="AE63" s="524"/>
      <c r="AG63" s="541"/>
      <c r="AH63" s="542"/>
      <c r="AI63" s="543"/>
      <c r="AJ63" s="542"/>
      <c r="AK63" s="542"/>
      <c r="AL63" s="542"/>
      <c r="AM63" s="543"/>
      <c r="AN63" s="542"/>
      <c r="AO63" s="542"/>
      <c r="AP63" s="542"/>
      <c r="AQ63" s="543"/>
      <c r="AR63" s="542"/>
      <c r="AS63" s="542"/>
      <c r="AT63" s="542"/>
      <c r="AU63" s="542"/>
    </row>
    <row r="64" spans="1:47" ht="30" customHeight="1" thickBot="1">
      <c r="A64" s="3715"/>
      <c r="B64" s="763"/>
      <c r="C64" s="764"/>
      <c r="D64" s="764"/>
      <c r="E64" s="764"/>
      <c r="F64" s="764"/>
      <c r="G64" s="764"/>
      <c r="H64" s="764"/>
      <c r="I64" s="3711"/>
      <c r="J64" s="3712"/>
      <c r="K64" s="1838"/>
      <c r="L64" s="763"/>
      <c r="M64" s="764"/>
      <c r="N64" s="764"/>
      <c r="O64" s="764"/>
      <c r="P64" s="764"/>
      <c r="Q64" s="764"/>
      <c r="R64" s="765"/>
      <c r="S64" s="400" t="s">
        <v>2307</v>
      </c>
      <c r="T64" s="1913">
        <v>10</v>
      </c>
      <c r="U64" s="3706" t="s">
        <v>2358</v>
      </c>
      <c r="V64" s="3706"/>
      <c r="W64" s="545" t="s">
        <v>2353</v>
      </c>
      <c r="X64" s="463">
        <f>T64/T61</f>
        <v>74.074074074074076</v>
      </c>
      <c r="Y64" s="546"/>
      <c r="Z64" s="546"/>
      <c r="AA64" s="547"/>
      <c r="AB64" s="548"/>
      <c r="AC64" s="548"/>
      <c r="AD64" s="547"/>
      <c r="AE64" s="549"/>
      <c r="AG64" s="550"/>
      <c r="AH64" s="547"/>
      <c r="AI64" s="549"/>
      <c r="AJ64" s="547"/>
      <c r="AK64" s="547"/>
      <c r="AL64" s="547"/>
      <c r="AM64" s="549"/>
      <c r="AN64" s="547"/>
      <c r="AO64" s="547"/>
      <c r="AP64" s="547"/>
      <c r="AQ64" s="549"/>
      <c r="AR64" s="547"/>
      <c r="AS64" s="547"/>
      <c r="AT64" s="547"/>
      <c r="AU64" s="547"/>
    </row>
    <row r="65" spans="1:15">
      <c r="A65" s="370"/>
      <c r="J65" s="1838"/>
      <c r="K65" s="1838"/>
    </row>
    <row r="66" spans="1:15">
      <c r="J66" s="1838"/>
      <c r="K66" s="1838"/>
      <c r="L66" s="1838"/>
    </row>
    <row r="67" spans="1:15" ht="15.75" thickBot="1">
      <c r="A67" s="370">
        <f t="shared" ref="A67" ca="1" si="17">CELL("largeur",A67)</f>
        <v>3</v>
      </c>
      <c r="B67" s="370">
        <v>40</v>
      </c>
      <c r="C67" s="370">
        <v>12</v>
      </c>
      <c r="D67" s="370">
        <v>12</v>
      </c>
      <c r="E67" s="370">
        <v>12</v>
      </c>
      <c r="F67" s="370">
        <v>12</v>
      </c>
      <c r="G67" s="370">
        <v>12</v>
      </c>
      <c r="H67" s="370">
        <v>12</v>
      </c>
      <c r="I67" s="370">
        <v>12</v>
      </c>
      <c r="J67" s="370">
        <v>12</v>
      </c>
      <c r="K67" s="371" t="s">
        <v>1194</v>
      </c>
    </row>
    <row r="68" spans="1:15" ht="18" customHeight="1">
      <c r="A68" s="3648" t="s">
        <v>150</v>
      </c>
      <c r="B68" s="3650" t="s">
        <v>2194</v>
      </c>
      <c r="C68" s="3650"/>
      <c r="D68" s="3650"/>
      <c r="E68" s="3650"/>
      <c r="F68" s="3650"/>
      <c r="G68" s="3650"/>
      <c r="H68" s="3650"/>
      <c r="I68" s="3650"/>
      <c r="J68" s="3668" t="s">
        <v>2290</v>
      </c>
      <c r="N68" s="464" t="s">
        <v>2354</v>
      </c>
      <c r="O68" s="465" t="s">
        <v>2355</v>
      </c>
    </row>
    <row r="69" spans="1:15" ht="18" customHeight="1">
      <c r="A69" s="3649"/>
      <c r="B69" s="3651"/>
      <c r="C69" s="3651"/>
      <c r="D69" s="3651"/>
      <c r="E69" s="3651"/>
      <c r="F69" s="3651"/>
      <c r="G69" s="3651"/>
      <c r="H69" s="3651"/>
      <c r="I69" s="3651"/>
      <c r="J69" s="3669"/>
      <c r="N69" s="1502"/>
      <c r="O69" s="1502"/>
    </row>
    <row r="70" spans="1:15" ht="18" customHeight="1">
      <c r="A70" s="747" t="s">
        <v>152</v>
      </c>
      <c r="B70" s="3654" t="s">
        <v>2360</v>
      </c>
      <c r="C70" s="3654"/>
      <c r="D70" s="3654"/>
      <c r="E70" s="3654"/>
      <c r="F70" s="3654"/>
      <c r="G70" s="3654"/>
      <c r="H70" s="3654"/>
      <c r="I70" s="3654"/>
      <c r="J70" s="3655"/>
      <c r="N70" s="464" t="s">
        <v>2354</v>
      </c>
      <c r="O70" s="465" t="s">
        <v>2356</v>
      </c>
    </row>
    <row r="71" spans="1:15" ht="18" customHeight="1">
      <c r="A71" s="748" t="s">
        <v>154</v>
      </c>
      <c r="B71" s="3656" t="s">
        <v>2296</v>
      </c>
      <c r="C71" s="3656"/>
      <c r="D71" s="3656"/>
      <c r="E71" s="3656"/>
      <c r="F71" s="3656"/>
      <c r="G71" s="3656"/>
      <c r="H71" s="3656"/>
      <c r="I71" s="3656"/>
      <c r="J71" s="3657"/>
    </row>
    <row r="72" spans="1:15" ht="18" customHeight="1">
      <c r="A72" s="749"/>
      <c r="B72" s="1457"/>
      <c r="C72" s="1457"/>
      <c r="D72" s="3658" t="s">
        <v>2462</v>
      </c>
      <c r="E72" s="3658"/>
      <c r="F72" s="3658"/>
      <c r="G72" s="3658"/>
      <c r="H72" s="3660" t="s">
        <v>2469</v>
      </c>
      <c r="I72" s="3660"/>
      <c r="J72" s="3662">
        <v>10</v>
      </c>
    </row>
    <row r="73" spans="1:15" ht="18" customHeight="1">
      <c r="A73" s="749"/>
      <c r="B73" s="1914" t="s">
        <v>2468</v>
      </c>
      <c r="C73" s="746">
        <v>4</v>
      </c>
      <c r="D73" s="3659"/>
      <c r="E73" s="3659"/>
      <c r="F73" s="3659"/>
      <c r="G73" s="3659"/>
      <c r="H73" s="3661"/>
      <c r="I73" s="3661"/>
      <c r="J73" s="3663"/>
    </row>
    <row r="74" spans="1:15" ht="18" customHeight="1">
      <c r="A74" s="3664" t="s">
        <v>2464</v>
      </c>
      <c r="B74" s="3665"/>
      <c r="C74" s="1915" t="s">
        <v>2465</v>
      </c>
      <c r="D74" s="1916" t="s">
        <v>2466</v>
      </c>
      <c r="E74" s="1917" t="s">
        <v>2467</v>
      </c>
      <c r="F74" s="703" t="s">
        <v>2470</v>
      </c>
      <c r="G74" s="1918" t="s">
        <v>2330</v>
      </c>
      <c r="H74" s="1919" t="s">
        <v>2331</v>
      </c>
      <c r="I74" s="1920" t="s">
        <v>975</v>
      </c>
      <c r="J74" s="705" t="s">
        <v>2293</v>
      </c>
    </row>
    <row r="75" spans="1:15" ht="18" customHeight="1">
      <c r="A75" s="744">
        <v>1</v>
      </c>
      <c r="B75" s="709" t="s">
        <v>2199</v>
      </c>
      <c r="C75" s="710">
        <v>0.75</v>
      </c>
      <c r="D75" s="710" t="s">
        <v>2210</v>
      </c>
      <c r="E75" s="711"/>
      <c r="F75" s="704"/>
      <c r="G75" s="1921">
        <f>(C75/C73)*J72</f>
        <v>1.875</v>
      </c>
      <c r="H75" s="712" t="str">
        <f>D75</f>
        <v>Bte</v>
      </c>
      <c r="I75" s="1922">
        <f>IF(C75&gt;0,(E75*C75/C73)*J72,IF(ISBLANK(C75),(E75/C73)*J72))</f>
        <v>0</v>
      </c>
      <c r="J75" s="713">
        <f t="shared" ref="J75:J81" si="18">IF(I75=0,G75*F75,I75*F75)</f>
        <v>0</v>
      </c>
    </row>
    <row r="76" spans="1:15" ht="18" customHeight="1">
      <c r="A76" s="745">
        <f>LARGE(A75:A75,1)+1</f>
        <v>2</v>
      </c>
      <c r="B76" s="709" t="s">
        <v>1053</v>
      </c>
      <c r="C76" s="710"/>
      <c r="D76" s="710"/>
      <c r="E76" s="711">
        <v>0.5</v>
      </c>
      <c r="F76" s="704">
        <v>0.18</v>
      </c>
      <c r="G76" s="1921">
        <f>(C76/C73)*J72</f>
        <v>0</v>
      </c>
      <c r="H76" s="712">
        <f>D76</f>
        <v>0</v>
      </c>
      <c r="I76" s="1922">
        <f>IF(C76&gt;0,(E76*C76/C73)*J72,IF(ISBLANK(C76),(E76/C73)*J72))</f>
        <v>1.25</v>
      </c>
      <c r="J76" s="714">
        <f t="shared" si="18"/>
        <v>0.22499999999999998</v>
      </c>
    </row>
    <row r="77" spans="1:15" ht="18" customHeight="1">
      <c r="A77" s="744">
        <f>LARGE(A75:A76,1)+1</f>
        <v>3</v>
      </c>
      <c r="B77" s="709" t="s">
        <v>2200</v>
      </c>
      <c r="C77" s="710">
        <v>0.5</v>
      </c>
      <c r="D77" s="710" t="s">
        <v>2210</v>
      </c>
      <c r="E77" s="711"/>
      <c r="F77" s="704"/>
      <c r="G77" s="1921">
        <f>(C77/C73)*J72</f>
        <v>1.25</v>
      </c>
      <c r="H77" s="712" t="str">
        <f t="shared" ref="H77:H81" si="19">D77</f>
        <v>Bte</v>
      </c>
      <c r="I77" s="1922">
        <f>IF(C77&gt;0,(E77*C77/C73)*J72,IF(ISBLANK(C77),(E77/C73)*J72))</f>
        <v>0</v>
      </c>
      <c r="J77" s="714">
        <f t="shared" si="18"/>
        <v>0</v>
      </c>
    </row>
    <row r="78" spans="1:15" ht="18" customHeight="1">
      <c r="A78" s="745">
        <f>LARGE(A75:A77,1)+1</f>
        <v>4</v>
      </c>
      <c r="B78" s="709" t="s">
        <v>2201</v>
      </c>
      <c r="C78" s="710"/>
      <c r="D78" s="710"/>
      <c r="E78" s="711">
        <v>7.4999999999999997E-2</v>
      </c>
      <c r="F78" s="704"/>
      <c r="G78" s="1921">
        <f>(C78/C73)*J72</f>
        <v>0</v>
      </c>
      <c r="H78" s="712">
        <f t="shared" si="19"/>
        <v>0</v>
      </c>
      <c r="I78" s="1922">
        <f>IF(C78&gt;0,(E78*C78/C73)*J72,IF(ISBLANK(C78),(E78/C73)*J72))</f>
        <v>0.1875</v>
      </c>
      <c r="J78" s="714">
        <f t="shared" si="18"/>
        <v>0</v>
      </c>
    </row>
    <row r="79" spans="1:15" ht="18" customHeight="1">
      <c r="A79" s="744">
        <f>LARGE(A75:A78,1)+1</f>
        <v>5</v>
      </c>
      <c r="B79" s="709" t="s">
        <v>2202</v>
      </c>
      <c r="C79" s="710"/>
      <c r="D79" s="710"/>
      <c r="E79" s="711">
        <v>0.25</v>
      </c>
      <c r="F79" s="704"/>
      <c r="G79" s="1921">
        <f>(C79/C73)*J72</f>
        <v>0</v>
      </c>
      <c r="H79" s="712">
        <f t="shared" si="19"/>
        <v>0</v>
      </c>
      <c r="I79" s="1922">
        <f>IF(C79&gt;0,(E79*C79/C73)*J72,IF(ISBLANK(C79),(E79/C73)*J72))</f>
        <v>0.625</v>
      </c>
      <c r="J79" s="714">
        <f t="shared" si="18"/>
        <v>0</v>
      </c>
    </row>
    <row r="80" spans="1:15" ht="18" customHeight="1">
      <c r="A80" s="745">
        <f>LARGE(A75:A79,1)+1</f>
        <v>6</v>
      </c>
      <c r="B80" s="709" t="s">
        <v>2203</v>
      </c>
      <c r="C80" s="710"/>
      <c r="D80" s="710"/>
      <c r="E80" s="711">
        <v>0.05</v>
      </c>
      <c r="F80" s="704"/>
      <c r="G80" s="1921">
        <f>(C80/C73)*J72</f>
        <v>0</v>
      </c>
      <c r="H80" s="712">
        <f t="shared" si="19"/>
        <v>0</v>
      </c>
      <c r="I80" s="1922">
        <f>IF(C80&gt;0,(E80*C80/C73)*J72,IF(ISBLANK(C80),(E80/C73)*J72))</f>
        <v>0.125</v>
      </c>
      <c r="J80" s="714">
        <f t="shared" si="18"/>
        <v>0</v>
      </c>
    </row>
    <row r="81" spans="1:10" ht="18" customHeight="1" thickBot="1">
      <c r="A81" s="744">
        <f>LARGE(A75:A80,1)+1</f>
        <v>7</v>
      </c>
      <c r="B81" s="709"/>
      <c r="C81" s="710"/>
      <c r="D81" s="710"/>
      <c r="E81" s="711"/>
      <c r="F81" s="704"/>
      <c r="G81" s="1921">
        <f>(C81/C73)*J72</f>
        <v>0</v>
      </c>
      <c r="H81" s="712">
        <f t="shared" si="19"/>
        <v>0</v>
      </c>
      <c r="I81" s="1922">
        <f>IF(C81&gt;0,(E81*C81/C73)*J72,IF(ISBLANK(C81),(E81/C73)*J72))</f>
        <v>0</v>
      </c>
      <c r="J81" s="714">
        <f t="shared" si="18"/>
        <v>0</v>
      </c>
    </row>
    <row r="82" spans="1:10" ht="18" customHeight="1" thickTop="1" thickBot="1">
      <c r="A82" s="3688" t="s">
        <v>1314</v>
      </c>
      <c r="B82" s="3667"/>
      <c r="C82" s="1065">
        <f>SUM(C75:C81)</f>
        <v>1.25</v>
      </c>
      <c r="D82" s="699"/>
      <c r="E82" s="383"/>
      <c r="F82" s="383"/>
      <c r="G82" s="383"/>
      <c r="H82" s="701"/>
      <c r="I82" s="701">
        <f>SUM(I75:I81)</f>
        <v>2.1875</v>
      </c>
      <c r="J82" s="731">
        <f>J83+J84</f>
        <v>0.22949999999999998</v>
      </c>
    </row>
    <row r="83" spans="1:10" ht="18" customHeight="1" thickTop="1">
      <c r="A83" s="732"/>
      <c r="B83" s="569"/>
      <c r="C83" s="569"/>
      <c r="D83" s="569"/>
      <c r="E83" s="1923"/>
      <c r="F83" s="1923"/>
      <c r="G83" s="572"/>
      <c r="H83" s="572" t="s">
        <v>2397</v>
      </c>
      <c r="I83" s="624">
        <f>J72</f>
        <v>10</v>
      </c>
      <c r="J83" s="733">
        <f>SUM(J75:J81)</f>
        <v>0.22499999999999998</v>
      </c>
    </row>
    <row r="84" spans="1:10" ht="18" customHeight="1">
      <c r="A84" s="721"/>
      <c r="B84" s="571"/>
      <c r="C84" s="571"/>
      <c r="D84" s="571"/>
      <c r="E84" s="1457"/>
      <c r="F84" s="1457"/>
      <c r="G84" s="573"/>
      <c r="H84" s="706" t="s">
        <v>2471</v>
      </c>
      <c r="I84" s="700">
        <v>0.02</v>
      </c>
      <c r="J84" s="734">
        <f>J83*I84</f>
        <v>4.4999999999999997E-3</v>
      </c>
    </row>
    <row r="85" spans="1:10" ht="18" customHeight="1">
      <c r="A85" s="735"/>
      <c r="B85" s="728"/>
      <c r="C85" s="728"/>
      <c r="D85" s="728"/>
      <c r="E85" s="728"/>
      <c r="F85" s="728"/>
      <c r="G85" s="729"/>
      <c r="H85" s="729" t="s">
        <v>2289</v>
      </c>
      <c r="I85" s="730"/>
      <c r="J85" s="736">
        <f>(J82/I83)*1</f>
        <v>2.2949999999999998E-2</v>
      </c>
    </row>
    <row r="86" spans="1:10" ht="18" customHeight="1">
      <c r="A86" s="697"/>
      <c r="B86" s="1059"/>
      <c r="C86" s="752" t="s">
        <v>1949</v>
      </c>
      <c r="D86" s="753">
        <v>2</v>
      </c>
      <c r="E86" s="1059"/>
      <c r="F86" s="1059"/>
      <c r="G86" s="753">
        <v>2</v>
      </c>
      <c r="H86" s="753"/>
      <c r="I86" s="1059"/>
      <c r="J86" s="1060"/>
    </row>
    <row r="87" spans="1:10" ht="18" customHeight="1">
      <c r="A87" s="3405" t="s">
        <v>1951</v>
      </c>
      <c r="B87" s="3406"/>
      <c r="C87" s="3406"/>
      <c r="D87" s="3406"/>
      <c r="E87" s="3406"/>
      <c r="F87" s="3406"/>
      <c r="G87" s="3406"/>
      <c r="H87" s="3406"/>
      <c r="I87" s="3406"/>
      <c r="J87" s="3407"/>
    </row>
    <row r="88" spans="1:10" ht="18" customHeight="1">
      <c r="A88" s="707">
        <v>1</v>
      </c>
      <c r="B88" s="349" t="s">
        <v>2362</v>
      </c>
      <c r="C88" s="349"/>
      <c r="D88" s="349"/>
      <c r="E88" s="349"/>
      <c r="F88" s="349"/>
      <c r="G88" s="349"/>
      <c r="H88" s="349"/>
      <c r="I88" s="349"/>
      <c r="J88" s="350"/>
    </row>
    <row r="89" spans="1:10" ht="18" customHeight="1">
      <c r="A89" s="707">
        <f>LARGE(A88:A88,1)+1</f>
        <v>2</v>
      </c>
      <c r="B89" s="349" t="s">
        <v>2363</v>
      </c>
      <c r="C89" s="349"/>
      <c r="D89" s="349"/>
      <c r="E89" s="349"/>
      <c r="F89" s="349"/>
      <c r="G89" s="349"/>
      <c r="H89" s="349"/>
      <c r="I89" s="349"/>
      <c r="J89" s="350"/>
    </row>
    <row r="90" spans="1:10" ht="18" customHeight="1">
      <c r="A90" s="707">
        <f>LARGE(A88:A89,1)+1</f>
        <v>3</v>
      </c>
      <c r="B90" s="349" t="s">
        <v>2364</v>
      </c>
      <c r="C90" s="349"/>
      <c r="D90" s="349"/>
      <c r="E90" s="349"/>
      <c r="F90" s="349"/>
      <c r="G90" s="349"/>
      <c r="H90" s="349"/>
      <c r="I90" s="349"/>
      <c r="J90" s="350"/>
    </row>
    <row r="91" spans="1:10" ht="18" customHeight="1">
      <c r="A91" s="707">
        <f>LARGE(A88:A90,1)+1</f>
        <v>4</v>
      </c>
      <c r="B91" s="349" t="s">
        <v>2365</v>
      </c>
      <c r="C91" s="349"/>
      <c r="D91" s="349"/>
      <c r="E91" s="349"/>
      <c r="F91" s="349"/>
      <c r="G91" s="349"/>
      <c r="H91" s="349"/>
      <c r="I91" s="349"/>
      <c r="J91" s="350"/>
    </row>
    <row r="92" spans="1:10" ht="18" customHeight="1">
      <c r="A92" s="707"/>
      <c r="B92" s="349"/>
      <c r="C92" s="349"/>
      <c r="D92" s="349"/>
      <c r="E92" s="349"/>
      <c r="F92" s="349"/>
      <c r="G92" s="349"/>
      <c r="H92" s="349"/>
      <c r="I92" s="349"/>
      <c r="J92" s="350"/>
    </row>
    <row r="93" spans="1:10" ht="18" customHeight="1">
      <c r="A93" s="719" t="s">
        <v>2474</v>
      </c>
      <c r="B93" s="3652" t="s">
        <v>2361</v>
      </c>
      <c r="C93" s="3653"/>
      <c r="D93" s="3653"/>
      <c r="E93" s="3653"/>
      <c r="F93" s="1924"/>
      <c r="G93" s="1924"/>
      <c r="H93" s="1924"/>
      <c r="I93" s="1924"/>
      <c r="J93" s="1925"/>
    </row>
    <row r="94" spans="1:10" ht="18" customHeight="1">
      <c r="A94" s="751"/>
      <c r="B94" s="1926"/>
      <c r="C94" s="1926"/>
      <c r="D94" s="1926"/>
      <c r="E94" s="1926"/>
      <c r="F94" s="1926"/>
      <c r="G94" s="1926"/>
      <c r="H94" s="1926"/>
      <c r="I94" s="1926"/>
      <c r="J94" s="1927"/>
    </row>
    <row r="95" spans="1:10" ht="18" customHeight="1">
      <c r="A95" s="720" t="s">
        <v>2472</v>
      </c>
      <c r="B95" s="715"/>
      <c r="C95" s="717"/>
      <c r="D95" s="717"/>
      <c r="E95" s="717"/>
      <c r="F95" s="716" t="s">
        <v>2475</v>
      </c>
      <c r="G95" s="715"/>
      <c r="H95" s="1928"/>
      <c r="I95" s="1928"/>
      <c r="J95" s="1929"/>
    </row>
    <row r="96" spans="1:10" ht="18" customHeight="1">
      <c r="A96" s="721" t="s">
        <v>2473</v>
      </c>
      <c r="B96" s="571"/>
      <c r="C96" s="571"/>
      <c r="D96" s="571" t="s">
        <v>2463</v>
      </c>
      <c r="E96" s="571"/>
      <c r="F96" s="1924"/>
      <c r="G96" s="1924"/>
      <c r="H96" s="1924"/>
      <c r="I96" s="1924"/>
      <c r="J96" s="1503"/>
    </row>
    <row r="97" spans="1:10" ht="18" customHeight="1">
      <c r="A97" s="1500" t="str">
        <f ca="1">CELL("nomfichier")</f>
        <v>E:\0-UPRT\1-UPRT.FR-SITE-WEB\ff-fiches-fabrications\ff-fiches-fabrication-maj-08-2020\[ff-8-restauration-Christian.Frechede.xlsx]Formats-Formules-Fonctions</v>
      </c>
      <c r="B97" s="1502"/>
      <c r="C97" s="718"/>
      <c r="D97" s="718"/>
      <c r="E97" s="718"/>
      <c r="F97" s="1924"/>
      <c r="G97" s="1924"/>
      <c r="H97" s="1924"/>
      <c r="I97" s="1924"/>
      <c r="J97" s="1930" t="s">
        <v>1956</v>
      </c>
    </row>
    <row r="98" spans="1:10" ht="18" customHeight="1" thickBot="1">
      <c r="A98" s="356" t="s">
        <v>361</v>
      </c>
      <c r="B98" s="722"/>
      <c r="C98" s="723"/>
      <c r="D98" s="723"/>
      <c r="E98" s="723"/>
      <c r="F98" s="1931"/>
      <c r="G98" s="1931"/>
      <c r="H98" s="1931"/>
      <c r="I98" s="1931"/>
      <c r="J98" s="1507"/>
    </row>
    <row r="99" spans="1:10" ht="18" customHeight="1">
      <c r="A99" s="1201"/>
      <c r="B99" s="1201"/>
      <c r="C99" s="1201"/>
      <c r="D99" s="1201"/>
      <c r="E99" s="1201"/>
      <c r="F99" s="1201"/>
      <c r="G99" s="1201"/>
      <c r="H99" s="1201"/>
      <c r="I99" s="1201"/>
      <c r="J99" s="1201"/>
    </row>
    <row r="100" spans="1:10" ht="18" customHeight="1" thickBot="1">
      <c r="A100" s="1201"/>
      <c r="B100" s="1201"/>
      <c r="C100" s="1201"/>
      <c r="D100" s="1201"/>
      <c r="E100" s="1201"/>
      <c r="F100" s="1201"/>
      <c r="G100" s="1201"/>
      <c r="H100" s="1201"/>
      <c r="I100" s="1201"/>
      <c r="J100" s="1201"/>
    </row>
    <row r="101" spans="1:10" ht="18" customHeight="1">
      <c r="A101" s="3648" t="s">
        <v>150</v>
      </c>
      <c r="B101" s="3650" t="s">
        <v>2211</v>
      </c>
      <c r="C101" s="3650"/>
      <c r="D101" s="3650"/>
      <c r="E101" s="3650"/>
      <c r="F101" s="3650"/>
      <c r="G101" s="3650"/>
      <c r="H101" s="3650"/>
      <c r="I101" s="3650"/>
      <c r="J101" s="3668" t="s">
        <v>2295</v>
      </c>
    </row>
    <row r="102" spans="1:10" ht="18" customHeight="1">
      <c r="A102" s="3649"/>
      <c r="B102" s="3651"/>
      <c r="C102" s="3651"/>
      <c r="D102" s="3651"/>
      <c r="E102" s="3651"/>
      <c r="F102" s="3651"/>
      <c r="G102" s="3651"/>
      <c r="H102" s="3651"/>
      <c r="I102" s="3651"/>
      <c r="J102" s="3669"/>
    </row>
    <row r="103" spans="1:10" ht="18" customHeight="1">
      <c r="A103" s="747" t="s">
        <v>152</v>
      </c>
      <c r="B103" s="3654" t="s">
        <v>2360</v>
      </c>
      <c r="C103" s="3654"/>
      <c r="D103" s="3654"/>
      <c r="E103" s="3654"/>
      <c r="F103" s="3654"/>
      <c r="G103" s="3654"/>
      <c r="H103" s="3654"/>
      <c r="I103" s="3654"/>
      <c r="J103" s="3655"/>
    </row>
    <row r="104" spans="1:10" ht="18" customHeight="1">
      <c r="A104" s="748" t="s">
        <v>154</v>
      </c>
      <c r="B104" s="3656" t="s">
        <v>2296</v>
      </c>
      <c r="C104" s="3656"/>
      <c r="D104" s="3656"/>
      <c r="E104" s="3656"/>
      <c r="F104" s="3656"/>
      <c r="G104" s="3656"/>
      <c r="H104" s="3656"/>
      <c r="I104" s="3656"/>
      <c r="J104" s="3657"/>
    </row>
    <row r="105" spans="1:10" ht="18" customHeight="1">
      <c r="A105" s="749"/>
      <c r="B105" s="1457"/>
      <c r="C105" s="1457"/>
      <c r="D105" s="3658" t="s">
        <v>2462</v>
      </c>
      <c r="E105" s="3658"/>
      <c r="F105" s="3658"/>
      <c r="G105" s="3658"/>
      <c r="H105" s="3660" t="s">
        <v>2469</v>
      </c>
      <c r="I105" s="3660"/>
      <c r="J105" s="3662">
        <v>10</v>
      </c>
    </row>
    <row r="106" spans="1:10" ht="18" customHeight="1">
      <c r="A106" s="749"/>
      <c r="B106" s="1914" t="s">
        <v>2468</v>
      </c>
      <c r="C106" s="746">
        <v>4</v>
      </c>
      <c r="D106" s="3659"/>
      <c r="E106" s="3659"/>
      <c r="F106" s="3659"/>
      <c r="G106" s="3659"/>
      <c r="H106" s="3661"/>
      <c r="I106" s="3661"/>
      <c r="J106" s="3663"/>
    </row>
    <row r="107" spans="1:10" ht="18" customHeight="1">
      <c r="A107" s="3664" t="s">
        <v>2464</v>
      </c>
      <c r="B107" s="3665"/>
      <c r="C107" s="1915" t="s">
        <v>2465</v>
      </c>
      <c r="D107" s="1916" t="s">
        <v>2466</v>
      </c>
      <c r="E107" s="1917" t="s">
        <v>2467</v>
      </c>
      <c r="F107" s="703" t="s">
        <v>2470</v>
      </c>
      <c r="G107" s="1918" t="s">
        <v>2330</v>
      </c>
      <c r="H107" s="1919" t="s">
        <v>2331</v>
      </c>
      <c r="I107" s="1920" t="s">
        <v>975</v>
      </c>
      <c r="J107" s="705" t="s">
        <v>2293</v>
      </c>
    </row>
    <row r="108" spans="1:10" ht="18" customHeight="1">
      <c r="A108" s="744">
        <v>1</v>
      </c>
      <c r="B108" s="740" t="s">
        <v>2212</v>
      </c>
      <c r="C108" s="741">
        <v>4</v>
      </c>
      <c r="D108" s="741" t="s">
        <v>1168</v>
      </c>
      <c r="E108" s="742"/>
      <c r="F108" s="743"/>
      <c r="G108" s="1921">
        <f>(C108/C106)*J105</f>
        <v>10</v>
      </c>
      <c r="H108" s="712" t="str">
        <f>D108</f>
        <v>feuilles</v>
      </c>
      <c r="I108" s="1922">
        <f>IF(C108&gt;0,(E108*C108/C106)*J105,IF(ISBLANK(C108),(E108/C106)*J105))</f>
        <v>0</v>
      </c>
      <c r="J108" s="738">
        <f t="shared" ref="J108:J111" si="20">IF(I108=0,G108*F108,I108*F108)</f>
        <v>0</v>
      </c>
    </row>
    <row r="109" spans="1:10" ht="18" customHeight="1">
      <c r="A109" s="745">
        <f>LARGE(A108:A108,1)+1</f>
        <v>2</v>
      </c>
      <c r="B109" s="727" t="s">
        <v>2380</v>
      </c>
      <c r="C109" s="724"/>
      <c r="D109" s="724"/>
      <c r="E109" s="725">
        <v>4.5999999999999999E-2</v>
      </c>
      <c r="F109" s="726">
        <v>2.1</v>
      </c>
      <c r="G109" s="1932">
        <f>(C109/C106)*J105</f>
        <v>0</v>
      </c>
      <c r="H109" s="737">
        <f>D109</f>
        <v>0</v>
      </c>
      <c r="I109" s="1933">
        <f>IF(C109&gt;0,(E109*C109/C106)*J105,IF(ISBLANK(C109),(E109/C106)*J105))</f>
        <v>0.11499999999999999</v>
      </c>
      <c r="J109" s="739">
        <f t="shared" si="20"/>
        <v>0.24149999999999999</v>
      </c>
    </row>
    <row r="110" spans="1:10" ht="18" customHeight="1">
      <c r="A110" s="744">
        <f>LARGE(A108:A109,1)+1</f>
        <v>3</v>
      </c>
      <c r="B110" s="740"/>
      <c r="C110" s="741"/>
      <c r="D110" s="741"/>
      <c r="E110" s="742"/>
      <c r="F110" s="743"/>
      <c r="G110" s="1921">
        <f>(C110/C106)*J105</f>
        <v>0</v>
      </c>
      <c r="H110" s="712">
        <f t="shared" ref="H110:H111" si="21">D110</f>
        <v>0</v>
      </c>
      <c r="I110" s="1922">
        <f>IF(C110&gt;0,(E110*C110/C106)*J105,IF(ISBLANK(C110),(E110/C106)*J105))</f>
        <v>0</v>
      </c>
      <c r="J110" s="714">
        <f t="shared" si="20"/>
        <v>0</v>
      </c>
    </row>
    <row r="111" spans="1:10" ht="18" customHeight="1" thickBot="1">
      <c r="A111" s="745">
        <f>LARGE(A108:A110,1)+1</f>
        <v>4</v>
      </c>
      <c r="B111" s="727"/>
      <c r="C111" s="724"/>
      <c r="D111" s="724"/>
      <c r="E111" s="725"/>
      <c r="F111" s="726"/>
      <c r="G111" s="1932">
        <f>(C111/C106)*J105</f>
        <v>0</v>
      </c>
      <c r="H111" s="737">
        <f t="shared" si="21"/>
        <v>0</v>
      </c>
      <c r="I111" s="1933">
        <f>IF(C111&gt;0,(E111*C111/C106)*J105,IF(ISBLANK(C111),(E111/C106)*J105))</f>
        <v>0</v>
      </c>
      <c r="J111" s="739">
        <f t="shared" si="20"/>
        <v>0</v>
      </c>
    </row>
    <row r="112" spans="1:10" ht="18" customHeight="1" thickTop="1" thickBot="1">
      <c r="A112" s="3688" t="s">
        <v>1314</v>
      </c>
      <c r="B112" s="3667"/>
      <c r="C112" s="1065">
        <f>SUM(C108:C111)</f>
        <v>4</v>
      </c>
      <c r="D112" s="699"/>
      <c r="E112" s="383"/>
      <c r="F112" s="383"/>
      <c r="G112" s="383"/>
      <c r="H112" s="701"/>
      <c r="I112" s="701">
        <f>SUM(I108:I111)</f>
        <v>0.11499999999999999</v>
      </c>
      <c r="J112" s="731">
        <f>J113+J114</f>
        <v>0.24632999999999999</v>
      </c>
    </row>
    <row r="113" spans="1:10" ht="18" customHeight="1" thickTop="1">
      <c r="A113" s="732"/>
      <c r="B113" s="569"/>
      <c r="C113" s="569"/>
      <c r="D113" s="569"/>
      <c r="E113" s="1923"/>
      <c r="F113" s="1923"/>
      <c r="G113" s="572"/>
      <c r="H113" s="572" t="s">
        <v>2397</v>
      </c>
      <c r="I113" s="624">
        <f>J105</f>
        <v>10</v>
      </c>
      <c r="J113" s="733">
        <f>SUM(J108:J111)</f>
        <v>0.24149999999999999</v>
      </c>
    </row>
    <row r="114" spans="1:10" ht="18" customHeight="1">
      <c r="A114" s="721"/>
      <c r="B114" s="571"/>
      <c r="C114" s="571"/>
      <c r="D114" s="571"/>
      <c r="E114" s="1457"/>
      <c r="F114" s="1457"/>
      <c r="G114" s="573"/>
      <c r="H114" s="706" t="s">
        <v>2471</v>
      </c>
      <c r="I114" s="700">
        <v>0.02</v>
      </c>
      <c r="J114" s="734">
        <f>J113*I114</f>
        <v>4.8300000000000001E-3</v>
      </c>
    </row>
    <row r="115" spans="1:10" ht="18" customHeight="1">
      <c r="A115" s="735"/>
      <c r="B115" s="728"/>
      <c r="C115" s="728"/>
      <c r="D115" s="728"/>
      <c r="E115" s="728"/>
      <c r="F115" s="728"/>
      <c r="G115" s="729"/>
      <c r="H115" s="729" t="s">
        <v>2289</v>
      </c>
      <c r="I115" s="730"/>
      <c r="J115" s="736">
        <f>(J112/I113)*1</f>
        <v>2.4632999999999999E-2</v>
      </c>
    </row>
    <row r="116" spans="1:10" ht="18" customHeight="1">
      <c r="A116" s="754"/>
      <c r="B116" s="755"/>
      <c r="C116" s="756" t="s">
        <v>1949</v>
      </c>
      <c r="D116" s="757">
        <v>2</v>
      </c>
      <c r="E116" s="755"/>
      <c r="F116" s="755"/>
      <c r="G116" s="757">
        <v>2</v>
      </c>
      <c r="H116" s="757"/>
      <c r="I116" s="755"/>
      <c r="J116" s="758"/>
    </row>
    <row r="117" spans="1:10" ht="18" customHeight="1">
      <c r="A117" s="3405" t="s">
        <v>1951</v>
      </c>
      <c r="B117" s="3406"/>
      <c r="C117" s="3406"/>
      <c r="D117" s="3406"/>
      <c r="E117" s="3406"/>
      <c r="F117" s="3406"/>
      <c r="G117" s="3406"/>
      <c r="H117" s="3406"/>
      <c r="I117" s="3406"/>
      <c r="J117" s="3407"/>
    </row>
    <row r="118" spans="1:10" ht="18" customHeight="1">
      <c r="A118" s="707">
        <v>1</v>
      </c>
      <c r="B118" s="349" t="s">
        <v>2366</v>
      </c>
      <c r="C118" s="349"/>
      <c r="D118" s="349"/>
      <c r="E118" s="349"/>
      <c r="F118" s="349"/>
      <c r="G118" s="349"/>
      <c r="H118" s="349"/>
      <c r="I118" s="349"/>
      <c r="J118" s="350"/>
    </row>
    <row r="119" spans="1:10" ht="18" customHeight="1">
      <c r="A119" s="707">
        <f>LARGE(A118:A118,1)+1</f>
        <v>2</v>
      </c>
      <c r="B119" s="349" t="s">
        <v>2367</v>
      </c>
      <c r="C119" s="349"/>
      <c r="D119" s="349"/>
      <c r="E119" s="349"/>
      <c r="F119" s="349"/>
      <c r="G119" s="349"/>
      <c r="H119" s="349"/>
      <c r="I119" s="349"/>
      <c r="J119" s="350"/>
    </row>
    <row r="120" spans="1:10" ht="18" customHeight="1">
      <c r="A120" s="707">
        <f>LARGE(A118:A119,1)+1</f>
        <v>3</v>
      </c>
      <c r="B120" s="349" t="s">
        <v>2368</v>
      </c>
      <c r="C120" s="349"/>
      <c r="D120" s="349"/>
      <c r="E120" s="349"/>
      <c r="F120" s="349"/>
      <c r="G120" s="349"/>
      <c r="H120" s="349"/>
      <c r="I120" s="349"/>
      <c r="J120" s="350"/>
    </row>
    <row r="121" spans="1:10" ht="18" customHeight="1">
      <c r="A121" s="707"/>
      <c r="B121" s="349"/>
      <c r="C121" s="349"/>
      <c r="D121" s="349"/>
      <c r="E121" s="349"/>
      <c r="F121" s="349"/>
      <c r="G121" s="349"/>
      <c r="H121" s="349"/>
      <c r="I121" s="349"/>
      <c r="J121" s="350"/>
    </row>
    <row r="122" spans="1:10" ht="18" customHeight="1">
      <c r="A122" s="719" t="s">
        <v>2474</v>
      </c>
      <c r="B122" s="3652" t="s">
        <v>2361</v>
      </c>
      <c r="C122" s="3653"/>
      <c r="D122" s="3653"/>
      <c r="E122" s="3653"/>
      <c r="F122" s="1924"/>
      <c r="G122" s="1924"/>
      <c r="H122" s="1924"/>
      <c r="I122" s="1924"/>
      <c r="J122" s="1925"/>
    </row>
    <row r="123" spans="1:10" ht="18" customHeight="1">
      <c r="A123" s="750"/>
      <c r="B123" s="1934"/>
      <c r="C123" s="1934"/>
      <c r="D123" s="1934"/>
      <c r="E123" s="1934"/>
      <c r="F123" s="1934"/>
      <c r="G123" s="1934"/>
      <c r="H123" s="1934"/>
      <c r="I123" s="1934"/>
      <c r="J123" s="1935"/>
    </row>
    <row r="124" spans="1:10" ht="18" customHeight="1">
      <c r="A124" s="720" t="s">
        <v>2472</v>
      </c>
      <c r="B124" s="715"/>
      <c r="C124" s="717"/>
      <c r="D124" s="717"/>
      <c r="E124" s="717"/>
      <c r="F124" s="716" t="s">
        <v>2475</v>
      </c>
      <c r="G124" s="715"/>
      <c r="H124" s="1928"/>
      <c r="I124" s="1928"/>
      <c r="J124" s="1929"/>
    </row>
    <row r="125" spans="1:10" ht="18" customHeight="1">
      <c r="A125" s="721" t="s">
        <v>2473</v>
      </c>
      <c r="B125" s="571"/>
      <c r="C125" s="571"/>
      <c r="D125" s="571" t="s">
        <v>2463</v>
      </c>
      <c r="E125" s="571"/>
      <c r="F125" s="1924"/>
      <c r="G125" s="1924"/>
      <c r="H125" s="1924"/>
      <c r="I125" s="1924"/>
      <c r="J125" s="1503"/>
    </row>
    <row r="126" spans="1:10" ht="18" customHeight="1">
      <c r="A126" s="1500" t="str">
        <f ca="1">CELL("nomfichier")</f>
        <v>E:\0-UPRT\1-UPRT.FR-SITE-WEB\ff-fiches-fabrications\ff-fiches-fabrication-maj-08-2020\[ff-8-restauration-Christian.Frechede.xlsx]Formats-Formules-Fonctions</v>
      </c>
      <c r="B126" s="1502"/>
      <c r="C126" s="718"/>
      <c r="D126" s="718"/>
      <c r="E126" s="718"/>
      <c r="F126" s="1924"/>
      <c r="G126" s="1924"/>
      <c r="H126" s="1924"/>
      <c r="I126" s="1924"/>
      <c r="J126" s="1930" t="s">
        <v>1956</v>
      </c>
    </row>
    <row r="127" spans="1:10" ht="18" customHeight="1" thickBot="1">
      <c r="A127" s="356" t="s">
        <v>361</v>
      </c>
      <c r="B127" s="722"/>
      <c r="C127" s="723"/>
      <c r="D127" s="723"/>
      <c r="E127" s="723"/>
      <c r="F127" s="1931"/>
      <c r="G127" s="1931"/>
      <c r="H127" s="1931"/>
      <c r="I127" s="1931"/>
      <c r="J127" s="1507"/>
    </row>
    <row r="128" spans="1:10" ht="18" customHeight="1">
      <c r="A128" s="1201"/>
      <c r="B128" s="1201"/>
      <c r="C128" s="1201"/>
      <c r="D128" s="1201"/>
      <c r="E128" s="1201"/>
      <c r="F128" s="1201"/>
      <c r="G128" s="1201"/>
      <c r="H128" s="1201"/>
      <c r="I128" s="1201"/>
      <c r="J128" s="1201"/>
    </row>
    <row r="129" spans="1:10" ht="18" customHeight="1" thickBot="1">
      <c r="A129" s="1201"/>
      <c r="B129" s="1201"/>
      <c r="C129" s="1201"/>
      <c r="D129" s="1201"/>
      <c r="E129" s="1201"/>
      <c r="F129" s="1201"/>
      <c r="G129" s="1201"/>
      <c r="H129" s="1201"/>
      <c r="I129" s="1201"/>
      <c r="J129" s="1201"/>
    </row>
    <row r="130" spans="1:10" ht="18" customHeight="1">
      <c r="A130" s="3648" t="s">
        <v>150</v>
      </c>
      <c r="B130" s="3650" t="s">
        <v>2215</v>
      </c>
      <c r="C130" s="3650"/>
      <c r="D130" s="3650"/>
      <c r="E130" s="3650"/>
      <c r="F130" s="3650"/>
      <c r="G130" s="3650"/>
      <c r="H130" s="3650"/>
      <c r="I130" s="3650"/>
      <c r="J130" s="3668" t="s">
        <v>2381</v>
      </c>
    </row>
    <row r="131" spans="1:10" ht="18" customHeight="1">
      <c r="A131" s="3649"/>
      <c r="B131" s="3651"/>
      <c r="C131" s="3651"/>
      <c r="D131" s="3651"/>
      <c r="E131" s="3651"/>
      <c r="F131" s="3651"/>
      <c r="G131" s="3651"/>
      <c r="H131" s="3651"/>
      <c r="I131" s="3651"/>
      <c r="J131" s="3669"/>
    </row>
    <row r="132" spans="1:10" ht="18" customHeight="1">
      <c r="A132" s="747" t="s">
        <v>152</v>
      </c>
      <c r="B132" s="3654" t="s">
        <v>2360</v>
      </c>
      <c r="C132" s="3654"/>
      <c r="D132" s="3654"/>
      <c r="E132" s="3654"/>
      <c r="F132" s="3654"/>
      <c r="G132" s="3654"/>
      <c r="H132" s="3654"/>
      <c r="I132" s="3654"/>
      <c r="J132" s="3655"/>
    </row>
    <row r="133" spans="1:10" ht="18" customHeight="1">
      <c r="A133" s="748" t="s">
        <v>154</v>
      </c>
      <c r="B133" s="3656" t="s">
        <v>2296</v>
      </c>
      <c r="C133" s="3656"/>
      <c r="D133" s="3656"/>
      <c r="E133" s="3656"/>
      <c r="F133" s="3656"/>
      <c r="G133" s="3656"/>
      <c r="H133" s="3656"/>
      <c r="I133" s="3656"/>
      <c r="J133" s="3657"/>
    </row>
    <row r="134" spans="1:10" ht="18" customHeight="1">
      <c r="A134" s="749"/>
      <c r="B134" s="1457"/>
      <c r="C134" s="1457"/>
      <c r="D134" s="3658" t="s">
        <v>2462</v>
      </c>
      <c r="E134" s="3658"/>
      <c r="F134" s="3658"/>
      <c r="G134" s="3658"/>
      <c r="H134" s="3660" t="s">
        <v>2469</v>
      </c>
      <c r="I134" s="3660"/>
      <c r="J134" s="3662">
        <v>10</v>
      </c>
    </row>
    <row r="135" spans="1:10" ht="18" customHeight="1">
      <c r="A135" s="749"/>
      <c r="B135" s="1914" t="s">
        <v>2468</v>
      </c>
      <c r="C135" s="746">
        <v>4</v>
      </c>
      <c r="D135" s="3659"/>
      <c r="E135" s="3659"/>
      <c r="F135" s="3659"/>
      <c r="G135" s="3659"/>
      <c r="H135" s="3661"/>
      <c r="I135" s="3661"/>
      <c r="J135" s="3663"/>
    </row>
    <row r="136" spans="1:10" ht="18" customHeight="1">
      <c r="A136" s="3664" t="s">
        <v>2464</v>
      </c>
      <c r="B136" s="3665"/>
      <c r="C136" s="1915" t="s">
        <v>2465</v>
      </c>
      <c r="D136" s="1916" t="s">
        <v>2466</v>
      </c>
      <c r="E136" s="1917" t="s">
        <v>2467</v>
      </c>
      <c r="F136" s="703" t="s">
        <v>2470</v>
      </c>
      <c r="G136" s="1918" t="s">
        <v>2330</v>
      </c>
      <c r="H136" s="1919" t="s">
        <v>2331</v>
      </c>
      <c r="I136" s="1920" t="s">
        <v>975</v>
      </c>
      <c r="J136" s="705" t="s">
        <v>2293</v>
      </c>
    </row>
    <row r="137" spans="1:10" ht="18" customHeight="1">
      <c r="A137" s="744">
        <v>1</v>
      </c>
      <c r="B137" s="740" t="s">
        <v>2369</v>
      </c>
      <c r="C137" s="741"/>
      <c r="D137" s="741"/>
      <c r="E137" s="742">
        <v>0.03</v>
      </c>
      <c r="F137" s="743"/>
      <c r="G137" s="1921">
        <f>(C137/C135)*J134</f>
        <v>0</v>
      </c>
      <c r="H137" s="712">
        <f>D137</f>
        <v>0</v>
      </c>
      <c r="I137" s="1922">
        <f>IF(C137&gt;0,(E137*C137/C135)*J134,IF(ISBLANK(C137),(E137/C135)*J134))</f>
        <v>7.4999999999999997E-2</v>
      </c>
      <c r="J137" s="738">
        <f t="shared" ref="J137:J154" si="22">IF(I137=0,G137*F137,I137*F137)</f>
        <v>0</v>
      </c>
    </row>
    <row r="138" spans="1:10" ht="18" customHeight="1">
      <c r="A138" s="745">
        <f>LARGE(A137:A137,1)+1</f>
        <v>2</v>
      </c>
      <c r="B138" s="727" t="s">
        <v>2216</v>
      </c>
      <c r="C138" s="724">
        <v>1</v>
      </c>
      <c r="D138" s="724" t="s">
        <v>2476</v>
      </c>
      <c r="E138" s="725"/>
      <c r="F138" s="726"/>
      <c r="G138" s="1932">
        <f>(C138/C135)*J134</f>
        <v>2.5</v>
      </c>
      <c r="H138" s="737" t="str">
        <f>D138</f>
        <v>avocat</v>
      </c>
      <c r="I138" s="1933">
        <f>IF(C138&gt;0,(E138*C138/C135)*J134,IF(ISBLANK(C138),(E138/C135)*J134))</f>
        <v>0</v>
      </c>
      <c r="J138" s="739">
        <f t="shared" si="22"/>
        <v>0</v>
      </c>
    </row>
    <row r="139" spans="1:10" ht="18" customHeight="1">
      <c r="A139" s="744">
        <f>LARGE(A137:A138,1)+1</f>
        <v>3</v>
      </c>
      <c r="B139" s="740" t="s">
        <v>2217</v>
      </c>
      <c r="C139" s="741">
        <v>1</v>
      </c>
      <c r="D139" s="741" t="s">
        <v>2477</v>
      </c>
      <c r="E139" s="742"/>
      <c r="F139" s="743"/>
      <c r="G139" s="1921">
        <f>(C139/C135)*J134</f>
        <v>2.5</v>
      </c>
      <c r="H139" s="712" t="str">
        <f t="shared" ref="H139:H154" si="23">D139</f>
        <v>citron</v>
      </c>
      <c r="I139" s="1922">
        <f>IF(C139&gt;0,(E139*C139/C135)*J134,IF(ISBLANK(C139),(E139/C135)*J134))</f>
        <v>0</v>
      </c>
      <c r="J139" s="714">
        <f t="shared" si="22"/>
        <v>0</v>
      </c>
    </row>
    <row r="140" spans="1:10" ht="18" customHeight="1">
      <c r="A140" s="745">
        <f>LARGE(A137:A139,1)+1</f>
        <v>4</v>
      </c>
      <c r="B140" s="727" t="s">
        <v>2384</v>
      </c>
      <c r="C140" s="724">
        <v>0.25</v>
      </c>
      <c r="D140" s="724" t="s">
        <v>2394</v>
      </c>
      <c r="E140" s="725"/>
      <c r="F140" s="726"/>
      <c r="G140" s="1932">
        <f>(C140/C135)*J134</f>
        <v>0.625</v>
      </c>
      <c r="H140" s="737" t="str">
        <f t="shared" si="23"/>
        <v>botte</v>
      </c>
      <c r="I140" s="1933">
        <f>IF(C140&gt;0,(E140*C140/C135)*J134,IF(ISBLANK(C140),(E140/C135)*J134))</f>
        <v>0</v>
      </c>
      <c r="J140" s="739">
        <f t="shared" si="22"/>
        <v>0</v>
      </c>
    </row>
    <row r="141" spans="1:10" ht="18" customHeight="1">
      <c r="A141" s="744">
        <f>LARGE(A137:A140,1)+1</f>
        <v>5</v>
      </c>
      <c r="B141" s="740" t="s">
        <v>2218</v>
      </c>
      <c r="C141" s="741"/>
      <c r="D141" s="741"/>
      <c r="E141" s="742">
        <v>0.05</v>
      </c>
      <c r="F141" s="743"/>
      <c r="G141" s="1921">
        <f>(C141/C135)*J134</f>
        <v>0</v>
      </c>
      <c r="H141" s="712">
        <f t="shared" si="23"/>
        <v>0</v>
      </c>
      <c r="I141" s="1922">
        <f>IF(C141&gt;0,(E141*C141/C135)*J134,IF(ISBLANK(C141),(E141/C135)*J134))</f>
        <v>0.125</v>
      </c>
      <c r="J141" s="714">
        <f t="shared" si="22"/>
        <v>0</v>
      </c>
    </row>
    <row r="142" spans="1:10" ht="18" customHeight="1">
      <c r="A142" s="745">
        <f>LARGE(A137:A141,1)+1</f>
        <v>6</v>
      </c>
      <c r="B142" s="727" t="s">
        <v>2382</v>
      </c>
      <c r="C142" s="724"/>
      <c r="D142" s="724"/>
      <c r="E142" s="725">
        <v>7.3999999999999996E-2</v>
      </c>
      <c r="F142" s="726"/>
      <c r="G142" s="1932">
        <f>(C142/C135)*J134</f>
        <v>0</v>
      </c>
      <c r="H142" s="737">
        <f t="shared" si="23"/>
        <v>0</v>
      </c>
      <c r="I142" s="1933">
        <f>IF(C142&gt;0,(E142*C142/C135)*J134,IF(ISBLANK(C142),(E142/C135)*J134))</f>
        <v>0.185</v>
      </c>
      <c r="J142" s="739">
        <f t="shared" si="22"/>
        <v>0</v>
      </c>
    </row>
    <row r="143" spans="1:10" ht="18" customHeight="1">
      <c r="A143" s="744">
        <f>LARGE(A137:A142,1)+1</f>
        <v>7</v>
      </c>
      <c r="B143" s="740" t="s">
        <v>2220</v>
      </c>
      <c r="C143" s="741"/>
      <c r="D143" s="741" t="s">
        <v>214</v>
      </c>
      <c r="E143" s="742"/>
      <c r="F143" s="743"/>
      <c r="G143" s="1921">
        <f>(C143/C135)*J134</f>
        <v>0</v>
      </c>
      <c r="H143" s="712" t="str">
        <f t="shared" si="23"/>
        <v>pm</v>
      </c>
      <c r="I143" s="1922">
        <f>IF(C143&gt;0,(E143*C143/C135)*J134,IF(ISBLANK(C143),(E143/C135)*J134))</f>
        <v>0</v>
      </c>
      <c r="J143" s="714">
        <f t="shared" si="22"/>
        <v>0</v>
      </c>
    </row>
    <row r="144" spans="1:10" ht="18" customHeight="1">
      <c r="A144" s="745">
        <f>LARGE(A137:A143,1)+1</f>
        <v>8</v>
      </c>
      <c r="B144" s="727" t="s">
        <v>2383</v>
      </c>
      <c r="C144" s="724"/>
      <c r="D144" s="724"/>
      <c r="E144" s="725">
        <v>0.23</v>
      </c>
      <c r="F144" s="726"/>
      <c r="G144" s="1932">
        <f>(C144/C135)*J134</f>
        <v>0</v>
      </c>
      <c r="H144" s="737">
        <f t="shared" si="23"/>
        <v>0</v>
      </c>
      <c r="I144" s="1933">
        <f>IF(C144&gt;0,(E144*C144/C135)*J134,IF(ISBLANK(C144),(E144/C135)*J134))</f>
        <v>0.57500000000000007</v>
      </c>
      <c r="J144" s="739">
        <f t="shared" si="22"/>
        <v>0</v>
      </c>
    </row>
    <row r="145" spans="1:10" ht="18" customHeight="1">
      <c r="A145" s="744">
        <f>LARGE(A137:A144,1)+1</f>
        <v>9</v>
      </c>
      <c r="B145" s="740" t="s">
        <v>2221</v>
      </c>
      <c r="C145" s="741">
        <v>1</v>
      </c>
      <c r="D145" s="741" t="s">
        <v>2478</v>
      </c>
      <c r="E145" s="742">
        <v>0.02</v>
      </c>
      <c r="F145" s="743"/>
      <c r="G145" s="1921">
        <f>(C145/C135)*J134</f>
        <v>2.5</v>
      </c>
      <c r="H145" s="712" t="str">
        <f t="shared" si="23"/>
        <v>jaune</v>
      </c>
      <c r="I145" s="1922">
        <f>IF(C145&gt;0,(E145*C145/C135)*J134,IF(ISBLANK(C145),(E145/C135)*J134))</f>
        <v>0.05</v>
      </c>
      <c r="J145" s="714">
        <f t="shared" si="22"/>
        <v>0</v>
      </c>
    </row>
    <row r="146" spans="1:10" ht="18" customHeight="1">
      <c r="A146" s="745">
        <f>LARGE(A137:A145,1)+1</f>
        <v>10</v>
      </c>
      <c r="B146" s="727" t="s">
        <v>2222</v>
      </c>
      <c r="C146" s="724">
        <v>1</v>
      </c>
      <c r="D146" s="724" t="s">
        <v>2479</v>
      </c>
      <c r="E146" s="725"/>
      <c r="F146" s="726"/>
      <c r="G146" s="1932">
        <f>(C146/C135)*J134</f>
        <v>2.5</v>
      </c>
      <c r="H146" s="737" t="str">
        <f t="shared" si="23"/>
        <v>mangue</v>
      </c>
      <c r="I146" s="1933">
        <f>IF(C146&gt;0,(E146*C146/C135)*J134,IF(ISBLANK(C146),(E146/C135)*J134))</f>
        <v>0</v>
      </c>
      <c r="J146" s="739">
        <f t="shared" si="22"/>
        <v>0</v>
      </c>
    </row>
    <row r="147" spans="1:10" ht="18" customHeight="1">
      <c r="A147" s="744">
        <f>LARGE(A137:A146,1)+1</f>
        <v>11</v>
      </c>
      <c r="B147" s="740" t="s">
        <v>2223</v>
      </c>
      <c r="C147" s="741"/>
      <c r="D147" s="741"/>
      <c r="E147" s="742">
        <v>0.03</v>
      </c>
      <c r="F147" s="743"/>
      <c r="G147" s="1921">
        <f>(C147/C135)*J134</f>
        <v>0</v>
      </c>
      <c r="H147" s="712">
        <f t="shared" si="23"/>
        <v>0</v>
      </c>
      <c r="I147" s="1922">
        <f>IF(C147&gt;0,(E147*C147/C135)*J134,IF(ISBLANK(C147),(E147/C135)*J134))</f>
        <v>7.4999999999999997E-2</v>
      </c>
      <c r="J147" s="714">
        <f t="shared" si="22"/>
        <v>0</v>
      </c>
    </row>
    <row r="148" spans="1:10" ht="18" customHeight="1">
      <c r="A148" s="745">
        <f>LARGE(A137:A147,1)+1</f>
        <v>12</v>
      </c>
      <c r="B148" s="727" t="s">
        <v>2224</v>
      </c>
      <c r="C148" s="724"/>
      <c r="D148" s="724" t="s">
        <v>214</v>
      </c>
      <c r="E148" s="725"/>
      <c r="F148" s="726"/>
      <c r="G148" s="1932">
        <f>(C148/C135)*J134</f>
        <v>0</v>
      </c>
      <c r="H148" s="737" t="str">
        <f t="shared" si="23"/>
        <v>pm</v>
      </c>
      <c r="I148" s="1933">
        <f>IF(C148&gt;0,(E148*C148/C135)*J134,IF(ISBLANK(C148),(E148/C135)*J134))</f>
        <v>0</v>
      </c>
      <c r="J148" s="739">
        <f t="shared" si="22"/>
        <v>0</v>
      </c>
    </row>
    <row r="149" spans="1:10" ht="18" customHeight="1">
      <c r="A149" s="744">
        <f>LARGE(A137:A148,1)+1</f>
        <v>13</v>
      </c>
      <c r="B149" s="740" t="s">
        <v>2225</v>
      </c>
      <c r="C149" s="741"/>
      <c r="D149" s="741"/>
      <c r="E149" s="742">
        <v>1</v>
      </c>
      <c r="F149" s="743"/>
      <c r="G149" s="1921">
        <f>(C149/C135)*J134</f>
        <v>0</v>
      </c>
      <c r="H149" s="712">
        <f t="shared" si="23"/>
        <v>0</v>
      </c>
      <c r="I149" s="1922">
        <f>IF(C149&gt;0,(E149*C149/C135)*J134,IF(ISBLANK(C149),(E149/C135)*J134))</f>
        <v>2.5</v>
      </c>
      <c r="J149" s="714">
        <f t="shared" si="22"/>
        <v>0</v>
      </c>
    </row>
    <row r="150" spans="1:10" ht="18" customHeight="1">
      <c r="A150" s="745">
        <f>LARGE(A137:A149,1)+1</f>
        <v>14</v>
      </c>
      <c r="B150" s="727" t="s">
        <v>2226</v>
      </c>
      <c r="C150" s="724">
        <v>1</v>
      </c>
      <c r="D150" s="724" t="s">
        <v>2001</v>
      </c>
      <c r="E150" s="725"/>
      <c r="F150" s="726"/>
      <c r="G150" s="1932">
        <f>(C150/C135)*J134</f>
        <v>2.5</v>
      </c>
      <c r="H150" s="737" t="str">
        <f t="shared" si="23"/>
        <v>poireau</v>
      </c>
      <c r="I150" s="1933">
        <f>IF(C150&gt;0,(E150*C150/C135)*J134,IF(ISBLANK(C150),(E150/C135)*J134))</f>
        <v>0</v>
      </c>
      <c r="J150" s="739">
        <f t="shared" si="22"/>
        <v>0</v>
      </c>
    </row>
    <row r="151" spans="1:10" ht="18" customHeight="1">
      <c r="A151" s="744">
        <f>LARGE(A137:A150,1)+1</f>
        <v>15</v>
      </c>
      <c r="B151" s="740" t="s">
        <v>2227</v>
      </c>
      <c r="C151" s="741"/>
      <c r="D151" s="741"/>
      <c r="E151" s="742">
        <v>0.25</v>
      </c>
      <c r="F151" s="743"/>
      <c r="G151" s="1921">
        <f>(C151/C135)*J134</f>
        <v>0</v>
      </c>
      <c r="H151" s="712">
        <f t="shared" si="23"/>
        <v>0</v>
      </c>
      <c r="I151" s="1922">
        <f>IF(C151&gt;0,(E151*C151/C135)*J134,IF(ISBLANK(C151),(E151/C135)*J134))</f>
        <v>0.625</v>
      </c>
      <c r="J151" s="714">
        <f t="shared" si="22"/>
        <v>0</v>
      </c>
    </row>
    <row r="152" spans="1:10" ht="18" customHeight="1">
      <c r="A152" s="745">
        <f>LARGE(A137:A151,1)+1</f>
        <v>16</v>
      </c>
      <c r="B152" s="727" t="s">
        <v>2228</v>
      </c>
      <c r="C152" s="724"/>
      <c r="D152" s="724"/>
      <c r="E152" s="725">
        <v>0.05</v>
      </c>
      <c r="F152" s="726"/>
      <c r="G152" s="1932">
        <f>(C152/C135)*J134</f>
        <v>0</v>
      </c>
      <c r="H152" s="737">
        <f t="shared" si="23"/>
        <v>0</v>
      </c>
      <c r="I152" s="1933">
        <f>IF(C152&gt;0,(E152*C152/C135)*J134,IF(ISBLANK(C152),(E152/C135)*J134))</f>
        <v>0.125</v>
      </c>
      <c r="J152" s="739">
        <f t="shared" si="22"/>
        <v>0</v>
      </c>
    </row>
    <row r="153" spans="1:10" ht="18" customHeight="1">
      <c r="A153" s="744">
        <f>LARGE(A137:A152,1)+1</f>
        <v>17</v>
      </c>
      <c r="B153" s="740" t="s">
        <v>2229</v>
      </c>
      <c r="C153" s="741"/>
      <c r="D153" s="741"/>
      <c r="E153" s="742">
        <v>0.02</v>
      </c>
      <c r="F153" s="743"/>
      <c r="G153" s="1921">
        <f>(C153/C135)*J134</f>
        <v>0</v>
      </c>
      <c r="H153" s="712">
        <f t="shared" si="23"/>
        <v>0</v>
      </c>
      <c r="I153" s="1922">
        <f>IF(C153&gt;0,(E153*C153/C135)*J134,IF(ISBLANK(C153),(E153/C135)*J134))</f>
        <v>0.05</v>
      </c>
      <c r="J153" s="714">
        <f t="shared" si="22"/>
        <v>0</v>
      </c>
    </row>
    <row r="154" spans="1:10" ht="18" customHeight="1" thickBot="1">
      <c r="A154" s="745">
        <f>LARGE(A137:A153,1)+1</f>
        <v>18</v>
      </c>
      <c r="B154" s="727"/>
      <c r="C154" s="724"/>
      <c r="D154" s="724"/>
      <c r="E154" s="725"/>
      <c r="F154" s="726"/>
      <c r="G154" s="1932">
        <f>(C154/C135)*J134</f>
        <v>0</v>
      </c>
      <c r="H154" s="737">
        <f t="shared" si="23"/>
        <v>0</v>
      </c>
      <c r="I154" s="1933">
        <f>IF(C154&gt;0,(E154*C154/C135)*J134,IF(ISBLANK(C154),(E154/C135)*J134))</f>
        <v>0</v>
      </c>
      <c r="J154" s="739">
        <f t="shared" si="22"/>
        <v>0</v>
      </c>
    </row>
    <row r="155" spans="1:10" ht="18" customHeight="1" thickTop="1" thickBot="1">
      <c r="A155" s="3688" t="s">
        <v>1314</v>
      </c>
      <c r="B155" s="3667"/>
      <c r="C155" s="1065">
        <f>SUM(C137:C154)</f>
        <v>5.25</v>
      </c>
      <c r="D155" s="699"/>
      <c r="E155" s="383"/>
      <c r="F155" s="383"/>
      <c r="G155" s="383"/>
      <c r="H155" s="701"/>
      <c r="I155" s="701">
        <f>SUM(I137:I154)</f>
        <v>4.3849999999999998</v>
      </c>
      <c r="J155" s="731">
        <f>J156+J157</f>
        <v>0</v>
      </c>
    </row>
    <row r="156" spans="1:10" ht="18" customHeight="1" thickTop="1">
      <c r="A156" s="732"/>
      <c r="B156" s="569"/>
      <c r="C156" s="569"/>
      <c r="D156" s="569"/>
      <c r="E156" s="1923"/>
      <c r="F156" s="1923"/>
      <c r="G156" s="572"/>
      <c r="H156" s="572" t="s">
        <v>2397</v>
      </c>
      <c r="I156" s="624">
        <f>J134</f>
        <v>10</v>
      </c>
      <c r="J156" s="733">
        <f>SUM(J137:J154)</f>
        <v>0</v>
      </c>
    </row>
    <row r="157" spans="1:10" ht="18" customHeight="1">
      <c r="A157" s="721"/>
      <c r="B157" s="571"/>
      <c r="C157" s="571"/>
      <c r="D157" s="571"/>
      <c r="E157" s="1457"/>
      <c r="F157" s="1457"/>
      <c r="G157" s="573"/>
      <c r="H157" s="706" t="s">
        <v>2471</v>
      </c>
      <c r="I157" s="700">
        <v>0.02</v>
      </c>
      <c r="J157" s="734">
        <f>J156*I157</f>
        <v>0</v>
      </c>
    </row>
    <row r="158" spans="1:10" ht="18" customHeight="1">
      <c r="A158" s="735"/>
      <c r="B158" s="728"/>
      <c r="C158" s="728"/>
      <c r="D158" s="728"/>
      <c r="E158" s="728"/>
      <c r="F158" s="728"/>
      <c r="G158" s="729"/>
      <c r="H158" s="729" t="s">
        <v>2289</v>
      </c>
      <c r="I158" s="730"/>
      <c r="J158" s="736">
        <f>(J155/I156)*1</f>
        <v>0</v>
      </c>
    </row>
    <row r="159" spans="1:10" ht="18" customHeight="1">
      <c r="A159" s="754"/>
      <c r="B159" s="755"/>
      <c r="C159" s="756" t="s">
        <v>1949</v>
      </c>
      <c r="D159" s="757">
        <v>2</v>
      </c>
      <c r="E159" s="755"/>
      <c r="F159" s="755"/>
      <c r="G159" s="757">
        <v>2</v>
      </c>
      <c r="H159" s="757"/>
      <c r="I159" s="755"/>
      <c r="J159" s="758"/>
    </row>
    <row r="160" spans="1:10" ht="18" customHeight="1">
      <c r="A160" s="3405" t="s">
        <v>1951</v>
      </c>
      <c r="B160" s="3406"/>
      <c r="C160" s="3406"/>
      <c r="D160" s="3406"/>
      <c r="E160" s="3406"/>
      <c r="F160" s="3406"/>
      <c r="G160" s="3406"/>
      <c r="H160" s="3406"/>
      <c r="I160" s="3406"/>
      <c r="J160" s="3407"/>
    </row>
    <row r="161" spans="1:10" ht="18" customHeight="1">
      <c r="A161" s="707">
        <v>1</v>
      </c>
      <c r="B161" s="349" t="s">
        <v>2370</v>
      </c>
      <c r="C161" s="349"/>
      <c r="D161" s="349"/>
      <c r="E161" s="349"/>
      <c r="F161" s="349"/>
      <c r="G161" s="349"/>
      <c r="H161" s="349"/>
      <c r="I161" s="349"/>
      <c r="J161" s="350"/>
    </row>
    <row r="162" spans="1:10" ht="18" customHeight="1">
      <c r="A162" s="707">
        <f>LARGE(A161:A161,1)+1</f>
        <v>2</v>
      </c>
      <c r="B162" s="349" t="s">
        <v>2371</v>
      </c>
      <c r="C162" s="349"/>
      <c r="D162" s="349"/>
      <c r="E162" s="349"/>
      <c r="F162" s="349"/>
      <c r="G162" s="349"/>
      <c r="H162" s="349"/>
      <c r="I162" s="349"/>
      <c r="J162" s="350"/>
    </row>
    <row r="163" spans="1:10" ht="18" customHeight="1">
      <c r="A163" s="707">
        <f>LARGE(A161:A162,1)+1</f>
        <v>3</v>
      </c>
      <c r="B163" s="349" t="s">
        <v>2372</v>
      </c>
      <c r="C163" s="349"/>
      <c r="D163" s="349"/>
      <c r="E163" s="349"/>
      <c r="F163" s="349"/>
      <c r="G163" s="349"/>
      <c r="H163" s="349"/>
      <c r="I163" s="349"/>
      <c r="J163" s="350"/>
    </row>
    <row r="164" spans="1:10" ht="18" customHeight="1">
      <c r="A164" s="707">
        <f>LARGE(A161:A163,1)+1</f>
        <v>4</v>
      </c>
      <c r="B164" s="349" t="s">
        <v>2373</v>
      </c>
      <c r="C164" s="349"/>
      <c r="D164" s="349"/>
      <c r="E164" s="349"/>
      <c r="F164" s="349"/>
      <c r="G164" s="349"/>
      <c r="H164" s="349"/>
      <c r="I164" s="349"/>
      <c r="J164" s="350"/>
    </row>
    <row r="165" spans="1:10" ht="18" customHeight="1">
      <c r="A165" s="707">
        <f>LARGE(A161:A164,1)+1</f>
        <v>5</v>
      </c>
      <c r="B165" s="349" t="s">
        <v>2374</v>
      </c>
      <c r="C165" s="349"/>
      <c r="D165" s="349"/>
      <c r="E165" s="349"/>
      <c r="F165" s="349"/>
      <c r="G165" s="349"/>
      <c r="H165" s="349"/>
      <c r="I165" s="349"/>
      <c r="J165" s="350"/>
    </row>
    <row r="166" spans="1:10" ht="18" customHeight="1">
      <c r="A166" s="707">
        <f>LARGE(A161:A165,1)+1</f>
        <v>6</v>
      </c>
      <c r="B166" s="349" t="s">
        <v>2375</v>
      </c>
      <c r="C166" s="349"/>
      <c r="D166" s="349"/>
      <c r="E166" s="349"/>
      <c r="F166" s="349"/>
      <c r="G166" s="349"/>
      <c r="H166" s="349"/>
      <c r="I166" s="349"/>
      <c r="J166" s="350"/>
    </row>
    <row r="167" spans="1:10" ht="18" customHeight="1">
      <c r="A167" s="707">
        <f>LARGE(A161:A166,1)+1</f>
        <v>7</v>
      </c>
      <c r="B167" s="349" t="s">
        <v>2406</v>
      </c>
      <c r="C167" s="349"/>
      <c r="D167" s="349"/>
      <c r="E167" s="349"/>
      <c r="F167" s="349"/>
      <c r="G167" s="349"/>
      <c r="H167" s="349"/>
      <c r="I167" s="349"/>
      <c r="J167" s="350"/>
    </row>
    <row r="168" spans="1:10" ht="18" customHeight="1">
      <c r="A168" s="707">
        <f>LARGE(A161:A167,1)+1</f>
        <v>8</v>
      </c>
      <c r="B168" s="349" t="s">
        <v>2407</v>
      </c>
      <c r="C168" s="349"/>
      <c r="D168" s="349"/>
      <c r="E168" s="349"/>
      <c r="F168" s="349"/>
      <c r="G168" s="349"/>
      <c r="H168" s="349"/>
      <c r="I168" s="349"/>
      <c r="J168" s="350"/>
    </row>
    <row r="169" spans="1:10" ht="18" customHeight="1">
      <c r="A169" s="707"/>
      <c r="B169" s="349"/>
      <c r="C169" s="349"/>
      <c r="D169" s="349"/>
      <c r="E169" s="349"/>
      <c r="F169" s="349"/>
      <c r="G169" s="349"/>
      <c r="H169" s="349"/>
      <c r="I169" s="349"/>
      <c r="J169" s="350"/>
    </row>
    <row r="170" spans="1:10" ht="18" customHeight="1">
      <c r="A170" s="719" t="s">
        <v>2474</v>
      </c>
      <c r="B170" s="3652" t="s">
        <v>2361</v>
      </c>
      <c r="C170" s="3653"/>
      <c r="D170" s="3653"/>
      <c r="E170" s="3653"/>
      <c r="F170" s="1924"/>
      <c r="G170" s="1924"/>
      <c r="H170" s="1924"/>
      <c r="I170" s="1924"/>
      <c r="J170" s="1925"/>
    </row>
    <row r="171" spans="1:10" ht="18" customHeight="1">
      <c r="A171" s="750"/>
      <c r="B171" s="1934"/>
      <c r="C171" s="1934"/>
      <c r="D171" s="1934"/>
      <c r="E171" s="1934"/>
      <c r="F171" s="1934"/>
      <c r="G171" s="1934"/>
      <c r="H171" s="1934"/>
      <c r="I171" s="1934"/>
      <c r="J171" s="1935"/>
    </row>
    <row r="172" spans="1:10" ht="18" customHeight="1">
      <c r="A172" s="720" t="s">
        <v>2472</v>
      </c>
      <c r="B172" s="715"/>
      <c r="C172" s="717"/>
      <c r="D172" s="717"/>
      <c r="E172" s="717"/>
      <c r="F172" s="716" t="s">
        <v>2475</v>
      </c>
      <c r="G172" s="715"/>
      <c r="H172" s="1928"/>
      <c r="I172" s="1928"/>
      <c r="J172" s="1929"/>
    </row>
    <row r="173" spans="1:10" ht="18" customHeight="1">
      <c r="A173" s="721" t="s">
        <v>2473</v>
      </c>
      <c r="B173" s="571"/>
      <c r="C173" s="571"/>
      <c r="D173" s="571" t="s">
        <v>2463</v>
      </c>
      <c r="E173" s="571"/>
      <c r="F173" s="1924"/>
      <c r="G173" s="1924"/>
      <c r="H173" s="1924"/>
      <c r="I173" s="1924"/>
      <c r="J173" s="1503"/>
    </row>
    <row r="174" spans="1:10" ht="18" customHeight="1">
      <c r="A174" s="1500" t="str">
        <f ca="1">CELL("nomfichier")</f>
        <v>E:\0-UPRT\1-UPRT.FR-SITE-WEB\ff-fiches-fabrications\ff-fiches-fabrication-maj-08-2020\[ff-8-restauration-Christian.Frechede.xlsx]Formats-Formules-Fonctions</v>
      </c>
      <c r="B174" s="1502"/>
      <c r="C174" s="718"/>
      <c r="D174" s="718"/>
      <c r="E174" s="718"/>
      <c r="F174" s="1924"/>
      <c r="G174" s="1924"/>
      <c r="H174" s="1924"/>
      <c r="I174" s="1924"/>
      <c r="J174" s="1930" t="s">
        <v>1956</v>
      </c>
    </row>
    <row r="175" spans="1:10" ht="18" customHeight="1" thickBot="1">
      <c r="A175" s="356" t="s">
        <v>361</v>
      </c>
      <c r="B175" s="722"/>
      <c r="C175" s="723"/>
      <c r="D175" s="723"/>
      <c r="E175" s="723"/>
      <c r="F175" s="1931"/>
      <c r="G175" s="1931"/>
      <c r="H175" s="1931"/>
      <c r="I175" s="1931"/>
      <c r="J175" s="1507"/>
    </row>
    <row r="176" spans="1:10" ht="18" customHeight="1">
      <c r="A176" s="1201"/>
      <c r="B176" s="1201"/>
      <c r="C176" s="1201"/>
      <c r="D176" s="1201"/>
      <c r="E176" s="1201"/>
      <c r="F176" s="1201"/>
      <c r="G176" s="1201"/>
      <c r="H176" s="1201"/>
      <c r="I176" s="1201"/>
      <c r="J176" s="1201"/>
    </row>
    <row r="177" spans="1:10" ht="18" customHeight="1" thickBot="1">
      <c r="A177" s="1201"/>
      <c r="B177" s="1201"/>
      <c r="C177" s="1201"/>
      <c r="D177" s="1201"/>
      <c r="E177" s="1201"/>
      <c r="F177" s="1201"/>
      <c r="G177" s="1201"/>
      <c r="H177" s="1201"/>
      <c r="I177" s="1201"/>
      <c r="J177" s="1201"/>
    </row>
    <row r="178" spans="1:10" ht="18" customHeight="1">
      <c r="A178" s="3648" t="s">
        <v>150</v>
      </c>
      <c r="B178" s="3650" t="s">
        <v>2237</v>
      </c>
      <c r="C178" s="3650"/>
      <c r="D178" s="3650"/>
      <c r="E178" s="3650"/>
      <c r="F178" s="3650"/>
      <c r="G178" s="3650"/>
      <c r="H178" s="3650"/>
      <c r="I178" s="3650"/>
      <c r="J178" s="3668" t="s">
        <v>2385</v>
      </c>
    </row>
    <row r="179" spans="1:10" ht="18" customHeight="1">
      <c r="A179" s="3649"/>
      <c r="B179" s="3651"/>
      <c r="C179" s="3651"/>
      <c r="D179" s="3651"/>
      <c r="E179" s="3651"/>
      <c r="F179" s="3651"/>
      <c r="G179" s="3651"/>
      <c r="H179" s="3651"/>
      <c r="I179" s="3651"/>
      <c r="J179" s="3669"/>
    </row>
    <row r="180" spans="1:10" ht="18" customHeight="1">
      <c r="A180" s="747" t="s">
        <v>152</v>
      </c>
      <c r="B180" s="3654" t="s">
        <v>2360</v>
      </c>
      <c r="C180" s="3654"/>
      <c r="D180" s="3654"/>
      <c r="E180" s="3654"/>
      <c r="F180" s="3654"/>
      <c r="G180" s="3654"/>
      <c r="H180" s="3654"/>
      <c r="I180" s="3654"/>
      <c r="J180" s="3655"/>
    </row>
    <row r="181" spans="1:10" ht="18" customHeight="1">
      <c r="A181" s="748" t="s">
        <v>154</v>
      </c>
      <c r="B181" s="3656" t="s">
        <v>2296</v>
      </c>
      <c r="C181" s="3656"/>
      <c r="D181" s="3656"/>
      <c r="E181" s="3656"/>
      <c r="F181" s="3656"/>
      <c r="G181" s="3656"/>
      <c r="H181" s="3656"/>
      <c r="I181" s="3656"/>
      <c r="J181" s="3657"/>
    </row>
    <row r="182" spans="1:10" ht="18" customHeight="1">
      <c r="A182" s="749"/>
      <c r="B182" s="1457"/>
      <c r="C182" s="1457"/>
      <c r="D182" s="3658" t="s">
        <v>2480</v>
      </c>
      <c r="E182" s="3658"/>
      <c r="F182" s="3658"/>
      <c r="G182" s="3658"/>
      <c r="H182" s="3660" t="s">
        <v>2469</v>
      </c>
      <c r="I182" s="3660"/>
      <c r="J182" s="3662">
        <v>10</v>
      </c>
    </row>
    <row r="183" spans="1:10" ht="18" customHeight="1">
      <c r="A183" s="749"/>
      <c r="B183" s="1914" t="s">
        <v>2468</v>
      </c>
      <c r="C183" s="746">
        <v>4</v>
      </c>
      <c r="D183" s="3659"/>
      <c r="E183" s="3659"/>
      <c r="F183" s="3659"/>
      <c r="G183" s="3659"/>
      <c r="H183" s="3661"/>
      <c r="I183" s="3661"/>
      <c r="J183" s="3663"/>
    </row>
    <row r="184" spans="1:10" ht="18" customHeight="1">
      <c r="A184" s="3664" t="s">
        <v>2464</v>
      </c>
      <c r="B184" s="3665"/>
      <c r="C184" s="1915" t="s">
        <v>2465</v>
      </c>
      <c r="D184" s="1916" t="s">
        <v>2466</v>
      </c>
      <c r="E184" s="1917" t="s">
        <v>2467</v>
      </c>
      <c r="F184" s="703" t="s">
        <v>2470</v>
      </c>
      <c r="G184" s="1918" t="s">
        <v>2330</v>
      </c>
      <c r="H184" s="1919" t="s">
        <v>2331</v>
      </c>
      <c r="I184" s="1920" t="s">
        <v>975</v>
      </c>
      <c r="J184" s="705" t="s">
        <v>2293</v>
      </c>
    </row>
    <row r="185" spans="1:10" ht="18" customHeight="1">
      <c r="A185" s="744">
        <v>1</v>
      </c>
      <c r="B185" s="740" t="s">
        <v>2227</v>
      </c>
      <c r="C185" s="741"/>
      <c r="D185" s="741"/>
      <c r="E185" s="742">
        <v>0.15</v>
      </c>
      <c r="F185" s="743"/>
      <c r="G185" s="1921">
        <f>(C185/C183)*J182</f>
        <v>0</v>
      </c>
      <c r="H185" s="712">
        <f>D185</f>
        <v>0</v>
      </c>
      <c r="I185" s="1922">
        <f>IF(C185&gt;0,(E185*C185/C183)*J182,IF(ISBLANK(C185),(E185/C183)*J182))</f>
        <v>0.375</v>
      </c>
      <c r="J185" s="738">
        <f t="shared" ref="J185:J187" si="24">IF(I185=0,G185*F185,I185*F185)</f>
        <v>0</v>
      </c>
    </row>
    <row r="186" spans="1:10" ht="18" customHeight="1">
      <c r="A186" s="698">
        <f>LARGE(A185:A185,1)+1</f>
        <v>2</v>
      </c>
      <c r="B186" s="727" t="s">
        <v>2238</v>
      </c>
      <c r="C186" s="724"/>
      <c r="D186" s="724"/>
      <c r="E186" s="725">
        <v>0.03</v>
      </c>
      <c r="F186" s="726"/>
      <c r="G186" s="1932">
        <f>(C186/C183)*J182</f>
        <v>0</v>
      </c>
      <c r="H186" s="737">
        <f>D186</f>
        <v>0</v>
      </c>
      <c r="I186" s="1933">
        <f>IF(C186&gt;0,(E186*C186/C183)*J182,IF(ISBLANK(C186),(E186/C183)*J182))</f>
        <v>7.4999999999999997E-2</v>
      </c>
      <c r="J186" s="739">
        <f t="shared" si="24"/>
        <v>0</v>
      </c>
    </row>
    <row r="187" spans="1:10" ht="18" customHeight="1" thickBot="1">
      <c r="A187" s="744">
        <f>LARGE(A185:A186,1)+1</f>
        <v>3</v>
      </c>
      <c r="B187" s="740"/>
      <c r="C187" s="741"/>
      <c r="D187" s="741"/>
      <c r="E187" s="742"/>
      <c r="F187" s="743"/>
      <c r="G187" s="1921">
        <f>(C187/C183)*J182</f>
        <v>0</v>
      </c>
      <c r="H187" s="712">
        <f t="shared" ref="H187" si="25">D187</f>
        <v>0</v>
      </c>
      <c r="I187" s="1922">
        <f>IF(C187&gt;0,(E187*C187/C183)*J182,IF(ISBLANK(C187),(E187/C183)*J182))</f>
        <v>0</v>
      </c>
      <c r="J187" s="714">
        <f t="shared" si="24"/>
        <v>0</v>
      </c>
    </row>
    <row r="188" spans="1:10" ht="18" customHeight="1" thickTop="1" thickBot="1">
      <c r="A188" s="3666" t="s">
        <v>1314</v>
      </c>
      <c r="B188" s="3667"/>
      <c r="C188" s="1065">
        <f>SUM(C185:C187)</f>
        <v>0</v>
      </c>
      <c r="D188" s="699"/>
      <c r="E188" s="383"/>
      <c r="F188" s="383"/>
      <c r="G188" s="383"/>
      <c r="H188" s="701"/>
      <c r="I188" s="701">
        <f>SUM(I185:I187)</f>
        <v>0.45</v>
      </c>
      <c r="J188" s="702">
        <f>J189+J190</f>
        <v>0</v>
      </c>
    </row>
    <row r="189" spans="1:10" ht="18" customHeight="1" thickTop="1">
      <c r="A189" s="732"/>
      <c r="B189" s="569"/>
      <c r="C189" s="569"/>
      <c r="D189" s="569"/>
      <c r="E189" s="1923"/>
      <c r="F189" s="1923"/>
      <c r="G189" s="572"/>
      <c r="H189" s="572" t="s">
        <v>2397</v>
      </c>
      <c r="I189" s="624">
        <f>J182</f>
        <v>10</v>
      </c>
      <c r="J189" s="733">
        <f>SUM(J185:J187)</f>
        <v>0</v>
      </c>
    </row>
    <row r="190" spans="1:10" ht="18" customHeight="1">
      <c r="A190" s="721"/>
      <c r="B190" s="571"/>
      <c r="C190" s="571"/>
      <c r="D190" s="571"/>
      <c r="E190" s="1457"/>
      <c r="F190" s="1457"/>
      <c r="G190" s="573"/>
      <c r="H190" s="706" t="s">
        <v>2471</v>
      </c>
      <c r="I190" s="700">
        <v>0.02</v>
      </c>
      <c r="J190" s="734">
        <f>J189*I190</f>
        <v>0</v>
      </c>
    </row>
    <row r="191" spans="1:10" ht="18" customHeight="1">
      <c r="A191" s="735"/>
      <c r="B191" s="728"/>
      <c r="C191" s="728"/>
      <c r="D191" s="728"/>
      <c r="E191" s="728"/>
      <c r="F191" s="728"/>
      <c r="G191" s="729"/>
      <c r="H191" s="729" t="s">
        <v>2289</v>
      </c>
      <c r="I191" s="730"/>
      <c r="J191" s="736">
        <f>(J188/I189)*1</f>
        <v>0</v>
      </c>
    </row>
    <row r="192" spans="1:10" ht="18" customHeight="1">
      <c r="A192" s="754"/>
      <c r="B192" s="755"/>
      <c r="C192" s="756" t="s">
        <v>1949</v>
      </c>
      <c r="D192" s="757">
        <v>2</v>
      </c>
      <c r="E192" s="755"/>
      <c r="F192" s="755"/>
      <c r="G192" s="757">
        <v>2</v>
      </c>
      <c r="H192" s="757"/>
      <c r="I192" s="755"/>
      <c r="J192" s="758"/>
    </row>
    <row r="193" spans="1:10" ht="18" customHeight="1">
      <c r="A193" s="3405" t="s">
        <v>1951</v>
      </c>
      <c r="B193" s="3406"/>
      <c r="C193" s="3406"/>
      <c r="D193" s="3406"/>
      <c r="E193" s="3406"/>
      <c r="F193" s="3406"/>
      <c r="G193" s="3406"/>
      <c r="H193" s="3406"/>
      <c r="I193" s="3406"/>
      <c r="J193" s="3407"/>
    </row>
    <row r="194" spans="1:10" ht="18" customHeight="1">
      <c r="A194" s="707">
        <v>1</v>
      </c>
      <c r="B194" s="349" t="s">
        <v>2377</v>
      </c>
      <c r="C194" s="349"/>
      <c r="D194" s="349"/>
      <c r="E194" s="349"/>
      <c r="F194" s="349"/>
      <c r="G194" s="349"/>
      <c r="H194" s="349"/>
      <c r="I194" s="349"/>
      <c r="J194" s="350"/>
    </row>
    <row r="195" spans="1:10" ht="18" customHeight="1">
      <c r="A195" s="707"/>
      <c r="B195" s="349"/>
      <c r="C195" s="349"/>
      <c r="D195" s="349"/>
      <c r="E195" s="349"/>
      <c r="F195" s="349"/>
      <c r="G195" s="349"/>
      <c r="H195" s="349"/>
      <c r="I195" s="349"/>
      <c r="J195" s="350"/>
    </row>
    <row r="196" spans="1:10" ht="18" customHeight="1">
      <c r="A196" s="719" t="s">
        <v>2474</v>
      </c>
      <c r="B196" s="3652" t="s">
        <v>2361</v>
      </c>
      <c r="C196" s="3653"/>
      <c r="D196" s="3653"/>
      <c r="E196" s="3653"/>
      <c r="F196" s="1924"/>
      <c r="G196" s="1924"/>
      <c r="H196" s="1924"/>
      <c r="I196" s="1924"/>
      <c r="J196" s="1925"/>
    </row>
    <row r="197" spans="1:10" ht="18" customHeight="1">
      <c r="A197" s="750"/>
      <c r="B197" s="1934"/>
      <c r="C197" s="1934"/>
      <c r="D197" s="1934"/>
      <c r="E197" s="1934"/>
      <c r="F197" s="1934"/>
      <c r="G197" s="1934"/>
      <c r="H197" s="1934"/>
      <c r="I197" s="1934"/>
      <c r="J197" s="1935"/>
    </row>
    <row r="198" spans="1:10" ht="18" customHeight="1">
      <c r="A198" s="720" t="s">
        <v>2472</v>
      </c>
      <c r="B198" s="715"/>
      <c r="C198" s="717"/>
      <c r="D198" s="717"/>
      <c r="E198" s="717"/>
      <c r="F198" s="716" t="s">
        <v>2475</v>
      </c>
      <c r="G198" s="715"/>
      <c r="H198" s="1928"/>
      <c r="I198" s="1928"/>
      <c r="J198" s="1929"/>
    </row>
    <row r="199" spans="1:10" ht="18" customHeight="1">
      <c r="A199" s="721" t="s">
        <v>2473</v>
      </c>
      <c r="B199" s="571"/>
      <c r="C199" s="571"/>
      <c r="D199" s="571" t="s">
        <v>2463</v>
      </c>
      <c r="E199" s="571"/>
      <c r="F199" s="1924"/>
      <c r="G199" s="1924"/>
      <c r="H199" s="1924"/>
      <c r="I199" s="1924"/>
      <c r="J199" s="1503"/>
    </row>
    <row r="200" spans="1:10" ht="18" customHeight="1">
      <c r="A200" s="1500" t="str">
        <f ca="1">CELL("nomfichier")</f>
        <v>E:\0-UPRT\1-UPRT.FR-SITE-WEB\ff-fiches-fabrications\ff-fiches-fabrication-maj-08-2020\[ff-8-restauration-Christian.Frechede.xlsx]Formats-Formules-Fonctions</v>
      </c>
      <c r="B200" s="1502"/>
      <c r="C200" s="718"/>
      <c r="D200" s="718"/>
      <c r="E200" s="718"/>
      <c r="F200" s="1924"/>
      <c r="G200" s="1924"/>
      <c r="H200" s="1924"/>
      <c r="I200" s="1924"/>
      <c r="J200" s="1930" t="s">
        <v>1956</v>
      </c>
    </row>
    <row r="201" spans="1:10" ht="18" customHeight="1" thickBot="1">
      <c r="A201" s="356" t="s">
        <v>361</v>
      </c>
      <c r="B201" s="722"/>
      <c r="C201" s="723"/>
      <c r="D201" s="723"/>
      <c r="E201" s="723"/>
      <c r="F201" s="1931"/>
      <c r="G201" s="1931"/>
      <c r="H201" s="1931"/>
      <c r="I201" s="1931"/>
      <c r="J201" s="1507"/>
    </row>
    <row r="202" spans="1:10" ht="18" customHeight="1">
      <c r="A202" s="1201"/>
      <c r="B202" s="1201"/>
      <c r="C202" s="1201"/>
      <c r="D202" s="1201"/>
      <c r="E202" s="1201"/>
      <c r="F202" s="1201"/>
      <c r="G202" s="1201"/>
      <c r="H202" s="1201"/>
      <c r="I202" s="1201"/>
      <c r="J202" s="1201"/>
    </row>
    <row r="203" spans="1:10" ht="18" customHeight="1" thickBot="1">
      <c r="A203" s="1201"/>
      <c r="B203" s="1201"/>
      <c r="C203" s="1201"/>
      <c r="D203" s="1201"/>
      <c r="E203" s="1201"/>
      <c r="F203" s="1201"/>
      <c r="G203" s="1201"/>
      <c r="H203" s="1201"/>
      <c r="I203" s="1201"/>
      <c r="J203" s="1201"/>
    </row>
    <row r="204" spans="1:10" ht="18" customHeight="1">
      <c r="A204" s="3648" t="s">
        <v>150</v>
      </c>
      <c r="B204" s="3650" t="s">
        <v>2240</v>
      </c>
      <c r="C204" s="3650"/>
      <c r="D204" s="3650"/>
      <c r="E204" s="3650"/>
      <c r="F204" s="3650"/>
      <c r="G204" s="3650"/>
      <c r="H204" s="3650"/>
      <c r="I204" s="3650"/>
      <c r="J204" s="3668" t="s">
        <v>2386</v>
      </c>
    </row>
    <row r="205" spans="1:10" ht="18" customHeight="1">
      <c r="A205" s="3649"/>
      <c r="B205" s="3651"/>
      <c r="C205" s="3651"/>
      <c r="D205" s="3651"/>
      <c r="E205" s="3651"/>
      <c r="F205" s="3651"/>
      <c r="G205" s="3651"/>
      <c r="H205" s="3651"/>
      <c r="I205" s="3651"/>
      <c r="J205" s="3669"/>
    </row>
    <row r="206" spans="1:10" ht="18" customHeight="1">
      <c r="A206" s="747" t="s">
        <v>152</v>
      </c>
      <c r="B206" s="3654" t="s">
        <v>2360</v>
      </c>
      <c r="C206" s="3654"/>
      <c r="D206" s="3654"/>
      <c r="E206" s="3654"/>
      <c r="F206" s="3654"/>
      <c r="G206" s="3654"/>
      <c r="H206" s="3654"/>
      <c r="I206" s="3654"/>
      <c r="J206" s="3655"/>
    </row>
    <row r="207" spans="1:10" ht="18" customHeight="1">
      <c r="A207" s="748" t="s">
        <v>154</v>
      </c>
      <c r="B207" s="3656" t="s">
        <v>2296</v>
      </c>
      <c r="C207" s="3656"/>
      <c r="D207" s="3656"/>
      <c r="E207" s="3656"/>
      <c r="F207" s="3656"/>
      <c r="G207" s="3656"/>
      <c r="H207" s="3656"/>
      <c r="I207" s="3656"/>
      <c r="J207" s="3657"/>
    </row>
    <row r="208" spans="1:10" ht="18" customHeight="1">
      <c r="A208" s="749"/>
      <c r="B208" s="1457"/>
      <c r="C208" s="1457"/>
      <c r="D208" s="3658" t="s">
        <v>2480</v>
      </c>
      <c r="E208" s="3658"/>
      <c r="F208" s="3658"/>
      <c r="G208" s="3658"/>
      <c r="H208" s="3660" t="s">
        <v>2469</v>
      </c>
      <c r="I208" s="3660"/>
      <c r="J208" s="3662">
        <v>20</v>
      </c>
    </row>
    <row r="209" spans="1:10" ht="18" customHeight="1">
      <c r="A209" s="749"/>
      <c r="B209" s="1914" t="s">
        <v>2468</v>
      </c>
      <c r="C209" s="746">
        <v>10</v>
      </c>
      <c r="D209" s="3659"/>
      <c r="E209" s="3659"/>
      <c r="F209" s="3659"/>
      <c r="G209" s="3659"/>
      <c r="H209" s="3661"/>
      <c r="I209" s="3661"/>
      <c r="J209" s="3663"/>
    </row>
    <row r="210" spans="1:10" ht="18" customHeight="1">
      <c r="A210" s="3664" t="s">
        <v>2464</v>
      </c>
      <c r="B210" s="3665"/>
      <c r="C210" s="1915" t="s">
        <v>2465</v>
      </c>
      <c r="D210" s="1916" t="s">
        <v>2466</v>
      </c>
      <c r="E210" s="1917" t="s">
        <v>2467</v>
      </c>
      <c r="F210" s="703" t="s">
        <v>2470</v>
      </c>
      <c r="G210" s="1918" t="s">
        <v>2330</v>
      </c>
      <c r="H210" s="1919" t="s">
        <v>2331</v>
      </c>
      <c r="I210" s="1920" t="s">
        <v>975</v>
      </c>
      <c r="J210" s="705" t="s">
        <v>2293</v>
      </c>
    </row>
    <row r="211" spans="1:10" ht="18" customHeight="1">
      <c r="A211" s="744">
        <v>1</v>
      </c>
      <c r="B211" s="740" t="s">
        <v>2241</v>
      </c>
      <c r="C211" s="741">
        <v>8</v>
      </c>
      <c r="D211" s="741" t="s">
        <v>2244</v>
      </c>
      <c r="E211" s="742"/>
      <c r="F211" s="743"/>
      <c r="G211" s="1921">
        <f>(C211/C209)*J208</f>
        <v>16</v>
      </c>
      <c r="H211" s="712" t="str">
        <f>D211</f>
        <v>Pièces</v>
      </c>
      <c r="I211" s="1922">
        <f>IF(C211&gt;0,(E211*C211/C209)*J208,IF(ISBLANK(C211),(E211/C209)*J208))</f>
        <v>0</v>
      </c>
      <c r="J211" s="738">
        <f t="shared" ref="J211:J214" si="26">IF(I211=0,G211*F211,I211*F211)</f>
        <v>0</v>
      </c>
    </row>
    <row r="212" spans="1:10" ht="18" customHeight="1">
      <c r="A212" s="745">
        <f>LARGE(A211:A211,1)+1</f>
        <v>2</v>
      </c>
      <c r="B212" s="727" t="s">
        <v>2242</v>
      </c>
      <c r="C212" s="724">
        <v>12</v>
      </c>
      <c r="D212" s="724" t="s">
        <v>2244</v>
      </c>
      <c r="E212" s="725"/>
      <c r="F212" s="726"/>
      <c r="G212" s="1932">
        <f>(C212/C209)*J208</f>
        <v>24</v>
      </c>
      <c r="H212" s="737" t="str">
        <f>D212</f>
        <v>Pièces</v>
      </c>
      <c r="I212" s="1933">
        <f>IF(C212&gt;0,(E212*C212/C209)*J208,IF(ISBLANK(C212),(E212/C209)*J208))</f>
        <v>0</v>
      </c>
      <c r="J212" s="739">
        <f t="shared" si="26"/>
        <v>0</v>
      </c>
    </row>
    <row r="213" spans="1:10" ht="18" customHeight="1">
      <c r="A213" s="744">
        <f>LARGE(A211:A212,1)+1</f>
        <v>3</v>
      </c>
      <c r="B213" s="740" t="s">
        <v>2243</v>
      </c>
      <c r="C213" s="741">
        <v>16</v>
      </c>
      <c r="D213" s="741" t="s">
        <v>2245</v>
      </c>
      <c r="E213" s="742"/>
      <c r="F213" s="743"/>
      <c r="G213" s="1921">
        <f>(C213/C209)*J208</f>
        <v>32</v>
      </c>
      <c r="H213" s="712" t="str">
        <f t="shared" ref="H213:H214" si="27">D213</f>
        <v>Brins</v>
      </c>
      <c r="I213" s="1922">
        <f>IF(C213&gt;0,(E213*C213/C209)*J208,IF(ISBLANK(C213),(E213/C209)*J208))</f>
        <v>0</v>
      </c>
      <c r="J213" s="714">
        <f t="shared" si="26"/>
        <v>0</v>
      </c>
    </row>
    <row r="214" spans="1:10" ht="18" customHeight="1" thickBot="1">
      <c r="A214" s="745">
        <f>LARGE(A211:A213,1)+1</f>
        <v>4</v>
      </c>
      <c r="B214" s="727"/>
      <c r="C214" s="724"/>
      <c r="D214" s="724"/>
      <c r="E214" s="725"/>
      <c r="F214" s="726"/>
      <c r="G214" s="1932">
        <f>(C214/C209)*J208</f>
        <v>0</v>
      </c>
      <c r="H214" s="737">
        <f t="shared" si="27"/>
        <v>0</v>
      </c>
      <c r="I214" s="1933">
        <f>IF(C214&gt;0,(E214*C214/C209)*J208,IF(ISBLANK(C214),(E214/C209)*J208))</f>
        <v>0</v>
      </c>
      <c r="J214" s="739">
        <f t="shared" si="26"/>
        <v>0</v>
      </c>
    </row>
    <row r="215" spans="1:10" ht="18" customHeight="1" thickTop="1" thickBot="1">
      <c r="A215" s="3666" t="s">
        <v>1314</v>
      </c>
      <c r="B215" s="3667"/>
      <c r="C215" s="1065">
        <f>SUM(C211:C214)</f>
        <v>36</v>
      </c>
      <c r="D215" s="699"/>
      <c r="E215" s="383"/>
      <c r="F215" s="383"/>
      <c r="G215" s="383"/>
      <c r="H215" s="701"/>
      <c r="I215" s="701">
        <f>SUM(I211:I214)</f>
        <v>0</v>
      </c>
      <c r="J215" s="702">
        <f>J216+J217</f>
        <v>0</v>
      </c>
    </row>
    <row r="216" spans="1:10" ht="18" customHeight="1" thickTop="1">
      <c r="A216" s="732"/>
      <c r="B216" s="569"/>
      <c r="C216" s="569"/>
      <c r="D216" s="569"/>
      <c r="E216" s="1923"/>
      <c r="F216" s="1923"/>
      <c r="G216" s="572"/>
      <c r="H216" s="572" t="s">
        <v>2397</v>
      </c>
      <c r="I216" s="624">
        <f>J208</f>
        <v>20</v>
      </c>
      <c r="J216" s="733">
        <f>SUM(J211:J214)</f>
        <v>0</v>
      </c>
    </row>
    <row r="217" spans="1:10" ht="18" customHeight="1">
      <c r="A217" s="721"/>
      <c r="B217" s="571"/>
      <c r="C217" s="571"/>
      <c r="D217" s="571"/>
      <c r="E217" s="1457"/>
      <c r="F217" s="1457"/>
      <c r="G217" s="573"/>
      <c r="H217" s="706" t="s">
        <v>2471</v>
      </c>
      <c r="I217" s="700">
        <v>0.02</v>
      </c>
      <c r="J217" s="734">
        <f>J216*I217</f>
        <v>0</v>
      </c>
    </row>
    <row r="218" spans="1:10" ht="18" customHeight="1">
      <c r="A218" s="735"/>
      <c r="B218" s="728"/>
      <c r="C218" s="728"/>
      <c r="D218" s="728"/>
      <c r="E218" s="728"/>
      <c r="F218" s="728"/>
      <c r="G218" s="729"/>
      <c r="H218" s="729" t="s">
        <v>2289</v>
      </c>
      <c r="I218" s="730"/>
      <c r="J218" s="736">
        <f>(J215/I216)*1</f>
        <v>0</v>
      </c>
    </row>
    <row r="219" spans="1:10" ht="18" customHeight="1">
      <c r="A219" s="754"/>
      <c r="B219" s="755"/>
      <c r="C219" s="756" t="s">
        <v>1949</v>
      </c>
      <c r="D219" s="757">
        <v>2</v>
      </c>
      <c r="E219" s="755"/>
      <c r="F219" s="755"/>
      <c r="G219" s="757">
        <v>2</v>
      </c>
      <c r="H219" s="757"/>
      <c r="I219" s="755"/>
      <c r="J219" s="758"/>
    </row>
    <row r="220" spans="1:10" ht="18" customHeight="1">
      <c r="A220" s="3405" t="s">
        <v>1951</v>
      </c>
      <c r="B220" s="3406"/>
      <c r="C220" s="3406"/>
      <c r="D220" s="3406"/>
      <c r="E220" s="3406"/>
      <c r="F220" s="3406"/>
      <c r="G220" s="3406"/>
      <c r="H220" s="3406"/>
      <c r="I220" s="3406"/>
      <c r="J220" s="3407"/>
    </row>
    <row r="221" spans="1:10" ht="18" customHeight="1">
      <c r="A221" s="707">
        <v>1</v>
      </c>
      <c r="B221" s="349" t="s">
        <v>2378</v>
      </c>
      <c r="C221" s="349"/>
      <c r="D221" s="349"/>
      <c r="E221" s="349"/>
      <c r="F221" s="349"/>
      <c r="G221" s="349"/>
      <c r="H221" s="349"/>
      <c r="I221" s="349"/>
      <c r="J221" s="350"/>
    </row>
    <row r="222" spans="1:10" ht="18" customHeight="1">
      <c r="A222" s="707">
        <f>LARGE(A221:A221,1)+1</f>
        <v>2</v>
      </c>
      <c r="B222" s="349" t="s">
        <v>2387</v>
      </c>
      <c r="C222" s="349"/>
      <c r="D222" s="349"/>
      <c r="E222" s="349"/>
      <c r="F222" s="349"/>
      <c r="G222" s="349"/>
      <c r="H222" s="349"/>
      <c r="I222" s="349"/>
      <c r="J222" s="350"/>
    </row>
    <row r="223" spans="1:10" ht="18" customHeight="1">
      <c r="A223" s="707">
        <f>LARGE(A221:A222,1)+1</f>
        <v>3</v>
      </c>
      <c r="B223" s="349" t="s">
        <v>2388</v>
      </c>
      <c r="C223" s="349"/>
      <c r="D223" s="349"/>
      <c r="E223" s="349"/>
      <c r="F223" s="349"/>
      <c r="G223" s="349"/>
      <c r="H223" s="349"/>
      <c r="I223" s="349"/>
      <c r="J223" s="350"/>
    </row>
    <row r="224" spans="1:10" ht="18" customHeight="1">
      <c r="A224" s="707">
        <f>LARGE(A221:A223,1)+1</f>
        <v>4</v>
      </c>
      <c r="B224" s="349" t="s">
        <v>2389</v>
      </c>
      <c r="C224" s="349"/>
      <c r="D224" s="349"/>
      <c r="E224" s="349"/>
      <c r="F224" s="349"/>
      <c r="G224" s="349"/>
      <c r="H224" s="349"/>
      <c r="I224" s="349"/>
      <c r="J224" s="350"/>
    </row>
    <row r="225" spans="1:10" ht="18" customHeight="1">
      <c r="A225" s="707">
        <f>LARGE(A221:A224,1)+1</f>
        <v>5</v>
      </c>
      <c r="B225" s="349" t="s">
        <v>2390</v>
      </c>
      <c r="C225" s="349"/>
      <c r="D225" s="349"/>
      <c r="E225" s="349"/>
      <c r="F225" s="349"/>
      <c r="G225" s="349"/>
      <c r="H225" s="349"/>
      <c r="I225" s="349"/>
      <c r="J225" s="350"/>
    </row>
    <row r="226" spans="1:10" ht="18" customHeight="1">
      <c r="A226" s="707">
        <f>LARGE(A221:A225,1)+1</f>
        <v>6</v>
      </c>
      <c r="B226" s="349" t="s">
        <v>2391</v>
      </c>
      <c r="C226" s="349"/>
      <c r="D226" s="349"/>
      <c r="E226" s="349"/>
      <c r="F226" s="349"/>
      <c r="G226" s="349"/>
      <c r="H226" s="349"/>
      <c r="I226" s="349"/>
      <c r="J226" s="350"/>
    </row>
    <row r="227" spans="1:10" ht="18" customHeight="1">
      <c r="A227" s="707"/>
      <c r="B227" s="349"/>
      <c r="C227" s="349"/>
      <c r="D227" s="349"/>
      <c r="E227" s="349"/>
      <c r="F227" s="349"/>
      <c r="G227" s="349"/>
      <c r="H227" s="349"/>
      <c r="I227" s="349"/>
      <c r="J227" s="350"/>
    </row>
    <row r="228" spans="1:10" ht="18" customHeight="1">
      <c r="A228" s="719" t="s">
        <v>2474</v>
      </c>
      <c r="B228" s="3652" t="s">
        <v>2361</v>
      </c>
      <c r="C228" s="3653"/>
      <c r="D228" s="3653"/>
      <c r="E228" s="3653"/>
      <c r="F228" s="1924"/>
      <c r="G228" s="1924"/>
      <c r="H228" s="1924"/>
      <c r="I228" s="1924"/>
      <c r="J228" s="1925"/>
    </row>
    <row r="229" spans="1:10" ht="18" customHeight="1">
      <c r="A229" s="750"/>
      <c r="B229" s="1934"/>
      <c r="C229" s="1934"/>
      <c r="D229" s="1934"/>
      <c r="E229" s="1934"/>
      <c r="F229" s="1934"/>
      <c r="G229" s="1934"/>
      <c r="H229" s="1934"/>
      <c r="I229" s="1934"/>
      <c r="J229" s="1935"/>
    </row>
    <row r="230" spans="1:10" ht="18" customHeight="1">
      <c r="A230" s="720" t="s">
        <v>2472</v>
      </c>
      <c r="B230" s="715"/>
      <c r="C230" s="717"/>
      <c r="D230" s="717"/>
      <c r="E230" s="717"/>
      <c r="F230" s="716" t="s">
        <v>2475</v>
      </c>
      <c r="G230" s="715"/>
      <c r="H230" s="1928"/>
      <c r="I230" s="1928"/>
      <c r="J230" s="1929"/>
    </row>
    <row r="231" spans="1:10" ht="18" customHeight="1">
      <c r="A231" s="721" t="s">
        <v>2473</v>
      </c>
      <c r="B231" s="571"/>
      <c r="C231" s="571"/>
      <c r="D231" s="571" t="s">
        <v>2463</v>
      </c>
      <c r="E231" s="571"/>
      <c r="F231" s="1924"/>
      <c r="G231" s="1924"/>
      <c r="H231" s="1924"/>
      <c r="I231" s="1924"/>
      <c r="J231" s="1503"/>
    </row>
    <row r="232" spans="1:10" ht="18" customHeight="1">
      <c r="A232" s="1500" t="str">
        <f ca="1">CELL("nomfichier")</f>
        <v>E:\0-UPRT\1-UPRT.FR-SITE-WEB\ff-fiches-fabrications\ff-fiches-fabrication-maj-08-2020\[ff-8-restauration-Christian.Frechede.xlsx]Formats-Formules-Fonctions</v>
      </c>
      <c r="B232" s="1502"/>
      <c r="C232" s="718"/>
      <c r="D232" s="718"/>
      <c r="E232" s="718"/>
      <c r="F232" s="1924"/>
      <c r="G232" s="1924"/>
      <c r="H232" s="1924"/>
      <c r="I232" s="1924"/>
      <c r="J232" s="1930" t="s">
        <v>1956</v>
      </c>
    </row>
    <row r="233" spans="1:10" ht="18" customHeight="1" thickBot="1">
      <c r="A233" s="356" t="s">
        <v>361</v>
      </c>
      <c r="B233" s="722"/>
      <c r="C233" s="723"/>
      <c r="D233" s="723"/>
      <c r="E233" s="723"/>
      <c r="F233" s="1931"/>
      <c r="G233" s="1931"/>
      <c r="H233" s="1931"/>
      <c r="I233" s="1931"/>
      <c r="J233" s="1507"/>
    </row>
    <row r="234" spans="1:10" ht="18.75" customHeight="1">
      <c r="A234" s="1201"/>
      <c r="B234" s="1201"/>
      <c r="C234" s="1201"/>
      <c r="D234" s="1201"/>
      <c r="E234" s="1201"/>
      <c r="F234" s="1201"/>
      <c r="G234" s="1201"/>
      <c r="H234" s="1201"/>
      <c r="I234" s="1201"/>
      <c r="J234" s="1201"/>
    </row>
    <row r="235" spans="1:10" ht="18.75" customHeight="1" thickBot="1">
      <c r="A235" s="1201"/>
      <c r="B235" s="1201"/>
      <c r="C235" s="1201"/>
      <c r="D235" s="1201"/>
      <c r="E235" s="1201"/>
      <c r="F235" s="1201"/>
      <c r="G235" s="1201"/>
      <c r="H235" s="1201"/>
      <c r="I235" s="1201"/>
      <c r="J235" s="1201"/>
    </row>
    <row r="236" spans="1:10">
      <c r="A236" s="3677" t="s">
        <v>2246</v>
      </c>
      <c r="B236" s="3678"/>
      <c r="C236" s="3678"/>
      <c r="D236" s="3678"/>
      <c r="E236" s="3678"/>
      <c r="F236" s="3678"/>
      <c r="G236" s="3678"/>
      <c r="H236" s="3668" t="s">
        <v>2483</v>
      </c>
    </row>
    <row r="237" spans="1:10">
      <c r="A237" s="3679"/>
      <c r="B237" s="3680"/>
      <c r="C237" s="3680"/>
      <c r="D237" s="3680"/>
      <c r="E237" s="3680"/>
      <c r="F237" s="3680"/>
      <c r="G237" s="3680"/>
      <c r="H237" s="3669"/>
    </row>
    <row r="238" spans="1:10" ht="21">
      <c r="A238" s="3679" t="s">
        <v>2190</v>
      </c>
      <c r="B238" s="3680"/>
      <c r="C238" s="3680"/>
      <c r="D238" s="3680"/>
      <c r="E238" s="3680"/>
      <c r="F238" s="3680"/>
      <c r="G238" s="3680"/>
      <c r="H238" s="3689"/>
    </row>
    <row r="239" spans="1:10" ht="18.75">
      <c r="A239" s="3690" t="s">
        <v>2296</v>
      </c>
      <c r="B239" s="3691"/>
      <c r="C239" s="3691"/>
      <c r="D239" s="3691"/>
      <c r="E239" s="3691"/>
      <c r="F239" s="3691"/>
      <c r="G239" s="3691"/>
      <c r="H239" s="3692"/>
    </row>
    <row r="240" spans="1:10" ht="15.75">
      <c r="A240" s="372"/>
      <c r="B240" s="1464"/>
      <c r="C240" s="1464"/>
      <c r="D240" s="1464"/>
      <c r="E240" s="1936"/>
      <c r="F240" s="3693" t="s">
        <v>2395</v>
      </c>
      <c r="G240" s="3693"/>
      <c r="H240" s="3694">
        <v>10</v>
      </c>
    </row>
    <row r="241" spans="1:8" ht="15.75">
      <c r="A241" s="372"/>
      <c r="B241" s="1464"/>
      <c r="C241" s="1464"/>
      <c r="D241" s="1464"/>
      <c r="E241" s="1936"/>
      <c r="F241" s="3693"/>
      <c r="G241" s="3693"/>
      <c r="H241" s="3695"/>
    </row>
    <row r="242" spans="1:8" ht="15.75">
      <c r="A242" s="3696" t="s">
        <v>2292</v>
      </c>
      <c r="B242" s="3697"/>
      <c r="C242" s="1937" t="s">
        <v>2330</v>
      </c>
      <c r="D242" s="1938" t="s">
        <v>2331</v>
      </c>
      <c r="E242" s="555" t="s">
        <v>975</v>
      </c>
      <c r="F242" s="563"/>
      <c r="G242" s="556" t="s">
        <v>2248</v>
      </c>
      <c r="H242" s="557" t="s">
        <v>2293</v>
      </c>
    </row>
    <row r="243" spans="1:8" ht="15.75">
      <c r="A243" s="552">
        <v>1</v>
      </c>
      <c r="B243" s="553" t="s">
        <v>2369</v>
      </c>
      <c r="C243" s="562"/>
      <c r="D243" s="562"/>
      <c r="E243" s="560">
        <v>3.0000000000000001E-3</v>
      </c>
      <c r="F243" s="1939">
        <f t="shared" ref="F243:F281" si="28">IF(ISBLANK(C243),E243,(E243*C243))</f>
        <v>3.0000000000000001E-3</v>
      </c>
      <c r="G243" s="554">
        <v>0.13</v>
      </c>
      <c r="H243" s="558">
        <f t="shared" ref="H243:H281" si="29">IF(F243=0,C243*G243,F243*G243)</f>
        <v>3.9000000000000005E-4</v>
      </c>
    </row>
    <row r="244" spans="1:8" ht="15.75">
      <c r="A244" s="377">
        <f>LARGE(A243:A243,1)+1</f>
        <v>2</v>
      </c>
      <c r="B244" s="378" t="s">
        <v>2216</v>
      </c>
      <c r="C244" s="561">
        <v>1</v>
      </c>
      <c r="D244" s="561" t="s">
        <v>2393</v>
      </c>
      <c r="E244" s="559">
        <v>0.5</v>
      </c>
      <c r="F244" s="1940">
        <f t="shared" si="28"/>
        <v>0.5</v>
      </c>
      <c r="G244" s="379">
        <v>3.3</v>
      </c>
      <c r="H244" s="380">
        <f t="shared" si="29"/>
        <v>1.65</v>
      </c>
    </row>
    <row r="245" spans="1:8" ht="15.75">
      <c r="A245" s="373">
        <f>LARGE(A243:A244,1)+1</f>
        <v>3</v>
      </c>
      <c r="B245" s="553" t="s">
        <v>2217</v>
      </c>
      <c r="C245" s="562">
        <v>1</v>
      </c>
      <c r="D245" s="562" t="s">
        <v>2393</v>
      </c>
      <c r="E245" s="560"/>
      <c r="F245" s="1941">
        <f t="shared" si="28"/>
        <v>0</v>
      </c>
      <c r="G245" s="375">
        <v>0.62</v>
      </c>
      <c r="H245" s="376">
        <f t="shared" si="29"/>
        <v>0.62</v>
      </c>
    </row>
    <row r="246" spans="1:8" ht="15.75">
      <c r="A246" s="377">
        <f>LARGE(A243:A245,1)+1</f>
        <v>4</v>
      </c>
      <c r="B246" s="378" t="s">
        <v>2199</v>
      </c>
      <c r="C246" s="561">
        <v>1</v>
      </c>
      <c r="D246" s="561" t="s">
        <v>2394</v>
      </c>
      <c r="E246" s="559"/>
      <c r="F246" s="1940">
        <f t="shared" si="28"/>
        <v>0</v>
      </c>
      <c r="G246" s="379">
        <v>0.57999999999999996</v>
      </c>
      <c r="H246" s="380">
        <f t="shared" si="29"/>
        <v>0.57999999999999996</v>
      </c>
    </row>
    <row r="247" spans="1:8" ht="15.75">
      <c r="A247" s="373">
        <f>LARGE(A243:A246,1)+1</f>
        <v>5</v>
      </c>
      <c r="B247" s="553" t="s">
        <v>2218</v>
      </c>
      <c r="C247" s="562"/>
      <c r="D247" s="562"/>
      <c r="E247" s="560">
        <v>0.05</v>
      </c>
      <c r="F247" s="1941">
        <f t="shared" si="28"/>
        <v>0.05</v>
      </c>
      <c r="G247" s="375">
        <v>7.0000000000000007E-2</v>
      </c>
      <c r="H247" s="376">
        <f t="shared" si="29"/>
        <v>3.5000000000000005E-3</v>
      </c>
    </row>
    <row r="248" spans="1:8" ht="15.75">
      <c r="A248" s="377">
        <f>LARGE(A243:A247,1)+1</f>
        <v>6</v>
      </c>
      <c r="B248" s="378" t="s">
        <v>2200</v>
      </c>
      <c r="C248" s="561">
        <v>0.5</v>
      </c>
      <c r="D248" s="561" t="s">
        <v>2394</v>
      </c>
      <c r="E248" s="559"/>
      <c r="F248" s="1940">
        <f t="shared" si="28"/>
        <v>0</v>
      </c>
      <c r="G248" s="379">
        <v>0.28999999999999998</v>
      </c>
      <c r="H248" s="380">
        <f t="shared" si="29"/>
        <v>0.14499999999999999</v>
      </c>
    </row>
    <row r="249" spans="1:8" ht="15.75">
      <c r="A249" s="373">
        <f>LARGE(A243:A248,1)+1</f>
        <v>7</v>
      </c>
      <c r="B249" s="553" t="s">
        <v>2260</v>
      </c>
      <c r="C249" s="562">
        <v>4</v>
      </c>
      <c r="D249" s="562" t="s">
        <v>1168</v>
      </c>
      <c r="E249" s="560"/>
      <c r="F249" s="1941">
        <f t="shared" si="28"/>
        <v>0</v>
      </c>
      <c r="G249" s="375">
        <v>0.35</v>
      </c>
      <c r="H249" s="376">
        <f t="shared" si="29"/>
        <v>1.4</v>
      </c>
    </row>
    <row r="250" spans="1:8" ht="15.75">
      <c r="A250" s="377">
        <f>LARGE(A243:A249,1)+1</f>
        <v>8</v>
      </c>
      <c r="B250" s="378" t="s">
        <v>2201</v>
      </c>
      <c r="C250" s="561"/>
      <c r="D250" s="561"/>
      <c r="E250" s="559">
        <v>7.4999999999999997E-2</v>
      </c>
      <c r="F250" s="1940">
        <f t="shared" si="28"/>
        <v>7.4999999999999997E-2</v>
      </c>
      <c r="G250" s="379">
        <v>0.4</v>
      </c>
      <c r="H250" s="380">
        <f t="shared" si="29"/>
        <v>0.03</v>
      </c>
    </row>
    <row r="251" spans="1:8" ht="15.75">
      <c r="A251" s="373">
        <f>LARGE(A243:A250,1)+1</f>
        <v>9</v>
      </c>
      <c r="B251" s="553" t="s">
        <v>2265</v>
      </c>
      <c r="C251" s="562"/>
      <c r="D251" s="562"/>
      <c r="E251" s="560">
        <v>0.12</v>
      </c>
      <c r="F251" s="1941">
        <f t="shared" si="28"/>
        <v>0.12</v>
      </c>
      <c r="G251" s="375">
        <v>1.1000000000000001</v>
      </c>
      <c r="H251" s="376">
        <f t="shared" si="29"/>
        <v>0.13200000000000001</v>
      </c>
    </row>
    <row r="252" spans="1:8" ht="15.75">
      <c r="A252" s="377">
        <f>LARGE(A243:A251,1)+1</f>
        <v>10</v>
      </c>
      <c r="B252" s="378" t="s">
        <v>2213</v>
      </c>
      <c r="C252" s="561"/>
      <c r="D252" s="561"/>
      <c r="E252" s="559">
        <v>3.6999999999999998E-2</v>
      </c>
      <c r="F252" s="1940">
        <f t="shared" si="28"/>
        <v>3.6999999999999998E-2</v>
      </c>
      <c r="G252" s="379">
        <v>0.62</v>
      </c>
      <c r="H252" s="380">
        <f t="shared" si="29"/>
        <v>2.2939999999999999E-2</v>
      </c>
    </row>
    <row r="253" spans="1:8" ht="15.75">
      <c r="A253" s="373">
        <f>LARGE(A243:A252,1)+1</f>
        <v>11</v>
      </c>
      <c r="B253" s="553" t="s">
        <v>2222</v>
      </c>
      <c r="C253" s="562">
        <v>1</v>
      </c>
      <c r="D253" s="562" t="s">
        <v>2393</v>
      </c>
      <c r="E253" s="560"/>
      <c r="F253" s="1941">
        <f t="shared" si="28"/>
        <v>0</v>
      </c>
      <c r="G253" s="375">
        <v>3.5</v>
      </c>
      <c r="H253" s="376">
        <f t="shared" si="29"/>
        <v>3.5</v>
      </c>
    </row>
    <row r="254" spans="1:8" ht="15.75">
      <c r="A254" s="377">
        <f>LARGE(A243:A253,1)+1</f>
        <v>12</v>
      </c>
      <c r="B254" s="378" t="s">
        <v>2223</v>
      </c>
      <c r="C254" s="561"/>
      <c r="D254" s="561"/>
      <c r="E254" s="559">
        <v>0.03</v>
      </c>
      <c r="F254" s="1940">
        <f t="shared" si="28"/>
        <v>0.03</v>
      </c>
      <c r="G254" s="379">
        <v>0.06</v>
      </c>
      <c r="H254" s="380">
        <f t="shared" si="29"/>
        <v>1.8E-3</v>
      </c>
    </row>
    <row r="255" spans="1:8" ht="15.75">
      <c r="A255" s="373">
        <f>LARGE(A243:A254,1)+1</f>
        <v>13</v>
      </c>
      <c r="B255" s="553" t="s">
        <v>2272</v>
      </c>
      <c r="C255" s="562">
        <v>1</v>
      </c>
      <c r="D255" s="562" t="s">
        <v>1466</v>
      </c>
      <c r="E255" s="560"/>
      <c r="F255" s="1941">
        <f t="shared" si="28"/>
        <v>0</v>
      </c>
      <c r="G255" s="375">
        <v>0.06</v>
      </c>
      <c r="H255" s="376">
        <f t="shared" si="29"/>
        <v>0.06</v>
      </c>
    </row>
    <row r="256" spans="1:8" ht="15.75">
      <c r="A256" s="377">
        <f>LARGE(A243:A255,1)+1</f>
        <v>14</v>
      </c>
      <c r="B256" s="378" t="s">
        <v>2273</v>
      </c>
      <c r="C256" s="561"/>
      <c r="D256" s="561" t="s">
        <v>214</v>
      </c>
      <c r="E256" s="559"/>
      <c r="F256" s="1940">
        <f t="shared" si="28"/>
        <v>0</v>
      </c>
      <c r="G256" s="379"/>
      <c r="H256" s="380">
        <f t="shared" si="29"/>
        <v>0</v>
      </c>
    </row>
    <row r="257" spans="1:8" ht="15.75">
      <c r="A257" s="373">
        <f>LARGE(A243:A256,1)+1</f>
        <v>15</v>
      </c>
      <c r="B257" s="553" t="s">
        <v>2274</v>
      </c>
      <c r="C257" s="562"/>
      <c r="D257" s="562"/>
      <c r="E257" s="560">
        <v>1</v>
      </c>
      <c r="F257" s="1941">
        <f t="shared" si="28"/>
        <v>1</v>
      </c>
      <c r="G257" s="375">
        <v>19.3</v>
      </c>
      <c r="H257" s="376">
        <f t="shared" si="29"/>
        <v>19.3</v>
      </c>
    </row>
    <row r="258" spans="1:8" ht="15.75">
      <c r="A258" s="377">
        <f>LARGE(A243:A257,1)+1</f>
        <v>16</v>
      </c>
      <c r="B258" s="378" t="s">
        <v>2226</v>
      </c>
      <c r="C258" s="561">
        <v>0.5</v>
      </c>
      <c r="D258" s="561" t="s">
        <v>1538</v>
      </c>
      <c r="E258" s="559">
        <v>0.18</v>
      </c>
      <c r="F258" s="1940">
        <f t="shared" si="28"/>
        <v>0.09</v>
      </c>
      <c r="G258" s="379">
        <v>0.7</v>
      </c>
      <c r="H258" s="380">
        <f t="shared" si="29"/>
        <v>6.3E-2</v>
      </c>
    </row>
    <row r="259" spans="1:8" ht="15.75">
      <c r="A259" s="373">
        <f>LARGE(A243:A258,1)+1</f>
        <v>17</v>
      </c>
      <c r="B259" s="553" t="s">
        <v>2202</v>
      </c>
      <c r="C259" s="562"/>
      <c r="D259" s="562"/>
      <c r="E259" s="560">
        <v>0.25</v>
      </c>
      <c r="F259" s="1941">
        <f t="shared" si="28"/>
        <v>0.25</v>
      </c>
      <c r="G259" s="375">
        <v>1.97</v>
      </c>
      <c r="H259" s="376">
        <f t="shared" si="29"/>
        <v>0.49249999999999999</v>
      </c>
    </row>
    <row r="260" spans="1:8" ht="15.75">
      <c r="A260" s="377">
        <f>LARGE(A243:A259,1)+1</f>
        <v>18</v>
      </c>
      <c r="B260" s="378" t="s">
        <v>2227</v>
      </c>
      <c r="C260" s="561"/>
      <c r="D260" s="561"/>
      <c r="E260" s="559">
        <v>0.4</v>
      </c>
      <c r="F260" s="1940">
        <f t="shared" si="28"/>
        <v>0.4</v>
      </c>
      <c r="G260" s="379">
        <v>4.12</v>
      </c>
      <c r="H260" s="380">
        <f t="shared" si="29"/>
        <v>1.6480000000000001</v>
      </c>
    </row>
    <row r="261" spans="1:8" ht="15.75">
      <c r="A261" s="373">
        <f>LARGE(A243:A260,1)+1</f>
        <v>19</v>
      </c>
      <c r="B261" s="553" t="s">
        <v>2228</v>
      </c>
      <c r="C261" s="562"/>
      <c r="D261" s="562"/>
      <c r="E261" s="560">
        <v>0.05</v>
      </c>
      <c r="F261" s="1941">
        <f t="shared" si="28"/>
        <v>0.05</v>
      </c>
      <c r="G261" s="375">
        <v>0.41</v>
      </c>
      <c r="H261" s="376">
        <f t="shared" si="29"/>
        <v>2.0500000000000001E-2</v>
      </c>
    </row>
    <row r="262" spans="1:8" ht="15.75">
      <c r="A262" s="377">
        <f>LARGE(A243:A261,1)+1</f>
        <v>20</v>
      </c>
      <c r="B262" s="378" t="s">
        <v>2203</v>
      </c>
      <c r="C262" s="561"/>
      <c r="D262" s="561"/>
      <c r="E262" s="559">
        <v>0.05</v>
      </c>
      <c r="F262" s="1940">
        <f t="shared" si="28"/>
        <v>0.05</v>
      </c>
      <c r="G262" s="379">
        <v>0.11</v>
      </c>
      <c r="H262" s="380">
        <f t="shared" si="29"/>
        <v>5.5000000000000005E-3</v>
      </c>
    </row>
    <row r="263" spans="1:8" ht="15.75">
      <c r="A263" s="373">
        <f>LARGE(A243:A262,1)+1</f>
        <v>21</v>
      </c>
      <c r="B263" s="553" t="s">
        <v>2238</v>
      </c>
      <c r="C263" s="562"/>
      <c r="D263" s="562"/>
      <c r="E263" s="560">
        <v>0.03</v>
      </c>
      <c r="F263" s="1941">
        <f t="shared" si="28"/>
        <v>0.03</v>
      </c>
      <c r="G263" s="375">
        <v>0.15</v>
      </c>
      <c r="H263" s="376">
        <f t="shared" si="29"/>
        <v>4.4999999999999997E-3</v>
      </c>
    </row>
    <row r="264" spans="1:8" ht="15.75">
      <c r="A264" s="377">
        <f>LARGE(A243:A263,1)+1</f>
        <v>22</v>
      </c>
      <c r="B264" s="378" t="s">
        <v>2229</v>
      </c>
      <c r="C264" s="561"/>
      <c r="D264" s="561"/>
      <c r="E264" s="559">
        <v>0.02</v>
      </c>
      <c r="F264" s="1940">
        <f t="shared" si="28"/>
        <v>0.02</v>
      </c>
      <c r="G264" s="379">
        <v>0.14000000000000001</v>
      </c>
      <c r="H264" s="380">
        <f t="shared" si="29"/>
        <v>2.8000000000000004E-3</v>
      </c>
    </row>
    <row r="265" spans="1:8" ht="15.75">
      <c r="A265" s="373">
        <f>LARGE(A243:A264,1)+1</f>
        <v>23</v>
      </c>
      <c r="B265" s="374"/>
      <c r="C265" s="562"/>
      <c r="D265" s="562"/>
      <c r="E265" s="560"/>
      <c r="F265" s="1941">
        <f t="shared" si="28"/>
        <v>0</v>
      </c>
      <c r="G265" s="375">
        <v>0</v>
      </c>
      <c r="H265" s="376">
        <f t="shared" si="29"/>
        <v>0</v>
      </c>
    </row>
    <row r="266" spans="1:8" ht="15.75">
      <c r="A266" s="377">
        <f>LARGE(A243:A265,1)+1</f>
        <v>24</v>
      </c>
      <c r="B266" s="378"/>
      <c r="C266" s="561"/>
      <c r="D266" s="561"/>
      <c r="E266" s="559"/>
      <c r="F266" s="1940">
        <f t="shared" si="28"/>
        <v>0</v>
      </c>
      <c r="G266" s="379">
        <v>0</v>
      </c>
      <c r="H266" s="380">
        <f t="shared" si="29"/>
        <v>0</v>
      </c>
    </row>
    <row r="267" spans="1:8" ht="15.75">
      <c r="A267" s="373">
        <f>LARGE(A243:A266,1)+1</f>
        <v>25</v>
      </c>
      <c r="B267" s="374"/>
      <c r="C267" s="562"/>
      <c r="D267" s="562"/>
      <c r="E267" s="560"/>
      <c r="F267" s="1941">
        <f t="shared" si="28"/>
        <v>0</v>
      </c>
      <c r="G267" s="375">
        <v>0</v>
      </c>
      <c r="H267" s="376">
        <f t="shared" si="29"/>
        <v>0</v>
      </c>
    </row>
    <row r="268" spans="1:8" ht="15.75">
      <c r="A268" s="377">
        <f>LARGE(A243:A267,1)+1</f>
        <v>26</v>
      </c>
      <c r="B268" s="378"/>
      <c r="C268" s="561"/>
      <c r="D268" s="561"/>
      <c r="E268" s="559"/>
      <c r="F268" s="1940">
        <f t="shared" si="28"/>
        <v>0</v>
      </c>
      <c r="G268" s="379">
        <v>0</v>
      </c>
      <c r="H268" s="380">
        <f t="shared" si="29"/>
        <v>0</v>
      </c>
    </row>
    <row r="269" spans="1:8" ht="15.75">
      <c r="A269" s="373">
        <f>LARGE(A243:A268,1)+1</f>
        <v>27</v>
      </c>
      <c r="B269" s="374"/>
      <c r="C269" s="562"/>
      <c r="D269" s="562"/>
      <c r="E269" s="560"/>
      <c r="F269" s="1941">
        <f t="shared" si="28"/>
        <v>0</v>
      </c>
      <c r="G269" s="375">
        <v>0</v>
      </c>
      <c r="H269" s="376">
        <f t="shared" si="29"/>
        <v>0</v>
      </c>
    </row>
    <row r="270" spans="1:8" ht="15.75">
      <c r="A270" s="377">
        <f>LARGE(A243:A269,1)+1</f>
        <v>28</v>
      </c>
      <c r="B270" s="378"/>
      <c r="C270" s="561"/>
      <c r="D270" s="561"/>
      <c r="E270" s="559"/>
      <c r="F270" s="1940">
        <f t="shared" si="28"/>
        <v>0</v>
      </c>
      <c r="G270" s="379">
        <v>0</v>
      </c>
      <c r="H270" s="380">
        <f t="shared" si="29"/>
        <v>0</v>
      </c>
    </row>
    <row r="271" spans="1:8" ht="15.75">
      <c r="A271" s="373">
        <f>LARGE(A243:A270,1)+1</f>
        <v>29</v>
      </c>
      <c r="B271" s="374"/>
      <c r="C271" s="562"/>
      <c r="D271" s="562"/>
      <c r="E271" s="560"/>
      <c r="F271" s="1941">
        <f t="shared" si="28"/>
        <v>0</v>
      </c>
      <c r="G271" s="375">
        <v>0</v>
      </c>
      <c r="H271" s="376">
        <f t="shared" si="29"/>
        <v>0</v>
      </c>
    </row>
    <row r="272" spans="1:8" ht="15.75">
      <c r="A272" s="377">
        <f>LARGE(A243:A271,1)+1</f>
        <v>30</v>
      </c>
      <c r="B272" s="378"/>
      <c r="C272" s="561"/>
      <c r="D272" s="561"/>
      <c r="E272" s="559"/>
      <c r="F272" s="1940">
        <f t="shared" si="28"/>
        <v>0</v>
      </c>
      <c r="G272" s="379">
        <v>0</v>
      </c>
      <c r="H272" s="380">
        <f t="shared" si="29"/>
        <v>0</v>
      </c>
    </row>
    <row r="273" spans="1:8" ht="15.75">
      <c r="A273" s="373">
        <f>LARGE(A243:A272,1)+1</f>
        <v>31</v>
      </c>
      <c r="B273" s="374"/>
      <c r="C273" s="562"/>
      <c r="D273" s="562"/>
      <c r="E273" s="560"/>
      <c r="F273" s="1941">
        <f t="shared" si="28"/>
        <v>0</v>
      </c>
      <c r="G273" s="375">
        <v>0</v>
      </c>
      <c r="H273" s="376">
        <f t="shared" si="29"/>
        <v>0</v>
      </c>
    </row>
    <row r="274" spans="1:8" ht="15.75">
      <c r="A274" s="377">
        <f>LARGE(A243:A273,1)+1</f>
        <v>32</v>
      </c>
      <c r="B274" s="378"/>
      <c r="C274" s="561"/>
      <c r="D274" s="561"/>
      <c r="E274" s="559"/>
      <c r="F274" s="1940">
        <f t="shared" si="28"/>
        <v>0</v>
      </c>
      <c r="G274" s="379">
        <v>0</v>
      </c>
      <c r="H274" s="380">
        <f t="shared" si="29"/>
        <v>0</v>
      </c>
    </row>
    <row r="275" spans="1:8" ht="15.75">
      <c r="A275" s="373">
        <f>LARGE(A243:A274,1)+1</f>
        <v>33</v>
      </c>
      <c r="B275" s="374"/>
      <c r="C275" s="562"/>
      <c r="D275" s="562"/>
      <c r="E275" s="560"/>
      <c r="F275" s="1941">
        <f t="shared" si="28"/>
        <v>0</v>
      </c>
      <c r="G275" s="375">
        <v>0</v>
      </c>
      <c r="H275" s="376">
        <f t="shared" si="29"/>
        <v>0</v>
      </c>
    </row>
    <row r="276" spans="1:8" ht="15.75">
      <c r="A276" s="377">
        <f>LARGE(A243:A275,1)+1</f>
        <v>34</v>
      </c>
      <c r="B276" s="378"/>
      <c r="C276" s="561"/>
      <c r="D276" s="561"/>
      <c r="E276" s="559"/>
      <c r="F276" s="1940">
        <f t="shared" si="28"/>
        <v>0</v>
      </c>
      <c r="G276" s="379">
        <v>0</v>
      </c>
      <c r="H276" s="380">
        <f t="shared" si="29"/>
        <v>0</v>
      </c>
    </row>
    <row r="277" spans="1:8" ht="15.75">
      <c r="A277" s="373">
        <f>LARGE(A243:A276,1)+1</f>
        <v>35</v>
      </c>
      <c r="B277" s="374"/>
      <c r="C277" s="562"/>
      <c r="D277" s="562"/>
      <c r="E277" s="560"/>
      <c r="F277" s="1941">
        <f t="shared" si="28"/>
        <v>0</v>
      </c>
      <c r="G277" s="375">
        <v>0</v>
      </c>
      <c r="H277" s="376">
        <f t="shared" si="29"/>
        <v>0</v>
      </c>
    </row>
    <row r="278" spans="1:8" ht="15.75">
      <c r="A278" s="377">
        <f>LARGE(A243:A277,1)+1</f>
        <v>36</v>
      </c>
      <c r="B278" s="378"/>
      <c r="C278" s="561"/>
      <c r="D278" s="561"/>
      <c r="E278" s="559"/>
      <c r="F278" s="1940">
        <f t="shared" si="28"/>
        <v>0</v>
      </c>
      <c r="G278" s="379">
        <v>0</v>
      </c>
      <c r="H278" s="380">
        <f t="shared" si="29"/>
        <v>0</v>
      </c>
    </row>
    <row r="279" spans="1:8" ht="15.75">
      <c r="A279" s="373">
        <f>LARGE(A243:A278,1)+1</f>
        <v>37</v>
      </c>
      <c r="B279" s="374"/>
      <c r="C279" s="562"/>
      <c r="D279" s="562"/>
      <c r="E279" s="560"/>
      <c r="F279" s="1941">
        <f t="shared" si="28"/>
        <v>0</v>
      </c>
      <c r="G279" s="375">
        <v>0</v>
      </c>
      <c r="H279" s="376">
        <f t="shared" si="29"/>
        <v>0</v>
      </c>
    </row>
    <row r="280" spans="1:8" ht="15.75">
      <c r="A280" s="377">
        <f>LARGE(A243:A279,1)+1</f>
        <v>38</v>
      </c>
      <c r="B280" s="378"/>
      <c r="C280" s="561"/>
      <c r="D280" s="561"/>
      <c r="E280" s="559"/>
      <c r="F280" s="1940">
        <f t="shared" si="28"/>
        <v>0</v>
      </c>
      <c r="G280" s="379">
        <v>0</v>
      </c>
      <c r="H280" s="380">
        <f t="shared" si="29"/>
        <v>0</v>
      </c>
    </row>
    <row r="281" spans="1:8" ht="16.5" thickBot="1">
      <c r="A281" s="577">
        <f>LARGE(A243:A280,1)+1</f>
        <v>39</v>
      </c>
      <c r="B281" s="578"/>
      <c r="C281" s="579"/>
      <c r="D281" s="579"/>
      <c r="E281" s="580"/>
      <c r="F281" s="1942">
        <f t="shared" si="28"/>
        <v>0</v>
      </c>
      <c r="G281" s="581">
        <v>0</v>
      </c>
      <c r="H281" s="582">
        <f t="shared" si="29"/>
        <v>0</v>
      </c>
    </row>
    <row r="282" spans="1:8" ht="17.25" thickTop="1" thickBot="1">
      <c r="A282" s="3698" t="s">
        <v>1314</v>
      </c>
      <c r="B282" s="3699"/>
      <c r="C282" s="1064">
        <f>SUM(C243:C281)</f>
        <v>10</v>
      </c>
      <c r="D282" s="564"/>
      <c r="E282" s="383"/>
      <c r="F282" s="383">
        <f>SUM(F243:F281)</f>
        <v>2.7049999999999996</v>
      </c>
      <c r="G282" s="384"/>
      <c r="H282" s="1943"/>
    </row>
    <row r="283" spans="1:8" ht="19.5" thickTop="1">
      <c r="A283" s="568"/>
      <c r="B283" s="569"/>
      <c r="C283" s="569"/>
      <c r="D283" s="569"/>
      <c r="E283" s="1944"/>
      <c r="F283" s="572" t="s">
        <v>2397</v>
      </c>
      <c r="G283" s="585">
        <v>10</v>
      </c>
      <c r="H283" s="584">
        <f>SUM(H243:H281)</f>
        <v>29.68243</v>
      </c>
    </row>
    <row r="284" spans="1:8" ht="15.75">
      <c r="A284" s="570"/>
      <c r="B284" s="571"/>
      <c r="C284" s="571"/>
      <c r="D284" s="571"/>
      <c r="E284" s="1464"/>
      <c r="F284" s="573" t="s">
        <v>2396</v>
      </c>
      <c r="G284" s="565">
        <v>0.02</v>
      </c>
      <c r="H284" s="566">
        <f>H283*G284</f>
        <v>0.59364859999999997</v>
      </c>
    </row>
    <row r="285" spans="1:8" ht="16.5" thickBot="1">
      <c r="A285" s="574"/>
      <c r="B285" s="575"/>
      <c r="C285" s="575"/>
      <c r="D285" s="575"/>
      <c r="E285" s="575"/>
      <c r="F285" s="576" t="s">
        <v>2289</v>
      </c>
      <c r="G285" s="567"/>
      <c r="H285" s="583">
        <f>(H283+H284)/G283</f>
        <v>3.0276078600000003</v>
      </c>
    </row>
    <row r="286" spans="1:8" ht="15.75" thickTop="1"/>
  </sheetData>
  <mergeCells count="102">
    <mergeCell ref="AG5:AU5"/>
    <mergeCell ref="A6:A64"/>
    <mergeCell ref="B7:G7"/>
    <mergeCell ref="W6:X6"/>
    <mergeCell ref="Y6:AE7"/>
    <mergeCell ref="B2:R2"/>
    <mergeCell ref="AJ9:AM10"/>
    <mergeCell ref="AN9:AQ10"/>
    <mergeCell ref="AR9:AU10"/>
    <mergeCell ref="T11:V11"/>
    <mergeCell ref="Y11:AA11"/>
    <mergeCell ref="L12:R12"/>
    <mergeCell ref="AG6:AU7"/>
    <mergeCell ref="B6:G6"/>
    <mergeCell ref="U7:X7"/>
    <mergeCell ref="E8:F9"/>
    <mergeCell ref="G8:G9"/>
    <mergeCell ref="Y8:AA10"/>
    <mergeCell ref="AB8:AE10"/>
    <mergeCell ref="B9:D9"/>
    <mergeCell ref="AG9:AI10"/>
    <mergeCell ref="A238:H238"/>
    <mergeCell ref="A239:H239"/>
    <mergeCell ref="F240:G241"/>
    <mergeCell ref="H240:H241"/>
    <mergeCell ref="A242:B242"/>
    <mergeCell ref="A282:B282"/>
    <mergeCell ref="T62:T63"/>
    <mergeCell ref="U62:V63"/>
    <mergeCell ref="W62:W63"/>
    <mergeCell ref="U64:V64"/>
    <mergeCell ref="I4:J64"/>
    <mergeCell ref="A87:J87"/>
    <mergeCell ref="J101:J102"/>
    <mergeCell ref="J68:J69"/>
    <mergeCell ref="B70:J70"/>
    <mergeCell ref="B71:J71"/>
    <mergeCell ref="D72:G73"/>
    <mergeCell ref="H72:I73"/>
    <mergeCell ref="J72:J73"/>
    <mergeCell ref="A74:B74"/>
    <mergeCell ref="A82:B82"/>
    <mergeCell ref="A68:A69"/>
    <mergeCell ref="B122:E122"/>
    <mergeCell ref="A117:J117"/>
    <mergeCell ref="A101:A102"/>
    <mergeCell ref="B101:I102"/>
    <mergeCell ref="B68:I69"/>
    <mergeCell ref="B4:H4"/>
    <mergeCell ref="L4:R4"/>
    <mergeCell ref="T4:X4"/>
    <mergeCell ref="M33:R34"/>
    <mergeCell ref="A236:G237"/>
    <mergeCell ref="H236:H237"/>
    <mergeCell ref="X62:X63"/>
    <mergeCell ref="B5:G5"/>
    <mergeCell ref="L5:Q5"/>
    <mergeCell ref="U5:W5"/>
    <mergeCell ref="B93:E93"/>
    <mergeCell ref="B103:J103"/>
    <mergeCell ref="B104:J104"/>
    <mergeCell ref="D105:G106"/>
    <mergeCell ref="H105:I106"/>
    <mergeCell ref="J105:J106"/>
    <mergeCell ref="A107:B107"/>
    <mergeCell ref="A112:B112"/>
    <mergeCell ref="A136:B136"/>
    <mergeCell ref="A155:B155"/>
    <mergeCell ref="A160:J160"/>
    <mergeCell ref="B180:J180"/>
    <mergeCell ref="B181:J181"/>
    <mergeCell ref="J130:J131"/>
    <mergeCell ref="B132:J132"/>
    <mergeCell ref="B133:J133"/>
    <mergeCell ref="D134:G135"/>
    <mergeCell ref="H134:I135"/>
    <mergeCell ref="J134:J135"/>
    <mergeCell ref="B130:I131"/>
    <mergeCell ref="A130:A131"/>
    <mergeCell ref="B204:I205"/>
    <mergeCell ref="A204:A205"/>
    <mergeCell ref="A178:A179"/>
    <mergeCell ref="B178:I179"/>
    <mergeCell ref="B228:E228"/>
    <mergeCell ref="B206:J206"/>
    <mergeCell ref="B207:J207"/>
    <mergeCell ref="D208:G209"/>
    <mergeCell ref="H208:I209"/>
    <mergeCell ref="J208:J209"/>
    <mergeCell ref="A210:B210"/>
    <mergeCell ref="A215:B215"/>
    <mergeCell ref="A220:J220"/>
    <mergeCell ref="D182:G183"/>
    <mergeCell ref="H182:I183"/>
    <mergeCell ref="J182:J183"/>
    <mergeCell ref="A184:B184"/>
    <mergeCell ref="A188:B188"/>
    <mergeCell ref="A193:J193"/>
    <mergeCell ref="B196:E196"/>
    <mergeCell ref="J204:J205"/>
    <mergeCell ref="B170:E170"/>
    <mergeCell ref="J178:J179"/>
  </mergeCells>
  <hyperlinks>
    <hyperlink ref="O68" r:id="rId1" xr:uid="{00000000-0004-0000-1500-000000000000}"/>
    <hyperlink ref="N63" r:id="rId2" xr:uid="{00000000-0004-0000-1500-000001000000}"/>
    <hyperlink ref="B93" r:id="rId3" xr:uid="{00000000-0004-0000-1500-000003000000}"/>
    <hyperlink ref="B122" r:id="rId4" xr:uid="{00000000-0004-0000-1500-000004000000}"/>
    <hyperlink ref="B170" r:id="rId5" xr:uid="{00000000-0004-0000-1500-000005000000}"/>
    <hyperlink ref="B196" r:id="rId6" xr:uid="{00000000-0004-0000-1500-000006000000}"/>
    <hyperlink ref="B228" r:id="rId7" xr:uid="{00000000-0004-0000-1500-000007000000}"/>
    <hyperlink ref="U8" r:id="rId8" xr:uid="{381F8415-7813-4B98-A6FE-41CD1906A302}"/>
  </hyperlinks>
  <printOptions horizontalCentered="1"/>
  <pageMargins left="0.25" right="0.25" top="0.75" bottom="0.75" header="0.3" footer="0.3"/>
  <pageSetup paperSize="9" scale="18" orientation="landscape" r:id="rId9"/>
  <drawing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H175"/>
  <sheetViews>
    <sheetView topLeftCell="A16" workbookViewId="0">
      <selection activeCell="J21" sqref="J21"/>
    </sheetView>
  </sheetViews>
  <sheetFormatPr baseColWidth="10" defaultRowHeight="15"/>
  <cols>
    <col min="1" max="1" width="2.28515625" style="1946" customWidth="1"/>
    <col min="2" max="2" width="30.28515625" style="1946" customWidth="1"/>
    <col min="3" max="7" width="15.7109375" style="1946" customWidth="1"/>
    <col min="8" max="16384" width="11.42578125" style="1946"/>
  </cols>
  <sheetData>
    <row r="1" spans="2:7">
      <c r="B1" s="1945"/>
      <c r="C1" s="1945"/>
      <c r="D1" s="1945"/>
      <c r="E1" s="1945"/>
      <c r="F1" s="1945"/>
      <c r="G1" s="1945"/>
    </row>
    <row r="2" spans="2:7" ht="18.75" customHeight="1">
      <c r="B2" s="3767" t="s">
        <v>2190</v>
      </c>
      <c r="C2" s="3767"/>
      <c r="D2" s="3767"/>
      <c r="E2" s="3767"/>
      <c r="F2" s="3767"/>
      <c r="G2" s="3767"/>
    </row>
    <row r="3" spans="2:7" ht="18.75" customHeight="1">
      <c r="B3" s="3767"/>
      <c r="C3" s="3767"/>
      <c r="D3" s="3767"/>
      <c r="E3" s="3767"/>
      <c r="F3" s="3767"/>
      <c r="G3" s="3767"/>
    </row>
    <row r="4" spans="2:7" ht="18.75" customHeight="1">
      <c r="B4" s="3767"/>
      <c r="C4" s="3767"/>
      <c r="D4" s="3767"/>
      <c r="E4" s="3767"/>
      <c r="F4" s="3767"/>
      <c r="G4" s="3767"/>
    </row>
    <row r="5" spans="2:7" ht="15.75">
      <c r="B5" s="612" t="s">
        <v>2191</v>
      </c>
      <c r="C5" s="612"/>
      <c r="D5" s="612"/>
      <c r="E5" s="612"/>
      <c r="F5" s="1945"/>
      <c r="G5" s="1945"/>
    </row>
    <row r="6" spans="2:7" ht="18.75">
      <c r="B6" s="1947" t="s">
        <v>2313</v>
      </c>
      <c r="C6" s="3748" t="s">
        <v>2379</v>
      </c>
      <c r="D6" s="3748"/>
      <c r="E6" s="3748"/>
      <c r="F6" s="3748"/>
      <c r="G6" s="3748"/>
    </row>
    <row r="7" spans="2:7" ht="18.75">
      <c r="B7" s="1948" t="s">
        <v>1952</v>
      </c>
      <c r="C7" s="3749" t="s">
        <v>2361</v>
      </c>
      <c r="D7" s="3749"/>
      <c r="E7" s="3749"/>
      <c r="F7" s="3749"/>
      <c r="G7" s="3749"/>
    </row>
    <row r="8" spans="2:7" ht="15.75">
      <c r="B8" s="612"/>
      <c r="C8" s="612"/>
      <c r="D8" s="612"/>
      <c r="E8" s="612"/>
      <c r="F8" s="1945"/>
      <c r="G8" s="1945"/>
    </row>
    <row r="9" spans="2:7" ht="15.75">
      <c r="B9" s="612"/>
      <c r="C9" s="612"/>
      <c r="D9" s="612"/>
      <c r="E9" s="612"/>
      <c r="F9" s="1945"/>
      <c r="G9" s="1945"/>
    </row>
    <row r="10" spans="2:7" ht="15.75">
      <c r="B10" s="612"/>
      <c r="C10" s="612"/>
      <c r="D10" s="612"/>
      <c r="E10" s="612"/>
      <c r="F10" s="1945"/>
      <c r="G10" s="1945"/>
    </row>
    <row r="11" spans="2:7">
      <c r="B11" s="613"/>
      <c r="C11" s="613"/>
      <c r="D11" s="613"/>
      <c r="E11" s="613"/>
      <c r="F11" s="1945"/>
      <c r="G11" s="1945"/>
    </row>
    <row r="12" spans="2:7" ht="18.75">
      <c r="B12" s="614" t="s">
        <v>2192</v>
      </c>
      <c r="C12" s="613"/>
      <c r="D12" s="613"/>
      <c r="E12" s="613"/>
      <c r="F12" s="1945"/>
      <c r="G12" s="1945"/>
    </row>
    <row r="13" spans="2:7" ht="18.75">
      <c r="B13" s="615"/>
      <c r="C13" s="616"/>
      <c r="D13" s="616"/>
      <c r="E13" s="616"/>
      <c r="F13" s="1945"/>
      <c r="G13" s="1945"/>
    </row>
    <row r="14" spans="2:7" ht="18.75" customHeight="1">
      <c r="B14" s="3747" t="s">
        <v>2398</v>
      </c>
      <c r="C14" s="3747"/>
      <c r="D14" s="3747"/>
      <c r="E14" s="3747"/>
      <c r="F14" s="3747"/>
      <c r="G14" s="3747"/>
    </row>
    <row r="15" spans="2:7" ht="18.75" customHeight="1">
      <c r="B15" s="3747"/>
      <c r="C15" s="3747"/>
      <c r="D15" s="3747"/>
      <c r="E15" s="3747"/>
      <c r="F15" s="3747"/>
      <c r="G15" s="3747"/>
    </row>
    <row r="16" spans="2:7" ht="18.75">
      <c r="B16" s="615"/>
      <c r="C16" s="617"/>
      <c r="D16" s="617"/>
      <c r="E16" s="617"/>
      <c r="F16" s="1945"/>
      <c r="G16" s="1945"/>
    </row>
    <row r="17" spans="2:7" ht="18.75">
      <c r="B17" s="615"/>
      <c r="C17" s="617"/>
      <c r="D17" s="617"/>
      <c r="E17" s="617"/>
      <c r="F17" s="1945"/>
      <c r="G17" s="1945"/>
    </row>
    <row r="18" spans="2:7" ht="15" customHeight="1">
      <c r="B18" s="3747" t="s">
        <v>2399</v>
      </c>
      <c r="C18" s="3747"/>
      <c r="D18" s="3747"/>
      <c r="E18" s="3747"/>
      <c r="F18" s="3747"/>
      <c r="G18" s="3747"/>
    </row>
    <row r="19" spans="2:7" ht="15" customHeight="1">
      <c r="B19" s="3747"/>
      <c r="C19" s="3747"/>
      <c r="D19" s="3747"/>
      <c r="E19" s="3747"/>
      <c r="F19" s="3747"/>
      <c r="G19" s="3747"/>
    </row>
    <row r="20" spans="2:7" ht="18.75" customHeight="1">
      <c r="B20" s="3747"/>
      <c r="C20" s="3747"/>
      <c r="D20" s="3747"/>
      <c r="E20" s="3747"/>
      <c r="F20" s="3747"/>
      <c r="G20" s="3747"/>
    </row>
    <row r="21" spans="2:7" ht="18.75">
      <c r="B21" s="615"/>
      <c r="C21" s="617"/>
      <c r="D21" s="617"/>
      <c r="E21" s="617"/>
      <c r="F21" s="1945"/>
      <c r="G21" s="1945"/>
    </row>
    <row r="22" spans="2:7">
      <c r="B22" s="3747" t="s">
        <v>2400</v>
      </c>
      <c r="C22" s="3747"/>
      <c r="D22" s="3747"/>
      <c r="E22" s="3747"/>
      <c r="F22" s="3747"/>
      <c r="G22" s="3747"/>
    </row>
    <row r="23" spans="2:7">
      <c r="B23" s="3747"/>
      <c r="C23" s="3747"/>
      <c r="D23" s="3747"/>
      <c r="E23" s="3747"/>
      <c r="F23" s="3747"/>
      <c r="G23" s="3747"/>
    </row>
    <row r="24" spans="2:7" ht="18.75">
      <c r="B24" s="615"/>
      <c r="C24" s="617"/>
      <c r="D24" s="617"/>
      <c r="E24" s="617"/>
      <c r="F24" s="1945"/>
      <c r="G24" s="1945"/>
    </row>
    <row r="25" spans="2:7">
      <c r="B25" s="3747" t="s">
        <v>2401</v>
      </c>
      <c r="C25" s="3747"/>
      <c r="D25" s="3747"/>
      <c r="E25" s="3747"/>
      <c r="F25" s="3747"/>
      <c r="G25" s="3747"/>
    </row>
    <row r="26" spans="2:7">
      <c r="B26" s="3747"/>
      <c r="C26" s="3747"/>
      <c r="D26" s="3747"/>
      <c r="E26" s="3747"/>
      <c r="F26" s="3747"/>
      <c r="G26" s="3747"/>
    </row>
    <row r="27" spans="2:7">
      <c r="B27" s="3747"/>
      <c r="C27" s="3747"/>
      <c r="D27" s="3747"/>
      <c r="E27" s="3747"/>
      <c r="F27" s="3747"/>
      <c r="G27" s="3747"/>
    </row>
    <row r="28" spans="2:7" ht="18.75">
      <c r="B28" s="615" t="s">
        <v>2402</v>
      </c>
      <c r="C28" s="617"/>
      <c r="D28" s="617"/>
      <c r="E28" s="617"/>
      <c r="F28" s="1945"/>
      <c r="G28" s="1945"/>
    </row>
    <row r="29" spans="2:7" ht="18.75">
      <c r="B29" s="615"/>
      <c r="C29" s="617"/>
      <c r="D29" s="617"/>
      <c r="E29" s="617"/>
      <c r="F29" s="1945"/>
      <c r="G29" s="1945"/>
    </row>
    <row r="30" spans="2:7" ht="18.75">
      <c r="B30" s="615"/>
      <c r="C30" s="617"/>
      <c r="D30" s="617"/>
      <c r="E30" s="617"/>
      <c r="F30" s="1945"/>
      <c r="G30" s="1945"/>
    </row>
    <row r="31" spans="2:7">
      <c r="B31" s="3747" t="s">
        <v>2403</v>
      </c>
      <c r="C31" s="3747"/>
      <c r="D31" s="3747"/>
      <c r="E31" s="3747"/>
      <c r="F31" s="3747"/>
      <c r="G31" s="3747"/>
    </row>
    <row r="32" spans="2:7">
      <c r="B32" s="3747"/>
      <c r="C32" s="3747"/>
      <c r="D32" s="3747"/>
      <c r="E32" s="3747"/>
      <c r="F32" s="3747"/>
      <c r="G32" s="3747"/>
    </row>
    <row r="33" spans="2:7">
      <c r="B33" s="3747"/>
      <c r="C33" s="3747"/>
      <c r="D33" s="3747"/>
      <c r="E33" s="3747"/>
      <c r="F33" s="3747"/>
      <c r="G33" s="3747"/>
    </row>
    <row r="34" spans="2:7" ht="18.75">
      <c r="B34" s="615"/>
      <c r="C34" s="617"/>
      <c r="D34" s="617"/>
      <c r="E34" s="617"/>
      <c r="F34" s="1945"/>
      <c r="G34" s="1945"/>
    </row>
    <row r="35" spans="2:7" ht="18.75">
      <c r="B35" s="615" t="s">
        <v>2404</v>
      </c>
      <c r="C35" s="617"/>
      <c r="D35" s="617"/>
      <c r="E35" s="617"/>
      <c r="F35" s="1945"/>
      <c r="G35" s="1945"/>
    </row>
    <row r="36" spans="2:7" ht="18.75">
      <c r="B36" s="615"/>
      <c r="C36" s="617"/>
      <c r="D36" s="617"/>
      <c r="E36" s="617"/>
      <c r="F36" s="1945"/>
      <c r="G36" s="1945"/>
    </row>
    <row r="37" spans="2:7" ht="18.75">
      <c r="B37" s="615"/>
      <c r="C37" s="617"/>
      <c r="D37" s="617"/>
      <c r="E37" s="617"/>
      <c r="F37" s="1945"/>
      <c r="G37" s="1945"/>
    </row>
    <row r="38" spans="2:7">
      <c r="B38" s="3747" t="s">
        <v>2405</v>
      </c>
      <c r="C38" s="3747"/>
      <c r="D38" s="3747"/>
      <c r="E38" s="3747"/>
      <c r="F38" s="3747"/>
      <c r="G38" s="3747"/>
    </row>
    <row r="39" spans="2:7">
      <c r="B39" s="3747"/>
      <c r="C39" s="3747"/>
      <c r="D39" s="3747"/>
      <c r="E39" s="3747"/>
      <c r="F39" s="3747"/>
      <c r="G39" s="3747"/>
    </row>
    <row r="40" spans="2:7">
      <c r="B40" s="3747"/>
      <c r="C40" s="3747"/>
      <c r="D40" s="3747"/>
      <c r="E40" s="3747"/>
      <c r="F40" s="3747"/>
      <c r="G40" s="3747"/>
    </row>
    <row r="41" spans="2:7" ht="15.75">
      <c r="B41" s="616"/>
      <c r="C41" s="616"/>
      <c r="D41" s="616"/>
      <c r="E41" s="616"/>
      <c r="F41" s="1945"/>
      <c r="G41" s="1945"/>
    </row>
    <row r="42" spans="2:7" ht="15.75">
      <c r="B42" s="618" t="s">
        <v>2193</v>
      </c>
      <c r="C42" s="613"/>
      <c r="D42" s="613"/>
      <c r="E42" s="613"/>
      <c r="F42" s="1945"/>
      <c r="G42" s="1945"/>
    </row>
    <row r="43" spans="2:7">
      <c r="B43" s="617"/>
      <c r="C43" s="617"/>
      <c r="D43" s="617"/>
      <c r="E43" s="617"/>
      <c r="F43" s="1945"/>
      <c r="G43" s="1945"/>
    </row>
    <row r="44" spans="2:7">
      <c r="B44" s="617"/>
      <c r="C44" s="617"/>
      <c r="D44" s="617"/>
      <c r="E44" s="617"/>
      <c r="F44" s="1945"/>
      <c r="G44" s="1945"/>
    </row>
    <row r="45" spans="2:7">
      <c r="B45" s="617"/>
      <c r="C45" s="617"/>
      <c r="D45" s="617"/>
      <c r="E45" s="617"/>
      <c r="F45" s="1945"/>
      <c r="G45" s="1945"/>
    </row>
    <row r="46" spans="2:7" ht="15.75">
      <c r="B46" s="616"/>
      <c r="C46" s="616"/>
      <c r="D46" s="616"/>
      <c r="E46" s="616"/>
      <c r="F46" s="1945"/>
      <c r="G46" s="1945"/>
    </row>
    <row r="47" spans="2:7">
      <c r="B47" s="1945"/>
      <c r="C47" s="1945"/>
      <c r="D47" s="1945"/>
      <c r="E47" s="1945"/>
      <c r="F47" s="1945"/>
      <c r="G47" s="1945"/>
    </row>
    <row r="48" spans="2:7" ht="15.75">
      <c r="B48" s="616"/>
      <c r="C48" s="616"/>
      <c r="D48" s="616"/>
      <c r="E48" s="616"/>
      <c r="F48" s="1945"/>
      <c r="G48" s="1945"/>
    </row>
    <row r="49" spans="2:7" ht="15.75">
      <c r="B49" s="616"/>
      <c r="C49" s="616"/>
      <c r="D49" s="616"/>
      <c r="E49" s="616"/>
      <c r="F49" s="1945"/>
      <c r="G49" s="1945"/>
    </row>
    <row r="50" spans="2:7" ht="15.75">
      <c r="B50" s="616"/>
      <c r="C50" s="616"/>
      <c r="D50" s="616"/>
      <c r="E50" s="616"/>
      <c r="F50" s="1945"/>
      <c r="G50" s="1945"/>
    </row>
    <row r="51" spans="2:7" ht="15.75">
      <c r="B51" s="616"/>
      <c r="C51" s="616"/>
      <c r="D51" s="616"/>
      <c r="E51" s="616"/>
      <c r="F51" s="1945"/>
      <c r="G51" s="1945"/>
    </row>
    <row r="52" spans="2:7" ht="15.75">
      <c r="B52" s="616"/>
      <c r="C52" s="616"/>
      <c r="D52" s="616"/>
      <c r="E52" s="616"/>
      <c r="F52" s="1945"/>
      <c r="G52" s="1945"/>
    </row>
    <row r="53" spans="2:7" ht="15.75">
      <c r="B53" s="616"/>
      <c r="C53" s="616"/>
      <c r="D53" s="616"/>
      <c r="E53" s="616"/>
      <c r="F53" s="1945"/>
      <c r="G53" s="1945"/>
    </row>
    <row r="54" spans="2:7" ht="16.5" thickBot="1">
      <c r="B54" s="616"/>
      <c r="C54" s="1949"/>
      <c r="D54" s="1949"/>
      <c r="E54" s="1949"/>
      <c r="F54" s="1945"/>
      <c r="G54" s="1945"/>
    </row>
    <row r="55" spans="2:7" ht="15.75">
      <c r="B55" s="3764" t="s">
        <v>2194</v>
      </c>
      <c r="C55" s="3765"/>
      <c r="D55" s="3765"/>
      <c r="E55" s="3765"/>
      <c r="F55" s="3765"/>
      <c r="G55" s="3766"/>
    </row>
    <row r="56" spans="2:7">
      <c r="B56" s="604" t="s">
        <v>2195</v>
      </c>
      <c r="C56" s="605" t="s">
        <v>2196</v>
      </c>
      <c r="D56" s="605" t="s">
        <v>2197</v>
      </c>
      <c r="E56" s="3772" t="s">
        <v>2198</v>
      </c>
      <c r="F56" s="3758"/>
      <c r="G56" s="3759"/>
    </row>
    <row r="57" spans="2:7">
      <c r="B57" s="1950" t="s">
        <v>2199</v>
      </c>
      <c r="C57" s="600" t="s">
        <v>2204</v>
      </c>
      <c r="D57" s="600" t="s">
        <v>2210</v>
      </c>
      <c r="E57" s="3752" t="s">
        <v>2362</v>
      </c>
      <c r="F57" s="3752"/>
      <c r="G57" s="3753"/>
    </row>
    <row r="58" spans="2:7">
      <c r="B58" s="1951" t="s">
        <v>1053</v>
      </c>
      <c r="C58" s="600" t="s">
        <v>2205</v>
      </c>
      <c r="D58" s="600" t="s">
        <v>166</v>
      </c>
      <c r="E58" s="3752"/>
      <c r="F58" s="3752"/>
      <c r="G58" s="3753"/>
    </row>
    <row r="59" spans="2:7">
      <c r="B59" s="1950" t="s">
        <v>2200</v>
      </c>
      <c r="C59" s="600" t="s">
        <v>2206</v>
      </c>
      <c r="D59" s="600" t="s">
        <v>218</v>
      </c>
      <c r="E59" s="3752" t="s">
        <v>2363</v>
      </c>
      <c r="F59" s="3752"/>
      <c r="G59" s="3753"/>
    </row>
    <row r="60" spans="2:7">
      <c r="B60" s="1951" t="s">
        <v>2201</v>
      </c>
      <c r="C60" s="600" t="s">
        <v>2207</v>
      </c>
      <c r="D60" s="600" t="s">
        <v>166</v>
      </c>
      <c r="E60" s="3752"/>
      <c r="F60" s="3752"/>
      <c r="G60" s="3753"/>
    </row>
    <row r="61" spans="2:7">
      <c r="B61" s="1950" t="s">
        <v>2202</v>
      </c>
      <c r="C61" s="600" t="s">
        <v>2208</v>
      </c>
      <c r="D61" s="600" t="s">
        <v>122</v>
      </c>
      <c r="E61" s="3752" t="s">
        <v>2364</v>
      </c>
      <c r="F61" s="3752"/>
      <c r="G61" s="3753"/>
    </row>
    <row r="62" spans="2:7">
      <c r="B62" s="1951" t="s">
        <v>2203</v>
      </c>
      <c r="C62" s="600" t="s">
        <v>2209</v>
      </c>
      <c r="D62" s="600" t="s">
        <v>166</v>
      </c>
      <c r="E62" s="3752"/>
      <c r="F62" s="3752"/>
      <c r="G62" s="3753"/>
    </row>
    <row r="63" spans="2:7">
      <c r="B63" s="1950"/>
      <c r="C63" s="601"/>
      <c r="D63" s="600"/>
      <c r="E63" s="3752" t="s">
        <v>2365</v>
      </c>
      <c r="F63" s="3752"/>
      <c r="G63" s="3753"/>
    </row>
    <row r="64" spans="2:7" ht="15.75" thickBot="1">
      <c r="B64" s="1952"/>
      <c r="C64" s="602"/>
      <c r="D64" s="602"/>
      <c r="E64" s="3762"/>
      <c r="F64" s="3762"/>
      <c r="G64" s="3763"/>
    </row>
    <row r="65" spans="2:7" ht="16.5" thickBot="1">
      <c r="B65" s="361"/>
      <c r="C65" s="1953"/>
      <c r="D65" s="1953"/>
      <c r="E65" s="1953"/>
    </row>
    <row r="66" spans="2:7" ht="15.75">
      <c r="B66" s="3764" t="s">
        <v>2211</v>
      </c>
      <c r="C66" s="3765"/>
      <c r="D66" s="3765"/>
      <c r="E66" s="3765"/>
      <c r="F66" s="3765"/>
      <c r="G66" s="3766"/>
    </row>
    <row r="67" spans="2:7">
      <c r="B67" s="604" t="s">
        <v>2195</v>
      </c>
      <c r="C67" s="605" t="s">
        <v>2196</v>
      </c>
      <c r="D67" s="605" t="s">
        <v>2197</v>
      </c>
      <c r="E67" s="3772" t="s">
        <v>2198</v>
      </c>
      <c r="F67" s="3758"/>
      <c r="G67" s="3759"/>
    </row>
    <row r="68" spans="2:7">
      <c r="B68" s="1950" t="s">
        <v>2212</v>
      </c>
      <c r="C68" s="600">
        <v>4</v>
      </c>
      <c r="D68" s="600" t="s">
        <v>2152</v>
      </c>
      <c r="E68" s="3752" t="s">
        <v>2366</v>
      </c>
      <c r="F68" s="3752"/>
      <c r="G68" s="3753"/>
    </row>
    <row r="69" spans="2:7">
      <c r="B69" s="1951" t="s">
        <v>2213</v>
      </c>
      <c r="C69" s="600">
        <v>5</v>
      </c>
      <c r="D69" s="600" t="s">
        <v>2214</v>
      </c>
      <c r="E69" s="3752"/>
      <c r="F69" s="3752"/>
      <c r="G69" s="3753"/>
    </row>
    <row r="70" spans="2:7">
      <c r="B70" s="1950"/>
      <c r="C70" s="600"/>
      <c r="D70" s="600"/>
      <c r="E70" s="3752" t="s">
        <v>2367</v>
      </c>
      <c r="F70" s="3752"/>
      <c r="G70" s="3753"/>
    </row>
    <row r="71" spans="2:7">
      <c r="B71" s="1951"/>
      <c r="C71" s="600"/>
      <c r="D71" s="600"/>
      <c r="E71" s="3752"/>
      <c r="F71" s="3752"/>
      <c r="G71" s="3753"/>
    </row>
    <row r="72" spans="2:7">
      <c r="B72" s="1950"/>
      <c r="C72" s="600"/>
      <c r="D72" s="600"/>
      <c r="E72" s="3752" t="s">
        <v>2368</v>
      </c>
      <c r="F72" s="3752"/>
      <c r="G72" s="3753"/>
    </row>
    <row r="73" spans="2:7" ht="15.75" thickBot="1">
      <c r="B73" s="1952"/>
      <c r="C73" s="603"/>
      <c r="D73" s="603"/>
      <c r="E73" s="3762"/>
      <c r="F73" s="3762"/>
      <c r="G73" s="3763"/>
    </row>
    <row r="74" spans="2:7" ht="15.75" thickBot="1"/>
    <row r="75" spans="2:7" ht="15.75">
      <c r="B75" s="3764" t="s">
        <v>2215</v>
      </c>
      <c r="C75" s="3765"/>
      <c r="D75" s="3765"/>
      <c r="E75" s="3765"/>
      <c r="F75" s="3765"/>
      <c r="G75" s="3766"/>
    </row>
    <row r="76" spans="2:7">
      <c r="B76" s="604" t="s">
        <v>2195</v>
      </c>
      <c r="C76" s="1066" t="s">
        <v>2196</v>
      </c>
      <c r="D76" s="609" t="s">
        <v>2197</v>
      </c>
      <c r="E76" s="3758" t="s">
        <v>2198</v>
      </c>
      <c r="F76" s="3758"/>
      <c r="G76" s="3759"/>
    </row>
    <row r="77" spans="2:7" ht="15" customHeight="1">
      <c r="B77" s="1950" t="s">
        <v>2369</v>
      </c>
      <c r="C77" s="606" t="s">
        <v>2230</v>
      </c>
      <c r="D77" s="610" t="s">
        <v>122</v>
      </c>
      <c r="E77" s="3760" t="s">
        <v>2370</v>
      </c>
      <c r="F77" s="3760"/>
      <c r="G77" s="3761"/>
    </row>
    <row r="78" spans="2:7" ht="15" customHeight="1">
      <c r="B78" s="1951" t="s">
        <v>2216</v>
      </c>
      <c r="C78" s="606">
        <v>1</v>
      </c>
      <c r="D78" s="610" t="s">
        <v>2236</v>
      </c>
      <c r="E78" s="3752"/>
      <c r="F78" s="3752"/>
      <c r="G78" s="3753"/>
    </row>
    <row r="79" spans="2:7" ht="15" customHeight="1">
      <c r="B79" s="1950" t="s">
        <v>2217</v>
      </c>
      <c r="C79" s="606">
        <v>1</v>
      </c>
      <c r="D79" s="610" t="s">
        <v>2236</v>
      </c>
      <c r="E79" s="3752"/>
      <c r="F79" s="3752"/>
      <c r="G79" s="3753"/>
    </row>
    <row r="80" spans="2:7" ht="15" customHeight="1">
      <c r="B80" s="1951" t="s">
        <v>2199</v>
      </c>
      <c r="C80" s="606" t="s">
        <v>2231</v>
      </c>
      <c r="D80" s="610" t="s">
        <v>218</v>
      </c>
      <c r="E80" s="3752" t="s">
        <v>2371</v>
      </c>
      <c r="F80" s="3752"/>
      <c r="G80" s="3753"/>
    </row>
    <row r="81" spans="2:7" ht="15" customHeight="1">
      <c r="B81" s="1950" t="s">
        <v>2218</v>
      </c>
      <c r="C81" s="606" t="s">
        <v>2232</v>
      </c>
      <c r="D81" s="610" t="s">
        <v>166</v>
      </c>
      <c r="E81" s="3752"/>
      <c r="F81" s="3752"/>
      <c r="G81" s="3753"/>
    </row>
    <row r="82" spans="2:7" ht="15.75" customHeight="1">
      <c r="B82" s="1951" t="s">
        <v>2219</v>
      </c>
      <c r="C82" s="606" t="s">
        <v>2359</v>
      </c>
      <c r="D82" s="610" t="s">
        <v>224</v>
      </c>
      <c r="E82" s="3752" t="s">
        <v>2372</v>
      </c>
      <c r="F82" s="3752"/>
      <c r="G82" s="3753"/>
    </row>
    <row r="83" spans="2:7">
      <c r="B83" s="1950" t="s">
        <v>2220</v>
      </c>
      <c r="C83" s="606" t="s">
        <v>1472</v>
      </c>
      <c r="D83" s="610" t="s">
        <v>1472</v>
      </c>
      <c r="E83" s="3752"/>
      <c r="F83" s="3752"/>
      <c r="G83" s="3753"/>
    </row>
    <row r="84" spans="2:7">
      <c r="B84" s="1951" t="s">
        <v>2213</v>
      </c>
      <c r="C84" s="606" t="s">
        <v>2233</v>
      </c>
      <c r="D84" s="610" t="s">
        <v>224</v>
      </c>
      <c r="E84" s="3752"/>
      <c r="F84" s="3752"/>
      <c r="G84" s="3753"/>
    </row>
    <row r="85" spans="2:7">
      <c r="B85" s="1950" t="s">
        <v>2221</v>
      </c>
      <c r="C85" s="606">
        <v>1</v>
      </c>
      <c r="D85" s="610" t="s">
        <v>2236</v>
      </c>
      <c r="E85" s="3793" t="s">
        <v>2373</v>
      </c>
      <c r="F85" s="3793"/>
      <c r="G85" s="3794"/>
    </row>
    <row r="86" spans="2:7">
      <c r="B86" s="1951" t="s">
        <v>2222</v>
      </c>
      <c r="C86" s="606">
        <v>1</v>
      </c>
      <c r="D86" s="610" t="s">
        <v>2236</v>
      </c>
      <c r="E86" s="3793"/>
      <c r="F86" s="3793"/>
      <c r="G86" s="3794"/>
    </row>
    <row r="87" spans="2:7">
      <c r="B87" s="1950" t="s">
        <v>2223</v>
      </c>
      <c r="C87" s="606" t="s">
        <v>2234</v>
      </c>
      <c r="D87" s="610" t="s">
        <v>166</v>
      </c>
      <c r="E87" s="3752" t="s">
        <v>2374</v>
      </c>
      <c r="F87" s="3752"/>
      <c r="G87" s="3753"/>
    </row>
    <row r="88" spans="2:7">
      <c r="B88" s="1951" t="s">
        <v>2224</v>
      </c>
      <c r="C88" s="606" t="s">
        <v>214</v>
      </c>
      <c r="D88" s="610" t="s">
        <v>214</v>
      </c>
      <c r="E88" s="3752"/>
      <c r="F88" s="3752"/>
      <c r="G88" s="3753"/>
    </row>
    <row r="89" spans="2:7">
      <c r="B89" s="1950" t="s">
        <v>2225</v>
      </c>
      <c r="C89" s="606">
        <v>1</v>
      </c>
      <c r="D89" s="610" t="s">
        <v>166</v>
      </c>
      <c r="E89" s="3752"/>
      <c r="F89" s="3752"/>
      <c r="G89" s="3753"/>
    </row>
    <row r="90" spans="2:7">
      <c r="B90" s="1951" t="s">
        <v>2226</v>
      </c>
      <c r="C90" s="606">
        <v>43132</v>
      </c>
      <c r="D90" s="610" t="s">
        <v>2236</v>
      </c>
      <c r="E90" s="3752" t="s">
        <v>2375</v>
      </c>
      <c r="F90" s="3752"/>
      <c r="G90" s="3753"/>
    </row>
    <row r="91" spans="2:7">
      <c r="B91" s="1950" t="s">
        <v>2227</v>
      </c>
      <c r="C91" s="606" t="s">
        <v>2233</v>
      </c>
      <c r="D91" s="610" t="s">
        <v>166</v>
      </c>
      <c r="E91" s="3752"/>
      <c r="F91" s="3752"/>
      <c r="G91" s="3753"/>
    </row>
    <row r="92" spans="2:7">
      <c r="B92" s="1951" t="s">
        <v>2228</v>
      </c>
      <c r="C92" s="606" t="s">
        <v>2232</v>
      </c>
      <c r="D92" s="610" t="s">
        <v>166</v>
      </c>
      <c r="E92" s="3754" t="s">
        <v>2406</v>
      </c>
      <c r="F92" s="3754"/>
      <c r="G92" s="3755"/>
    </row>
    <row r="93" spans="2:7">
      <c r="B93" s="1950" t="s">
        <v>2229</v>
      </c>
      <c r="C93" s="606" t="s">
        <v>2235</v>
      </c>
      <c r="D93" s="610" t="s">
        <v>224</v>
      </c>
      <c r="E93" s="3754"/>
      <c r="F93" s="3754"/>
      <c r="G93" s="3755"/>
    </row>
    <row r="94" spans="2:7">
      <c r="B94" s="1951"/>
      <c r="C94" s="606"/>
      <c r="D94" s="610"/>
      <c r="E94" s="3754"/>
      <c r="F94" s="3754"/>
      <c r="G94" s="3755"/>
    </row>
    <row r="95" spans="2:7">
      <c r="B95" s="1950"/>
      <c r="C95" s="606"/>
      <c r="D95" s="610"/>
      <c r="E95" s="3754"/>
      <c r="F95" s="3754"/>
      <c r="G95" s="3755"/>
    </row>
    <row r="96" spans="2:7">
      <c r="B96" s="1951"/>
      <c r="C96" s="606"/>
      <c r="D96" s="610"/>
      <c r="E96" s="3754" t="s">
        <v>2407</v>
      </c>
      <c r="F96" s="3754"/>
      <c r="G96" s="3755"/>
    </row>
    <row r="97" spans="2:7" ht="15.75" thickBot="1">
      <c r="B97" s="1954"/>
      <c r="C97" s="608"/>
      <c r="D97" s="611"/>
      <c r="E97" s="3756"/>
      <c r="F97" s="3756"/>
      <c r="G97" s="3757"/>
    </row>
    <row r="98" spans="2:7" ht="16.5" thickBot="1">
      <c r="B98" s="361"/>
      <c r="C98" s="1953"/>
      <c r="D98" s="1953"/>
      <c r="E98" s="1953"/>
    </row>
    <row r="99" spans="2:7" ht="15.75">
      <c r="B99" s="3764" t="s">
        <v>2237</v>
      </c>
      <c r="C99" s="3765"/>
      <c r="D99" s="3765"/>
      <c r="E99" s="3765"/>
      <c r="F99" s="3765"/>
      <c r="G99" s="3766"/>
    </row>
    <row r="100" spans="2:7">
      <c r="B100" s="604" t="s">
        <v>2195</v>
      </c>
      <c r="C100" s="1066" t="s">
        <v>2196</v>
      </c>
      <c r="D100" s="609" t="s">
        <v>2197</v>
      </c>
      <c r="E100" s="3758" t="s">
        <v>2198</v>
      </c>
      <c r="F100" s="3758"/>
      <c r="G100" s="3759"/>
    </row>
    <row r="101" spans="2:7" ht="15" customHeight="1">
      <c r="B101" s="1950" t="s">
        <v>2227</v>
      </c>
      <c r="C101" s="606" t="s">
        <v>2239</v>
      </c>
      <c r="D101" s="610" t="s">
        <v>122</v>
      </c>
      <c r="E101" s="3789" t="s">
        <v>2377</v>
      </c>
      <c r="F101" s="3790"/>
      <c r="G101" s="3791"/>
    </row>
    <row r="102" spans="2:7">
      <c r="B102" s="1951" t="s">
        <v>2238</v>
      </c>
      <c r="C102" s="606" t="s">
        <v>2234</v>
      </c>
      <c r="D102" s="610" t="s">
        <v>224</v>
      </c>
      <c r="E102" s="3792"/>
      <c r="F102" s="3793"/>
      <c r="G102" s="3794"/>
    </row>
    <row r="103" spans="2:7">
      <c r="B103" s="1950"/>
      <c r="C103" s="606"/>
      <c r="D103" s="610"/>
      <c r="E103" s="3792"/>
      <c r="F103" s="3793"/>
      <c r="G103" s="3794"/>
    </row>
    <row r="104" spans="2:7" ht="15.75" thickBot="1">
      <c r="B104" s="1952"/>
      <c r="C104" s="608"/>
      <c r="D104" s="611"/>
      <c r="E104" s="3795"/>
      <c r="F104" s="3796"/>
      <c r="G104" s="3797"/>
    </row>
    <row r="105" spans="2:7" ht="15.75" thickBot="1">
      <c r="B105" s="1953"/>
      <c r="C105" s="1953"/>
      <c r="D105" s="1953"/>
      <c r="E105" s="1953"/>
    </row>
    <row r="106" spans="2:7" ht="15.75">
      <c r="B106" s="3764" t="s">
        <v>2240</v>
      </c>
      <c r="C106" s="3765"/>
      <c r="D106" s="3765"/>
      <c r="E106" s="3765"/>
      <c r="F106" s="3765"/>
      <c r="G106" s="3766"/>
    </row>
    <row r="107" spans="2:7">
      <c r="B107" s="604" t="s">
        <v>2195</v>
      </c>
      <c r="C107" s="1066" t="s">
        <v>2196</v>
      </c>
      <c r="D107" s="609" t="s">
        <v>2197</v>
      </c>
      <c r="E107" s="3758" t="s">
        <v>2198</v>
      </c>
      <c r="F107" s="3758"/>
      <c r="G107" s="3759"/>
    </row>
    <row r="108" spans="2:7" ht="27" customHeight="1">
      <c r="B108" s="1950" t="s">
        <v>2241</v>
      </c>
      <c r="C108" s="606">
        <v>8</v>
      </c>
      <c r="D108" s="610" t="s">
        <v>2244</v>
      </c>
      <c r="E108" s="3777" t="s">
        <v>2378</v>
      </c>
      <c r="F108" s="3760"/>
      <c r="G108" s="3761"/>
    </row>
    <row r="109" spans="2:7">
      <c r="B109" s="1951" t="s">
        <v>2242</v>
      </c>
      <c r="C109" s="606">
        <v>12</v>
      </c>
      <c r="D109" s="610" t="s">
        <v>2244</v>
      </c>
      <c r="E109" s="3778"/>
      <c r="F109" s="3752"/>
      <c r="G109" s="3753"/>
    </row>
    <row r="110" spans="2:7" ht="24" customHeight="1">
      <c r="B110" s="1950" t="s">
        <v>2243</v>
      </c>
      <c r="C110" s="606">
        <v>16</v>
      </c>
      <c r="D110" s="610" t="s">
        <v>2245</v>
      </c>
      <c r="E110" s="3752" t="s">
        <v>2408</v>
      </c>
      <c r="F110" s="3752"/>
      <c r="G110" s="3753"/>
    </row>
    <row r="111" spans="2:7">
      <c r="B111" s="1951"/>
      <c r="C111" s="606"/>
      <c r="D111" s="610"/>
      <c r="E111" s="3752"/>
      <c r="F111" s="3752"/>
      <c r="G111" s="3753"/>
    </row>
    <row r="112" spans="2:7" ht="15" customHeight="1">
      <c r="B112" s="1950"/>
      <c r="C112" s="606"/>
      <c r="D112" s="610"/>
      <c r="E112" s="3750" t="s">
        <v>2410</v>
      </c>
      <c r="F112" s="3750"/>
      <c r="G112" s="3751"/>
    </row>
    <row r="113" spans="2:8">
      <c r="B113" s="1951"/>
      <c r="C113" s="606"/>
      <c r="D113" s="610"/>
      <c r="E113" s="3750"/>
      <c r="F113" s="3750"/>
      <c r="G113" s="3751"/>
    </row>
    <row r="114" spans="2:8">
      <c r="B114" s="1950"/>
      <c r="C114" s="606"/>
      <c r="D114" s="610"/>
      <c r="E114" s="3750"/>
      <c r="F114" s="3750"/>
      <c r="G114" s="3751"/>
    </row>
    <row r="115" spans="2:8">
      <c r="B115" s="1951"/>
      <c r="C115" s="606"/>
      <c r="D115" s="610"/>
      <c r="E115" s="3773" t="s">
        <v>2378</v>
      </c>
      <c r="F115" s="3773"/>
      <c r="G115" s="3774"/>
    </row>
    <row r="116" spans="2:8">
      <c r="B116" s="1950"/>
      <c r="C116" s="606"/>
      <c r="D116" s="610"/>
      <c r="E116" s="3773"/>
      <c r="F116" s="3773"/>
      <c r="G116" s="3774"/>
    </row>
    <row r="117" spans="2:8" ht="15.75" thickBot="1">
      <c r="B117" s="1952"/>
      <c r="C117" s="608"/>
      <c r="D117" s="611"/>
      <c r="E117" s="3775" t="s">
        <v>2409</v>
      </c>
      <c r="F117" s="3775"/>
      <c r="G117" s="3776"/>
    </row>
    <row r="118" spans="2:8" ht="15.75" thickBot="1">
      <c r="B118" s="607"/>
      <c r="C118" s="607"/>
      <c r="D118" s="607"/>
      <c r="E118" s="1955"/>
      <c r="F118" s="1955"/>
      <c r="G118" s="1955"/>
    </row>
    <row r="119" spans="2:8" ht="16.5" thickBot="1">
      <c r="B119" s="364" t="s">
        <v>2246</v>
      </c>
      <c r="C119" s="364"/>
      <c r="D119" s="364"/>
      <c r="E119" s="364"/>
      <c r="F119" s="364" t="s">
        <v>2247</v>
      </c>
      <c r="G119" s="365" t="s">
        <v>2248</v>
      </c>
      <c r="H119" s="1953"/>
    </row>
    <row r="120" spans="2:8" ht="16.5" thickBot="1">
      <c r="B120" s="1956" t="s">
        <v>2369</v>
      </c>
      <c r="C120" s="363"/>
      <c r="D120" s="363"/>
      <c r="E120" s="363"/>
      <c r="F120" s="363" t="s">
        <v>2249</v>
      </c>
      <c r="G120" s="366" t="s">
        <v>2250</v>
      </c>
      <c r="H120" s="1953"/>
    </row>
    <row r="121" spans="2:8" ht="16.5" thickBot="1">
      <c r="B121" s="1957" t="s">
        <v>2216</v>
      </c>
      <c r="C121" s="363"/>
      <c r="D121" s="363"/>
      <c r="E121" s="363"/>
      <c r="F121" s="363" t="s">
        <v>2251</v>
      </c>
      <c r="G121" s="366" t="s">
        <v>2252</v>
      </c>
      <c r="H121" s="1953"/>
    </row>
    <row r="122" spans="2:8" ht="16.5" thickBot="1">
      <c r="B122" s="1956" t="s">
        <v>2217</v>
      </c>
      <c r="C122" s="363"/>
      <c r="D122" s="363"/>
      <c r="E122" s="363"/>
      <c r="F122" s="363" t="s">
        <v>2251</v>
      </c>
      <c r="G122" s="366" t="s">
        <v>2253</v>
      </c>
      <c r="H122" s="1953"/>
    </row>
    <row r="123" spans="2:8" ht="16.5" thickBot="1">
      <c r="B123" s="1957" t="s">
        <v>2199</v>
      </c>
      <c r="C123" s="363"/>
      <c r="D123" s="363"/>
      <c r="E123" s="363"/>
      <c r="F123" s="363" t="s">
        <v>2254</v>
      </c>
      <c r="G123" s="366" t="s">
        <v>2255</v>
      </c>
      <c r="H123" s="1953"/>
    </row>
    <row r="124" spans="2:8" ht="16.5" thickBot="1">
      <c r="B124" s="1956" t="s">
        <v>2218</v>
      </c>
      <c r="C124" s="363"/>
      <c r="D124" s="363"/>
      <c r="E124" s="363"/>
      <c r="F124" s="363" t="s">
        <v>2256</v>
      </c>
      <c r="G124" s="367" t="s">
        <v>2257</v>
      </c>
      <c r="H124" s="1953"/>
    </row>
    <row r="125" spans="2:8" ht="16.5" thickBot="1">
      <c r="B125" s="1957" t="s">
        <v>2200</v>
      </c>
      <c r="C125" s="363"/>
      <c r="D125" s="363"/>
      <c r="E125" s="363"/>
      <c r="F125" s="363" t="s">
        <v>2258</v>
      </c>
      <c r="G125" s="367" t="s">
        <v>2259</v>
      </c>
      <c r="H125" s="1953"/>
    </row>
    <row r="126" spans="2:8" ht="16.5" thickBot="1">
      <c r="B126" s="1956" t="s">
        <v>2260</v>
      </c>
      <c r="C126" s="363"/>
      <c r="D126" s="363"/>
      <c r="E126" s="363"/>
      <c r="F126" s="363" t="s">
        <v>2261</v>
      </c>
      <c r="G126" s="367" t="s">
        <v>2262</v>
      </c>
      <c r="H126" s="1953"/>
    </row>
    <row r="127" spans="2:8" ht="16.5" thickBot="1">
      <c r="B127" s="1957" t="s">
        <v>2201</v>
      </c>
      <c r="C127" s="363"/>
      <c r="D127" s="363"/>
      <c r="E127" s="363"/>
      <c r="F127" s="363" t="s">
        <v>2263</v>
      </c>
      <c r="G127" s="367" t="s">
        <v>2264</v>
      </c>
      <c r="H127" s="1953"/>
    </row>
    <row r="128" spans="2:8" ht="16.5" thickBot="1">
      <c r="B128" s="1956" t="s">
        <v>2265</v>
      </c>
      <c r="C128" s="363"/>
      <c r="D128" s="363"/>
      <c r="E128" s="363"/>
      <c r="F128" s="363" t="s">
        <v>2266</v>
      </c>
      <c r="G128" s="367" t="s">
        <v>2267</v>
      </c>
      <c r="H128" s="1953"/>
    </row>
    <row r="129" spans="2:8" ht="16.5" thickBot="1">
      <c r="B129" s="1957" t="s">
        <v>2213</v>
      </c>
      <c r="C129" s="363"/>
      <c r="D129" s="363"/>
      <c r="E129" s="363"/>
      <c r="F129" s="363" t="s">
        <v>2268</v>
      </c>
      <c r="G129" s="367" t="s">
        <v>2253</v>
      </c>
      <c r="H129" s="1953"/>
    </row>
    <row r="130" spans="2:8" ht="16.5" thickBot="1">
      <c r="B130" s="1956" t="s">
        <v>2222</v>
      </c>
      <c r="C130" s="363"/>
      <c r="D130" s="363"/>
      <c r="E130" s="363"/>
      <c r="F130" s="363" t="s">
        <v>2251</v>
      </c>
      <c r="G130" s="367" t="s">
        <v>2269</v>
      </c>
      <c r="H130" s="1953"/>
    </row>
    <row r="131" spans="2:8" ht="16.5" thickBot="1">
      <c r="B131" s="1957" t="s">
        <v>2223</v>
      </c>
      <c r="C131" s="363"/>
      <c r="D131" s="363"/>
      <c r="E131" s="363"/>
      <c r="F131" s="363" t="s">
        <v>2270</v>
      </c>
      <c r="G131" s="367" t="s">
        <v>2271</v>
      </c>
      <c r="H131" s="1953"/>
    </row>
    <row r="132" spans="2:8" ht="16.5" thickBot="1">
      <c r="B132" s="1956" t="s">
        <v>2272</v>
      </c>
      <c r="C132" s="363"/>
      <c r="D132" s="363"/>
      <c r="E132" s="363"/>
      <c r="F132" s="363" t="s">
        <v>2251</v>
      </c>
      <c r="G132" s="367" t="s">
        <v>2271</v>
      </c>
      <c r="H132" s="1953"/>
    </row>
    <row r="133" spans="2:8" ht="16.5" thickBot="1">
      <c r="B133" s="1957" t="s">
        <v>2273</v>
      </c>
      <c r="C133" s="363"/>
      <c r="D133" s="363"/>
      <c r="E133" s="363"/>
      <c r="F133" s="363" t="s">
        <v>214</v>
      </c>
      <c r="G133" s="367" t="s">
        <v>214</v>
      </c>
      <c r="H133" s="1953"/>
    </row>
    <row r="134" spans="2:8" ht="16.5" thickBot="1">
      <c r="B134" s="1956" t="s">
        <v>2274</v>
      </c>
      <c r="C134" s="363"/>
      <c r="D134" s="363"/>
      <c r="E134" s="363"/>
      <c r="F134" s="363" t="s">
        <v>1075</v>
      </c>
      <c r="G134" s="367" t="s">
        <v>2275</v>
      </c>
      <c r="H134" s="1953"/>
    </row>
    <row r="135" spans="2:8" ht="16.5" thickBot="1">
      <c r="B135" s="1957" t="s">
        <v>2226</v>
      </c>
      <c r="C135" s="363"/>
      <c r="D135" s="363"/>
      <c r="E135" s="363"/>
      <c r="F135" s="363" t="s">
        <v>2276</v>
      </c>
      <c r="G135" s="367" t="s">
        <v>2277</v>
      </c>
      <c r="H135" s="1953"/>
    </row>
    <row r="136" spans="2:8" ht="16.5" thickBot="1">
      <c r="B136" s="1956" t="s">
        <v>2202</v>
      </c>
      <c r="C136" s="363"/>
      <c r="D136" s="363"/>
      <c r="E136" s="363"/>
      <c r="F136" s="363" t="s">
        <v>1083</v>
      </c>
      <c r="G136" s="368" t="s">
        <v>2278</v>
      </c>
      <c r="H136" s="1953"/>
    </row>
    <row r="137" spans="2:8" ht="16.5" thickBot="1">
      <c r="B137" s="1957" t="s">
        <v>2227</v>
      </c>
      <c r="C137" s="363"/>
      <c r="D137" s="363"/>
      <c r="E137" s="363"/>
      <c r="F137" s="363" t="s">
        <v>2279</v>
      </c>
      <c r="G137" s="368" t="s">
        <v>2280</v>
      </c>
      <c r="H137" s="1953"/>
    </row>
    <row r="138" spans="2:8" ht="16.5" thickBot="1">
      <c r="B138" s="1956" t="s">
        <v>2228</v>
      </c>
      <c r="C138" s="363"/>
      <c r="D138" s="363"/>
      <c r="E138" s="363"/>
      <c r="F138" s="363" t="s">
        <v>2256</v>
      </c>
      <c r="G138" s="368" t="s">
        <v>2281</v>
      </c>
      <c r="H138" s="1953"/>
    </row>
    <row r="139" spans="2:8" ht="16.5" thickBot="1">
      <c r="B139" s="1957" t="s">
        <v>2203</v>
      </c>
      <c r="C139" s="363"/>
      <c r="D139" s="363"/>
      <c r="E139" s="363"/>
      <c r="F139" s="363" t="s">
        <v>2256</v>
      </c>
      <c r="G139" s="367" t="s">
        <v>2282</v>
      </c>
      <c r="H139" s="1953"/>
    </row>
    <row r="140" spans="2:8" ht="16.5" thickBot="1">
      <c r="B140" s="1956" t="s">
        <v>2238</v>
      </c>
      <c r="C140" s="363"/>
      <c r="D140" s="363"/>
      <c r="E140" s="363"/>
      <c r="F140" s="363" t="s">
        <v>2283</v>
      </c>
      <c r="G140" s="367" t="s">
        <v>2284</v>
      </c>
      <c r="H140" s="1953"/>
    </row>
    <row r="141" spans="2:8" ht="16.5" thickBot="1">
      <c r="B141" s="1957" t="s">
        <v>2229</v>
      </c>
      <c r="C141" s="363"/>
      <c r="D141" s="363"/>
      <c r="E141" s="363"/>
      <c r="F141" s="363" t="s">
        <v>2285</v>
      </c>
      <c r="G141" s="367" t="s">
        <v>2286</v>
      </c>
      <c r="H141" s="1953"/>
    </row>
    <row r="142" spans="2:8" ht="31.5" customHeight="1" thickBot="1">
      <c r="B142" s="3779" t="s">
        <v>2287</v>
      </c>
      <c r="C142" s="3780"/>
      <c r="D142" s="3780"/>
      <c r="E142" s="3780"/>
      <c r="F142" s="3781"/>
      <c r="G142" s="369">
        <v>37.979999999999997</v>
      </c>
      <c r="H142" s="1953"/>
    </row>
    <row r="143" spans="2:8" ht="15.75" thickBot="1"/>
    <row r="144" spans="2:8" ht="15.75">
      <c r="B144" s="596" t="s">
        <v>2246</v>
      </c>
      <c r="C144" s="597" t="s">
        <v>2330</v>
      </c>
      <c r="D144" s="598" t="s">
        <v>2331</v>
      </c>
      <c r="E144" s="1958" t="s">
        <v>2247</v>
      </c>
      <c r="F144" s="599" t="s">
        <v>2248</v>
      </c>
    </row>
    <row r="145" spans="2:6" ht="15.75">
      <c r="B145" s="1959" t="s">
        <v>2369</v>
      </c>
      <c r="C145" s="1960"/>
      <c r="D145" s="1960"/>
      <c r="E145" s="1961">
        <v>3.0000000000000001E-3</v>
      </c>
      <c r="F145" s="1962">
        <v>0.13</v>
      </c>
    </row>
    <row r="146" spans="2:6" ht="15.75">
      <c r="B146" s="1963" t="s">
        <v>2216</v>
      </c>
      <c r="C146" s="1964">
        <v>1</v>
      </c>
      <c r="D146" s="1964" t="s">
        <v>2393</v>
      </c>
      <c r="E146" s="1965"/>
      <c r="F146" s="1966">
        <v>3.3</v>
      </c>
    </row>
    <row r="147" spans="2:6" ht="15.75">
      <c r="B147" s="1959" t="s">
        <v>2217</v>
      </c>
      <c r="C147" s="1960">
        <v>1</v>
      </c>
      <c r="D147" s="1960" t="s">
        <v>2393</v>
      </c>
      <c r="E147" s="1961"/>
      <c r="F147" s="1967">
        <v>0.62</v>
      </c>
    </row>
    <row r="148" spans="2:6" ht="15.75">
      <c r="B148" s="1963" t="s">
        <v>2199</v>
      </c>
      <c r="C148" s="1964">
        <v>1</v>
      </c>
      <c r="D148" s="1964" t="s">
        <v>2394</v>
      </c>
      <c r="E148" s="1965"/>
      <c r="F148" s="1966">
        <v>0.57999999999999996</v>
      </c>
    </row>
    <row r="149" spans="2:6" ht="15.75">
      <c r="B149" s="1959" t="s">
        <v>2218</v>
      </c>
      <c r="C149" s="1960"/>
      <c r="D149" s="1960"/>
      <c r="E149" s="1961">
        <v>0.05</v>
      </c>
      <c r="F149" s="1967">
        <v>7.0000000000000007E-2</v>
      </c>
    </row>
    <row r="150" spans="2:6" ht="15.75">
      <c r="B150" s="1963" t="s">
        <v>2200</v>
      </c>
      <c r="C150" s="1964">
        <v>0.5</v>
      </c>
      <c r="D150" s="1964" t="s">
        <v>2394</v>
      </c>
      <c r="E150" s="1965"/>
      <c r="F150" s="1966">
        <v>0.28999999999999998</v>
      </c>
    </row>
    <row r="151" spans="2:6" ht="15.75">
      <c r="B151" s="1959" t="s">
        <v>2260</v>
      </c>
      <c r="C151" s="1960">
        <v>4</v>
      </c>
      <c r="D151" s="1960" t="s">
        <v>1168</v>
      </c>
      <c r="E151" s="1961"/>
      <c r="F151" s="1967">
        <v>0.35</v>
      </c>
    </row>
    <row r="152" spans="2:6" ht="15.75">
      <c r="B152" s="1963" t="s">
        <v>2201</v>
      </c>
      <c r="C152" s="1964"/>
      <c r="D152" s="1964"/>
      <c r="E152" s="1965">
        <v>7.4999999999999997E-2</v>
      </c>
      <c r="F152" s="1966">
        <v>0.4</v>
      </c>
    </row>
    <row r="153" spans="2:6" ht="15.75">
      <c r="B153" s="1959" t="s">
        <v>2265</v>
      </c>
      <c r="C153" s="1960"/>
      <c r="D153" s="1960"/>
      <c r="E153" s="1961">
        <v>0.12</v>
      </c>
      <c r="F153" s="1967">
        <v>1.1000000000000001</v>
      </c>
    </row>
    <row r="154" spans="2:6" ht="15.75">
      <c r="B154" s="1963" t="s">
        <v>2213</v>
      </c>
      <c r="C154" s="1964"/>
      <c r="D154" s="1964"/>
      <c r="E154" s="1965">
        <v>3.6999999999999998E-2</v>
      </c>
      <c r="F154" s="1966">
        <v>0.62</v>
      </c>
    </row>
    <row r="155" spans="2:6" ht="15.75">
      <c r="B155" s="1959" t="s">
        <v>2222</v>
      </c>
      <c r="C155" s="1960">
        <v>1</v>
      </c>
      <c r="D155" s="1960" t="s">
        <v>2393</v>
      </c>
      <c r="E155" s="1961"/>
      <c r="F155" s="1967">
        <v>3.5</v>
      </c>
    </row>
    <row r="156" spans="2:6" ht="15.75">
      <c r="B156" s="1963" t="s">
        <v>2223</v>
      </c>
      <c r="C156" s="1964"/>
      <c r="D156" s="1964"/>
      <c r="E156" s="1965">
        <v>0.03</v>
      </c>
      <c r="F156" s="1966">
        <v>0.06</v>
      </c>
    </row>
    <row r="157" spans="2:6" ht="15.75">
      <c r="B157" s="1959" t="s">
        <v>2272</v>
      </c>
      <c r="C157" s="1960">
        <v>1</v>
      </c>
      <c r="D157" s="1960" t="s">
        <v>1466</v>
      </c>
      <c r="E157" s="1961" t="s">
        <v>2251</v>
      </c>
      <c r="F157" s="1967">
        <v>0.06</v>
      </c>
    </row>
    <row r="158" spans="2:6" ht="15.75">
      <c r="B158" s="1963" t="s">
        <v>2273</v>
      </c>
      <c r="C158" s="1964"/>
      <c r="D158" s="1964" t="s">
        <v>214</v>
      </c>
      <c r="E158" s="1965"/>
      <c r="F158" s="1966"/>
    </row>
    <row r="159" spans="2:6" ht="15.75">
      <c r="B159" s="1959" t="s">
        <v>2274</v>
      </c>
      <c r="C159" s="1960"/>
      <c r="D159" s="1960"/>
      <c r="E159" s="1961">
        <v>1</v>
      </c>
      <c r="F159" s="1967">
        <v>19.3</v>
      </c>
    </row>
    <row r="160" spans="2:6" ht="15.75">
      <c r="B160" s="1963" t="s">
        <v>2226</v>
      </c>
      <c r="C160" s="1964">
        <v>0.5</v>
      </c>
      <c r="D160" s="1964" t="s">
        <v>1538</v>
      </c>
      <c r="E160" s="1965"/>
      <c r="F160" s="1966">
        <v>0.7</v>
      </c>
    </row>
    <row r="161" spans="2:7" ht="15.75">
      <c r="B161" s="1959" t="s">
        <v>2202</v>
      </c>
      <c r="C161" s="1960"/>
      <c r="D161" s="1960"/>
      <c r="E161" s="1961">
        <v>0.25</v>
      </c>
      <c r="F161" s="1967">
        <v>1.97</v>
      </c>
    </row>
    <row r="162" spans="2:7" ht="15.75">
      <c r="B162" s="1963" t="s">
        <v>2227</v>
      </c>
      <c r="C162" s="1964"/>
      <c r="D162" s="1964"/>
      <c r="E162" s="1965">
        <v>0.4</v>
      </c>
      <c r="F162" s="1966">
        <v>4.12</v>
      </c>
    </row>
    <row r="163" spans="2:7" ht="15.75">
      <c r="B163" s="1959" t="s">
        <v>2228</v>
      </c>
      <c r="C163" s="1960"/>
      <c r="D163" s="1960"/>
      <c r="E163" s="1961">
        <v>0.05</v>
      </c>
      <c r="F163" s="1967">
        <v>0.41</v>
      </c>
    </row>
    <row r="164" spans="2:7" ht="15.75">
      <c r="B164" s="1963" t="s">
        <v>2203</v>
      </c>
      <c r="C164" s="1964"/>
      <c r="D164" s="1964"/>
      <c r="E164" s="1965">
        <v>0.05</v>
      </c>
      <c r="F164" s="1966">
        <v>0.11</v>
      </c>
    </row>
    <row r="165" spans="2:7" ht="15.75">
      <c r="B165" s="1959" t="s">
        <v>2238</v>
      </c>
      <c r="C165" s="1960"/>
      <c r="D165" s="1960"/>
      <c r="E165" s="1961">
        <v>0.03</v>
      </c>
      <c r="F165" s="1967">
        <v>0.15</v>
      </c>
    </row>
    <row r="166" spans="2:7" ht="16.5" thickBot="1">
      <c r="B166" s="1968" t="s">
        <v>2229</v>
      </c>
      <c r="C166" s="1969"/>
      <c r="D166" s="1969"/>
      <c r="E166" s="1970">
        <v>0.02</v>
      </c>
      <c r="F166" s="1971">
        <v>0.14000000000000001</v>
      </c>
    </row>
    <row r="167" spans="2:7" ht="20.25" thickTop="1" thickBot="1">
      <c r="B167" s="1972" t="s">
        <v>2287</v>
      </c>
      <c r="C167" s="1973"/>
      <c r="D167" s="1973"/>
      <c r="E167" s="1973"/>
      <c r="F167" s="595">
        <f>SUM(F145:F166)</f>
        <v>37.979999999999997</v>
      </c>
    </row>
    <row r="168" spans="2:7" ht="16.5" thickTop="1" thickBot="1"/>
    <row r="169" spans="2:7" ht="15.75">
      <c r="B169" s="3782" t="s">
        <v>1050</v>
      </c>
      <c r="C169" s="3783"/>
      <c r="D169" s="3783"/>
      <c r="E169" s="3783"/>
      <c r="F169" s="3783"/>
      <c r="G169" s="3784"/>
    </row>
    <row r="170" spans="2:7">
      <c r="B170" s="3785" t="s">
        <v>951</v>
      </c>
      <c r="C170" s="3786"/>
      <c r="D170" s="1974" t="s">
        <v>1051</v>
      </c>
      <c r="E170" s="1975" t="s">
        <v>1052</v>
      </c>
      <c r="F170" s="3787" t="s">
        <v>975</v>
      </c>
      <c r="G170" s="3788"/>
    </row>
    <row r="171" spans="2:7">
      <c r="B171" s="3768">
        <v>4</v>
      </c>
      <c r="C171" s="3770">
        <f>B171/100</f>
        <v>0.04</v>
      </c>
      <c r="D171" s="1976" t="s">
        <v>1053</v>
      </c>
      <c r="E171" s="1977">
        <v>1</v>
      </c>
      <c r="F171" s="1978">
        <f>(B171*E171)*10</f>
        <v>40</v>
      </c>
      <c r="G171" s="1979">
        <f>F171/1000</f>
        <v>0.04</v>
      </c>
    </row>
    <row r="172" spans="2:7">
      <c r="B172" s="3768"/>
      <c r="C172" s="3770"/>
      <c r="D172" s="1976" t="s">
        <v>1054</v>
      </c>
      <c r="E172" s="1977">
        <v>1.03</v>
      </c>
      <c r="F172" s="1978">
        <f>(B171*E172)*10</f>
        <v>41.2</v>
      </c>
      <c r="G172" s="1979">
        <f>F172/1000</f>
        <v>4.1200000000000001E-2</v>
      </c>
    </row>
    <row r="173" spans="2:7">
      <c r="B173" s="3768"/>
      <c r="C173" s="3770"/>
      <c r="D173" s="1976" t="s">
        <v>1055</v>
      </c>
      <c r="E173" s="1977">
        <v>1.0149999999999999</v>
      </c>
      <c r="F173" s="1978">
        <f>(E173*B171)*10</f>
        <v>40.599999999999994</v>
      </c>
      <c r="G173" s="1979">
        <f>F173/1000</f>
        <v>4.0599999999999997E-2</v>
      </c>
    </row>
    <row r="174" spans="2:7">
      <c r="B174" s="3768"/>
      <c r="C174" s="3770"/>
      <c r="D174" s="1976" t="s">
        <v>1056</v>
      </c>
      <c r="E174" s="1977">
        <v>0.92</v>
      </c>
      <c r="F174" s="1978">
        <f>(E174*B171)*10</f>
        <v>36.800000000000004</v>
      </c>
      <c r="G174" s="1979">
        <f>F174/1000</f>
        <v>3.6800000000000006E-2</v>
      </c>
    </row>
    <row r="175" spans="2:7" ht="15.75" thickBot="1">
      <c r="B175" s="3769"/>
      <c r="C175" s="3771"/>
      <c r="D175" s="1980" t="s">
        <v>1057</v>
      </c>
      <c r="E175" s="1981">
        <v>0.8</v>
      </c>
      <c r="F175" s="1982">
        <f>(E175*B171)*10</f>
        <v>32</v>
      </c>
      <c r="G175" s="1983">
        <f>F175/1000</f>
        <v>3.2000000000000001E-2</v>
      </c>
    </row>
  </sheetData>
  <mergeCells count="46">
    <mergeCell ref="E56:G56"/>
    <mergeCell ref="B142:F142"/>
    <mergeCell ref="B169:G169"/>
    <mergeCell ref="B170:C170"/>
    <mergeCell ref="F170:G170"/>
    <mergeCell ref="E101:G104"/>
    <mergeCell ref="B106:G106"/>
    <mergeCell ref="E82:G84"/>
    <mergeCell ref="E85:G86"/>
    <mergeCell ref="B171:B175"/>
    <mergeCell ref="C171:C175"/>
    <mergeCell ref="B75:G75"/>
    <mergeCell ref="E57:G58"/>
    <mergeCell ref="E59:G60"/>
    <mergeCell ref="E61:G62"/>
    <mergeCell ref="E63:G64"/>
    <mergeCell ref="E67:G67"/>
    <mergeCell ref="E68:G69"/>
    <mergeCell ref="E115:G116"/>
    <mergeCell ref="E117:G117"/>
    <mergeCell ref="E107:G107"/>
    <mergeCell ref="E108:G109"/>
    <mergeCell ref="E110:G111"/>
    <mergeCell ref="B99:G99"/>
    <mergeCell ref="E100:G100"/>
    <mergeCell ref="B2:G4"/>
    <mergeCell ref="B14:G15"/>
    <mergeCell ref="B18:G20"/>
    <mergeCell ref="B22:G23"/>
    <mergeCell ref="B25:G27"/>
    <mergeCell ref="B31:G33"/>
    <mergeCell ref="B38:G40"/>
    <mergeCell ref="C6:G6"/>
    <mergeCell ref="C7:G7"/>
    <mergeCell ref="E112:G114"/>
    <mergeCell ref="E87:G89"/>
    <mergeCell ref="E90:G91"/>
    <mergeCell ref="E92:G95"/>
    <mergeCell ref="E96:G97"/>
    <mergeCell ref="E76:G76"/>
    <mergeCell ref="E77:G79"/>
    <mergeCell ref="E80:G81"/>
    <mergeCell ref="E70:G71"/>
    <mergeCell ref="E72:G73"/>
    <mergeCell ref="B66:G66"/>
    <mergeCell ref="B55:G55"/>
  </mergeCells>
  <hyperlinks>
    <hyperlink ref="C7" r:id="rId1" xr:uid="{00000000-0004-0000-1600-000000000000}"/>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CC160"/>
  <sheetViews>
    <sheetView showZeros="0" zoomScaleNormal="100" workbookViewId="0">
      <selection activeCell="M20" sqref="M20"/>
    </sheetView>
  </sheetViews>
  <sheetFormatPr baseColWidth="10" defaultRowHeight="15"/>
  <cols>
    <col min="1" max="1" width="2" style="10" customWidth="1"/>
    <col min="2" max="2" width="60.7109375" style="10" customWidth="1"/>
    <col min="3" max="3" width="8.7109375" style="10" customWidth="1"/>
    <col min="4" max="4" width="10.7109375" style="10" customWidth="1"/>
    <col min="5" max="5" width="16.7109375" style="10" customWidth="1"/>
    <col min="6" max="6" width="7.28515625" style="10" customWidth="1"/>
    <col min="7" max="7" width="16.7109375" style="10" customWidth="1"/>
    <col min="8" max="8" width="12.7109375" style="10" customWidth="1"/>
    <col min="9" max="9" width="2" style="10" customWidth="1"/>
    <col min="10" max="10" width="8.7109375" style="10" customWidth="1"/>
    <col min="11" max="11" width="10.7109375" style="10" customWidth="1"/>
    <col min="12" max="12" width="16.7109375" style="10" customWidth="1"/>
    <col min="13" max="13" width="7.28515625" style="10" customWidth="1"/>
    <col min="14" max="14" width="16.7109375" style="10" customWidth="1"/>
    <col min="15" max="15" width="60.7109375" style="10" customWidth="1"/>
    <col min="16" max="16" width="12.7109375" style="10" customWidth="1"/>
    <col min="17" max="17" width="2.28515625" style="10" customWidth="1"/>
    <col min="18" max="18" width="23.85546875" style="10" customWidth="1"/>
    <col min="19" max="19" width="11" style="10" customWidth="1"/>
    <col min="20" max="20" width="10.7109375" style="10" customWidth="1"/>
    <col min="21" max="21" width="16.7109375" style="10" customWidth="1"/>
    <col min="22" max="22" width="60.7109375" style="10" customWidth="1"/>
    <col min="23" max="30" width="12.7109375" style="10" customWidth="1"/>
    <col min="31" max="31" width="33.85546875" style="10" customWidth="1"/>
    <col min="32" max="46" width="12.7109375" style="10" customWidth="1"/>
    <col min="47" max="47" width="11.42578125" style="10"/>
    <col min="48" max="48" width="62.85546875" style="10" customWidth="1"/>
    <col min="49" max="16384" width="11.42578125" style="10"/>
  </cols>
  <sheetData>
    <row r="1" spans="1:81" s="389" customFormat="1" ht="18.95" customHeight="1">
      <c r="A1" s="10"/>
      <c r="B1" s="385">
        <f t="shared" ref="B1:Q1" ca="1" si="0">CELL("largeur",B1)</f>
        <v>60</v>
      </c>
      <c r="C1" s="385">
        <f t="shared" ca="1" si="0"/>
        <v>8</v>
      </c>
      <c r="D1" s="385">
        <f t="shared" ca="1" si="0"/>
        <v>10</v>
      </c>
      <c r="E1" s="385">
        <f t="shared" ca="1" si="0"/>
        <v>16</v>
      </c>
      <c r="F1" s="385">
        <f t="shared" ca="1" si="0"/>
        <v>7</v>
      </c>
      <c r="G1" s="385">
        <f t="shared" ca="1" si="0"/>
        <v>16</v>
      </c>
      <c r="H1" s="385">
        <f t="shared" ca="1" si="0"/>
        <v>12</v>
      </c>
      <c r="I1" s="385">
        <f t="shared" ca="1" si="0"/>
        <v>1</v>
      </c>
      <c r="J1" s="385">
        <f t="shared" ca="1" si="0"/>
        <v>8</v>
      </c>
      <c r="K1" s="385">
        <f t="shared" ca="1" si="0"/>
        <v>10</v>
      </c>
      <c r="L1" s="385">
        <f t="shared" ca="1" si="0"/>
        <v>16</v>
      </c>
      <c r="M1" s="385">
        <f t="shared" ca="1" si="0"/>
        <v>7</v>
      </c>
      <c r="N1" s="385">
        <f t="shared" ca="1" si="0"/>
        <v>16</v>
      </c>
      <c r="O1" s="385">
        <f t="shared" ca="1" si="0"/>
        <v>60</v>
      </c>
      <c r="P1" s="385">
        <f t="shared" ca="1" si="0"/>
        <v>12</v>
      </c>
      <c r="Q1" s="386">
        <f t="shared" ca="1" si="0"/>
        <v>2</v>
      </c>
      <c r="R1" s="387" t="s">
        <v>2297</v>
      </c>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388">
        <v>6</v>
      </c>
      <c r="AX1" s="388">
        <v>8</v>
      </c>
      <c r="AY1" s="388">
        <v>10</v>
      </c>
      <c r="AZ1" s="388">
        <v>16</v>
      </c>
      <c r="BA1" s="388">
        <v>60</v>
      </c>
      <c r="BB1" s="388">
        <v>12</v>
      </c>
      <c r="BC1" s="388">
        <v>12</v>
      </c>
      <c r="BD1" s="388">
        <v>12</v>
      </c>
      <c r="BE1" s="388">
        <v>12</v>
      </c>
      <c r="BF1" s="388">
        <v>12</v>
      </c>
      <c r="BG1" s="388">
        <v>12</v>
      </c>
      <c r="BH1" s="388">
        <v>12</v>
      </c>
      <c r="BI1" s="388">
        <v>12</v>
      </c>
      <c r="BJ1" s="388">
        <v>12</v>
      </c>
      <c r="BK1" s="388"/>
      <c r="BL1" s="388"/>
      <c r="BM1" s="388"/>
      <c r="BN1" s="388"/>
      <c r="BO1" s="388">
        <v>12</v>
      </c>
      <c r="BP1" s="388">
        <v>12</v>
      </c>
      <c r="BQ1" s="388">
        <v>12</v>
      </c>
      <c r="BR1" s="388">
        <v>12</v>
      </c>
      <c r="BS1" s="388">
        <v>12</v>
      </c>
      <c r="BT1" s="388">
        <v>12</v>
      </c>
      <c r="BU1" s="388">
        <v>12</v>
      </c>
      <c r="BV1" s="388">
        <v>12</v>
      </c>
      <c r="BW1" s="388">
        <v>12</v>
      </c>
      <c r="BX1" s="388">
        <v>12</v>
      </c>
      <c r="BY1" s="388">
        <v>12</v>
      </c>
      <c r="BZ1" s="388">
        <v>12</v>
      </c>
      <c r="CA1" s="389" t="s">
        <v>2297</v>
      </c>
      <c r="CC1" s="390" t="s">
        <v>2298</v>
      </c>
    </row>
    <row r="2" spans="1:81" ht="83.25" customHeight="1">
      <c r="B2" s="3925" t="s">
        <v>2412</v>
      </c>
      <c r="C2" s="3723"/>
      <c r="D2" s="3723"/>
      <c r="E2" s="3723"/>
      <c r="F2" s="3723"/>
      <c r="G2" s="3723"/>
      <c r="H2" s="3723"/>
      <c r="I2" s="3723"/>
      <c r="J2" s="3723"/>
      <c r="K2" s="3723"/>
      <c r="L2" s="3723"/>
      <c r="M2" s="3723"/>
      <c r="N2" s="3723"/>
      <c r="O2" s="3723"/>
      <c r="P2" s="3723"/>
      <c r="Q2" s="3723"/>
      <c r="S2" s="473"/>
      <c r="T2" s="473"/>
      <c r="U2" s="473"/>
      <c r="V2" s="473"/>
      <c r="W2" s="473"/>
      <c r="X2" s="473"/>
      <c r="Y2" s="473"/>
      <c r="Z2" s="473"/>
      <c r="AA2" s="473"/>
      <c r="AB2" s="473"/>
      <c r="AC2" s="473"/>
      <c r="AD2" s="473"/>
      <c r="AF2" s="474"/>
      <c r="AG2" s="474"/>
      <c r="AH2" s="474"/>
      <c r="AI2" s="474"/>
      <c r="AJ2" s="474"/>
      <c r="AK2" s="474"/>
      <c r="AL2" s="474"/>
      <c r="AM2" s="474"/>
      <c r="AN2" s="474"/>
      <c r="AO2" s="474"/>
      <c r="AP2" s="474"/>
      <c r="AQ2" s="474"/>
      <c r="AR2" s="474"/>
      <c r="AS2" s="474"/>
      <c r="AT2" s="474"/>
      <c r="AV2" s="626" t="s">
        <v>2413</v>
      </c>
      <c r="AW2" s="627">
        <f>ROW()</f>
        <v>2</v>
      </c>
    </row>
    <row r="3" spans="1:81" ht="18.95" customHeight="1" thickBot="1">
      <c r="A3" s="391"/>
      <c r="B3" s="388"/>
      <c r="C3" s="388"/>
      <c r="D3" s="388"/>
      <c r="E3" s="388"/>
      <c r="F3" s="388"/>
      <c r="G3" s="388"/>
      <c r="H3" s="388"/>
      <c r="I3" s="388"/>
      <c r="J3" s="388"/>
      <c r="K3" s="388"/>
      <c r="L3" s="388"/>
      <c r="M3" s="388"/>
      <c r="N3" s="388"/>
      <c r="O3" s="388"/>
      <c r="P3" s="388"/>
      <c r="Q3" s="12"/>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V3" s="382" t="s">
        <v>2413</v>
      </c>
      <c r="AW3" s="628">
        <f>ROW()</f>
        <v>3</v>
      </c>
    </row>
    <row r="4" spans="1:81" ht="30" customHeight="1" thickBot="1">
      <c r="A4" s="392" t="s">
        <v>2299</v>
      </c>
      <c r="B4" s="3670" t="s">
        <v>2300</v>
      </c>
      <c r="C4" s="3671"/>
      <c r="D4" s="3671"/>
      <c r="E4" s="3671"/>
      <c r="F4" s="3671"/>
      <c r="G4" s="3671"/>
      <c r="H4" s="3671"/>
      <c r="I4" s="95"/>
      <c r="J4" s="3670" t="s">
        <v>2301</v>
      </c>
      <c r="K4" s="3671"/>
      <c r="L4" s="3671"/>
      <c r="M4" s="3671"/>
      <c r="N4" s="3671"/>
      <c r="O4" s="3671"/>
      <c r="P4" s="3671"/>
      <c r="Q4" s="393"/>
      <c r="R4" s="133" t="s">
        <v>2302</v>
      </c>
      <c r="S4" s="3926" t="s">
        <v>2303</v>
      </c>
      <c r="T4" s="3927"/>
      <c r="U4" s="3927"/>
      <c r="V4" s="3927"/>
      <c r="W4" s="3927"/>
      <c r="X4" s="3714" t="s">
        <v>2304</v>
      </c>
      <c r="Y4" s="3714"/>
      <c r="Z4" s="3714"/>
      <c r="AA4" s="3714"/>
      <c r="AB4" s="3714"/>
      <c r="AC4" s="3714"/>
      <c r="AD4" s="3928"/>
      <c r="AF4" s="394"/>
      <c r="AG4" s="395"/>
      <c r="AH4" s="395"/>
      <c r="AI4" s="395"/>
      <c r="AJ4" s="395"/>
      <c r="AK4" s="395"/>
      <c r="AL4" s="395"/>
      <c r="AM4" s="395"/>
      <c r="AN4" s="395"/>
      <c r="AO4" s="395"/>
      <c r="AP4" s="395"/>
      <c r="AQ4" s="395"/>
      <c r="AR4" s="395"/>
      <c r="AS4" s="395"/>
      <c r="AT4" s="395"/>
      <c r="AV4" s="381" t="s">
        <v>2413</v>
      </c>
      <c r="AW4" s="629">
        <f>ROW()</f>
        <v>4</v>
      </c>
    </row>
    <row r="5" spans="1:81" ht="30" customHeight="1">
      <c r="A5" s="396" t="s">
        <v>2305</v>
      </c>
      <c r="B5" s="3919" t="str">
        <f>T5</f>
        <v>Nom de la recette à saisir colonne R</v>
      </c>
      <c r="C5" s="3920"/>
      <c r="D5" s="3920"/>
      <c r="E5" s="3920"/>
      <c r="F5" s="3920"/>
      <c r="G5" s="3920"/>
      <c r="H5" s="397" t="str">
        <f>W5</f>
        <v>N°1</v>
      </c>
      <c r="I5" s="398" t="s">
        <v>2305</v>
      </c>
      <c r="J5" s="3921" t="str">
        <f>T5</f>
        <v>Nom de la recette à saisir colonne R</v>
      </c>
      <c r="K5" s="3922"/>
      <c r="L5" s="3922"/>
      <c r="M5" s="3922"/>
      <c r="N5" s="3922"/>
      <c r="O5" s="3922"/>
      <c r="P5" s="399" t="str">
        <f>W5</f>
        <v>N°1</v>
      </c>
      <c r="Q5" s="630" t="s">
        <v>2306</v>
      </c>
      <c r="R5" s="400" t="s">
        <v>2307</v>
      </c>
      <c r="S5" s="401" t="s">
        <v>150</v>
      </c>
      <c r="T5" s="3923" t="s">
        <v>2414</v>
      </c>
      <c r="U5" s="3923"/>
      <c r="V5" s="3923"/>
      <c r="W5" s="402" t="s">
        <v>2290</v>
      </c>
      <c r="X5" s="475"/>
      <c r="Y5" s="475"/>
      <c r="Z5" s="475"/>
      <c r="AA5" s="82" t="str">
        <f>LEFT(ADDRESS(1,COLUMN(),4),LEN(ADDRESS(1,COLUMN(),4))-1)</f>
        <v>AA</v>
      </c>
      <c r="AB5" s="475"/>
      <c r="AC5" s="475"/>
      <c r="AD5" s="476"/>
      <c r="AF5" s="3713" t="s">
        <v>2308</v>
      </c>
      <c r="AG5" s="3714"/>
      <c r="AH5" s="3714"/>
      <c r="AI5" s="3714"/>
      <c r="AJ5" s="3714"/>
      <c r="AK5" s="3714"/>
      <c r="AL5" s="3714"/>
      <c r="AM5" s="3714"/>
      <c r="AN5" s="3714"/>
      <c r="AO5" s="3714"/>
      <c r="AP5" s="3714"/>
      <c r="AQ5" s="3714"/>
      <c r="AR5" s="3714"/>
      <c r="AS5" s="3714"/>
      <c r="AT5" s="3714"/>
      <c r="AV5" s="631" t="s">
        <v>2291</v>
      </c>
      <c r="AW5" s="622">
        <f>ROW()</f>
        <v>5</v>
      </c>
    </row>
    <row r="6" spans="1:81" ht="18" customHeight="1">
      <c r="A6" s="3914"/>
      <c r="B6" s="3915" t="str">
        <f>T7</f>
        <v>? Albert A VOUS DE SAISIR LE NOM DE L'AUTEUR colonne R</v>
      </c>
      <c r="C6" s="3915" t="s">
        <v>2309</v>
      </c>
      <c r="D6" s="3915"/>
      <c r="E6" s="3915"/>
      <c r="F6" s="3915"/>
      <c r="G6" s="3915"/>
      <c r="H6" s="403"/>
      <c r="I6" s="3916"/>
      <c r="J6" s="235" t="s">
        <v>152</v>
      </c>
      <c r="K6" s="60" t="str">
        <f>V6</f>
        <v>? une pâtisserie est souvent composée de recettes filles  attachées à une recette Mère</v>
      </c>
      <c r="L6" s="127"/>
      <c r="M6" s="404"/>
      <c r="N6" s="404"/>
      <c r="O6" s="404"/>
      <c r="P6" s="404"/>
      <c r="Q6" s="3917"/>
      <c r="R6" s="133" t="s">
        <v>2310</v>
      </c>
      <c r="S6" s="405" t="s">
        <v>2311</v>
      </c>
      <c r="T6" s="406"/>
      <c r="U6" s="406"/>
      <c r="V6" s="3718" t="s">
        <v>2415</v>
      </c>
      <c r="W6" s="3719"/>
      <c r="X6" s="3720" t="s">
        <v>2312</v>
      </c>
      <c r="Y6" s="3720"/>
      <c r="Z6" s="3720"/>
      <c r="AA6" s="3720"/>
      <c r="AB6" s="3720"/>
      <c r="AC6" s="3720"/>
      <c r="AD6" s="3721"/>
      <c r="AF6" s="3733" t="s">
        <v>2312</v>
      </c>
      <c r="AG6" s="3734"/>
      <c r="AH6" s="3734"/>
      <c r="AI6" s="3734"/>
      <c r="AJ6" s="3734"/>
      <c r="AK6" s="3734"/>
      <c r="AL6" s="3734"/>
      <c r="AM6" s="3734"/>
      <c r="AN6" s="3734"/>
      <c r="AO6" s="3734"/>
      <c r="AP6" s="3734"/>
      <c r="AQ6" s="3734"/>
      <c r="AR6" s="3734"/>
      <c r="AS6" s="3734"/>
      <c r="AT6" s="3734"/>
      <c r="AV6" s="631" t="s">
        <v>2291</v>
      </c>
      <c r="AW6" s="622">
        <f>ROW()</f>
        <v>6</v>
      </c>
    </row>
    <row r="7" spans="1:81" ht="18" customHeight="1">
      <c r="A7" s="3914"/>
      <c r="B7" s="3918" t="str">
        <f>V6</f>
        <v>? une pâtisserie est souvent composée de recettes filles  attachées à une recette Mère</v>
      </c>
      <c r="C7" s="3918"/>
      <c r="D7" s="3918"/>
      <c r="E7" s="3918"/>
      <c r="F7" s="3918"/>
      <c r="G7" s="3918"/>
      <c r="I7" s="3916"/>
      <c r="J7" s="235" t="s">
        <v>154</v>
      </c>
      <c r="K7" s="407" t="str">
        <f>T7</f>
        <v>? Albert A VOUS DE SAISIR LE NOM DE L'AUTEUR colonne R</v>
      </c>
      <c r="L7" s="60"/>
      <c r="M7" s="60"/>
      <c r="N7" s="60"/>
      <c r="O7" s="127"/>
      <c r="P7" s="60"/>
      <c r="Q7" s="3917"/>
      <c r="R7" s="133" t="s">
        <v>2310</v>
      </c>
      <c r="S7" s="408" t="s">
        <v>2313</v>
      </c>
      <c r="T7" s="3737" t="s">
        <v>2416</v>
      </c>
      <c r="U7" s="3737"/>
      <c r="V7" s="3737"/>
      <c r="W7" s="3738"/>
      <c r="X7" s="3720"/>
      <c r="Y7" s="3720"/>
      <c r="Z7" s="3720"/>
      <c r="AA7" s="3720"/>
      <c r="AB7" s="3720"/>
      <c r="AC7" s="3720"/>
      <c r="AD7" s="3721"/>
      <c r="AF7" s="3733"/>
      <c r="AG7" s="3734"/>
      <c r="AH7" s="3734"/>
      <c r="AI7" s="3734"/>
      <c r="AJ7" s="3734"/>
      <c r="AK7" s="3734"/>
      <c r="AL7" s="3734"/>
      <c r="AM7" s="3734"/>
      <c r="AN7" s="3734"/>
      <c r="AO7" s="3734"/>
      <c r="AP7" s="3734"/>
      <c r="AQ7" s="3734"/>
      <c r="AR7" s="3734"/>
      <c r="AS7" s="3734"/>
      <c r="AT7" s="3734"/>
      <c r="AV7" s="631" t="s">
        <v>2291</v>
      </c>
      <c r="AW7" s="622">
        <f>ROW()</f>
        <v>7</v>
      </c>
    </row>
    <row r="8" spans="1:81" ht="18" customHeight="1">
      <c r="A8" s="3914"/>
      <c r="B8" s="127"/>
      <c r="C8" s="127"/>
      <c r="D8" s="127"/>
      <c r="E8" s="3924" t="s">
        <v>2314</v>
      </c>
      <c r="F8" s="3924"/>
      <c r="G8" s="3739">
        <v>10</v>
      </c>
      <c r="H8" s="409" t="s">
        <v>2315</v>
      </c>
      <c r="I8" s="3916"/>
      <c r="J8" s="410"/>
      <c r="K8" s="411"/>
      <c r="L8" s="411"/>
      <c r="M8" s="412"/>
      <c r="N8" s="412"/>
      <c r="O8" s="413"/>
      <c r="P8" s="414"/>
      <c r="Q8" s="3917"/>
      <c r="R8" s="133" t="s">
        <v>2310</v>
      </c>
      <c r="S8" s="415" t="s">
        <v>1952</v>
      </c>
      <c r="T8" s="3911"/>
      <c r="U8" s="3653"/>
      <c r="V8" s="3653"/>
      <c r="W8" s="3912"/>
      <c r="X8" s="3740" t="s">
        <v>2316</v>
      </c>
      <c r="Y8" s="3740"/>
      <c r="Z8" s="3741"/>
      <c r="AA8" s="3742" t="str">
        <f>IF(AA11&gt;0,"vous avez saisi un % de perte pour TOUTE LA RECETTE dans la cellule ❽",IF(AA62&gt;0,"Vous avez saisi des pourcentages de PERTES par produit dans la colonne ❾","Vous pouvez saisir un % de perte pour chaque PRODUIT ou pour la recette"))</f>
        <v>Vous pouvez saisir un % de perte pour chaque PRODUIT ou pour la recette</v>
      </c>
      <c r="AB8" s="3743"/>
      <c r="AC8" s="3743"/>
      <c r="AD8" s="3744"/>
      <c r="AF8" s="477"/>
      <c r="AG8" s="620"/>
      <c r="AH8" s="620"/>
      <c r="AI8" s="478"/>
      <c r="AJ8" s="478"/>
      <c r="AK8" s="478"/>
      <c r="AL8" s="478"/>
      <c r="AM8" s="478"/>
      <c r="AN8" s="478"/>
      <c r="AO8" s="478"/>
      <c r="AP8" s="479"/>
      <c r="AQ8" s="479"/>
      <c r="AR8" s="479"/>
      <c r="AS8" s="479"/>
      <c r="AT8" s="480"/>
      <c r="AV8" s="631" t="s">
        <v>2291</v>
      </c>
      <c r="AW8" s="622">
        <f>ROW()</f>
        <v>8</v>
      </c>
    </row>
    <row r="9" spans="1:81" ht="18" customHeight="1">
      <c r="A9" s="3914"/>
      <c r="B9" s="3913" t="str">
        <f>IF(G10=1,AF9,IF(G10=2,AI9,IF(G10=3,AM9,IF(G10&gt;3,"LE N° DE CHOIX S'ARRETE AU N° 3"))))</f>
        <v xml:space="preserve">Choix N°1 = RECETTE DE L'AUTEUR AVEC VOTRE POIDS DEMANDÉ </v>
      </c>
      <c r="C9" s="3913"/>
      <c r="D9" s="3913"/>
      <c r="E9" s="3924"/>
      <c r="F9" s="3924"/>
      <c r="G9" s="3739"/>
      <c r="H9" s="481">
        <f>E11/G8</f>
        <v>0.21875</v>
      </c>
      <c r="I9" s="3916"/>
      <c r="J9" s="416"/>
      <c r="K9" s="345" t="s">
        <v>1949</v>
      </c>
      <c r="L9" s="417">
        <f>U9</f>
        <v>2</v>
      </c>
      <c r="M9" s="417"/>
      <c r="N9" s="417"/>
      <c r="O9" s="345" t="s">
        <v>1950</v>
      </c>
      <c r="P9" s="417">
        <f>W9</f>
        <v>2</v>
      </c>
      <c r="Q9" s="3917"/>
      <c r="R9" s="133" t="s">
        <v>2310</v>
      </c>
      <c r="S9" s="418"/>
      <c r="T9" s="340" t="s">
        <v>1949</v>
      </c>
      <c r="U9" s="341">
        <v>2</v>
      </c>
      <c r="V9" s="340" t="s">
        <v>1950</v>
      </c>
      <c r="W9" s="419">
        <v>2</v>
      </c>
      <c r="X9" s="3740"/>
      <c r="Y9" s="3740"/>
      <c r="Z9" s="3741"/>
      <c r="AA9" s="3742"/>
      <c r="AB9" s="3743"/>
      <c r="AC9" s="3743"/>
      <c r="AD9" s="3744"/>
      <c r="AF9" s="3726" t="s">
        <v>2317</v>
      </c>
      <c r="AG9" s="3724"/>
      <c r="AH9" s="3725"/>
      <c r="AI9" s="3724" t="s">
        <v>2318</v>
      </c>
      <c r="AJ9" s="3724"/>
      <c r="AK9" s="3724"/>
      <c r="AL9" s="3725"/>
      <c r="AM9" s="3726" t="s">
        <v>2319</v>
      </c>
      <c r="AN9" s="3724"/>
      <c r="AO9" s="3724"/>
      <c r="AP9" s="3725"/>
      <c r="AQ9" s="3726" t="s">
        <v>2320</v>
      </c>
      <c r="AR9" s="3724"/>
      <c r="AS9" s="3724"/>
      <c r="AT9" s="3724"/>
      <c r="AV9" s="631" t="s">
        <v>2291</v>
      </c>
      <c r="AW9" s="622">
        <f>ROW()</f>
        <v>9</v>
      </c>
    </row>
    <row r="10" spans="1:81" ht="18" customHeight="1">
      <c r="A10" s="3914"/>
      <c r="B10" s="482" t="str">
        <f>IF(G10=1,"Recette sans % de pertes","saisissez vos % de perte colonne")</f>
        <v>Recette sans % de pertes</v>
      </c>
      <c r="C10" s="625" t="str">
        <f>AA5</f>
        <v>AA</v>
      </c>
      <c r="D10" s="483"/>
      <c r="E10" s="484"/>
      <c r="F10" s="485" t="s">
        <v>2321</v>
      </c>
      <c r="G10" s="486">
        <v>1</v>
      </c>
      <c r="H10" s="409" t="s">
        <v>2322</v>
      </c>
      <c r="I10" s="3916"/>
      <c r="J10" s="420"/>
      <c r="K10" s="421"/>
      <c r="L10" s="422"/>
      <c r="M10" s="422"/>
      <c r="N10" s="422"/>
      <c r="O10" s="423"/>
      <c r="P10" s="424"/>
      <c r="Q10" s="3917"/>
      <c r="R10" s="133" t="s">
        <v>2310</v>
      </c>
      <c r="S10" s="425" t="str">
        <f>B10</f>
        <v>Recette sans % de pertes</v>
      </c>
      <c r="T10" s="426"/>
      <c r="U10" s="426"/>
      <c r="V10" s="427" t="str">
        <f>AA5</f>
        <v>AA</v>
      </c>
      <c r="W10" s="129"/>
      <c r="X10" s="3740"/>
      <c r="Y10" s="3740"/>
      <c r="Z10" s="3741"/>
      <c r="AA10" s="3742"/>
      <c r="AB10" s="3743"/>
      <c r="AC10" s="3743"/>
      <c r="AD10" s="3744"/>
      <c r="AF10" s="3726"/>
      <c r="AG10" s="3724"/>
      <c r="AH10" s="3725"/>
      <c r="AI10" s="3726"/>
      <c r="AJ10" s="3724"/>
      <c r="AK10" s="3724"/>
      <c r="AL10" s="3725"/>
      <c r="AM10" s="3726"/>
      <c r="AN10" s="3724"/>
      <c r="AO10" s="3724"/>
      <c r="AP10" s="3725"/>
      <c r="AQ10" s="3726"/>
      <c r="AR10" s="3724"/>
      <c r="AS10" s="3724"/>
      <c r="AT10" s="3724"/>
      <c r="AV10" s="631" t="s">
        <v>2291</v>
      </c>
      <c r="AW10" s="622">
        <f>ROW()</f>
        <v>10</v>
      </c>
    </row>
    <row r="11" spans="1:81" ht="30" customHeight="1">
      <c r="A11" s="3914"/>
      <c r="B11" s="487" t="s">
        <v>2323</v>
      </c>
      <c r="C11" s="428"/>
      <c r="D11" s="428" t="str">
        <f>IF(G10=1,"CHOIX N° 1",IF(G10=2,"CHOIX N° 2",IF(G10=3,"CHOIX N° 3","QUEL CHOIX?")))</f>
        <v>CHOIX N° 1</v>
      </c>
      <c r="E11" s="488">
        <f>E62</f>
        <v>2.1875</v>
      </c>
      <c r="F11" s="429"/>
      <c r="G11" s="488">
        <f>G62</f>
        <v>0</v>
      </c>
      <c r="H11" s="481">
        <f>G11/G8</f>
        <v>0</v>
      </c>
      <c r="I11" s="3916"/>
      <c r="J11" s="111"/>
      <c r="K11" s="111"/>
      <c r="L11" s="111"/>
      <c r="M11" s="111"/>
      <c r="N11" s="111"/>
      <c r="O11" s="111"/>
      <c r="P11" s="111"/>
      <c r="Q11" s="3917"/>
      <c r="R11" s="400" t="s">
        <v>2307</v>
      </c>
      <c r="S11" s="3907" t="s">
        <v>2357</v>
      </c>
      <c r="T11" s="3908"/>
      <c r="U11" s="3908"/>
      <c r="V11" s="594" t="s">
        <v>2324</v>
      </c>
      <c r="W11" s="430">
        <v>4</v>
      </c>
      <c r="X11" s="3909">
        <v>1</v>
      </c>
      <c r="Y11" s="3909"/>
      <c r="Z11" s="3910"/>
      <c r="AA11" s="431"/>
      <c r="AB11" s="489" t="s">
        <v>2325</v>
      </c>
      <c r="AC11" s="490"/>
      <c r="AD11" s="491"/>
      <c r="AF11" s="492"/>
      <c r="AG11" s="493" t="s">
        <v>2326</v>
      </c>
      <c r="AH11" s="494">
        <f>G8</f>
        <v>10</v>
      </c>
      <c r="AI11" s="492"/>
      <c r="AJ11" s="495"/>
      <c r="AK11" s="493" t="s">
        <v>2327</v>
      </c>
      <c r="AL11" s="494">
        <f>G8</f>
        <v>10</v>
      </c>
      <c r="AM11" s="496"/>
      <c r="AN11" s="493"/>
      <c r="AO11" s="493" t="s">
        <v>2328</v>
      </c>
      <c r="AP11" s="497">
        <f>G8</f>
        <v>10</v>
      </c>
      <c r="AQ11" s="495"/>
      <c r="AR11" s="498">
        <f>SUM(AR13:AR42)</f>
        <v>0</v>
      </c>
      <c r="AS11" s="499"/>
      <c r="AT11" s="500"/>
      <c r="AV11" s="631" t="s">
        <v>2291</v>
      </c>
      <c r="AW11" s="622">
        <f>ROW()</f>
        <v>11</v>
      </c>
    </row>
    <row r="12" spans="1:81" ht="36.75" customHeight="1">
      <c r="A12" s="3914"/>
      <c r="B12" s="432" t="s">
        <v>2329</v>
      </c>
      <c r="C12" s="433" t="s">
        <v>2330</v>
      </c>
      <c r="D12" s="434" t="s">
        <v>2331</v>
      </c>
      <c r="E12" s="434" t="s">
        <v>2332</v>
      </c>
      <c r="F12" s="435" t="s">
        <v>1201</v>
      </c>
      <c r="G12" s="436" t="s">
        <v>2333</v>
      </c>
      <c r="H12" s="437" t="s">
        <v>2334</v>
      </c>
      <c r="I12" s="3914"/>
      <c r="J12" s="3406" t="s">
        <v>1951</v>
      </c>
      <c r="K12" s="3406"/>
      <c r="L12" s="3406"/>
      <c r="M12" s="3406"/>
      <c r="N12" s="3406"/>
      <c r="O12" s="3406"/>
      <c r="P12" s="3406"/>
      <c r="Q12" s="3917"/>
      <c r="R12" s="400" t="s">
        <v>2335</v>
      </c>
      <c r="S12" s="588" t="s">
        <v>2330</v>
      </c>
      <c r="T12" s="589" t="s">
        <v>2331</v>
      </c>
      <c r="U12" s="590" t="s">
        <v>2336</v>
      </c>
      <c r="V12" s="586" t="s">
        <v>2337</v>
      </c>
      <c r="W12" s="587">
        <f>W61/W11</f>
        <v>0.21875</v>
      </c>
      <c r="X12" s="501" t="s">
        <v>2338</v>
      </c>
      <c r="Y12" s="501" t="s">
        <v>2330</v>
      </c>
      <c r="Z12" s="502" t="s">
        <v>2331</v>
      </c>
      <c r="AA12" s="503" t="s">
        <v>2339</v>
      </c>
      <c r="AB12" s="504" t="s">
        <v>2340</v>
      </c>
      <c r="AC12" s="501" t="s">
        <v>2341</v>
      </c>
      <c r="AD12" s="502" t="s">
        <v>1253</v>
      </c>
      <c r="AE12" s="438" t="s">
        <v>22</v>
      </c>
      <c r="AF12" s="505" t="s">
        <v>2332</v>
      </c>
      <c r="AG12" s="501" t="s">
        <v>2330</v>
      </c>
      <c r="AH12" s="501" t="s">
        <v>2331</v>
      </c>
      <c r="AI12" s="439" t="s">
        <v>2333</v>
      </c>
      <c r="AJ12" s="501" t="s">
        <v>2332</v>
      </c>
      <c r="AK12" s="501" t="s">
        <v>2330</v>
      </c>
      <c r="AL12" s="502" t="s">
        <v>2331</v>
      </c>
      <c r="AM12" s="501" t="s">
        <v>2333</v>
      </c>
      <c r="AN12" s="440" t="s">
        <v>2332</v>
      </c>
      <c r="AO12" s="501" t="s">
        <v>2330</v>
      </c>
      <c r="AP12" s="502" t="s">
        <v>2331</v>
      </c>
      <c r="AQ12" s="505" t="s">
        <v>2333</v>
      </c>
      <c r="AR12" s="501" t="s">
        <v>2332</v>
      </c>
      <c r="AS12" s="501" t="s">
        <v>2330</v>
      </c>
      <c r="AT12" s="501" t="s">
        <v>2331</v>
      </c>
      <c r="AV12" s="631" t="s">
        <v>2291</v>
      </c>
      <c r="AW12" s="622">
        <f>ROW()</f>
        <v>12</v>
      </c>
    </row>
    <row r="13" spans="1:81" ht="18.95" customHeight="1">
      <c r="A13" s="3914"/>
      <c r="B13" s="441" t="str">
        <f t="shared" ref="B13:B60" si="1">V13</f>
        <v>ETAPE 1 : Sorbet bergamote à la coriandre et à l'estragon</v>
      </c>
      <c r="C13" s="442">
        <f>IF(G10=1,AG13,IF(G10=2,AK13,IF(G10=3,AO13,IF(G10=4,AS13))))</f>
        <v>0</v>
      </c>
      <c r="D13" s="443">
        <f>IF(G10=1,AH13,IF(G10=2,AL13,IF(G10=3,AP13,IF(G10=4,AT13))))</f>
        <v>0</v>
      </c>
      <c r="E13" s="506">
        <f>IF(G10=1,AF13,IF(G10=2,AJ13,IF(G10=3,AN13,IF(G10=4,AR13))))</f>
        <v>0</v>
      </c>
      <c r="F13" s="444" t="str">
        <f>IF(G10=1,"",IF(E13=G13,"",AC13))</f>
        <v/>
      </c>
      <c r="G13" s="507" t="str">
        <f>IF(G10=1,"",IF(G10=2,AI13,IF(G10=3,AM13,IF(G10=4,AQ13))))</f>
        <v/>
      </c>
      <c r="H13" s="445">
        <f>W13/W61</f>
        <v>0</v>
      </c>
      <c r="I13" s="3916"/>
      <c r="J13" s="619">
        <v>1</v>
      </c>
      <c r="K13" s="349"/>
      <c r="L13" s="349"/>
      <c r="M13" s="349"/>
      <c r="N13" s="349"/>
      <c r="O13" s="349"/>
      <c r="P13" s="349"/>
      <c r="Q13" s="3917"/>
      <c r="R13" s="133" t="s">
        <v>2310</v>
      </c>
      <c r="S13" s="591"/>
      <c r="T13" s="592"/>
      <c r="U13" s="593"/>
      <c r="V13" s="446" t="s">
        <v>2194</v>
      </c>
      <c r="W13" s="508">
        <f t="shared" ref="W13:W60" si="2">IF(ISBLANK(S13),U13,(U13*S13))</f>
        <v>0</v>
      </c>
      <c r="X13" s="509">
        <f>(W13/W61)*X11</f>
        <v>0</v>
      </c>
      <c r="Y13" s="510" t="str">
        <f>IF(ISBLANK(S13),"",(S13/W61)*X11)</f>
        <v/>
      </c>
      <c r="Z13" s="511">
        <f>T13</f>
        <v>0</v>
      </c>
      <c r="AA13" s="447"/>
      <c r="AB13" s="512">
        <f>AA11</f>
        <v>0</v>
      </c>
      <c r="AC13" s="512">
        <f>AA13+AB13</f>
        <v>0</v>
      </c>
      <c r="AD13" s="513">
        <f>1-AC13</f>
        <v>1</v>
      </c>
      <c r="AF13" s="514">
        <f>((W13/W11)*AH11)</f>
        <v>0</v>
      </c>
      <c r="AG13" s="510">
        <f>IF(ISTEXT(S13),S13,IF(ISBLANK(S13),0,(S13/W11)*AH11))</f>
        <v>0</v>
      </c>
      <c r="AH13" s="515">
        <f t="shared" ref="AH13:AH60" si="3">T13</f>
        <v>0</v>
      </c>
      <c r="AI13" s="516">
        <f t="shared" ref="AI13:AI60" si="4">AJ13*AD13</f>
        <v>0</v>
      </c>
      <c r="AJ13" s="517">
        <f>(W13/W11)*AL11</f>
        <v>0</v>
      </c>
      <c r="AK13" s="510">
        <f>IF(ISBLANK(S13),0,(S13/W11)*AL11)</f>
        <v>0</v>
      </c>
      <c r="AL13" s="511">
        <f t="shared" ref="AL13:AL60" si="5">T13</f>
        <v>0</v>
      </c>
      <c r="AM13" s="517">
        <f>AJ13</f>
        <v>0</v>
      </c>
      <c r="AN13" s="518">
        <f t="shared" ref="AN13:AN60" si="6">(AM13*AC13)+AM13</f>
        <v>0</v>
      </c>
      <c r="AO13" s="510">
        <f>IF(ISBLANK(S13),0,(S13/W61)*AN62)</f>
        <v>0</v>
      </c>
      <c r="AP13" s="511">
        <f t="shared" ref="AP13:AP60" si="7">T13</f>
        <v>0</v>
      </c>
      <c r="AQ13" s="519" t="s">
        <v>2342</v>
      </c>
      <c r="AR13" s="520" t="s">
        <v>2343</v>
      </c>
      <c r="AS13" s="520" t="s">
        <v>2344</v>
      </c>
      <c r="AT13" s="520">
        <v>3</v>
      </c>
      <c r="AV13" s="631" t="s">
        <v>2291</v>
      </c>
      <c r="AW13" s="622">
        <f>ROW()</f>
        <v>13</v>
      </c>
    </row>
    <row r="14" spans="1:81" ht="18.95" customHeight="1">
      <c r="A14" s="3914"/>
      <c r="B14" s="448" t="str">
        <f t="shared" si="1"/>
        <v>Coriandre</v>
      </c>
      <c r="C14" s="442">
        <f>IF(G10=1,AG14,IF(G10=2,AK14,IF(G10=3,AO14,IF(G10=4,AS14))))</f>
        <v>1.875</v>
      </c>
      <c r="D14" s="443" t="str">
        <f>IF(G10=1,AH14,IF(G10=2,AL14,IF(G10=3,AP14,IF(G10=4,AT14))))</f>
        <v>Bte</v>
      </c>
      <c r="E14" s="506">
        <f>IF(G10=1,AF14,IF(G10=2,AJ14,IF(G10=3,AN14,IF(G10=4,AR14))))</f>
        <v>0</v>
      </c>
      <c r="F14" s="444" t="str">
        <f>IF(G10=1,"",IF(E14=G14,"",AC14))</f>
        <v/>
      </c>
      <c r="G14" s="507" t="str">
        <f>IF(G10=1,"",IF(G10=2,AI14,IF(G10=3,AM14,IF(G10=4,AQ14))))</f>
        <v/>
      </c>
      <c r="H14" s="445">
        <f>W14/W61</f>
        <v>0</v>
      </c>
      <c r="I14" s="3916"/>
      <c r="J14" s="619">
        <f>LARGE(J13:J13,1)+1</f>
        <v>2</v>
      </c>
      <c r="K14" s="349"/>
      <c r="L14" s="349"/>
      <c r="M14" s="349"/>
      <c r="N14" s="349"/>
      <c r="O14" s="349"/>
      <c r="P14" s="349"/>
      <c r="Q14" s="3917"/>
      <c r="R14" s="133" t="s">
        <v>2310</v>
      </c>
      <c r="S14" s="591">
        <v>0.75</v>
      </c>
      <c r="T14" s="592" t="s">
        <v>2210</v>
      </c>
      <c r="U14" s="593"/>
      <c r="V14" s="446" t="s">
        <v>2199</v>
      </c>
      <c r="W14" s="508">
        <f t="shared" si="2"/>
        <v>0</v>
      </c>
      <c r="X14" s="509">
        <f>(W14/W61)*X11</f>
        <v>0</v>
      </c>
      <c r="Y14" s="510">
        <f>IF(ISBLANK(S14),"",(S14/W61)*X11)</f>
        <v>0.8571428571428571</v>
      </c>
      <c r="Z14" s="511" t="str">
        <f>T14</f>
        <v>Bte</v>
      </c>
      <c r="AA14" s="447"/>
      <c r="AB14" s="512">
        <f>AA11</f>
        <v>0</v>
      </c>
      <c r="AC14" s="512">
        <f t="shared" ref="AC14:AC60" si="8">AA14+AB14</f>
        <v>0</v>
      </c>
      <c r="AD14" s="513">
        <f t="shared" ref="AD14:AD60" si="9">1-AC14</f>
        <v>1</v>
      </c>
      <c r="AF14" s="514">
        <f>((W14/W11)*AH11)</f>
        <v>0</v>
      </c>
      <c r="AG14" s="510">
        <f>IF(ISTEXT(S14),S14,IF(ISBLANK(S14),0,(S14/W11)*AH11))</f>
        <v>1.875</v>
      </c>
      <c r="AH14" s="515" t="str">
        <f t="shared" si="3"/>
        <v>Bte</v>
      </c>
      <c r="AI14" s="516">
        <f t="shared" si="4"/>
        <v>0</v>
      </c>
      <c r="AJ14" s="517">
        <f>(W14/W11)*AL11</f>
        <v>0</v>
      </c>
      <c r="AK14" s="510">
        <f>IF(ISBLANK(S14),0,(S14/W11)*AL11)</f>
        <v>1.875</v>
      </c>
      <c r="AL14" s="511" t="str">
        <f t="shared" si="5"/>
        <v>Bte</v>
      </c>
      <c r="AM14" s="517">
        <f t="shared" ref="AM14:AM60" si="10">AJ14</f>
        <v>0</v>
      </c>
      <c r="AN14" s="518">
        <f t="shared" si="6"/>
        <v>0</v>
      </c>
      <c r="AO14" s="510">
        <f>IF(ISBLANK(S14),0,(S14/W61)*AN62)</f>
        <v>1.875</v>
      </c>
      <c r="AP14" s="511" t="str">
        <f t="shared" si="7"/>
        <v>Bte</v>
      </c>
      <c r="AQ14" s="519" t="s">
        <v>2342</v>
      </c>
      <c r="AR14" s="520" t="s">
        <v>2343</v>
      </c>
      <c r="AS14" s="520" t="s">
        <v>2344</v>
      </c>
      <c r="AT14" s="520">
        <v>3</v>
      </c>
      <c r="AV14" s="381" t="s">
        <v>2294</v>
      </c>
      <c r="AW14" s="629">
        <f>ROW()</f>
        <v>14</v>
      </c>
    </row>
    <row r="15" spans="1:81" ht="18.95" customHeight="1">
      <c r="A15" s="3914"/>
      <c r="B15" s="448" t="str">
        <f t="shared" si="1"/>
        <v>Eau</v>
      </c>
      <c r="C15" s="442">
        <f>IF(G10=1,AG15,IF(G10=2,AK15,IF(G10=3,AO15,IF(G10=4,AS15))))</f>
        <v>0</v>
      </c>
      <c r="D15" s="443">
        <f>IF(G10=1,AH15,IF(G10=2,AL15,IF(G10=3,AP15,IF(G10=4,AT15))))</f>
        <v>0</v>
      </c>
      <c r="E15" s="506">
        <f>IF(G10=1,AF15,IF(G10=2,AJ15,IF(G10=3,AN15,IF(G10=4,AR15))))</f>
        <v>1.25</v>
      </c>
      <c r="F15" s="444" t="str">
        <f>IF(G10=1,"",IF(E15=G15,"",AC15))</f>
        <v/>
      </c>
      <c r="G15" s="507" t="str">
        <f>IF(G10=1,"",IF(G10=2,AI15,IF(G10=3,AM15,IF(G10=4,AQ15))))</f>
        <v/>
      </c>
      <c r="H15" s="445">
        <f>W15/W61</f>
        <v>0.5714285714285714</v>
      </c>
      <c r="I15" s="3916"/>
      <c r="J15" s="619">
        <f>LARGE(J13:J14,1)+1</f>
        <v>3</v>
      </c>
      <c r="K15" s="349"/>
      <c r="L15" s="349"/>
      <c r="M15" s="349"/>
      <c r="N15" s="349"/>
      <c r="O15" s="349"/>
      <c r="P15" s="349"/>
      <c r="Q15" s="3917"/>
      <c r="R15" s="133" t="s">
        <v>2310</v>
      </c>
      <c r="S15" s="591"/>
      <c r="T15" s="592"/>
      <c r="U15" s="593">
        <v>0.5</v>
      </c>
      <c r="V15" s="446" t="s">
        <v>1053</v>
      </c>
      <c r="W15" s="508">
        <f t="shared" si="2"/>
        <v>0.5</v>
      </c>
      <c r="X15" s="509">
        <f>(W15/W61)*X11</f>
        <v>0.5714285714285714</v>
      </c>
      <c r="Y15" s="510" t="str">
        <f>IF(ISBLANK(S15),"",(S15/W61)*X11)</f>
        <v/>
      </c>
      <c r="Z15" s="511">
        <f>T15</f>
        <v>0</v>
      </c>
      <c r="AA15" s="447"/>
      <c r="AB15" s="512">
        <f>AA11</f>
        <v>0</v>
      </c>
      <c r="AC15" s="512">
        <f t="shared" si="8"/>
        <v>0</v>
      </c>
      <c r="AD15" s="513">
        <f t="shared" si="9"/>
        <v>1</v>
      </c>
      <c r="AF15" s="514">
        <f>((W15/W11)*AH11)</f>
        <v>1.25</v>
      </c>
      <c r="AG15" s="510">
        <f>IF(ISTEXT(S15),S15,IF(ISBLANK(S15),0,(S15/W11)*AH11))</f>
        <v>0</v>
      </c>
      <c r="AH15" s="515">
        <f t="shared" si="3"/>
        <v>0</v>
      </c>
      <c r="AI15" s="516">
        <f t="shared" si="4"/>
        <v>1.25</v>
      </c>
      <c r="AJ15" s="517">
        <f>(W15/W11)*AL11</f>
        <v>1.25</v>
      </c>
      <c r="AK15" s="510">
        <f>IF(ISBLANK(S15),0,(S15/W11)*AL11)</f>
        <v>0</v>
      </c>
      <c r="AL15" s="511">
        <f t="shared" si="5"/>
        <v>0</v>
      </c>
      <c r="AM15" s="517">
        <f t="shared" si="10"/>
        <v>1.25</v>
      </c>
      <c r="AN15" s="518">
        <f t="shared" si="6"/>
        <v>1.25</v>
      </c>
      <c r="AO15" s="510">
        <f>IF(ISBLANK(S15),0,(S15/W61)*AN62)</f>
        <v>0</v>
      </c>
      <c r="AP15" s="511">
        <f t="shared" si="7"/>
        <v>0</v>
      </c>
      <c r="AQ15" s="519" t="s">
        <v>2342</v>
      </c>
      <c r="AR15" s="520" t="s">
        <v>2343</v>
      </c>
      <c r="AS15" s="520" t="s">
        <v>2344</v>
      </c>
      <c r="AT15" s="520">
        <v>3</v>
      </c>
      <c r="AV15" s="382" t="s">
        <v>2294</v>
      </c>
      <c r="AW15" s="628">
        <f>ROW()</f>
        <v>15</v>
      </c>
    </row>
    <row r="16" spans="1:81" ht="18.95" customHeight="1">
      <c r="A16" s="3914"/>
      <c r="B16" s="448" t="str">
        <f t="shared" si="1"/>
        <v>Estragon</v>
      </c>
      <c r="C16" s="442">
        <f>IF(G10=1,AG16,IF(G10=2,AK16,IF(G10=3,AO16,IF(G10=4,AS16))))</f>
        <v>1.25</v>
      </c>
      <c r="D16" s="443" t="str">
        <f>IF(G10=1,AH16,IF(G10=2,AL16,IF(G10=3,AP16,IF(G10=4,AT16))))</f>
        <v>bte</v>
      </c>
      <c r="E16" s="506">
        <f>IF(G10=1,AF16,IF(G10=2,AJ16,IF(G10=3,AN16,IF(G10=4,AR16))))</f>
        <v>0</v>
      </c>
      <c r="F16" s="444" t="str">
        <f>IF(G10=1,"",IF(E16=G16,"",AC16))</f>
        <v/>
      </c>
      <c r="G16" s="507" t="str">
        <f>IF(G10=1,"",IF(G10=2,AI16,IF(G10=3,AM16,IF(G10=4,AQ16))))</f>
        <v/>
      </c>
      <c r="H16" s="445">
        <f>W16/W61</f>
        <v>0</v>
      </c>
      <c r="I16" s="3916"/>
      <c r="J16" s="619">
        <f>LARGE(J13:J15,1)+1</f>
        <v>4</v>
      </c>
      <c r="K16" s="349"/>
      <c r="L16" s="349"/>
      <c r="M16" s="349"/>
      <c r="N16" s="349"/>
      <c r="O16" s="349"/>
      <c r="P16" s="349"/>
      <c r="Q16" s="3917"/>
      <c r="R16" s="133" t="s">
        <v>2310</v>
      </c>
      <c r="S16" s="591">
        <v>0.5</v>
      </c>
      <c r="T16" s="592" t="s">
        <v>218</v>
      </c>
      <c r="U16" s="593"/>
      <c r="V16" s="446" t="s">
        <v>2200</v>
      </c>
      <c r="W16" s="508">
        <f t="shared" si="2"/>
        <v>0</v>
      </c>
      <c r="X16" s="509">
        <f>(W16/W61)*X11</f>
        <v>0</v>
      </c>
      <c r="Y16" s="510">
        <f>IF(ISBLANK(S16),"",(S16/W61)*X11)</f>
        <v>0.5714285714285714</v>
      </c>
      <c r="Z16" s="511" t="str">
        <f t="shared" ref="Z16:Z60" si="11">T16</f>
        <v>bte</v>
      </c>
      <c r="AA16" s="447"/>
      <c r="AB16" s="512">
        <f>AA11</f>
        <v>0</v>
      </c>
      <c r="AC16" s="512">
        <f t="shared" si="8"/>
        <v>0</v>
      </c>
      <c r="AD16" s="513">
        <f t="shared" si="9"/>
        <v>1</v>
      </c>
      <c r="AF16" s="514">
        <f>((W16/W11)*AH11)</f>
        <v>0</v>
      </c>
      <c r="AG16" s="510">
        <f>IF(ISTEXT(S16),S16,IF(ISBLANK(S16),0,(S16/W11)*AH11))</f>
        <v>1.25</v>
      </c>
      <c r="AH16" s="515" t="str">
        <f t="shared" si="3"/>
        <v>bte</v>
      </c>
      <c r="AI16" s="516">
        <f t="shared" si="4"/>
        <v>0</v>
      </c>
      <c r="AJ16" s="517">
        <f>(W16/W11)*AL11</f>
        <v>0</v>
      </c>
      <c r="AK16" s="510">
        <f>IF(ISBLANK(S16),0,(S16/W11)*AL11)</f>
        <v>1.25</v>
      </c>
      <c r="AL16" s="511" t="str">
        <f t="shared" si="5"/>
        <v>bte</v>
      </c>
      <c r="AM16" s="517">
        <f t="shared" si="10"/>
        <v>0</v>
      </c>
      <c r="AN16" s="518">
        <f t="shared" si="6"/>
        <v>0</v>
      </c>
      <c r="AO16" s="510">
        <f>IF(ISBLANK(S16),0,(S16/W61)*AN62)</f>
        <v>1.25</v>
      </c>
      <c r="AP16" s="511" t="str">
        <f t="shared" si="7"/>
        <v>bte</v>
      </c>
      <c r="AQ16" s="519" t="s">
        <v>2342</v>
      </c>
      <c r="AR16" s="520" t="s">
        <v>2343</v>
      </c>
      <c r="AS16" s="520" t="s">
        <v>2344</v>
      </c>
      <c r="AT16" s="520">
        <v>3</v>
      </c>
      <c r="AV16" s="381" t="s">
        <v>2294</v>
      </c>
      <c r="AW16" s="629">
        <f>ROW()</f>
        <v>16</v>
      </c>
    </row>
    <row r="17" spans="1:49" ht="18.95" customHeight="1">
      <c r="A17" s="3914"/>
      <c r="B17" s="448" t="str">
        <f t="shared" si="1"/>
        <v>Glucose</v>
      </c>
      <c r="C17" s="442">
        <f>IF(G10=1,AG17,IF(G10=2,AK17,IF(G10=3,AO17,IF(G10=4,AS17))))</f>
        <v>0</v>
      </c>
      <c r="D17" s="443">
        <f>IF(G10=1,AH17,IF(G10=2,AL17,IF(G10=3,AP17,IF(G10=4,AT17))))</f>
        <v>0</v>
      </c>
      <c r="E17" s="506">
        <f>IF(G10=1,AF17,IF(G10=2,AJ17,IF(G10=3,AN17,IF(G10=4,AR17))))</f>
        <v>0.1875</v>
      </c>
      <c r="F17" s="444" t="str">
        <f>IF(G10=1,"",IF(E17=G17,"",AC17))</f>
        <v/>
      </c>
      <c r="G17" s="507" t="str">
        <f>IF(G10=1,"",IF(G10=2,AI17,IF(G10=3,AM17,IF(G10=4,AQ17))))</f>
        <v/>
      </c>
      <c r="H17" s="445">
        <f>W17/W61</f>
        <v>8.5714285714285715E-2</v>
      </c>
      <c r="I17" s="3916"/>
      <c r="J17" s="619">
        <f>LARGE(J13:J16,1)+1</f>
        <v>5</v>
      </c>
      <c r="K17" s="349"/>
      <c r="L17" s="349"/>
      <c r="M17" s="349"/>
      <c r="N17" s="349"/>
      <c r="O17" s="349"/>
      <c r="P17" s="349"/>
      <c r="Q17" s="3917"/>
      <c r="R17" s="133" t="s">
        <v>2310</v>
      </c>
      <c r="S17" s="591"/>
      <c r="T17" s="592"/>
      <c r="U17" s="593">
        <v>7.4999999999999997E-2</v>
      </c>
      <c r="V17" s="446" t="s">
        <v>2201</v>
      </c>
      <c r="W17" s="508">
        <f t="shared" si="2"/>
        <v>7.4999999999999997E-2</v>
      </c>
      <c r="X17" s="509">
        <f>(W17/W61)*X11</f>
        <v>8.5714285714285715E-2</v>
      </c>
      <c r="Y17" s="510" t="str">
        <f>IF(ISBLANK(S17),"",(S17/W61)*X11)</f>
        <v/>
      </c>
      <c r="Z17" s="511">
        <f t="shared" si="11"/>
        <v>0</v>
      </c>
      <c r="AA17" s="447"/>
      <c r="AB17" s="512">
        <f>AA11</f>
        <v>0</v>
      </c>
      <c r="AC17" s="512">
        <f t="shared" si="8"/>
        <v>0</v>
      </c>
      <c r="AD17" s="513">
        <f t="shared" si="9"/>
        <v>1</v>
      </c>
      <c r="AF17" s="514">
        <f>((W17/W11)*AH11)</f>
        <v>0.1875</v>
      </c>
      <c r="AG17" s="510">
        <f>IF(ISTEXT(S17),S17,IF(ISBLANK(S17),0,(S17/W11)*AH11))</f>
        <v>0</v>
      </c>
      <c r="AH17" s="515">
        <f t="shared" si="3"/>
        <v>0</v>
      </c>
      <c r="AI17" s="516">
        <f t="shared" si="4"/>
        <v>0.1875</v>
      </c>
      <c r="AJ17" s="517">
        <f>(W17/W11)*AL11</f>
        <v>0.1875</v>
      </c>
      <c r="AK17" s="510">
        <f>IF(ISBLANK(S17),0,(S17/W11)*AL11)</f>
        <v>0</v>
      </c>
      <c r="AL17" s="511">
        <f t="shared" si="5"/>
        <v>0</v>
      </c>
      <c r="AM17" s="517">
        <f t="shared" si="10"/>
        <v>0.1875</v>
      </c>
      <c r="AN17" s="518">
        <f t="shared" si="6"/>
        <v>0.1875</v>
      </c>
      <c r="AO17" s="510">
        <f>IF(ISBLANK(S17),0,(S17/W61)*AN62)</f>
        <v>0</v>
      </c>
      <c r="AP17" s="511">
        <f t="shared" si="7"/>
        <v>0</v>
      </c>
      <c r="AQ17" s="519" t="s">
        <v>2342</v>
      </c>
      <c r="AR17" s="520" t="s">
        <v>2343</v>
      </c>
      <c r="AS17" s="520" t="s">
        <v>2344</v>
      </c>
      <c r="AT17" s="520">
        <v>3</v>
      </c>
      <c r="AV17" s="382" t="s">
        <v>2294</v>
      </c>
      <c r="AW17" s="628">
        <f>ROW()</f>
        <v>17</v>
      </c>
    </row>
    <row r="18" spans="1:49" ht="18.95" customHeight="1">
      <c r="A18" s="3914"/>
      <c r="B18" s="441" t="str">
        <f t="shared" si="1"/>
        <v>Purée de bergamote</v>
      </c>
      <c r="C18" s="442">
        <f>IF(G10=1,AG18,IF(G10=2,AK18,IF(G10=3,AO18,IF(G10=4,AS18))))</f>
        <v>0</v>
      </c>
      <c r="D18" s="443">
        <f>IF(G10=1,AH18,IF(G10=2,AL18,IF(G10=3,AP18,IF(G10=4,AT18))))</f>
        <v>0</v>
      </c>
      <c r="E18" s="506">
        <f>IF(G10=1,AF18,IF(G10=2,AJ18,IF(G10=3,AN18,IF(G10=4,AR18))))</f>
        <v>0.625</v>
      </c>
      <c r="F18" s="444" t="str">
        <f>IF(G10=1,"",IF(E18=G18,"",AC18))</f>
        <v/>
      </c>
      <c r="G18" s="507" t="str">
        <f>IF(G10=1,"",IF(G10=2,AI18,IF(G10=3,AM18,IF(G10=4,AQ18))))</f>
        <v/>
      </c>
      <c r="H18" s="445">
        <f>W18/W61</f>
        <v>0.2857142857142857</v>
      </c>
      <c r="I18" s="3916"/>
      <c r="J18" s="619">
        <f>LARGE(J13:J17,1)+1</f>
        <v>6</v>
      </c>
      <c r="K18" s="349"/>
      <c r="L18" s="349"/>
      <c r="M18" s="349"/>
      <c r="N18" s="349"/>
      <c r="O18" s="349"/>
      <c r="P18" s="349"/>
      <c r="Q18" s="3917"/>
      <c r="R18" s="133" t="s">
        <v>2310</v>
      </c>
      <c r="S18" s="591"/>
      <c r="T18" s="592"/>
      <c r="U18" s="593">
        <v>0.25</v>
      </c>
      <c r="V18" s="446" t="s">
        <v>2202</v>
      </c>
      <c r="W18" s="508">
        <f t="shared" si="2"/>
        <v>0.25</v>
      </c>
      <c r="X18" s="509">
        <f>(W18/W61)*X11</f>
        <v>0.2857142857142857</v>
      </c>
      <c r="Y18" s="510" t="str">
        <f>IF(ISBLANK(S18),"",(S18/W61)*X11)</f>
        <v/>
      </c>
      <c r="Z18" s="511">
        <f t="shared" si="11"/>
        <v>0</v>
      </c>
      <c r="AA18" s="447"/>
      <c r="AB18" s="512">
        <f>AA11</f>
        <v>0</v>
      </c>
      <c r="AC18" s="512">
        <f t="shared" si="8"/>
        <v>0</v>
      </c>
      <c r="AD18" s="513">
        <f t="shared" si="9"/>
        <v>1</v>
      </c>
      <c r="AF18" s="514">
        <f>((W18/W11)*AH11)</f>
        <v>0.625</v>
      </c>
      <c r="AG18" s="510">
        <f>IF(ISTEXT(S18),S18,IF(ISBLANK(S18),0,(S18/W11)*AH11))</f>
        <v>0</v>
      </c>
      <c r="AH18" s="515">
        <f t="shared" si="3"/>
        <v>0</v>
      </c>
      <c r="AI18" s="516">
        <f t="shared" si="4"/>
        <v>0.625</v>
      </c>
      <c r="AJ18" s="517">
        <f>(W18/W11)*AL11</f>
        <v>0.625</v>
      </c>
      <c r="AK18" s="510">
        <f>IF(ISBLANK(S18),0,(S18/W11)*AL11)</f>
        <v>0</v>
      </c>
      <c r="AL18" s="511">
        <f t="shared" si="5"/>
        <v>0</v>
      </c>
      <c r="AM18" s="517">
        <f t="shared" si="10"/>
        <v>0.625</v>
      </c>
      <c r="AN18" s="518">
        <f t="shared" si="6"/>
        <v>0.625</v>
      </c>
      <c r="AO18" s="510">
        <f>IF(ISBLANK(S18),0,(S18/W61)*AN62)</f>
        <v>0</v>
      </c>
      <c r="AP18" s="511">
        <f t="shared" si="7"/>
        <v>0</v>
      </c>
      <c r="AQ18" s="519" t="s">
        <v>2342</v>
      </c>
      <c r="AR18" s="520" t="s">
        <v>2343</v>
      </c>
      <c r="AS18" s="520" t="s">
        <v>2344</v>
      </c>
      <c r="AT18" s="520">
        <v>3</v>
      </c>
      <c r="AV18" s="381" t="s">
        <v>2294</v>
      </c>
      <c r="AW18" s="629">
        <f>ROW()</f>
        <v>18</v>
      </c>
    </row>
    <row r="19" spans="1:49" ht="18.95" customHeight="1">
      <c r="A19" s="3914"/>
      <c r="B19" s="441" t="str">
        <f t="shared" si="1"/>
        <v>Sucre</v>
      </c>
      <c r="C19" s="442">
        <f>IF(G10=1,AG19,IF(G10=2,AK19,IF(G10=3,AO19,IF(G10=4,AS19))))</f>
        <v>0</v>
      </c>
      <c r="D19" s="443">
        <f>IF(G10=1,AH19,IF(G10=2,AL19,IF(G10=3,AP19,IF(G10=4,AT19))))</f>
        <v>0</v>
      </c>
      <c r="E19" s="506">
        <f>IF(G10=1,AF19,IF(G10=2,AJ19,IF(G10=3,AN19,IF(G10=4,AR19))))</f>
        <v>0.125</v>
      </c>
      <c r="F19" s="444" t="str">
        <f>IF(G10=1,"",IF(E19=G19,"",AC19))</f>
        <v/>
      </c>
      <c r="G19" s="507" t="str">
        <f>IF(G10=1,"",IF(G10=2,AI19,IF(G10=3,AM19,IF(G10=4,AQ19))))</f>
        <v/>
      </c>
      <c r="H19" s="445">
        <f>W19/W61</f>
        <v>5.7142857142857148E-2</v>
      </c>
      <c r="I19" s="3916"/>
      <c r="J19" s="619">
        <f>LARGE(J13:J18,1)+1</f>
        <v>7</v>
      </c>
      <c r="K19" s="349"/>
      <c r="L19" s="349"/>
      <c r="M19" s="349"/>
      <c r="N19" s="349"/>
      <c r="O19" s="349"/>
      <c r="P19" s="349"/>
      <c r="Q19" s="3917"/>
      <c r="R19" s="133" t="s">
        <v>2310</v>
      </c>
      <c r="S19" s="591"/>
      <c r="T19" s="592"/>
      <c r="U19" s="593">
        <v>0.05</v>
      </c>
      <c r="V19" s="446" t="s">
        <v>2203</v>
      </c>
      <c r="W19" s="508">
        <f t="shared" si="2"/>
        <v>0.05</v>
      </c>
      <c r="X19" s="509">
        <f>(W19/W61)*X11</f>
        <v>5.7142857142857148E-2</v>
      </c>
      <c r="Y19" s="510" t="str">
        <f>IF(ISBLANK(S19),"",(S19/W61)*X11)</f>
        <v/>
      </c>
      <c r="Z19" s="511">
        <f t="shared" si="11"/>
        <v>0</v>
      </c>
      <c r="AA19" s="447"/>
      <c r="AB19" s="512">
        <f>AA11</f>
        <v>0</v>
      </c>
      <c r="AC19" s="512">
        <f t="shared" si="8"/>
        <v>0</v>
      </c>
      <c r="AD19" s="513">
        <f t="shared" si="9"/>
        <v>1</v>
      </c>
      <c r="AF19" s="514">
        <f>((W19/W11)*AH11)</f>
        <v>0.125</v>
      </c>
      <c r="AG19" s="510">
        <f>IF(ISTEXT(S19),S19,IF(ISBLANK(S19),0,(S19/W11)*AH11))</f>
        <v>0</v>
      </c>
      <c r="AH19" s="515">
        <f t="shared" si="3"/>
        <v>0</v>
      </c>
      <c r="AI19" s="516">
        <f t="shared" si="4"/>
        <v>0.125</v>
      </c>
      <c r="AJ19" s="517">
        <f>(W19/W11)*AL11</f>
        <v>0.125</v>
      </c>
      <c r="AK19" s="510">
        <f>IF(ISBLANK(S19),0,(S19/W11)*AL11)</f>
        <v>0</v>
      </c>
      <c r="AL19" s="511">
        <f t="shared" si="5"/>
        <v>0</v>
      </c>
      <c r="AM19" s="517">
        <f t="shared" si="10"/>
        <v>0.125</v>
      </c>
      <c r="AN19" s="518">
        <f t="shared" si="6"/>
        <v>0.125</v>
      </c>
      <c r="AO19" s="510">
        <f>IF(ISBLANK(S19),0,(S19/W61)*AN62)</f>
        <v>0</v>
      </c>
      <c r="AP19" s="511">
        <f t="shared" si="7"/>
        <v>0</v>
      </c>
      <c r="AQ19" s="519" t="s">
        <v>2342</v>
      </c>
      <c r="AR19" s="520" t="s">
        <v>2343</v>
      </c>
      <c r="AS19" s="520" t="s">
        <v>2344</v>
      </c>
      <c r="AT19" s="520">
        <v>3</v>
      </c>
      <c r="AV19" s="382" t="s">
        <v>2294</v>
      </c>
      <c r="AW19" s="628">
        <f>ROW()</f>
        <v>19</v>
      </c>
    </row>
    <row r="20" spans="1:49" ht="18.95" customHeight="1">
      <c r="A20" s="3914"/>
      <c r="B20" s="441">
        <f t="shared" si="1"/>
        <v>0</v>
      </c>
      <c r="C20" s="442">
        <f>IF(G10=1,AG20,IF(G10=2,AK20,IF(G10=3,AO20,IF(G10=4,AS20))))</f>
        <v>0</v>
      </c>
      <c r="D20" s="443">
        <f>IF(G10=1,AH20,IF(G10=2,AL20,IF(G10=3,AP20,IF(G10=4,AT20))))</f>
        <v>0</v>
      </c>
      <c r="E20" s="506">
        <f>IF(G10=1,AF20,IF(G10=2,AJ20,IF(G10=3,AN20,IF(G10=4,AR20))))</f>
        <v>0</v>
      </c>
      <c r="F20" s="444" t="str">
        <f>IF(G10=1,"",IF(E20=G20,"",AC20))</f>
        <v/>
      </c>
      <c r="G20" s="507" t="str">
        <f>IF(G10=1,"",IF(G10=2,AI20,IF(G10=3,AM20,IF(G10=4,AQ20))))</f>
        <v/>
      </c>
      <c r="H20" s="445">
        <f>W20/W61</f>
        <v>0</v>
      </c>
      <c r="I20" s="3916"/>
      <c r="J20" s="619">
        <f>LARGE(J13:J19,1)+1</f>
        <v>8</v>
      </c>
      <c r="K20" s="349"/>
      <c r="L20" s="349"/>
      <c r="M20" s="349"/>
      <c r="N20" s="349"/>
      <c r="O20" s="349"/>
      <c r="P20" s="349"/>
      <c r="Q20" s="3917"/>
      <c r="R20" s="133" t="s">
        <v>2310</v>
      </c>
      <c r="S20" s="591"/>
      <c r="T20" s="592"/>
      <c r="U20" s="593"/>
      <c r="V20" s="446"/>
      <c r="W20" s="508">
        <f t="shared" si="2"/>
        <v>0</v>
      </c>
      <c r="X20" s="509">
        <f>(W20/W61)*X11</f>
        <v>0</v>
      </c>
      <c r="Y20" s="510" t="str">
        <f>IF(ISBLANK(S20),"",(S20/W61)*X11)</f>
        <v/>
      </c>
      <c r="Z20" s="511">
        <f t="shared" si="11"/>
        <v>0</v>
      </c>
      <c r="AA20" s="447"/>
      <c r="AB20" s="512">
        <f>AA11</f>
        <v>0</v>
      </c>
      <c r="AC20" s="512">
        <f t="shared" si="8"/>
        <v>0</v>
      </c>
      <c r="AD20" s="513">
        <f t="shared" si="9"/>
        <v>1</v>
      </c>
      <c r="AF20" s="514">
        <f>((W20/W11)*AH11)</f>
        <v>0</v>
      </c>
      <c r="AG20" s="510">
        <f>IF(ISTEXT(S20),S20,IF(ISBLANK(S20),0,(S20/W11)*AH11))</f>
        <v>0</v>
      </c>
      <c r="AH20" s="515">
        <f t="shared" si="3"/>
        <v>0</v>
      </c>
      <c r="AI20" s="516">
        <f t="shared" si="4"/>
        <v>0</v>
      </c>
      <c r="AJ20" s="517">
        <f>(W20/W11)*AL11</f>
        <v>0</v>
      </c>
      <c r="AK20" s="510">
        <f>IF(ISBLANK(S20),0,(S20/W11)*AL11)</f>
        <v>0</v>
      </c>
      <c r="AL20" s="511">
        <f t="shared" si="5"/>
        <v>0</v>
      </c>
      <c r="AM20" s="517">
        <f t="shared" si="10"/>
        <v>0</v>
      </c>
      <c r="AN20" s="518">
        <f t="shared" si="6"/>
        <v>0</v>
      </c>
      <c r="AO20" s="510">
        <f>IF(ISBLANK(S20),0,(S20/W61)*AN62)</f>
        <v>0</v>
      </c>
      <c r="AP20" s="511">
        <f t="shared" si="7"/>
        <v>0</v>
      </c>
      <c r="AQ20" s="519" t="s">
        <v>2342</v>
      </c>
      <c r="AR20" s="520" t="s">
        <v>2343</v>
      </c>
      <c r="AS20" s="520" t="s">
        <v>2344</v>
      </c>
      <c r="AT20" s="520">
        <v>3</v>
      </c>
      <c r="AV20" s="381" t="s">
        <v>2294</v>
      </c>
      <c r="AW20" s="629">
        <f>ROW()</f>
        <v>20</v>
      </c>
    </row>
    <row r="21" spans="1:49" ht="18.95" customHeight="1">
      <c r="A21" s="3914"/>
      <c r="B21" s="441">
        <f t="shared" si="1"/>
        <v>0</v>
      </c>
      <c r="C21" s="442">
        <f>IF(G10=1,AG21,IF(G10=2,AK21,IF(G10=3,AO21,IF(G10=4,AS21))))</f>
        <v>0</v>
      </c>
      <c r="D21" s="443">
        <f>IF(G10=1,AH21,IF(G10=2,AL21,IF(G10=3,AP21,IF(G10=4,AT21))))</f>
        <v>0</v>
      </c>
      <c r="E21" s="506">
        <f>IF(G10=1,AF21,IF(G10=2,AJ21,IF(G10=3,AN21,IF(G10=4,AR21))))</f>
        <v>0</v>
      </c>
      <c r="F21" s="444" t="str">
        <f>IF(G10=1,"",IF(E21=G21,"",AC21))</f>
        <v/>
      </c>
      <c r="G21" s="507" t="str">
        <f>IF(G10=1,"",IF(G10=2,AI21,IF(G10=3,AM21,IF(G10=4,AQ21))))</f>
        <v/>
      </c>
      <c r="H21" s="445">
        <f>W21/W61</f>
        <v>0</v>
      </c>
      <c r="I21" s="3916"/>
      <c r="J21" s="619">
        <f>LARGE(J13:J20,1)+1</f>
        <v>9</v>
      </c>
      <c r="K21" s="349"/>
      <c r="L21" s="349"/>
      <c r="M21" s="349"/>
      <c r="N21" s="349"/>
      <c r="O21" s="349"/>
      <c r="P21" s="349"/>
      <c r="Q21" s="3917"/>
      <c r="R21" s="133" t="s">
        <v>2310</v>
      </c>
      <c r="S21" s="591"/>
      <c r="T21" s="592"/>
      <c r="U21" s="593"/>
      <c r="V21" s="446"/>
      <c r="W21" s="508">
        <f t="shared" si="2"/>
        <v>0</v>
      </c>
      <c r="X21" s="509">
        <f>(W21/W61)*X11</f>
        <v>0</v>
      </c>
      <c r="Y21" s="510" t="str">
        <f>IF(ISBLANK(S21),"",(S21/W61)*X11)</f>
        <v/>
      </c>
      <c r="Z21" s="511">
        <f t="shared" si="11"/>
        <v>0</v>
      </c>
      <c r="AA21" s="447"/>
      <c r="AB21" s="512">
        <f>AA11</f>
        <v>0</v>
      </c>
      <c r="AC21" s="512">
        <f t="shared" si="8"/>
        <v>0</v>
      </c>
      <c r="AD21" s="513">
        <f t="shared" si="9"/>
        <v>1</v>
      </c>
      <c r="AF21" s="514">
        <f>((W21/W11)*AH11)</f>
        <v>0</v>
      </c>
      <c r="AG21" s="510">
        <f>IF(ISTEXT(S21),S21,IF(ISBLANK(S21),0,(S21/W11)*AH11))</f>
        <v>0</v>
      </c>
      <c r="AH21" s="515">
        <f t="shared" si="3"/>
        <v>0</v>
      </c>
      <c r="AI21" s="516">
        <f t="shared" si="4"/>
        <v>0</v>
      </c>
      <c r="AJ21" s="517">
        <f>(W21/W11)*AL11</f>
        <v>0</v>
      </c>
      <c r="AK21" s="510">
        <f>IF(ISBLANK(S21),0,(S21/W11)*AL11)</f>
        <v>0</v>
      </c>
      <c r="AL21" s="511">
        <f t="shared" si="5"/>
        <v>0</v>
      </c>
      <c r="AM21" s="517">
        <f t="shared" si="10"/>
        <v>0</v>
      </c>
      <c r="AN21" s="518">
        <f t="shared" si="6"/>
        <v>0</v>
      </c>
      <c r="AO21" s="510">
        <f>IF(ISBLANK(S21),0,(S21/W61)*AN62)</f>
        <v>0</v>
      </c>
      <c r="AP21" s="511">
        <f t="shared" si="7"/>
        <v>0</v>
      </c>
      <c r="AQ21" s="519" t="s">
        <v>2342</v>
      </c>
      <c r="AR21" s="520" t="s">
        <v>2343</v>
      </c>
      <c r="AS21" s="520" t="s">
        <v>2344</v>
      </c>
      <c r="AT21" s="520">
        <v>3</v>
      </c>
      <c r="AV21" s="382" t="s">
        <v>2294</v>
      </c>
      <c r="AW21" s="628">
        <f>ROW()</f>
        <v>21</v>
      </c>
    </row>
    <row r="22" spans="1:49" ht="18.95" customHeight="1">
      <c r="A22" s="3914"/>
      <c r="B22" s="441">
        <f t="shared" si="1"/>
        <v>0</v>
      </c>
      <c r="C22" s="442">
        <f>IF(G10=1,AG22,IF(G10=2,AK22,IF(G10=3,AO22,IF(G10=4,AS22))))</f>
        <v>0</v>
      </c>
      <c r="D22" s="443">
        <f>IF(G10=1,AH22,IF(G10=2,AL22,IF(G10=3,AP22,IF(G10=4,AT22))))</f>
        <v>0</v>
      </c>
      <c r="E22" s="506">
        <f>IF(G10=1,AF22,IF(G10=2,AJ22,IF(G10=3,AN22,IF(G10=4,AR22))))</f>
        <v>0</v>
      </c>
      <c r="F22" s="444" t="str">
        <f>IF(G10=1,"",IF(E22=G22,"",AC22))</f>
        <v/>
      </c>
      <c r="G22" s="507" t="str">
        <f>IF(G10=1,"",IF(G10=2,AI22,IF(G10=3,AM22,IF(G10=4,AQ22))))</f>
        <v/>
      </c>
      <c r="H22" s="445">
        <f>W22/W61</f>
        <v>0</v>
      </c>
      <c r="I22" s="3916"/>
      <c r="J22" s="619">
        <f>LARGE(J13:J21,1)+1</f>
        <v>10</v>
      </c>
      <c r="K22" s="349"/>
      <c r="L22" s="349"/>
      <c r="M22" s="349"/>
      <c r="N22" s="349"/>
      <c r="O22" s="349"/>
      <c r="P22" s="349"/>
      <c r="Q22" s="3917"/>
      <c r="R22" s="133" t="s">
        <v>2310</v>
      </c>
      <c r="S22" s="591"/>
      <c r="T22" s="592"/>
      <c r="U22" s="593"/>
      <c r="V22" s="446"/>
      <c r="W22" s="508">
        <f t="shared" si="2"/>
        <v>0</v>
      </c>
      <c r="X22" s="509">
        <f>(W22/W61)*X11</f>
        <v>0</v>
      </c>
      <c r="Y22" s="510" t="str">
        <f>IF(ISBLANK(S22),"",(S22/W61)*X11)</f>
        <v/>
      </c>
      <c r="Z22" s="511">
        <f t="shared" si="11"/>
        <v>0</v>
      </c>
      <c r="AA22" s="447"/>
      <c r="AB22" s="512">
        <f>AA11</f>
        <v>0</v>
      </c>
      <c r="AC22" s="512">
        <f t="shared" si="8"/>
        <v>0</v>
      </c>
      <c r="AD22" s="513">
        <f t="shared" si="9"/>
        <v>1</v>
      </c>
      <c r="AF22" s="514">
        <f>((W22/W11)*AH11)</f>
        <v>0</v>
      </c>
      <c r="AG22" s="510">
        <f>IF(ISTEXT(S22),S22,IF(ISBLANK(S22),0,(S22/W11)*AH11))</f>
        <v>0</v>
      </c>
      <c r="AH22" s="515">
        <f t="shared" si="3"/>
        <v>0</v>
      </c>
      <c r="AI22" s="516">
        <f t="shared" si="4"/>
        <v>0</v>
      </c>
      <c r="AJ22" s="517">
        <f>(W22/W11)*AL11</f>
        <v>0</v>
      </c>
      <c r="AK22" s="510">
        <f>IF(ISBLANK(S22),0,(S22/W11)*AL11)</f>
        <v>0</v>
      </c>
      <c r="AL22" s="511">
        <f t="shared" si="5"/>
        <v>0</v>
      </c>
      <c r="AM22" s="517">
        <f t="shared" si="10"/>
        <v>0</v>
      </c>
      <c r="AN22" s="518">
        <f t="shared" si="6"/>
        <v>0</v>
      </c>
      <c r="AO22" s="510">
        <f>IF(ISBLANK(S22),0,(S22/W61)*AN62)</f>
        <v>0</v>
      </c>
      <c r="AP22" s="511">
        <f t="shared" si="7"/>
        <v>0</v>
      </c>
      <c r="AQ22" s="519" t="s">
        <v>2342</v>
      </c>
      <c r="AR22" s="520" t="s">
        <v>2343</v>
      </c>
      <c r="AS22" s="520" t="s">
        <v>2344</v>
      </c>
      <c r="AT22" s="520">
        <v>3</v>
      </c>
      <c r="AV22" s="381" t="s">
        <v>2294</v>
      </c>
      <c r="AW22" s="629">
        <f>ROW()</f>
        <v>22</v>
      </c>
    </row>
    <row r="23" spans="1:49" ht="18.95" customHeight="1">
      <c r="A23" s="3914"/>
      <c r="B23" s="441">
        <f t="shared" si="1"/>
        <v>0</v>
      </c>
      <c r="C23" s="442">
        <f>IF(G10=1,AG23,IF(G10=2,AK23,IF(G10=3,AO23,IF(G10=4,AS23))))</f>
        <v>0</v>
      </c>
      <c r="D23" s="443">
        <f>IF(G10=1,AH23,IF(G10=2,AL23,IF(G10=3,AP23,IF(G10=4,AT23))))</f>
        <v>0</v>
      </c>
      <c r="E23" s="506">
        <f>IF(G10=1,AF23,IF(G10=2,AJ23,IF(G10=3,AN23,IF(G10=4,AR23))))</f>
        <v>0</v>
      </c>
      <c r="F23" s="444" t="str">
        <f>IF(G10=1,"",IF(E23=G23,"",AC23))</f>
        <v/>
      </c>
      <c r="G23" s="507" t="str">
        <f>IF(G10=1,"",IF(G10=2,AI23,IF(G10=3,AM23,IF(G10=4,AQ23))))</f>
        <v/>
      </c>
      <c r="H23" s="445">
        <f>W23/W61</f>
        <v>0</v>
      </c>
      <c r="I23" s="3916"/>
      <c r="J23" s="619">
        <f>LARGE(J13:J22,1)+1</f>
        <v>11</v>
      </c>
      <c r="K23" s="349"/>
      <c r="L23" s="349"/>
      <c r="M23" s="349"/>
      <c r="N23" s="349"/>
      <c r="O23" s="349"/>
      <c r="P23" s="349"/>
      <c r="Q23" s="3917"/>
      <c r="R23" s="133" t="s">
        <v>2310</v>
      </c>
      <c r="S23" s="591"/>
      <c r="T23" s="592"/>
      <c r="U23" s="593"/>
      <c r="V23" s="446"/>
      <c r="W23" s="508">
        <f t="shared" si="2"/>
        <v>0</v>
      </c>
      <c r="X23" s="509">
        <f>(W23/W61)*X11</f>
        <v>0</v>
      </c>
      <c r="Y23" s="510" t="str">
        <f>IF(ISBLANK(S23),"",(S23/W61)*X11)</f>
        <v/>
      </c>
      <c r="Z23" s="511">
        <f t="shared" si="11"/>
        <v>0</v>
      </c>
      <c r="AA23" s="447"/>
      <c r="AB23" s="512">
        <f>AA11</f>
        <v>0</v>
      </c>
      <c r="AC23" s="512">
        <f t="shared" si="8"/>
        <v>0</v>
      </c>
      <c r="AD23" s="513">
        <f t="shared" si="9"/>
        <v>1</v>
      </c>
      <c r="AF23" s="514">
        <f>((W23/W11)*AH11)</f>
        <v>0</v>
      </c>
      <c r="AG23" s="510">
        <f>IF(ISTEXT(S23),S23,IF(ISBLANK(S23),0,(S23/W11)*AH11))</f>
        <v>0</v>
      </c>
      <c r="AH23" s="515">
        <f t="shared" si="3"/>
        <v>0</v>
      </c>
      <c r="AI23" s="516">
        <f t="shared" si="4"/>
        <v>0</v>
      </c>
      <c r="AJ23" s="517">
        <f>(W23/W11)*AL11</f>
        <v>0</v>
      </c>
      <c r="AK23" s="510">
        <f>IF(ISBLANK(S23),0,(S23/W11)*AL11)</f>
        <v>0</v>
      </c>
      <c r="AL23" s="511">
        <f t="shared" si="5"/>
        <v>0</v>
      </c>
      <c r="AM23" s="517">
        <f t="shared" si="10"/>
        <v>0</v>
      </c>
      <c r="AN23" s="518">
        <f t="shared" si="6"/>
        <v>0</v>
      </c>
      <c r="AO23" s="510">
        <f>IF(ISBLANK(S23),0,(S23/W61)*AN62)</f>
        <v>0</v>
      </c>
      <c r="AP23" s="511">
        <f t="shared" si="7"/>
        <v>0</v>
      </c>
      <c r="AQ23" s="519" t="s">
        <v>2342</v>
      </c>
      <c r="AR23" s="520" t="s">
        <v>2343</v>
      </c>
      <c r="AS23" s="520" t="s">
        <v>2344</v>
      </c>
      <c r="AT23" s="520">
        <v>3</v>
      </c>
      <c r="AV23" s="382" t="s">
        <v>2294</v>
      </c>
      <c r="AW23" s="628">
        <f>ROW()</f>
        <v>23</v>
      </c>
    </row>
    <row r="24" spans="1:49" ht="18.95" customHeight="1">
      <c r="A24" s="3914"/>
      <c r="B24" s="441">
        <f t="shared" si="1"/>
        <v>0</v>
      </c>
      <c r="C24" s="442">
        <f>IF(G10=1,AG24,IF(G10=2,AK24,IF(G10=3,AO24,IF(G10=4,AS24))))</f>
        <v>0</v>
      </c>
      <c r="D24" s="443">
        <f>IF(G10=1,AH24,IF(G10=2,AL24,IF(G10=3,AP24,IF(G10=4,AT24))))</f>
        <v>0</v>
      </c>
      <c r="E24" s="506">
        <f>IF(G10=1,AF24,IF(G10=2,AJ24,IF(G10=3,AN24,IF(G10=4,AR24))))</f>
        <v>0</v>
      </c>
      <c r="F24" s="444" t="str">
        <f>IF(G10=1,"",IF(E24=G24,"",AC24))</f>
        <v/>
      </c>
      <c r="G24" s="507" t="str">
        <f>IF(G10=1,"",IF(G10=2,AI24,IF(G10=3,AM24,IF(G10=4,AQ24))))</f>
        <v/>
      </c>
      <c r="H24" s="445">
        <f>W24/W61</f>
        <v>0</v>
      </c>
      <c r="I24" s="3916"/>
      <c r="J24" s="619">
        <f>LARGE(J13:J23,1)+1</f>
        <v>12</v>
      </c>
      <c r="K24" s="349"/>
      <c r="L24" s="349"/>
      <c r="M24" s="349"/>
      <c r="N24" s="349"/>
      <c r="O24" s="349"/>
      <c r="P24" s="349"/>
      <c r="Q24" s="3917"/>
      <c r="R24" s="133" t="s">
        <v>2310</v>
      </c>
      <c r="S24" s="591"/>
      <c r="T24" s="592"/>
      <c r="U24" s="593"/>
      <c r="V24" s="446"/>
      <c r="W24" s="508">
        <f t="shared" si="2"/>
        <v>0</v>
      </c>
      <c r="X24" s="509">
        <f>(W24/W61)*X11</f>
        <v>0</v>
      </c>
      <c r="Y24" s="510" t="str">
        <f>IF(ISBLANK(S24),"",(S24/W61)*X11)</f>
        <v/>
      </c>
      <c r="Z24" s="511">
        <f t="shared" si="11"/>
        <v>0</v>
      </c>
      <c r="AA24" s="447"/>
      <c r="AB24" s="512">
        <f>AA11</f>
        <v>0</v>
      </c>
      <c r="AC24" s="512">
        <f t="shared" si="8"/>
        <v>0</v>
      </c>
      <c r="AD24" s="513">
        <f t="shared" si="9"/>
        <v>1</v>
      </c>
      <c r="AF24" s="514">
        <f>((W24/W11)*AH11)</f>
        <v>0</v>
      </c>
      <c r="AG24" s="510">
        <f>IF(ISTEXT(S24),S24,IF(ISBLANK(S24),0,(S24/W11)*AH11))</f>
        <v>0</v>
      </c>
      <c r="AH24" s="515">
        <f t="shared" si="3"/>
        <v>0</v>
      </c>
      <c r="AI24" s="516">
        <f t="shared" si="4"/>
        <v>0</v>
      </c>
      <c r="AJ24" s="517">
        <f>(W24/W11)*AL11</f>
        <v>0</v>
      </c>
      <c r="AK24" s="510">
        <f>IF(ISBLANK(S24),0,(S24/W11)*AL11)</f>
        <v>0</v>
      </c>
      <c r="AL24" s="511">
        <f t="shared" si="5"/>
        <v>0</v>
      </c>
      <c r="AM24" s="517">
        <f t="shared" si="10"/>
        <v>0</v>
      </c>
      <c r="AN24" s="518">
        <f t="shared" si="6"/>
        <v>0</v>
      </c>
      <c r="AO24" s="510">
        <f>IF(ISBLANK(S24),0,(S24/W61)*AN62)</f>
        <v>0</v>
      </c>
      <c r="AP24" s="511">
        <f t="shared" si="7"/>
        <v>0</v>
      </c>
      <c r="AQ24" s="519" t="s">
        <v>2342</v>
      </c>
      <c r="AR24" s="520" t="s">
        <v>2343</v>
      </c>
      <c r="AS24" s="520" t="s">
        <v>2344</v>
      </c>
      <c r="AT24" s="520">
        <v>3</v>
      </c>
      <c r="AV24" s="381" t="s">
        <v>2294</v>
      </c>
      <c r="AW24" s="629">
        <f>ROW()</f>
        <v>24</v>
      </c>
    </row>
    <row r="25" spans="1:49" ht="18.95" customHeight="1">
      <c r="A25" s="3914"/>
      <c r="B25" s="441">
        <f t="shared" si="1"/>
        <v>0</v>
      </c>
      <c r="C25" s="442">
        <f>IF(G10=1,AG25,IF(G10=2,AK25,IF(G10=3,AO25,IF(G10=4,AS25))))</f>
        <v>0</v>
      </c>
      <c r="D25" s="443">
        <f>IF(G10=1,AH25,IF(G10=2,AL25,IF(G10=3,AP25,IF(G10=4,AT25))))</f>
        <v>0</v>
      </c>
      <c r="E25" s="506">
        <f>IF(G10=1,AF25,IF(G10=2,AJ25,IF(G10=3,AN25,IF(G10=4,AR25))))</f>
        <v>0</v>
      </c>
      <c r="F25" s="444" t="str">
        <f>IF(G10=1,"",IF(E25=G25,"",AC25))</f>
        <v/>
      </c>
      <c r="G25" s="507" t="str">
        <f>IF(G10=1,"",IF(G10=2,AI25,IF(G10=3,AM25,IF(G10=4,AQ25))))</f>
        <v/>
      </c>
      <c r="H25" s="445">
        <f>W25/W61</f>
        <v>0</v>
      </c>
      <c r="I25" s="3916"/>
      <c r="J25" s="619">
        <f>LARGE(J13:J24,1)+1</f>
        <v>13</v>
      </c>
      <c r="K25" s="349"/>
      <c r="L25" s="349"/>
      <c r="M25" s="349"/>
      <c r="N25" s="349"/>
      <c r="O25" s="349"/>
      <c r="P25" s="349"/>
      <c r="Q25" s="3917"/>
      <c r="R25" s="133" t="s">
        <v>2310</v>
      </c>
      <c r="S25" s="591"/>
      <c r="T25" s="592"/>
      <c r="U25" s="593"/>
      <c r="V25" s="446"/>
      <c r="W25" s="508">
        <f t="shared" si="2"/>
        <v>0</v>
      </c>
      <c r="X25" s="509">
        <f>(W25/W61)*X11</f>
        <v>0</v>
      </c>
      <c r="Y25" s="510" t="str">
        <f>IF(ISBLANK(S25),"",(S25/W61)*X11)</f>
        <v/>
      </c>
      <c r="Z25" s="511">
        <f t="shared" si="11"/>
        <v>0</v>
      </c>
      <c r="AA25" s="447"/>
      <c r="AB25" s="512">
        <f>AA11</f>
        <v>0</v>
      </c>
      <c r="AC25" s="512">
        <f t="shared" si="8"/>
        <v>0</v>
      </c>
      <c r="AD25" s="513">
        <f t="shared" si="9"/>
        <v>1</v>
      </c>
      <c r="AF25" s="514">
        <f>((W25/W11)*AH11)</f>
        <v>0</v>
      </c>
      <c r="AG25" s="510">
        <f>IF(ISTEXT(S25),S25,IF(ISBLANK(S25),0,(S25/W11)*AH11))</f>
        <v>0</v>
      </c>
      <c r="AH25" s="515">
        <f t="shared" si="3"/>
        <v>0</v>
      </c>
      <c r="AI25" s="516">
        <f t="shared" si="4"/>
        <v>0</v>
      </c>
      <c r="AJ25" s="517">
        <f>(W25/W11)*AL11</f>
        <v>0</v>
      </c>
      <c r="AK25" s="510">
        <f>IF(ISBLANK(S25),0,(S25/W11)*AL11)</f>
        <v>0</v>
      </c>
      <c r="AL25" s="511">
        <f t="shared" si="5"/>
        <v>0</v>
      </c>
      <c r="AM25" s="517">
        <f t="shared" si="10"/>
        <v>0</v>
      </c>
      <c r="AN25" s="518">
        <f t="shared" si="6"/>
        <v>0</v>
      </c>
      <c r="AO25" s="510">
        <f>IF(ISBLANK(S25),0,(S25/W61)*AN62)</f>
        <v>0</v>
      </c>
      <c r="AP25" s="511">
        <f t="shared" si="7"/>
        <v>0</v>
      </c>
      <c r="AQ25" s="519" t="s">
        <v>2342</v>
      </c>
      <c r="AR25" s="520" t="s">
        <v>2343</v>
      </c>
      <c r="AS25" s="520" t="s">
        <v>2344</v>
      </c>
      <c r="AT25" s="520">
        <v>3</v>
      </c>
      <c r="AV25" s="382" t="s">
        <v>2294</v>
      </c>
      <c r="AW25" s="628">
        <f>ROW()</f>
        <v>25</v>
      </c>
    </row>
    <row r="26" spans="1:49" ht="18.95" customHeight="1">
      <c r="A26" s="3914"/>
      <c r="B26" s="441">
        <f t="shared" si="1"/>
        <v>0</v>
      </c>
      <c r="C26" s="442">
        <f>IF(G10=1,AG26,IF(G10=2,AK26,IF(G10=3,AO26,IF(G10=4,AS26))))</f>
        <v>0</v>
      </c>
      <c r="D26" s="443">
        <f>IF(G10=1,AH26,IF(G10=2,AL26,IF(G10=3,AP26,IF(G10=4,AT26))))</f>
        <v>0</v>
      </c>
      <c r="E26" s="506">
        <f>IF(G10=1,AF26,IF(G10=2,AJ26,IF(G10=3,AN26,IF(G10=4,AR26))))</f>
        <v>0</v>
      </c>
      <c r="F26" s="444" t="str">
        <f>IF(G10=1,"",IF(E26=G26,"",AC26))</f>
        <v/>
      </c>
      <c r="G26" s="507" t="str">
        <f>IF(G10=1,"",IF(G10=2,AI26,IF(G10=3,AM26,IF(G10=4,AQ26))))</f>
        <v/>
      </c>
      <c r="H26" s="445">
        <f>W26/W61</f>
        <v>0</v>
      </c>
      <c r="I26" s="3916"/>
      <c r="J26" s="619">
        <f>LARGE(J13:J25,1)+1</f>
        <v>14</v>
      </c>
      <c r="K26" s="349"/>
      <c r="L26" s="349"/>
      <c r="M26" s="349"/>
      <c r="N26" s="349"/>
      <c r="O26" s="349"/>
      <c r="P26" s="349"/>
      <c r="Q26" s="3917"/>
      <c r="R26" s="133" t="s">
        <v>2310</v>
      </c>
      <c r="S26" s="591"/>
      <c r="T26" s="592"/>
      <c r="U26" s="593"/>
      <c r="V26" s="446"/>
      <c r="W26" s="508">
        <f t="shared" si="2"/>
        <v>0</v>
      </c>
      <c r="X26" s="509">
        <f>(W26/W61)*X11</f>
        <v>0</v>
      </c>
      <c r="Y26" s="510" t="str">
        <f>IF(ISBLANK(S26),"",(S26/W61)*X11)</f>
        <v/>
      </c>
      <c r="Z26" s="511">
        <f t="shared" si="11"/>
        <v>0</v>
      </c>
      <c r="AA26" s="447"/>
      <c r="AB26" s="512">
        <f>AA11</f>
        <v>0</v>
      </c>
      <c r="AC26" s="512">
        <f t="shared" si="8"/>
        <v>0</v>
      </c>
      <c r="AD26" s="513">
        <f t="shared" si="9"/>
        <v>1</v>
      </c>
      <c r="AF26" s="514">
        <f>((W26/W11)*AH11)</f>
        <v>0</v>
      </c>
      <c r="AG26" s="510">
        <f>IF(ISTEXT(S26),S26,IF(ISBLANK(S26),0,(S26/W11)*AH11))</f>
        <v>0</v>
      </c>
      <c r="AH26" s="515">
        <f t="shared" si="3"/>
        <v>0</v>
      </c>
      <c r="AI26" s="516">
        <f t="shared" si="4"/>
        <v>0</v>
      </c>
      <c r="AJ26" s="517">
        <f>(W26/W11)*AL11</f>
        <v>0</v>
      </c>
      <c r="AK26" s="510">
        <f>IF(ISBLANK(S26),0,(S26/W11)*AL11)</f>
        <v>0</v>
      </c>
      <c r="AL26" s="511">
        <f t="shared" si="5"/>
        <v>0</v>
      </c>
      <c r="AM26" s="517">
        <f t="shared" si="10"/>
        <v>0</v>
      </c>
      <c r="AN26" s="518">
        <f t="shared" si="6"/>
        <v>0</v>
      </c>
      <c r="AO26" s="510">
        <f>IF(ISBLANK(S26),0,(S26/W61)*AN62)</f>
        <v>0</v>
      </c>
      <c r="AP26" s="511">
        <f t="shared" si="7"/>
        <v>0</v>
      </c>
      <c r="AQ26" s="519" t="s">
        <v>2342</v>
      </c>
      <c r="AR26" s="520" t="s">
        <v>2343</v>
      </c>
      <c r="AS26" s="520" t="s">
        <v>2344</v>
      </c>
      <c r="AT26" s="520">
        <v>3</v>
      </c>
      <c r="AV26" s="381" t="s">
        <v>2294</v>
      </c>
      <c r="AW26" s="629">
        <f>ROW()</f>
        <v>26</v>
      </c>
    </row>
    <row r="27" spans="1:49" ht="18.95" customHeight="1">
      <c r="A27" s="3914"/>
      <c r="B27" s="441">
        <f t="shared" si="1"/>
        <v>0</v>
      </c>
      <c r="C27" s="442">
        <f>IF(G10=1,AG27,IF(G10=2,AK27,IF(G10=3,AO27,IF(G10=4,AS27))))</f>
        <v>0</v>
      </c>
      <c r="D27" s="443">
        <f>IF(G10=1,AH27,IF(G10=2,AL27,IF(G10=3,AP27,IF(G10=4,AT27))))</f>
        <v>0</v>
      </c>
      <c r="E27" s="506">
        <f>IF(G10=1,AF27,IF(G10=2,AJ27,IF(G10=3,AN27,IF(G10=4,AR27))))</f>
        <v>0</v>
      </c>
      <c r="F27" s="444" t="str">
        <f>IF(G10=1,"",IF(E27=G27,"",AC27))</f>
        <v/>
      </c>
      <c r="G27" s="507" t="str">
        <f>IF(G10=1,"",IF(G10=2,AI27,IF(G10=3,AM27,IF(G10=4,AQ27))))</f>
        <v/>
      </c>
      <c r="H27" s="445">
        <f>W27/W61</f>
        <v>0</v>
      </c>
      <c r="I27" s="3916"/>
      <c r="J27" s="619">
        <f>LARGE(J13:J26,1)+1</f>
        <v>15</v>
      </c>
      <c r="K27" s="349"/>
      <c r="L27" s="349"/>
      <c r="M27" s="349"/>
      <c r="N27" s="349"/>
      <c r="O27" s="349"/>
      <c r="P27" s="349"/>
      <c r="Q27" s="3917"/>
      <c r="R27" s="133" t="s">
        <v>2310</v>
      </c>
      <c r="S27" s="591"/>
      <c r="T27" s="592"/>
      <c r="U27" s="593"/>
      <c r="V27" s="446"/>
      <c r="W27" s="508">
        <f t="shared" si="2"/>
        <v>0</v>
      </c>
      <c r="X27" s="509">
        <f>(W27/W61)*X11</f>
        <v>0</v>
      </c>
      <c r="Y27" s="510" t="str">
        <f>IF(ISBLANK(S27),"",(S27/W61)*X11)</f>
        <v/>
      </c>
      <c r="Z27" s="511">
        <f t="shared" si="11"/>
        <v>0</v>
      </c>
      <c r="AA27" s="447"/>
      <c r="AB27" s="512">
        <f>AA11</f>
        <v>0</v>
      </c>
      <c r="AC27" s="512">
        <f t="shared" si="8"/>
        <v>0</v>
      </c>
      <c r="AD27" s="513">
        <f t="shared" si="9"/>
        <v>1</v>
      </c>
      <c r="AF27" s="514">
        <f>((W27/W11)*AH11)</f>
        <v>0</v>
      </c>
      <c r="AG27" s="510">
        <f>IF(ISTEXT(S27),S27,IF(ISBLANK(S27),0,(S27/W11)*AH11))</f>
        <v>0</v>
      </c>
      <c r="AH27" s="515">
        <f t="shared" si="3"/>
        <v>0</v>
      </c>
      <c r="AI27" s="516">
        <f t="shared" si="4"/>
        <v>0</v>
      </c>
      <c r="AJ27" s="517">
        <f>(W27/W11)*AL11</f>
        <v>0</v>
      </c>
      <c r="AK27" s="510">
        <f>IF(ISBLANK(S27),0,(S27/W11)*AL11)</f>
        <v>0</v>
      </c>
      <c r="AL27" s="511">
        <f t="shared" si="5"/>
        <v>0</v>
      </c>
      <c r="AM27" s="517">
        <f t="shared" si="10"/>
        <v>0</v>
      </c>
      <c r="AN27" s="518">
        <f t="shared" si="6"/>
        <v>0</v>
      </c>
      <c r="AO27" s="510">
        <f>IF(ISBLANK(S27),0,(S27/W61)*AN62)</f>
        <v>0</v>
      </c>
      <c r="AP27" s="511">
        <f t="shared" si="7"/>
        <v>0</v>
      </c>
      <c r="AQ27" s="519" t="s">
        <v>2342</v>
      </c>
      <c r="AR27" s="520" t="s">
        <v>2343</v>
      </c>
      <c r="AS27" s="520" t="s">
        <v>2344</v>
      </c>
      <c r="AT27" s="520">
        <v>3</v>
      </c>
      <c r="AV27" s="382" t="s">
        <v>2294</v>
      </c>
      <c r="AW27" s="628">
        <f>ROW()</f>
        <v>27</v>
      </c>
    </row>
    <row r="28" spans="1:49" ht="18.95" customHeight="1">
      <c r="A28" s="3914"/>
      <c r="B28" s="441">
        <f t="shared" si="1"/>
        <v>0</v>
      </c>
      <c r="C28" s="442">
        <f>IF(G10=1,AG28,IF(G10=2,AK28,IF(G10=3,AO28,IF(G10=4,AS28))))</f>
        <v>0</v>
      </c>
      <c r="D28" s="443">
        <f>IF(G10=1,AH28,IF(G10=2,AL28,IF(G10=3,AP28,IF(G10=4,AT28))))</f>
        <v>0</v>
      </c>
      <c r="E28" s="506">
        <f>IF(G10=1,AF28,IF(G10=2,AJ28,IF(G10=3,AN28,IF(G10=4,AR28))))</f>
        <v>0</v>
      </c>
      <c r="F28" s="444" t="str">
        <f>IF(G10=1,"",IF(E28=G28,"",AC28))</f>
        <v/>
      </c>
      <c r="G28" s="507" t="str">
        <f>IF(G10=1,"",IF(G10=2,AI28,IF(G10=3,AM28,IF(G10=4,AQ28))))</f>
        <v/>
      </c>
      <c r="H28" s="445">
        <f>W28/W61</f>
        <v>0</v>
      </c>
      <c r="I28" s="3916"/>
      <c r="J28" s="619">
        <f>LARGE(J13:J27,1)+1</f>
        <v>16</v>
      </c>
      <c r="K28" s="349"/>
      <c r="L28" s="349"/>
      <c r="M28" s="349"/>
      <c r="N28" s="349"/>
      <c r="O28" s="349"/>
      <c r="P28" s="349"/>
      <c r="Q28" s="3917"/>
      <c r="R28" s="133" t="s">
        <v>2310</v>
      </c>
      <c r="S28" s="591"/>
      <c r="T28" s="592"/>
      <c r="U28" s="593"/>
      <c r="V28" s="446"/>
      <c r="W28" s="508">
        <f t="shared" si="2"/>
        <v>0</v>
      </c>
      <c r="X28" s="509">
        <f>(W28/W61)*X11</f>
        <v>0</v>
      </c>
      <c r="Y28" s="510" t="str">
        <f>IF(ISBLANK(S28),"",(S28/W61)*X11)</f>
        <v/>
      </c>
      <c r="Z28" s="511">
        <f t="shared" si="11"/>
        <v>0</v>
      </c>
      <c r="AA28" s="447"/>
      <c r="AB28" s="512">
        <f>AA11</f>
        <v>0</v>
      </c>
      <c r="AC28" s="512">
        <f t="shared" si="8"/>
        <v>0</v>
      </c>
      <c r="AD28" s="513">
        <f t="shared" si="9"/>
        <v>1</v>
      </c>
      <c r="AF28" s="514">
        <f>((W28/W11)*AH11)</f>
        <v>0</v>
      </c>
      <c r="AG28" s="510">
        <f>IF(ISTEXT(S28),S28,IF(ISBLANK(S28),0,(S28/W11)*AH11))</f>
        <v>0</v>
      </c>
      <c r="AH28" s="515">
        <f t="shared" si="3"/>
        <v>0</v>
      </c>
      <c r="AI28" s="516">
        <f t="shared" si="4"/>
        <v>0</v>
      </c>
      <c r="AJ28" s="517">
        <f>(W28/W11)*AL11</f>
        <v>0</v>
      </c>
      <c r="AK28" s="510">
        <f>IF(ISBLANK(S28),0,(S28/W11)*AL11)</f>
        <v>0</v>
      </c>
      <c r="AL28" s="511">
        <f t="shared" si="5"/>
        <v>0</v>
      </c>
      <c r="AM28" s="517">
        <f t="shared" si="10"/>
        <v>0</v>
      </c>
      <c r="AN28" s="518">
        <f t="shared" si="6"/>
        <v>0</v>
      </c>
      <c r="AO28" s="510">
        <f>IF(ISBLANK(S28),0,(S28/W61)*AN62)</f>
        <v>0</v>
      </c>
      <c r="AP28" s="511">
        <f t="shared" si="7"/>
        <v>0</v>
      </c>
      <c r="AQ28" s="519" t="s">
        <v>2342</v>
      </c>
      <c r="AR28" s="520" t="s">
        <v>2343</v>
      </c>
      <c r="AS28" s="520" t="s">
        <v>2344</v>
      </c>
      <c r="AT28" s="520">
        <v>3</v>
      </c>
      <c r="AV28" s="381" t="s">
        <v>2294</v>
      </c>
      <c r="AW28" s="629">
        <f>ROW()</f>
        <v>28</v>
      </c>
    </row>
    <row r="29" spans="1:49" ht="18.95" customHeight="1">
      <c r="A29" s="3914"/>
      <c r="B29" s="441">
        <f t="shared" si="1"/>
        <v>0</v>
      </c>
      <c r="C29" s="442">
        <f>IF(G10=1,AG29,IF(G10=2,AK29,IF(G10=3,AO29,IF(G10=4,AS29))))</f>
        <v>0</v>
      </c>
      <c r="D29" s="443">
        <f>IF(G10=1,AH29,IF(G10=2,AL29,IF(G10=3,AP29,IF(G10=4,AT29))))</f>
        <v>0</v>
      </c>
      <c r="E29" s="506">
        <f>IF(G10=1,AF29,IF(G10=2,AJ29,IF(G10=3,AN29,IF(G10=4,AR29))))</f>
        <v>0</v>
      </c>
      <c r="F29" s="444" t="str">
        <f>IF(G10=1,"",IF(E29=G29,"",AC29))</f>
        <v/>
      </c>
      <c r="G29" s="507" t="str">
        <f>IF(G10=1,"",IF(G10=2,AI29,IF(G10=3,AM29,IF(G10=4,AQ29))))</f>
        <v/>
      </c>
      <c r="H29" s="445">
        <f>W29/W61</f>
        <v>0</v>
      </c>
      <c r="I29" s="3916"/>
      <c r="J29" s="619">
        <f>LARGE(J13:J28,1)+1</f>
        <v>17</v>
      </c>
      <c r="K29" s="349"/>
      <c r="L29" s="349"/>
      <c r="M29" s="349"/>
      <c r="N29" s="349"/>
      <c r="O29" s="349"/>
      <c r="P29" s="349"/>
      <c r="Q29" s="3917"/>
      <c r="R29" s="133" t="s">
        <v>2310</v>
      </c>
      <c r="S29" s="591"/>
      <c r="T29" s="592"/>
      <c r="U29" s="593"/>
      <c r="V29" s="446"/>
      <c r="W29" s="508">
        <f t="shared" si="2"/>
        <v>0</v>
      </c>
      <c r="X29" s="509">
        <f>(W29/W61)*X11</f>
        <v>0</v>
      </c>
      <c r="Y29" s="510" t="str">
        <f>IF(ISBLANK(S29),"",(S29/W61)*X11)</f>
        <v/>
      </c>
      <c r="Z29" s="511">
        <f t="shared" si="11"/>
        <v>0</v>
      </c>
      <c r="AA29" s="447"/>
      <c r="AB29" s="512">
        <f>AA11</f>
        <v>0</v>
      </c>
      <c r="AC29" s="512">
        <f t="shared" si="8"/>
        <v>0</v>
      </c>
      <c r="AD29" s="513">
        <f t="shared" si="9"/>
        <v>1</v>
      </c>
      <c r="AF29" s="514">
        <f>((W29/W11)*AH11)</f>
        <v>0</v>
      </c>
      <c r="AG29" s="510">
        <f>IF(ISTEXT(S29),S29,IF(ISBLANK(S29),0,(S29/W11)*AH11))</f>
        <v>0</v>
      </c>
      <c r="AH29" s="515">
        <f t="shared" si="3"/>
        <v>0</v>
      </c>
      <c r="AI29" s="516">
        <f t="shared" si="4"/>
        <v>0</v>
      </c>
      <c r="AJ29" s="517">
        <f>(W29/W11)*AL11</f>
        <v>0</v>
      </c>
      <c r="AK29" s="510">
        <f>IF(ISBLANK(S29),0,(S29/W11)*AL11)</f>
        <v>0</v>
      </c>
      <c r="AL29" s="511">
        <f t="shared" si="5"/>
        <v>0</v>
      </c>
      <c r="AM29" s="517">
        <f t="shared" si="10"/>
        <v>0</v>
      </c>
      <c r="AN29" s="518">
        <f t="shared" si="6"/>
        <v>0</v>
      </c>
      <c r="AO29" s="510">
        <f>IF(ISBLANK(S29),0,(S29/W61)*AN62)</f>
        <v>0</v>
      </c>
      <c r="AP29" s="511">
        <f t="shared" si="7"/>
        <v>0</v>
      </c>
      <c r="AQ29" s="519" t="s">
        <v>2342</v>
      </c>
      <c r="AR29" s="520" t="s">
        <v>2343</v>
      </c>
      <c r="AS29" s="520" t="s">
        <v>2344</v>
      </c>
      <c r="AT29" s="520">
        <v>3</v>
      </c>
      <c r="AV29" s="382" t="s">
        <v>2294</v>
      </c>
      <c r="AW29" s="628">
        <f>ROW()</f>
        <v>29</v>
      </c>
    </row>
    <row r="30" spans="1:49" ht="18.95" customHeight="1">
      <c r="A30" s="3914"/>
      <c r="B30" s="441">
        <f t="shared" si="1"/>
        <v>0</v>
      </c>
      <c r="C30" s="442">
        <f>IF(G10=1,AG30,IF(G10=2,AK30,IF(G10=3,AO30,IF(G10=4,AS30))))</f>
        <v>0</v>
      </c>
      <c r="D30" s="443">
        <f>IF(G10=1,AH30,IF(G10=2,AL30,IF(G10=3,AP30,IF(G10=4,AT30))))</f>
        <v>0</v>
      </c>
      <c r="E30" s="506">
        <f>IF(G10=1,AF30,IF(G10=2,AJ30,IF(G10=3,AN30,IF(G10=4,AR30))))</f>
        <v>0</v>
      </c>
      <c r="F30" s="444" t="str">
        <f>IF(G10=1,"",IF(E30=G30,"",AC30))</f>
        <v/>
      </c>
      <c r="G30" s="507" t="str">
        <f>IF(G10=1,"",IF(G10=2,AI30,IF(G10=3,AM30,IF(G10=4,AQ30))))</f>
        <v/>
      </c>
      <c r="H30" s="445">
        <f>W30/W61</f>
        <v>0</v>
      </c>
      <c r="I30" s="3916"/>
      <c r="J30" s="619">
        <f>LARGE(J13:J29,1)+1</f>
        <v>18</v>
      </c>
      <c r="K30" s="349"/>
      <c r="L30" s="349"/>
      <c r="M30" s="349"/>
      <c r="N30" s="349"/>
      <c r="O30" s="349"/>
      <c r="P30" s="349"/>
      <c r="Q30" s="3917"/>
      <c r="R30" s="133" t="s">
        <v>2310</v>
      </c>
      <c r="S30" s="591"/>
      <c r="T30" s="592"/>
      <c r="U30" s="593"/>
      <c r="V30" s="446"/>
      <c r="W30" s="508">
        <f t="shared" si="2"/>
        <v>0</v>
      </c>
      <c r="X30" s="509">
        <f>(W30/W61)*X11</f>
        <v>0</v>
      </c>
      <c r="Y30" s="510" t="str">
        <f>IF(ISBLANK(S30),"",(S30/W61)*X11)</f>
        <v/>
      </c>
      <c r="Z30" s="511">
        <f t="shared" si="11"/>
        <v>0</v>
      </c>
      <c r="AA30" s="447"/>
      <c r="AB30" s="512">
        <f>AA11</f>
        <v>0</v>
      </c>
      <c r="AC30" s="512">
        <f t="shared" si="8"/>
        <v>0</v>
      </c>
      <c r="AD30" s="513">
        <f t="shared" si="9"/>
        <v>1</v>
      </c>
      <c r="AF30" s="514">
        <f>((W30/W11)*AH11)</f>
        <v>0</v>
      </c>
      <c r="AG30" s="510">
        <f>IF(ISTEXT(S30),S30,IF(ISBLANK(S30),0,(S30/W11)*AH11))</f>
        <v>0</v>
      </c>
      <c r="AH30" s="515">
        <f t="shared" si="3"/>
        <v>0</v>
      </c>
      <c r="AI30" s="516">
        <f t="shared" si="4"/>
        <v>0</v>
      </c>
      <c r="AJ30" s="517">
        <f>(W30/W11)*AL11</f>
        <v>0</v>
      </c>
      <c r="AK30" s="510">
        <f>IF(ISBLANK(S30),0,(S30/W11)*AL11)</f>
        <v>0</v>
      </c>
      <c r="AL30" s="511">
        <f t="shared" si="5"/>
        <v>0</v>
      </c>
      <c r="AM30" s="517">
        <f t="shared" si="10"/>
        <v>0</v>
      </c>
      <c r="AN30" s="518">
        <f t="shared" si="6"/>
        <v>0</v>
      </c>
      <c r="AO30" s="510">
        <f>IF(ISBLANK(S30),0,(S30/W61)*AN62)</f>
        <v>0</v>
      </c>
      <c r="AP30" s="511">
        <f t="shared" si="7"/>
        <v>0</v>
      </c>
      <c r="AQ30" s="519" t="s">
        <v>2342</v>
      </c>
      <c r="AR30" s="520" t="s">
        <v>2343</v>
      </c>
      <c r="AS30" s="520" t="s">
        <v>2344</v>
      </c>
      <c r="AT30" s="520">
        <v>3</v>
      </c>
      <c r="AV30" s="381" t="s">
        <v>2294</v>
      </c>
      <c r="AW30" s="629">
        <f>ROW()</f>
        <v>30</v>
      </c>
    </row>
    <row r="31" spans="1:49" ht="18.95" customHeight="1">
      <c r="A31" s="3914"/>
      <c r="B31" s="441">
        <f t="shared" si="1"/>
        <v>0</v>
      </c>
      <c r="C31" s="442">
        <f>IF(G10=1,AG31,IF(G10=2,AK31,IF(G10=3,AO31,IF(G10=4,AS31))))</f>
        <v>0</v>
      </c>
      <c r="D31" s="443">
        <f>IF(G10=1,AH31,IF(G10=2,AL31,IF(G10=3,AP31,IF(G10=4,AT31))))</f>
        <v>0</v>
      </c>
      <c r="E31" s="506">
        <f>IF(G10=1,AF31,IF(G10=2,AJ31,IF(G10=3,AN31,IF(G10=4,AR31))))</f>
        <v>0</v>
      </c>
      <c r="F31" s="444" t="str">
        <f>IF(G10=1,"",IF(E31=G31,"",AC31))</f>
        <v/>
      </c>
      <c r="G31" s="507" t="str">
        <f>IF(G10=1,"",IF(G10=2,AI31,IF(G10=3,AM31,IF(G10=4,AQ31))))</f>
        <v/>
      </c>
      <c r="H31" s="445">
        <f>W31/W61</f>
        <v>0</v>
      </c>
      <c r="I31" s="3916"/>
      <c r="J31" s="619">
        <f>LARGE(J13:J30,1)+1</f>
        <v>19</v>
      </c>
      <c r="K31" s="349"/>
      <c r="L31" s="349"/>
      <c r="M31" s="349"/>
      <c r="N31" s="349"/>
      <c r="O31" s="349"/>
      <c r="P31" s="349"/>
      <c r="Q31" s="3917"/>
      <c r="R31" s="133" t="s">
        <v>2310</v>
      </c>
      <c r="S31" s="591"/>
      <c r="T31" s="592"/>
      <c r="U31" s="593"/>
      <c r="V31" s="446"/>
      <c r="W31" s="508">
        <f t="shared" si="2"/>
        <v>0</v>
      </c>
      <c r="X31" s="509">
        <f>(W31/W61)*X11</f>
        <v>0</v>
      </c>
      <c r="Y31" s="510" t="str">
        <f>IF(ISBLANK(S31),"",(S31/W61)*X11)</f>
        <v/>
      </c>
      <c r="Z31" s="511">
        <f t="shared" si="11"/>
        <v>0</v>
      </c>
      <c r="AA31" s="447"/>
      <c r="AB31" s="512">
        <f>AA11</f>
        <v>0</v>
      </c>
      <c r="AC31" s="512">
        <f t="shared" si="8"/>
        <v>0</v>
      </c>
      <c r="AD31" s="513">
        <f t="shared" si="9"/>
        <v>1</v>
      </c>
      <c r="AF31" s="514">
        <f>((W31/W11)*AH11)</f>
        <v>0</v>
      </c>
      <c r="AG31" s="510">
        <f>IF(ISTEXT(S31),S31,IF(ISBLANK(S31),0,(S31/W11)*AH11))</f>
        <v>0</v>
      </c>
      <c r="AH31" s="515">
        <f t="shared" si="3"/>
        <v>0</v>
      </c>
      <c r="AI31" s="516">
        <f t="shared" si="4"/>
        <v>0</v>
      </c>
      <c r="AJ31" s="517">
        <f>(W31/W11)*AL11</f>
        <v>0</v>
      </c>
      <c r="AK31" s="510">
        <f>IF(ISBLANK(S31),0,(S31/W11)*AL11)</f>
        <v>0</v>
      </c>
      <c r="AL31" s="511">
        <f t="shared" si="5"/>
        <v>0</v>
      </c>
      <c r="AM31" s="517">
        <f t="shared" si="10"/>
        <v>0</v>
      </c>
      <c r="AN31" s="518">
        <f t="shared" si="6"/>
        <v>0</v>
      </c>
      <c r="AO31" s="510">
        <f>IF(ISBLANK(S31),0,(S31/W61)*AN62)</f>
        <v>0</v>
      </c>
      <c r="AP31" s="511">
        <f t="shared" si="7"/>
        <v>0</v>
      </c>
      <c r="AQ31" s="519" t="s">
        <v>2342</v>
      </c>
      <c r="AR31" s="520" t="s">
        <v>2343</v>
      </c>
      <c r="AS31" s="520" t="s">
        <v>2344</v>
      </c>
      <c r="AT31" s="520">
        <v>3</v>
      </c>
      <c r="AV31" s="382" t="s">
        <v>2294</v>
      </c>
      <c r="AW31" s="628">
        <f>ROW()</f>
        <v>31</v>
      </c>
    </row>
    <row r="32" spans="1:49" ht="18.95" customHeight="1">
      <c r="A32" s="3914"/>
      <c r="B32" s="441">
        <f t="shared" si="1"/>
        <v>0</v>
      </c>
      <c r="C32" s="442">
        <f>IF(G10=1,AG32,IF(G10=2,AK32,IF(G10=3,AO32,IF(G10=4,AS32))))</f>
        <v>0</v>
      </c>
      <c r="D32" s="443">
        <f>IF(G10=1,AH32,IF(G10=2,AL32,IF(G10=3,AP32,IF(G10=4,AT32))))</f>
        <v>0</v>
      </c>
      <c r="E32" s="506">
        <f>IF(G10=1,AF32,IF(G10=2,AJ32,IF(G10=3,AN32,IF(G10=4,AR32))))</f>
        <v>0</v>
      </c>
      <c r="F32" s="444" t="str">
        <f>IF(G10=1,"",IF(E32=G32,"",AC32))</f>
        <v/>
      </c>
      <c r="G32" s="507" t="str">
        <f>IF(G10=1,"",IF(G10=2,AI32,IF(G10=3,AM32,IF(G10=4,AQ32))))</f>
        <v/>
      </c>
      <c r="H32" s="445">
        <f>W32/W61</f>
        <v>0</v>
      </c>
      <c r="I32" s="3916"/>
      <c r="J32" s="619">
        <f>LARGE(J13:J31,1)+1</f>
        <v>20</v>
      </c>
      <c r="K32" s="349"/>
      <c r="L32" s="349"/>
      <c r="M32" s="349"/>
      <c r="N32" s="349"/>
      <c r="O32" s="349"/>
      <c r="P32" s="349"/>
      <c r="Q32" s="3917"/>
      <c r="R32" s="133" t="s">
        <v>2310</v>
      </c>
      <c r="S32" s="591"/>
      <c r="T32" s="592"/>
      <c r="U32" s="593"/>
      <c r="V32" s="446"/>
      <c r="W32" s="508">
        <f t="shared" si="2"/>
        <v>0</v>
      </c>
      <c r="X32" s="509">
        <f>(W32/W61)*X11</f>
        <v>0</v>
      </c>
      <c r="Y32" s="510" t="str">
        <f>IF(ISBLANK(S32),"",(S32/W61)*X11)</f>
        <v/>
      </c>
      <c r="Z32" s="511">
        <f t="shared" si="11"/>
        <v>0</v>
      </c>
      <c r="AA32" s="447"/>
      <c r="AB32" s="512">
        <f>AA11</f>
        <v>0</v>
      </c>
      <c r="AC32" s="512">
        <f t="shared" si="8"/>
        <v>0</v>
      </c>
      <c r="AD32" s="513">
        <f t="shared" si="9"/>
        <v>1</v>
      </c>
      <c r="AF32" s="514">
        <f>((W32/W11)*AH11)</f>
        <v>0</v>
      </c>
      <c r="AG32" s="510">
        <f>IF(ISTEXT(S32),S32,IF(ISBLANK(S32),0,(S32/W11)*AH11))</f>
        <v>0</v>
      </c>
      <c r="AH32" s="515">
        <f t="shared" si="3"/>
        <v>0</v>
      </c>
      <c r="AI32" s="516">
        <f t="shared" si="4"/>
        <v>0</v>
      </c>
      <c r="AJ32" s="517">
        <f>(W32/W11)*AL11</f>
        <v>0</v>
      </c>
      <c r="AK32" s="510">
        <f>IF(ISBLANK(S32),0,(S32/W11)*AL11)</f>
        <v>0</v>
      </c>
      <c r="AL32" s="511">
        <f t="shared" si="5"/>
        <v>0</v>
      </c>
      <c r="AM32" s="517">
        <f t="shared" si="10"/>
        <v>0</v>
      </c>
      <c r="AN32" s="518">
        <f t="shared" si="6"/>
        <v>0</v>
      </c>
      <c r="AO32" s="510">
        <f>IF(ISBLANK(S32),0,(S32/W61)*AN62)</f>
        <v>0</v>
      </c>
      <c r="AP32" s="511">
        <f t="shared" si="7"/>
        <v>0</v>
      </c>
      <c r="AQ32" s="519" t="s">
        <v>2342</v>
      </c>
      <c r="AR32" s="520" t="s">
        <v>2343</v>
      </c>
      <c r="AS32" s="520" t="s">
        <v>2344</v>
      </c>
      <c r="AT32" s="520">
        <v>3</v>
      </c>
      <c r="AV32" s="381" t="s">
        <v>2294</v>
      </c>
      <c r="AW32" s="629">
        <f>ROW()</f>
        <v>32</v>
      </c>
    </row>
    <row r="33" spans="1:49" ht="18.95" customHeight="1">
      <c r="A33" s="3914"/>
      <c r="B33" s="441">
        <f t="shared" si="1"/>
        <v>0</v>
      </c>
      <c r="C33" s="442">
        <f>IF(G10=1,AG33,IF(G10=2,AK33,IF(G10=3,AO33,IF(G10=4,AS33))))</f>
        <v>0</v>
      </c>
      <c r="D33" s="443">
        <f>IF(G10=1,AH33,IF(G10=2,AL33,IF(G10=3,AP33,IF(G10=4,AT33))))</f>
        <v>0</v>
      </c>
      <c r="E33" s="506">
        <f>IF(G10=1,AF33,IF(G10=2,AJ33,IF(G10=3,AN33,IF(G10=4,AR33))))</f>
        <v>0</v>
      </c>
      <c r="F33" s="444" t="str">
        <f>IF(G10=1,"",IF(E33=G33,"",AC33))</f>
        <v/>
      </c>
      <c r="G33" s="507" t="str">
        <f>IF(G10=1,"",IF(G10=2,AI33,IF(G10=3,AM33,IF(G10=4,AQ33))))</f>
        <v/>
      </c>
      <c r="H33" s="445">
        <f>W33/W61</f>
        <v>0</v>
      </c>
      <c r="I33" s="3916"/>
      <c r="J33" s="619">
        <f>LARGE(J13:J32,1)+1</f>
        <v>21</v>
      </c>
      <c r="K33" s="349"/>
      <c r="L33" s="349"/>
      <c r="M33" s="349"/>
      <c r="N33" s="349"/>
      <c r="O33" s="349"/>
      <c r="P33" s="349"/>
      <c r="Q33" s="3917"/>
      <c r="R33" s="133" t="s">
        <v>2310</v>
      </c>
      <c r="S33" s="591"/>
      <c r="T33" s="592"/>
      <c r="U33" s="593"/>
      <c r="V33" s="446"/>
      <c r="W33" s="508">
        <f t="shared" si="2"/>
        <v>0</v>
      </c>
      <c r="X33" s="509">
        <f>(W33/W61)*X11</f>
        <v>0</v>
      </c>
      <c r="Y33" s="510" t="str">
        <f>IF(ISBLANK(S33),"",(S33/W61)*X11)</f>
        <v/>
      </c>
      <c r="Z33" s="511">
        <f t="shared" si="11"/>
        <v>0</v>
      </c>
      <c r="AA33" s="447"/>
      <c r="AB33" s="512">
        <f>AA11</f>
        <v>0</v>
      </c>
      <c r="AC33" s="512">
        <f t="shared" si="8"/>
        <v>0</v>
      </c>
      <c r="AD33" s="513">
        <f t="shared" si="9"/>
        <v>1</v>
      </c>
      <c r="AF33" s="514">
        <f>((W33/W11)*AH11)</f>
        <v>0</v>
      </c>
      <c r="AG33" s="510">
        <f>IF(ISTEXT(S33),S33,IF(ISBLANK(S33),0,(S33/W11)*AH11))</f>
        <v>0</v>
      </c>
      <c r="AH33" s="515">
        <f t="shared" si="3"/>
        <v>0</v>
      </c>
      <c r="AI33" s="516">
        <f t="shared" si="4"/>
        <v>0</v>
      </c>
      <c r="AJ33" s="517">
        <f>(W33/W11)*AL11</f>
        <v>0</v>
      </c>
      <c r="AK33" s="510">
        <f>IF(ISBLANK(S33),0,(S33/W11)*AL11)</f>
        <v>0</v>
      </c>
      <c r="AL33" s="511">
        <f t="shared" si="5"/>
        <v>0</v>
      </c>
      <c r="AM33" s="517">
        <f t="shared" si="10"/>
        <v>0</v>
      </c>
      <c r="AN33" s="518">
        <f t="shared" si="6"/>
        <v>0</v>
      </c>
      <c r="AO33" s="510">
        <f>IF(ISBLANK(S33),0,(S33/W61)*AN62)</f>
        <v>0</v>
      </c>
      <c r="AP33" s="511">
        <f t="shared" si="7"/>
        <v>0</v>
      </c>
      <c r="AQ33" s="519" t="s">
        <v>2342</v>
      </c>
      <c r="AR33" s="520" t="s">
        <v>2343</v>
      </c>
      <c r="AS33" s="520" t="s">
        <v>2344</v>
      </c>
      <c r="AT33" s="520">
        <v>3</v>
      </c>
      <c r="AV33" s="382" t="s">
        <v>2294</v>
      </c>
      <c r="AW33" s="628">
        <f>ROW()</f>
        <v>33</v>
      </c>
    </row>
    <row r="34" spans="1:49" ht="18.95" customHeight="1">
      <c r="A34" s="3914"/>
      <c r="B34" s="441">
        <f t="shared" si="1"/>
        <v>0</v>
      </c>
      <c r="C34" s="442">
        <f>IF(G10=1,AG34,IF(G10=2,AK34,IF(G10=3,AO34,IF(G10=4,AS34))))</f>
        <v>0</v>
      </c>
      <c r="D34" s="443">
        <f>IF(G10=1,AH34,IF(G10=2,AL34,IF(G10=3,AP34,IF(G10=4,AT34))))</f>
        <v>0</v>
      </c>
      <c r="E34" s="506">
        <f>IF(G10=1,AF34,IF(G10=2,AJ34,IF(G10=3,AN34,IF(G10=4,AR34))))</f>
        <v>0</v>
      </c>
      <c r="F34" s="444" t="str">
        <f>IF(G10=1,"",IF(E34=G34,"",AC34))</f>
        <v/>
      </c>
      <c r="G34" s="507" t="str">
        <f>IF(G10=1,"",IF(G10=2,AI34,IF(G10=3,AM34,IF(G10=4,AQ34))))</f>
        <v/>
      </c>
      <c r="H34" s="445">
        <f>W34/W61</f>
        <v>0</v>
      </c>
      <c r="I34" s="3916"/>
      <c r="J34" s="619">
        <f>LARGE(J13:J33,1)+1</f>
        <v>22</v>
      </c>
      <c r="K34" s="349"/>
      <c r="L34" s="349"/>
      <c r="M34" s="349"/>
      <c r="N34" s="349"/>
      <c r="O34" s="349"/>
      <c r="P34" s="349"/>
      <c r="Q34" s="3917"/>
      <c r="R34" s="133" t="s">
        <v>2310</v>
      </c>
      <c r="S34" s="591"/>
      <c r="T34" s="592"/>
      <c r="U34" s="593"/>
      <c r="V34" s="446"/>
      <c r="W34" s="508">
        <f t="shared" si="2"/>
        <v>0</v>
      </c>
      <c r="X34" s="509">
        <f>(W34/W61)*X11</f>
        <v>0</v>
      </c>
      <c r="Y34" s="510" t="str">
        <f>IF(ISBLANK(S34),"",(S34/W61)*X11)</f>
        <v/>
      </c>
      <c r="Z34" s="511">
        <f t="shared" si="11"/>
        <v>0</v>
      </c>
      <c r="AA34" s="447"/>
      <c r="AB34" s="512">
        <f>AA11</f>
        <v>0</v>
      </c>
      <c r="AC34" s="512">
        <f t="shared" si="8"/>
        <v>0</v>
      </c>
      <c r="AD34" s="513">
        <f t="shared" si="9"/>
        <v>1</v>
      </c>
      <c r="AF34" s="514">
        <f>((W34/W11)*AH11)</f>
        <v>0</v>
      </c>
      <c r="AG34" s="510">
        <f>IF(ISTEXT(S34),S34,IF(ISBLANK(S34),0,(S34/W11)*AH11))</f>
        <v>0</v>
      </c>
      <c r="AH34" s="515">
        <f t="shared" si="3"/>
        <v>0</v>
      </c>
      <c r="AI34" s="516">
        <f t="shared" si="4"/>
        <v>0</v>
      </c>
      <c r="AJ34" s="517">
        <f>(W34/W11)*AL11</f>
        <v>0</v>
      </c>
      <c r="AK34" s="510">
        <f>IF(ISBLANK(S34),0,(S34/W11)*AL11)</f>
        <v>0</v>
      </c>
      <c r="AL34" s="511">
        <f t="shared" si="5"/>
        <v>0</v>
      </c>
      <c r="AM34" s="517">
        <f t="shared" si="10"/>
        <v>0</v>
      </c>
      <c r="AN34" s="518">
        <f t="shared" si="6"/>
        <v>0</v>
      </c>
      <c r="AO34" s="510">
        <f>IF(ISBLANK(S34),0,(S34/W61)*AN62)</f>
        <v>0</v>
      </c>
      <c r="AP34" s="511">
        <f t="shared" si="7"/>
        <v>0</v>
      </c>
      <c r="AQ34" s="519" t="s">
        <v>2342</v>
      </c>
      <c r="AR34" s="520" t="s">
        <v>2343</v>
      </c>
      <c r="AS34" s="520" t="s">
        <v>2344</v>
      </c>
      <c r="AT34" s="520">
        <v>3</v>
      </c>
      <c r="AV34" s="381" t="s">
        <v>2294</v>
      </c>
      <c r="AW34" s="629">
        <f>ROW()</f>
        <v>34</v>
      </c>
    </row>
    <row r="35" spans="1:49" ht="18.95" customHeight="1">
      <c r="A35" s="3914"/>
      <c r="B35" s="441">
        <f t="shared" si="1"/>
        <v>0</v>
      </c>
      <c r="C35" s="442">
        <f>IF(G10=1,AG35,IF(G10=2,AK35,IF(G10=3,AO35,IF(G10=4,AS35))))</f>
        <v>0</v>
      </c>
      <c r="D35" s="443">
        <f>IF(G10=1,AH35,IF(G10=2,AL35,IF(G10=3,AP35,IF(G10=4,AT35))))</f>
        <v>0</v>
      </c>
      <c r="E35" s="506">
        <f>IF(G10=1,AF35,IF(G10=2,AJ35,IF(G10=3,AN35,IF(G10=4,AR35))))</f>
        <v>0</v>
      </c>
      <c r="F35" s="444" t="str">
        <f>IF(G10=1,"",IF(E35=G35,"",AC35))</f>
        <v/>
      </c>
      <c r="G35" s="507" t="str">
        <f>IF(G10=1,"",IF(G10=2,AI35,IF(G10=3,AM35,IF(G10=4,AQ35))))</f>
        <v/>
      </c>
      <c r="H35" s="445">
        <f>W35/W61</f>
        <v>0</v>
      </c>
      <c r="I35" s="3916"/>
      <c r="J35" s="619">
        <f>LARGE(J13:J34,1)+1</f>
        <v>23</v>
      </c>
      <c r="K35" s="349"/>
      <c r="L35" s="349"/>
      <c r="M35" s="349"/>
      <c r="N35" s="349"/>
      <c r="O35" s="349"/>
      <c r="P35" s="349"/>
      <c r="Q35" s="3917"/>
      <c r="R35" s="133" t="s">
        <v>2310</v>
      </c>
      <c r="S35" s="591"/>
      <c r="T35" s="592"/>
      <c r="U35" s="593"/>
      <c r="V35" s="446"/>
      <c r="W35" s="508">
        <f t="shared" si="2"/>
        <v>0</v>
      </c>
      <c r="X35" s="509">
        <f>(W35/W61)*X11</f>
        <v>0</v>
      </c>
      <c r="Y35" s="510" t="str">
        <f>IF(ISBLANK(S35),"",(S35/W61)*X11)</f>
        <v/>
      </c>
      <c r="Z35" s="511">
        <f t="shared" si="11"/>
        <v>0</v>
      </c>
      <c r="AA35" s="447"/>
      <c r="AB35" s="512">
        <f>AA11</f>
        <v>0</v>
      </c>
      <c r="AC35" s="512">
        <f t="shared" si="8"/>
        <v>0</v>
      </c>
      <c r="AD35" s="513">
        <f t="shared" si="9"/>
        <v>1</v>
      </c>
      <c r="AF35" s="514">
        <f>((W35/W11)*AH11)</f>
        <v>0</v>
      </c>
      <c r="AG35" s="510">
        <f>IF(ISTEXT(S35),S35,IF(ISBLANK(S35),0,(S35/W11)*AH11))</f>
        <v>0</v>
      </c>
      <c r="AH35" s="515">
        <f t="shared" si="3"/>
        <v>0</v>
      </c>
      <c r="AI35" s="516">
        <f t="shared" si="4"/>
        <v>0</v>
      </c>
      <c r="AJ35" s="517">
        <f>(W35/W11)*AL11</f>
        <v>0</v>
      </c>
      <c r="AK35" s="510">
        <f>IF(ISBLANK(S35),0,(S35/W11)*AL11)</f>
        <v>0</v>
      </c>
      <c r="AL35" s="511">
        <f t="shared" si="5"/>
        <v>0</v>
      </c>
      <c r="AM35" s="517">
        <f t="shared" si="10"/>
        <v>0</v>
      </c>
      <c r="AN35" s="518">
        <f t="shared" si="6"/>
        <v>0</v>
      </c>
      <c r="AO35" s="510">
        <f>IF(ISBLANK(S35),0,(S35/W61)*AN62)</f>
        <v>0</v>
      </c>
      <c r="AP35" s="511">
        <f t="shared" si="7"/>
        <v>0</v>
      </c>
      <c r="AQ35" s="519" t="s">
        <v>2342</v>
      </c>
      <c r="AR35" s="520" t="s">
        <v>2343</v>
      </c>
      <c r="AS35" s="520" t="s">
        <v>2344</v>
      </c>
      <c r="AT35" s="520">
        <v>3</v>
      </c>
      <c r="AV35" s="382" t="s">
        <v>2294</v>
      </c>
      <c r="AW35" s="628">
        <f>ROW()</f>
        <v>35</v>
      </c>
    </row>
    <row r="36" spans="1:49" ht="18.95" customHeight="1">
      <c r="A36" s="3914"/>
      <c r="B36" s="441">
        <f t="shared" si="1"/>
        <v>0</v>
      </c>
      <c r="C36" s="442">
        <f>IF(G10=1,AG36,IF(G10=2,AK36,IF(G10=3,AO36,IF(G10=4,AS36))))</f>
        <v>0</v>
      </c>
      <c r="D36" s="443">
        <f>IF(G10=1,AH36,IF(G10=2,AL36,IF(G10=3,AP36,IF(G10=4,AT36))))</f>
        <v>0</v>
      </c>
      <c r="E36" s="506">
        <f>IF(G10=1,AF36,IF(G10=2,AJ36,IF(G10=3,AN36,IF(G10=4,AR36))))</f>
        <v>0</v>
      </c>
      <c r="F36" s="444" t="str">
        <f>IF(G10=1,"",IF(E36=G36,"",AC36))</f>
        <v/>
      </c>
      <c r="G36" s="507" t="str">
        <f>IF(G10=1,"",IF(G10=2,AI36,IF(G10=3,AM36,IF(G10=4,AQ36))))</f>
        <v/>
      </c>
      <c r="H36" s="445">
        <f>W36/W61</f>
        <v>0</v>
      </c>
      <c r="I36" s="3916"/>
      <c r="J36" s="619">
        <f>LARGE(J13:J35,1)+1</f>
        <v>24</v>
      </c>
      <c r="K36" s="349"/>
      <c r="L36" s="349"/>
      <c r="M36" s="349"/>
      <c r="N36" s="349"/>
      <c r="O36" s="349"/>
      <c r="P36" s="349"/>
      <c r="Q36" s="3917"/>
      <c r="R36" s="133" t="s">
        <v>2310</v>
      </c>
      <c r="S36" s="591"/>
      <c r="T36" s="592"/>
      <c r="U36" s="593"/>
      <c r="V36" s="446"/>
      <c r="W36" s="508">
        <f t="shared" si="2"/>
        <v>0</v>
      </c>
      <c r="X36" s="509">
        <f>(W36/W61)*X11</f>
        <v>0</v>
      </c>
      <c r="Y36" s="510" t="str">
        <f>IF(ISBLANK(S36),"",(S36/W61)*X11)</f>
        <v/>
      </c>
      <c r="Z36" s="511">
        <f t="shared" si="11"/>
        <v>0</v>
      </c>
      <c r="AA36" s="447"/>
      <c r="AB36" s="512">
        <f>AA11</f>
        <v>0</v>
      </c>
      <c r="AC36" s="512">
        <f t="shared" si="8"/>
        <v>0</v>
      </c>
      <c r="AD36" s="513">
        <f t="shared" si="9"/>
        <v>1</v>
      </c>
      <c r="AF36" s="514">
        <f>((W36/W11)*AH11)</f>
        <v>0</v>
      </c>
      <c r="AG36" s="510">
        <f>IF(ISTEXT(S36),S36,IF(ISBLANK(S36),0,(S36/W11)*AH11))</f>
        <v>0</v>
      </c>
      <c r="AH36" s="515">
        <f t="shared" si="3"/>
        <v>0</v>
      </c>
      <c r="AI36" s="516">
        <f t="shared" si="4"/>
        <v>0</v>
      </c>
      <c r="AJ36" s="517">
        <f>(W36/W11)*AL11</f>
        <v>0</v>
      </c>
      <c r="AK36" s="510">
        <f>IF(ISBLANK(S36),0,(S36/W11)*AL11)</f>
        <v>0</v>
      </c>
      <c r="AL36" s="511">
        <f t="shared" si="5"/>
        <v>0</v>
      </c>
      <c r="AM36" s="517">
        <f t="shared" si="10"/>
        <v>0</v>
      </c>
      <c r="AN36" s="518">
        <f t="shared" si="6"/>
        <v>0</v>
      </c>
      <c r="AO36" s="510">
        <f>IF(ISBLANK(S36),0,(S36/W61)*AN62)</f>
        <v>0</v>
      </c>
      <c r="AP36" s="511">
        <f t="shared" si="7"/>
        <v>0</v>
      </c>
      <c r="AQ36" s="519" t="s">
        <v>2342</v>
      </c>
      <c r="AR36" s="520" t="s">
        <v>2343</v>
      </c>
      <c r="AS36" s="520" t="s">
        <v>2344</v>
      </c>
      <c r="AT36" s="520">
        <v>3</v>
      </c>
      <c r="AV36" s="381" t="s">
        <v>2294</v>
      </c>
      <c r="AW36" s="629">
        <f>ROW()</f>
        <v>36</v>
      </c>
    </row>
    <row r="37" spans="1:49" ht="18.95" customHeight="1">
      <c r="A37" s="3914"/>
      <c r="B37" s="441">
        <f t="shared" si="1"/>
        <v>0</v>
      </c>
      <c r="C37" s="442">
        <f>IF(G10=1,AG37,IF(G10=2,AK37,IF(G10=3,AO37,IF(G10=4,AS37))))</f>
        <v>0</v>
      </c>
      <c r="D37" s="443">
        <f>IF(G10=1,AH37,IF(G10=2,AL37,IF(G10=3,AP37,IF(G10=4,AT37))))</f>
        <v>0</v>
      </c>
      <c r="E37" s="506">
        <f>IF(G10=1,AF37,IF(G10=2,AJ37,IF(G10=3,AN37,IF(G10=4,AR37))))</f>
        <v>0</v>
      </c>
      <c r="F37" s="444" t="str">
        <f>IF(G10=1,"",IF(E37=G37,"",AC37))</f>
        <v/>
      </c>
      <c r="G37" s="507" t="str">
        <f>IF(G10=1,"",IF(G10=2,AI37,IF(G10=3,AM37,IF(G10=4,AQ37))))</f>
        <v/>
      </c>
      <c r="H37" s="445">
        <f>W37/W61</f>
        <v>0</v>
      </c>
      <c r="I37" s="3916"/>
      <c r="J37" s="619">
        <f>LARGE(J13:J36,1)+1</f>
        <v>25</v>
      </c>
      <c r="K37" s="349"/>
      <c r="L37" s="349"/>
      <c r="M37" s="349"/>
      <c r="N37" s="349"/>
      <c r="O37" s="349"/>
      <c r="P37" s="349"/>
      <c r="Q37" s="3917"/>
      <c r="R37" s="133" t="s">
        <v>2310</v>
      </c>
      <c r="S37" s="591"/>
      <c r="T37" s="592"/>
      <c r="U37" s="593"/>
      <c r="V37" s="446"/>
      <c r="W37" s="508">
        <f t="shared" si="2"/>
        <v>0</v>
      </c>
      <c r="X37" s="509">
        <f>(W37/W61)*X11</f>
        <v>0</v>
      </c>
      <c r="Y37" s="510" t="str">
        <f>IF(ISBLANK(S37),"",(S37/W61)*X11)</f>
        <v/>
      </c>
      <c r="Z37" s="511">
        <f t="shared" si="11"/>
        <v>0</v>
      </c>
      <c r="AA37" s="447"/>
      <c r="AB37" s="512">
        <f>AA11</f>
        <v>0</v>
      </c>
      <c r="AC37" s="512">
        <f t="shared" si="8"/>
        <v>0</v>
      </c>
      <c r="AD37" s="513">
        <f t="shared" si="9"/>
        <v>1</v>
      </c>
      <c r="AF37" s="514">
        <f>((W37/W11)*AH11)</f>
        <v>0</v>
      </c>
      <c r="AG37" s="510">
        <f>IF(ISTEXT(S37),S37,IF(ISBLANK(S37),0,(S37/W11)*AH11))</f>
        <v>0</v>
      </c>
      <c r="AH37" s="515">
        <f t="shared" si="3"/>
        <v>0</v>
      </c>
      <c r="AI37" s="516">
        <f t="shared" si="4"/>
        <v>0</v>
      </c>
      <c r="AJ37" s="517">
        <f>(W37/W11)*AL11</f>
        <v>0</v>
      </c>
      <c r="AK37" s="510">
        <f>IF(ISBLANK(S37),0,(S37/W11)*AL11)</f>
        <v>0</v>
      </c>
      <c r="AL37" s="511">
        <f t="shared" si="5"/>
        <v>0</v>
      </c>
      <c r="AM37" s="517">
        <f t="shared" si="10"/>
        <v>0</v>
      </c>
      <c r="AN37" s="518">
        <f t="shared" si="6"/>
        <v>0</v>
      </c>
      <c r="AO37" s="510">
        <f>IF(ISBLANK(S37),0,(S37/W61)*AN62)</f>
        <v>0</v>
      </c>
      <c r="AP37" s="511">
        <f t="shared" si="7"/>
        <v>0</v>
      </c>
      <c r="AQ37" s="519" t="s">
        <v>2342</v>
      </c>
      <c r="AR37" s="520" t="s">
        <v>2343</v>
      </c>
      <c r="AS37" s="520" t="s">
        <v>2344</v>
      </c>
      <c r="AT37" s="520">
        <v>3</v>
      </c>
      <c r="AV37" s="382" t="s">
        <v>2294</v>
      </c>
      <c r="AW37" s="628">
        <f>ROW()</f>
        <v>37</v>
      </c>
    </row>
    <row r="38" spans="1:49" ht="18.95" customHeight="1">
      <c r="A38" s="3914"/>
      <c r="B38" s="441">
        <f t="shared" si="1"/>
        <v>0</v>
      </c>
      <c r="C38" s="442">
        <f>IF(G10=1,AG38,IF(G10=2,AK38,IF(G10=3,AO38,IF(G10=4,AS38))))</f>
        <v>0</v>
      </c>
      <c r="D38" s="443">
        <f>IF(G10=1,AH38,IF(G10=2,AL38,IF(G10=3,AP38,IF(G10=4,AT38))))</f>
        <v>0</v>
      </c>
      <c r="E38" s="506">
        <f>IF(G10=1,AF38,IF(G10=2,AJ38,IF(G10=3,AN38,IF(G10=4,AR38))))</f>
        <v>0</v>
      </c>
      <c r="F38" s="444" t="str">
        <f>IF(G10=1,"",IF(E38=G38,"",AC38))</f>
        <v/>
      </c>
      <c r="G38" s="507" t="str">
        <f>IF(G10=1,"",IF(G10=2,AI38,IF(G10=3,AM38,IF(G10=4,AQ38))))</f>
        <v/>
      </c>
      <c r="H38" s="445">
        <f>W38/W61</f>
        <v>0</v>
      </c>
      <c r="I38" s="3916"/>
      <c r="J38" s="619">
        <f>LARGE(J13:J37,1)+1</f>
        <v>26</v>
      </c>
      <c r="K38" s="349"/>
      <c r="L38" s="349"/>
      <c r="M38" s="349"/>
      <c r="N38" s="349"/>
      <c r="O38" s="349"/>
      <c r="P38" s="349"/>
      <c r="Q38" s="3917"/>
      <c r="R38" s="133" t="s">
        <v>2310</v>
      </c>
      <c r="S38" s="591"/>
      <c r="T38" s="592"/>
      <c r="U38" s="593"/>
      <c r="V38" s="446"/>
      <c r="W38" s="508">
        <f t="shared" si="2"/>
        <v>0</v>
      </c>
      <c r="X38" s="509">
        <f>(W38/W61)*X11</f>
        <v>0</v>
      </c>
      <c r="Y38" s="510" t="str">
        <f>IF(ISBLANK(S38),"",(S38/W61)*X11)</f>
        <v/>
      </c>
      <c r="Z38" s="511">
        <f t="shared" si="11"/>
        <v>0</v>
      </c>
      <c r="AA38" s="447"/>
      <c r="AB38" s="512">
        <f>AA11</f>
        <v>0</v>
      </c>
      <c r="AC38" s="512">
        <f t="shared" si="8"/>
        <v>0</v>
      </c>
      <c r="AD38" s="513">
        <f t="shared" si="9"/>
        <v>1</v>
      </c>
      <c r="AF38" s="514">
        <f>((W38/W11)*AH11)</f>
        <v>0</v>
      </c>
      <c r="AG38" s="510">
        <f>IF(ISTEXT(S38),S38,IF(ISBLANK(S38),0,(S38/W11)*AH11))</f>
        <v>0</v>
      </c>
      <c r="AH38" s="515">
        <f t="shared" si="3"/>
        <v>0</v>
      </c>
      <c r="AI38" s="516">
        <f t="shared" si="4"/>
        <v>0</v>
      </c>
      <c r="AJ38" s="517">
        <f>(W38/W11)*AL11</f>
        <v>0</v>
      </c>
      <c r="AK38" s="510">
        <f>IF(ISBLANK(S38),0,(S38/W11)*AL11)</f>
        <v>0</v>
      </c>
      <c r="AL38" s="511">
        <f t="shared" si="5"/>
        <v>0</v>
      </c>
      <c r="AM38" s="517">
        <f t="shared" si="10"/>
        <v>0</v>
      </c>
      <c r="AN38" s="518">
        <f t="shared" si="6"/>
        <v>0</v>
      </c>
      <c r="AO38" s="510">
        <f>IF(ISBLANK(S38),0,(S38/W61)*AN62)</f>
        <v>0</v>
      </c>
      <c r="AP38" s="511">
        <f t="shared" si="7"/>
        <v>0</v>
      </c>
      <c r="AQ38" s="519" t="s">
        <v>2342</v>
      </c>
      <c r="AR38" s="520" t="s">
        <v>2343</v>
      </c>
      <c r="AS38" s="520" t="s">
        <v>2344</v>
      </c>
      <c r="AT38" s="520">
        <v>3</v>
      </c>
      <c r="AV38" s="381" t="s">
        <v>2294</v>
      </c>
      <c r="AW38" s="629">
        <f>ROW()</f>
        <v>38</v>
      </c>
    </row>
    <row r="39" spans="1:49" ht="18.95" customHeight="1">
      <c r="A39" s="3914"/>
      <c r="B39" s="441">
        <f t="shared" si="1"/>
        <v>0</v>
      </c>
      <c r="C39" s="442">
        <f>IF(G10=1,AG39,IF(G10=2,AK39,IF(G10=3,AO39,IF(G10=4,AS39))))</f>
        <v>0</v>
      </c>
      <c r="D39" s="443">
        <f>IF(G10=1,AH39,IF(G10=2,AL39,IF(G10=3,AP39,IF(G10=4,AT39))))</f>
        <v>0</v>
      </c>
      <c r="E39" s="506">
        <f>IF(G10=1,AF39,IF(G10=2,AJ39,IF(G10=3,AN39,IF(G10=4,AR39))))</f>
        <v>0</v>
      </c>
      <c r="F39" s="444" t="str">
        <f>IF(G10=1,"",IF(E39=G39,"",AC39))</f>
        <v/>
      </c>
      <c r="G39" s="507" t="str">
        <f>IF(G10=1,"",IF(G10=2,AI39,IF(G10=3,AM39,IF(G10=4,AQ39))))</f>
        <v/>
      </c>
      <c r="H39" s="445">
        <f>W39/W61</f>
        <v>0</v>
      </c>
      <c r="I39" s="3916"/>
      <c r="J39" s="619">
        <f>LARGE(J13:J38,1)+1</f>
        <v>27</v>
      </c>
      <c r="K39" s="349"/>
      <c r="L39" s="349"/>
      <c r="M39" s="349"/>
      <c r="N39" s="349"/>
      <c r="O39" s="349"/>
      <c r="P39" s="349"/>
      <c r="Q39" s="3917"/>
      <c r="R39" s="133" t="s">
        <v>2310</v>
      </c>
      <c r="S39" s="591"/>
      <c r="T39" s="592"/>
      <c r="U39" s="593"/>
      <c r="V39" s="446"/>
      <c r="W39" s="508">
        <f t="shared" si="2"/>
        <v>0</v>
      </c>
      <c r="X39" s="509">
        <f>(W39/W61)*X11</f>
        <v>0</v>
      </c>
      <c r="Y39" s="510" t="str">
        <f>IF(ISBLANK(S39),"",(S39/W61)*X11)</f>
        <v/>
      </c>
      <c r="Z39" s="511">
        <f t="shared" si="11"/>
        <v>0</v>
      </c>
      <c r="AA39" s="447"/>
      <c r="AB39" s="512">
        <f>AA11</f>
        <v>0</v>
      </c>
      <c r="AC39" s="512">
        <f t="shared" si="8"/>
        <v>0</v>
      </c>
      <c r="AD39" s="513">
        <f t="shared" si="9"/>
        <v>1</v>
      </c>
      <c r="AF39" s="514">
        <f>((W39/W11)*AH11)</f>
        <v>0</v>
      </c>
      <c r="AG39" s="510">
        <f>IF(ISTEXT(S39),S39,IF(ISBLANK(S39),0,(S39/W11)*AH11))</f>
        <v>0</v>
      </c>
      <c r="AH39" s="515">
        <f t="shared" si="3"/>
        <v>0</v>
      </c>
      <c r="AI39" s="516">
        <f t="shared" si="4"/>
        <v>0</v>
      </c>
      <c r="AJ39" s="517">
        <f>(W39/W11)*AL11</f>
        <v>0</v>
      </c>
      <c r="AK39" s="510">
        <f>IF(ISBLANK(S39),0,(S39/W11)*AL11)</f>
        <v>0</v>
      </c>
      <c r="AL39" s="511">
        <f t="shared" si="5"/>
        <v>0</v>
      </c>
      <c r="AM39" s="517">
        <f t="shared" si="10"/>
        <v>0</v>
      </c>
      <c r="AN39" s="518">
        <f t="shared" si="6"/>
        <v>0</v>
      </c>
      <c r="AO39" s="510">
        <f>IF(ISBLANK(S39),0,(S39/W61)*AN62)</f>
        <v>0</v>
      </c>
      <c r="AP39" s="511">
        <f t="shared" si="7"/>
        <v>0</v>
      </c>
      <c r="AQ39" s="519" t="s">
        <v>2342</v>
      </c>
      <c r="AR39" s="520" t="s">
        <v>2343</v>
      </c>
      <c r="AS39" s="520" t="s">
        <v>2344</v>
      </c>
      <c r="AT39" s="520">
        <v>3</v>
      </c>
      <c r="AV39" s="382" t="s">
        <v>2294</v>
      </c>
      <c r="AW39" s="628">
        <f>ROW()</f>
        <v>39</v>
      </c>
    </row>
    <row r="40" spans="1:49" ht="18.95" customHeight="1">
      <c r="A40" s="3914"/>
      <c r="B40" s="441">
        <f t="shared" si="1"/>
        <v>0</v>
      </c>
      <c r="C40" s="442">
        <f>IF(G10=1,AG40,IF(G10=2,AK40,IF(G10=3,AO40,IF(G10=4,AS40))))</f>
        <v>0</v>
      </c>
      <c r="D40" s="443">
        <f>IF(G10=1,AH40,IF(G10=2,AL40,IF(G10=3,AP40,IF(G10=4,AT40))))</f>
        <v>0</v>
      </c>
      <c r="E40" s="506">
        <f>IF(G10=1,AF40,IF(G10=2,AJ40,IF(G10=3,AN40,IF(G10=4,AR40))))</f>
        <v>0</v>
      </c>
      <c r="F40" s="444" t="str">
        <f>IF(G10=1,"",IF(E40=G40,"",AC40))</f>
        <v/>
      </c>
      <c r="G40" s="507" t="str">
        <f>IF(G10=1,"",IF(G10=2,AI40,IF(G10=3,AM40,IF(G10=4,AQ40))))</f>
        <v/>
      </c>
      <c r="H40" s="445">
        <f>W40/W61</f>
        <v>0</v>
      </c>
      <c r="I40" s="3916"/>
      <c r="J40" s="619">
        <f>LARGE(J13:J39,1)+1</f>
        <v>28</v>
      </c>
      <c r="K40" s="349"/>
      <c r="L40" s="349"/>
      <c r="M40" s="349"/>
      <c r="N40" s="349"/>
      <c r="O40" s="349"/>
      <c r="P40" s="349"/>
      <c r="Q40" s="3917"/>
      <c r="R40" s="133" t="s">
        <v>2310</v>
      </c>
      <c r="S40" s="591"/>
      <c r="T40" s="592"/>
      <c r="U40" s="593"/>
      <c r="V40" s="446"/>
      <c r="W40" s="508">
        <f t="shared" si="2"/>
        <v>0</v>
      </c>
      <c r="X40" s="509">
        <f>(W40/W61)*X11</f>
        <v>0</v>
      </c>
      <c r="Y40" s="510" t="str">
        <f>IF(ISBLANK(S40),"",(S40/W61)*X11)</f>
        <v/>
      </c>
      <c r="Z40" s="511">
        <f t="shared" si="11"/>
        <v>0</v>
      </c>
      <c r="AA40" s="447"/>
      <c r="AB40" s="512">
        <f>AA11</f>
        <v>0</v>
      </c>
      <c r="AC40" s="512">
        <f t="shared" si="8"/>
        <v>0</v>
      </c>
      <c r="AD40" s="513">
        <f t="shared" si="9"/>
        <v>1</v>
      </c>
      <c r="AF40" s="514">
        <f>((W40/W11)*AH11)</f>
        <v>0</v>
      </c>
      <c r="AG40" s="510">
        <f>IF(ISTEXT(S40),S40,IF(ISBLANK(S40),0,(S40/W11)*AH11))</f>
        <v>0</v>
      </c>
      <c r="AH40" s="515">
        <f t="shared" si="3"/>
        <v>0</v>
      </c>
      <c r="AI40" s="516">
        <f t="shared" si="4"/>
        <v>0</v>
      </c>
      <c r="AJ40" s="517">
        <f>(W40/W11)*AL11</f>
        <v>0</v>
      </c>
      <c r="AK40" s="510">
        <f>IF(ISBLANK(S40),0,(S40/W11)*AL11)</f>
        <v>0</v>
      </c>
      <c r="AL40" s="511">
        <f t="shared" si="5"/>
        <v>0</v>
      </c>
      <c r="AM40" s="517">
        <f t="shared" si="10"/>
        <v>0</v>
      </c>
      <c r="AN40" s="518">
        <f t="shared" si="6"/>
        <v>0</v>
      </c>
      <c r="AO40" s="510">
        <f>IF(ISBLANK(S40),0,(S40/W61)*AN62)</f>
        <v>0</v>
      </c>
      <c r="AP40" s="511">
        <f t="shared" si="7"/>
        <v>0</v>
      </c>
      <c r="AQ40" s="519" t="s">
        <v>2342</v>
      </c>
      <c r="AR40" s="520" t="s">
        <v>2343</v>
      </c>
      <c r="AS40" s="520" t="s">
        <v>2344</v>
      </c>
      <c r="AT40" s="520">
        <v>3</v>
      </c>
      <c r="AV40" s="381" t="s">
        <v>2294</v>
      </c>
      <c r="AW40" s="629">
        <f>ROW()</f>
        <v>40</v>
      </c>
    </row>
    <row r="41" spans="1:49" ht="18.95" customHeight="1">
      <c r="A41" s="3914"/>
      <c r="B41" s="441">
        <f t="shared" si="1"/>
        <v>0</v>
      </c>
      <c r="C41" s="442">
        <f>IF(G10=1,AG41,IF(G10=2,AK41,IF(G10=3,AO41,IF(G10=4,AS41))))</f>
        <v>0</v>
      </c>
      <c r="D41" s="443">
        <f>IF(G10=1,AH41,IF(G10=2,AL41,IF(G10=3,AP41,IF(G10=4,AT41))))</f>
        <v>0</v>
      </c>
      <c r="E41" s="506">
        <f>IF(G10=1,AF41,IF(G10=2,AJ41,IF(G10=3,AN41,IF(G10=4,AR41))))</f>
        <v>0</v>
      </c>
      <c r="F41" s="444" t="str">
        <f>IF(G10=1,"",IF(E41=G41,"",AC41))</f>
        <v/>
      </c>
      <c r="G41" s="507" t="str">
        <f>IF(G10=1,"",IF(G10=2,AI41,IF(G10=3,AM41,IF(G10=4,AQ41))))</f>
        <v/>
      </c>
      <c r="H41" s="445">
        <f>W41/W61</f>
        <v>0</v>
      </c>
      <c r="I41" s="3916"/>
      <c r="J41" s="619">
        <f>LARGE(J13:J40,1)+1</f>
        <v>29</v>
      </c>
      <c r="K41" s="349"/>
      <c r="L41" s="349"/>
      <c r="M41" s="349"/>
      <c r="N41" s="349"/>
      <c r="O41" s="349"/>
      <c r="P41" s="349"/>
      <c r="Q41" s="3917"/>
      <c r="R41" s="133" t="s">
        <v>2310</v>
      </c>
      <c r="S41" s="591"/>
      <c r="T41" s="592"/>
      <c r="U41" s="593"/>
      <c r="V41" s="446"/>
      <c r="W41" s="508">
        <f t="shared" si="2"/>
        <v>0</v>
      </c>
      <c r="X41" s="509">
        <f>(W41/W61)*X11</f>
        <v>0</v>
      </c>
      <c r="Y41" s="510" t="str">
        <f>IF(ISBLANK(S41),"",(S41/W61)*X11)</f>
        <v/>
      </c>
      <c r="Z41" s="511">
        <f t="shared" si="11"/>
        <v>0</v>
      </c>
      <c r="AA41" s="447"/>
      <c r="AB41" s="512">
        <f>AA11</f>
        <v>0</v>
      </c>
      <c r="AC41" s="512">
        <f t="shared" si="8"/>
        <v>0</v>
      </c>
      <c r="AD41" s="513">
        <f t="shared" si="9"/>
        <v>1</v>
      </c>
      <c r="AF41" s="514">
        <f>((W41/W11)*AH11)</f>
        <v>0</v>
      </c>
      <c r="AG41" s="510">
        <f>IF(ISTEXT(S41),S41,IF(ISBLANK(S41),0,(S41/W11)*AH11))</f>
        <v>0</v>
      </c>
      <c r="AH41" s="515">
        <f t="shared" si="3"/>
        <v>0</v>
      </c>
      <c r="AI41" s="516">
        <f t="shared" si="4"/>
        <v>0</v>
      </c>
      <c r="AJ41" s="517">
        <f>(W41/W11)*AL11</f>
        <v>0</v>
      </c>
      <c r="AK41" s="510">
        <f>IF(ISBLANK(S41),0,(S41/W11)*AL11)</f>
        <v>0</v>
      </c>
      <c r="AL41" s="511">
        <f t="shared" si="5"/>
        <v>0</v>
      </c>
      <c r="AM41" s="517">
        <f t="shared" si="10"/>
        <v>0</v>
      </c>
      <c r="AN41" s="518">
        <f t="shared" si="6"/>
        <v>0</v>
      </c>
      <c r="AO41" s="510">
        <f>IF(ISBLANK(S41),0,(S41/W61)*AN62)</f>
        <v>0</v>
      </c>
      <c r="AP41" s="511">
        <f t="shared" si="7"/>
        <v>0</v>
      </c>
      <c r="AQ41" s="519" t="s">
        <v>2342</v>
      </c>
      <c r="AR41" s="520" t="s">
        <v>2343</v>
      </c>
      <c r="AS41" s="520" t="s">
        <v>2344</v>
      </c>
      <c r="AT41" s="520">
        <v>3</v>
      </c>
      <c r="AV41" s="382" t="s">
        <v>2294</v>
      </c>
      <c r="AW41" s="628">
        <f>ROW()</f>
        <v>41</v>
      </c>
    </row>
    <row r="42" spans="1:49" ht="18.95" customHeight="1">
      <c r="A42" s="3914"/>
      <c r="B42" s="441">
        <f t="shared" si="1"/>
        <v>0</v>
      </c>
      <c r="C42" s="442">
        <f>IF(G10=1,AG42,IF(G10=2,AK42,IF(G10=3,AO42,IF(G10=4,AS42))))</f>
        <v>0</v>
      </c>
      <c r="D42" s="443">
        <f>IF(G10=1,AH42,IF(G10=2,AL42,IF(G10=3,AP42,IF(G10=4,AT42))))</f>
        <v>0</v>
      </c>
      <c r="E42" s="506">
        <f>IF(G10=1,AF42,IF(G10=2,AJ42,IF(G10=3,AN42,IF(G10=4,AR42))))</f>
        <v>0</v>
      </c>
      <c r="F42" s="444" t="str">
        <f>IF(G10=1,"",IF(E42=G42,"",AC42))</f>
        <v/>
      </c>
      <c r="G42" s="507" t="str">
        <f>IF(G10=1,"",IF(G10=2,AI42,IF(G10=3,AM42,IF(G10=4,AQ42))))</f>
        <v/>
      </c>
      <c r="H42" s="445">
        <f>W42/W61</f>
        <v>0</v>
      </c>
      <c r="I42" s="3916"/>
      <c r="J42" s="619">
        <f>LARGE(J13:J41,1)+1</f>
        <v>30</v>
      </c>
      <c r="K42" s="349"/>
      <c r="L42" s="349"/>
      <c r="M42" s="349"/>
      <c r="N42" s="349"/>
      <c r="O42" s="349"/>
      <c r="P42" s="349"/>
      <c r="Q42" s="3917"/>
      <c r="R42" s="133" t="s">
        <v>2310</v>
      </c>
      <c r="S42" s="591"/>
      <c r="T42" s="592"/>
      <c r="U42" s="593"/>
      <c r="V42" s="446"/>
      <c r="W42" s="508">
        <f t="shared" si="2"/>
        <v>0</v>
      </c>
      <c r="X42" s="509">
        <f>(W42/W61)*X11</f>
        <v>0</v>
      </c>
      <c r="Y42" s="510" t="str">
        <f>IF(ISBLANK(S42),"",(S42/W61)*X11)</f>
        <v/>
      </c>
      <c r="Z42" s="511">
        <f t="shared" si="11"/>
        <v>0</v>
      </c>
      <c r="AA42" s="447"/>
      <c r="AB42" s="512">
        <f>AA11</f>
        <v>0</v>
      </c>
      <c r="AC42" s="512">
        <f t="shared" si="8"/>
        <v>0</v>
      </c>
      <c r="AD42" s="513">
        <f t="shared" si="9"/>
        <v>1</v>
      </c>
      <c r="AF42" s="514">
        <f>((W42/W11)*AH11)</f>
        <v>0</v>
      </c>
      <c r="AG42" s="510">
        <f>IF(ISTEXT(S42),S42,IF(ISBLANK(S42),0,(S42/W11)*AH11))</f>
        <v>0</v>
      </c>
      <c r="AH42" s="515">
        <f t="shared" si="3"/>
        <v>0</v>
      </c>
      <c r="AI42" s="516">
        <f t="shared" si="4"/>
        <v>0</v>
      </c>
      <c r="AJ42" s="517">
        <f>(W42/W11)*AL11</f>
        <v>0</v>
      </c>
      <c r="AK42" s="510">
        <f>IF(ISBLANK(S42),0,(S42/W11)*AL11)</f>
        <v>0</v>
      </c>
      <c r="AL42" s="511">
        <f t="shared" si="5"/>
        <v>0</v>
      </c>
      <c r="AM42" s="517">
        <f t="shared" si="10"/>
        <v>0</v>
      </c>
      <c r="AN42" s="518">
        <f t="shared" si="6"/>
        <v>0</v>
      </c>
      <c r="AO42" s="510">
        <f>IF(ISBLANK(S42),0,(S42/W61)*AN62)</f>
        <v>0</v>
      </c>
      <c r="AP42" s="511">
        <f t="shared" si="7"/>
        <v>0</v>
      </c>
      <c r="AQ42" s="519" t="s">
        <v>2342</v>
      </c>
      <c r="AR42" s="520" t="s">
        <v>2343</v>
      </c>
      <c r="AS42" s="520" t="s">
        <v>2344</v>
      </c>
      <c r="AT42" s="520">
        <v>3</v>
      </c>
      <c r="AV42" s="381" t="s">
        <v>2294</v>
      </c>
      <c r="AW42" s="629">
        <f>ROW()</f>
        <v>42</v>
      </c>
    </row>
    <row r="43" spans="1:49" ht="18.95" customHeight="1">
      <c r="A43" s="3914"/>
      <c r="B43" s="441">
        <f t="shared" si="1"/>
        <v>0</v>
      </c>
      <c r="C43" s="442">
        <f>IF(G10=1,AG43,IF(G10=2,AK43,IF(G10=3,AO43,IF(G10=4,AS43))))</f>
        <v>0</v>
      </c>
      <c r="D43" s="443">
        <f>IF(G10=1,AH43,IF(G10=2,AL43,IF(G10=3,AP43,IF(G10=4,AT43))))</f>
        <v>0</v>
      </c>
      <c r="E43" s="506">
        <f>IF(G10=1,AF43,IF(G10=2,AJ43,IF(G10=3,AN43,IF(G10=4,AR43))))</f>
        <v>0</v>
      </c>
      <c r="F43" s="444" t="str">
        <f>IF(G10=1,"",IF(E43=G43,"",AC43))</f>
        <v/>
      </c>
      <c r="G43" s="507" t="str">
        <f>IF(G10=1,"",IF(G10=2,AI43,IF(G10=3,AM43,IF(G10=4,AQ43))))</f>
        <v/>
      </c>
      <c r="H43" s="445">
        <f>W43/W61</f>
        <v>0</v>
      </c>
      <c r="I43" s="3916"/>
      <c r="J43" s="619">
        <f>LARGE(J13:J42,1)+1</f>
        <v>31</v>
      </c>
      <c r="K43" s="349"/>
      <c r="L43" s="349"/>
      <c r="M43" s="349"/>
      <c r="N43" s="349"/>
      <c r="O43" s="349"/>
      <c r="P43" s="349"/>
      <c r="Q43" s="3917"/>
      <c r="R43" s="133" t="s">
        <v>2310</v>
      </c>
      <c r="S43" s="591"/>
      <c r="T43" s="592"/>
      <c r="U43" s="593"/>
      <c r="V43" s="446"/>
      <c r="W43" s="508">
        <f t="shared" si="2"/>
        <v>0</v>
      </c>
      <c r="X43" s="509">
        <f>(W43/W61)*X11</f>
        <v>0</v>
      </c>
      <c r="Y43" s="510" t="str">
        <f>IF(ISBLANK(S43),"",(S43/W61)*X11)</f>
        <v/>
      </c>
      <c r="Z43" s="511">
        <f t="shared" si="11"/>
        <v>0</v>
      </c>
      <c r="AA43" s="447"/>
      <c r="AB43" s="512">
        <f>AA11</f>
        <v>0</v>
      </c>
      <c r="AC43" s="512">
        <f t="shared" si="8"/>
        <v>0</v>
      </c>
      <c r="AD43" s="513">
        <f t="shared" si="9"/>
        <v>1</v>
      </c>
      <c r="AF43" s="514">
        <f>((W43/W11)*AH11)</f>
        <v>0</v>
      </c>
      <c r="AG43" s="510">
        <f>IF(ISTEXT(S43),S43,IF(ISBLANK(S43),0,(S43/W11)*AH11))</f>
        <v>0</v>
      </c>
      <c r="AH43" s="515">
        <f t="shared" si="3"/>
        <v>0</v>
      </c>
      <c r="AI43" s="516">
        <f t="shared" si="4"/>
        <v>0</v>
      </c>
      <c r="AJ43" s="517">
        <f>(W43/W11)*AL11</f>
        <v>0</v>
      </c>
      <c r="AK43" s="510">
        <f>IF(ISBLANK(S43),0,(S43/W11)*AL11)</f>
        <v>0</v>
      </c>
      <c r="AL43" s="511">
        <f t="shared" si="5"/>
        <v>0</v>
      </c>
      <c r="AM43" s="517">
        <f t="shared" si="10"/>
        <v>0</v>
      </c>
      <c r="AN43" s="518">
        <f t="shared" si="6"/>
        <v>0</v>
      </c>
      <c r="AO43" s="510">
        <f>IF(ISBLANK(S43),0,(S43/W61)*AN62)</f>
        <v>0</v>
      </c>
      <c r="AP43" s="511">
        <f t="shared" si="7"/>
        <v>0</v>
      </c>
      <c r="AQ43" s="519" t="s">
        <v>2342</v>
      </c>
      <c r="AR43" s="520" t="s">
        <v>2343</v>
      </c>
      <c r="AS43" s="520" t="s">
        <v>2344</v>
      </c>
      <c r="AT43" s="520">
        <v>3</v>
      </c>
      <c r="AV43" s="382" t="s">
        <v>2294</v>
      </c>
      <c r="AW43" s="628">
        <f>ROW()</f>
        <v>43</v>
      </c>
    </row>
    <row r="44" spans="1:49" ht="18.95" customHeight="1">
      <c r="A44" s="3914"/>
      <c r="B44" s="441">
        <f t="shared" si="1"/>
        <v>0</v>
      </c>
      <c r="C44" s="442">
        <f>IF(G10=1,AG44,IF(G10=2,AK44,IF(G10=3,AO44,IF(G10=4,AS44))))</f>
        <v>0</v>
      </c>
      <c r="D44" s="443">
        <f>IF(G10=1,AH44,IF(G10=2,AL44,IF(G10=3,AP44,IF(G10=4,AT44))))</f>
        <v>0</v>
      </c>
      <c r="E44" s="506">
        <f>IF(G10=1,AF44,IF(G10=2,AJ44,IF(G10=3,AN44,IF(G10=4,AR44))))</f>
        <v>0</v>
      </c>
      <c r="F44" s="444" t="str">
        <f>IF(G10=1,"",IF(E44=G44,"",AC44))</f>
        <v/>
      </c>
      <c r="G44" s="507" t="str">
        <f>IF(G10=1,"",IF(G10=2,AI44,IF(G10=3,AM44,IF(G10=4,AQ44))))</f>
        <v/>
      </c>
      <c r="H44" s="445">
        <f>W44/W61</f>
        <v>0</v>
      </c>
      <c r="I44" s="3916"/>
      <c r="J44" s="619">
        <f>LARGE(J13:J43,1)+1</f>
        <v>32</v>
      </c>
      <c r="K44" s="349"/>
      <c r="L44" s="349"/>
      <c r="M44" s="349"/>
      <c r="N44" s="349"/>
      <c r="O44" s="349"/>
      <c r="P44" s="349"/>
      <c r="Q44" s="3917"/>
      <c r="R44" s="133" t="s">
        <v>2310</v>
      </c>
      <c r="S44" s="591"/>
      <c r="T44" s="592"/>
      <c r="U44" s="593"/>
      <c r="V44" s="446"/>
      <c r="W44" s="508">
        <f t="shared" si="2"/>
        <v>0</v>
      </c>
      <c r="X44" s="509">
        <f>(W44/W61)*X11</f>
        <v>0</v>
      </c>
      <c r="Y44" s="510" t="str">
        <f>IF(ISBLANK(S44),"",(S44/W61)*X11)</f>
        <v/>
      </c>
      <c r="Z44" s="511">
        <f t="shared" si="11"/>
        <v>0</v>
      </c>
      <c r="AA44" s="447"/>
      <c r="AB44" s="512">
        <f>AA11</f>
        <v>0</v>
      </c>
      <c r="AC44" s="512">
        <f t="shared" si="8"/>
        <v>0</v>
      </c>
      <c r="AD44" s="513">
        <f t="shared" si="9"/>
        <v>1</v>
      </c>
      <c r="AF44" s="514">
        <f>((W44/W11)*AH11)</f>
        <v>0</v>
      </c>
      <c r="AG44" s="510">
        <f>IF(ISTEXT(S44),S44,IF(ISBLANK(S44),0,(S44/W11)*AH11))</f>
        <v>0</v>
      </c>
      <c r="AH44" s="515">
        <f t="shared" si="3"/>
        <v>0</v>
      </c>
      <c r="AI44" s="516">
        <f t="shared" si="4"/>
        <v>0</v>
      </c>
      <c r="AJ44" s="517">
        <f>(W44/W11)*AL11</f>
        <v>0</v>
      </c>
      <c r="AK44" s="510">
        <f>IF(ISBLANK(S44),0,(S44/W11)*AL11)</f>
        <v>0</v>
      </c>
      <c r="AL44" s="511">
        <f t="shared" si="5"/>
        <v>0</v>
      </c>
      <c r="AM44" s="517">
        <f t="shared" si="10"/>
        <v>0</v>
      </c>
      <c r="AN44" s="518">
        <f t="shared" si="6"/>
        <v>0</v>
      </c>
      <c r="AO44" s="510">
        <f>IF(ISBLANK(S44),0,(S44/W61)*AN62)</f>
        <v>0</v>
      </c>
      <c r="AP44" s="511">
        <f t="shared" si="7"/>
        <v>0</v>
      </c>
      <c r="AQ44" s="519" t="s">
        <v>2342</v>
      </c>
      <c r="AR44" s="520" t="s">
        <v>2343</v>
      </c>
      <c r="AS44" s="520" t="s">
        <v>2344</v>
      </c>
      <c r="AT44" s="520">
        <v>3</v>
      </c>
      <c r="AV44" s="381" t="s">
        <v>2294</v>
      </c>
      <c r="AW44" s="629">
        <f>ROW()</f>
        <v>44</v>
      </c>
    </row>
    <row r="45" spans="1:49" ht="18.95" customHeight="1">
      <c r="A45" s="3914"/>
      <c r="B45" s="441">
        <f t="shared" si="1"/>
        <v>0</v>
      </c>
      <c r="C45" s="442">
        <f>IF(G10=1,AG45,IF(G10=2,AK45,IF(G10=3,AO45,IF(G10=4,AS45))))</f>
        <v>0</v>
      </c>
      <c r="D45" s="443">
        <f>IF(G10=1,AH45,IF(G10=2,AL45,IF(G10=3,AP45,IF(G10=4,AT45))))</f>
        <v>0</v>
      </c>
      <c r="E45" s="506">
        <f>IF(G10=1,AF45,IF(G10=2,AJ45,IF(G10=3,AN45,IF(G10=4,AR45))))</f>
        <v>0</v>
      </c>
      <c r="F45" s="444" t="str">
        <f>IF(G10=1,"",IF(E45=G45,"",AC45))</f>
        <v/>
      </c>
      <c r="G45" s="507" t="str">
        <f>IF(G10=1,"",IF(G10=2,AI45,IF(G10=3,AM45,IF(G10=4,AQ45))))</f>
        <v/>
      </c>
      <c r="H45" s="445">
        <f>W45/W61</f>
        <v>0</v>
      </c>
      <c r="I45" s="3916"/>
      <c r="J45" s="619">
        <f>LARGE(J13:J44,1)+1</f>
        <v>33</v>
      </c>
      <c r="K45" s="349"/>
      <c r="L45" s="349"/>
      <c r="M45" s="349"/>
      <c r="N45" s="349"/>
      <c r="O45" s="349"/>
      <c r="P45" s="349"/>
      <c r="Q45" s="3917"/>
      <c r="R45" s="133" t="s">
        <v>2310</v>
      </c>
      <c r="S45" s="591"/>
      <c r="T45" s="592"/>
      <c r="U45" s="593"/>
      <c r="V45" s="446"/>
      <c r="W45" s="508">
        <f t="shared" si="2"/>
        <v>0</v>
      </c>
      <c r="X45" s="509">
        <f>(W45/W61)*X11</f>
        <v>0</v>
      </c>
      <c r="Y45" s="510" t="str">
        <f>IF(ISBLANK(S45),"",(S45/W61)*X11)</f>
        <v/>
      </c>
      <c r="Z45" s="511">
        <f t="shared" si="11"/>
        <v>0</v>
      </c>
      <c r="AA45" s="447"/>
      <c r="AB45" s="512">
        <f>AA11</f>
        <v>0</v>
      </c>
      <c r="AC45" s="512">
        <f t="shared" si="8"/>
        <v>0</v>
      </c>
      <c r="AD45" s="513">
        <f t="shared" si="9"/>
        <v>1</v>
      </c>
      <c r="AF45" s="514">
        <f>((W45/W11)*AH11)</f>
        <v>0</v>
      </c>
      <c r="AG45" s="510">
        <f>IF(ISTEXT(S45),S45,IF(ISBLANK(S45),0,(S45/W11)*AH11))</f>
        <v>0</v>
      </c>
      <c r="AH45" s="515">
        <f t="shared" si="3"/>
        <v>0</v>
      </c>
      <c r="AI45" s="516">
        <f t="shared" si="4"/>
        <v>0</v>
      </c>
      <c r="AJ45" s="517">
        <f>(W45/W11)*AL11</f>
        <v>0</v>
      </c>
      <c r="AK45" s="510">
        <f>IF(ISBLANK(S45),0,(S45/W11)*AL11)</f>
        <v>0</v>
      </c>
      <c r="AL45" s="511">
        <f t="shared" si="5"/>
        <v>0</v>
      </c>
      <c r="AM45" s="517">
        <f t="shared" si="10"/>
        <v>0</v>
      </c>
      <c r="AN45" s="518">
        <f t="shared" si="6"/>
        <v>0</v>
      </c>
      <c r="AO45" s="510">
        <f>IF(ISBLANK(S45),0,(S45/W61)*AN62)</f>
        <v>0</v>
      </c>
      <c r="AP45" s="511">
        <f t="shared" si="7"/>
        <v>0</v>
      </c>
      <c r="AQ45" s="519" t="s">
        <v>2342</v>
      </c>
      <c r="AR45" s="520" t="s">
        <v>2343</v>
      </c>
      <c r="AS45" s="520" t="s">
        <v>2344</v>
      </c>
      <c r="AT45" s="520">
        <v>3</v>
      </c>
      <c r="AV45" s="382" t="s">
        <v>2294</v>
      </c>
      <c r="AW45" s="628">
        <f>ROW()</f>
        <v>45</v>
      </c>
    </row>
    <row r="46" spans="1:49" ht="18.95" customHeight="1">
      <c r="A46" s="3914"/>
      <c r="B46" s="441">
        <f t="shared" si="1"/>
        <v>0</v>
      </c>
      <c r="C46" s="442">
        <f>IF(G10=1,AG46,IF(G10=2,AK46,IF(G10=3,AO46,IF(G10=4,AS46))))</f>
        <v>0</v>
      </c>
      <c r="D46" s="443">
        <f>IF(G10=1,AH46,IF(G10=2,AL46,IF(G10=3,AP46,IF(G10=4,AT46))))</f>
        <v>0</v>
      </c>
      <c r="E46" s="506">
        <f>IF(G10=1,AF46,IF(G10=2,AJ46,IF(G10=3,AN46,IF(G10=4,AR46))))</f>
        <v>0</v>
      </c>
      <c r="F46" s="444" t="str">
        <f>IF(G10=1,"",IF(E46=G46,"",AC46))</f>
        <v/>
      </c>
      <c r="G46" s="507" t="str">
        <f>IF(G10=1,"",IF(G10=2,AI46,IF(G10=3,AM46,IF(G10=4,AQ46))))</f>
        <v/>
      </c>
      <c r="H46" s="445">
        <f>W46/W61</f>
        <v>0</v>
      </c>
      <c r="I46" s="3916"/>
      <c r="J46" s="619">
        <f>LARGE(J13:J45,1)+1</f>
        <v>34</v>
      </c>
      <c r="K46" s="349"/>
      <c r="L46" s="349"/>
      <c r="M46" s="349"/>
      <c r="N46" s="349"/>
      <c r="O46" s="349"/>
      <c r="P46" s="349"/>
      <c r="Q46" s="3917"/>
      <c r="R46" s="133" t="s">
        <v>2310</v>
      </c>
      <c r="S46" s="591"/>
      <c r="T46" s="592"/>
      <c r="U46" s="593"/>
      <c r="V46" s="446"/>
      <c r="W46" s="508">
        <f t="shared" si="2"/>
        <v>0</v>
      </c>
      <c r="X46" s="509">
        <f>(W46/W61)*X11</f>
        <v>0</v>
      </c>
      <c r="Y46" s="510" t="str">
        <f>IF(ISBLANK(S46),"",(S46/W61)*X11)</f>
        <v/>
      </c>
      <c r="Z46" s="511">
        <f t="shared" si="11"/>
        <v>0</v>
      </c>
      <c r="AA46" s="447"/>
      <c r="AB46" s="512">
        <f>AA11</f>
        <v>0</v>
      </c>
      <c r="AC46" s="512">
        <f t="shared" si="8"/>
        <v>0</v>
      </c>
      <c r="AD46" s="513">
        <f t="shared" si="9"/>
        <v>1</v>
      </c>
      <c r="AF46" s="514">
        <f>((W46/W11)*AH11)</f>
        <v>0</v>
      </c>
      <c r="AG46" s="510">
        <f>IF(ISTEXT(S46),S46,IF(ISBLANK(S46),0,(S46/W11)*AH11))</f>
        <v>0</v>
      </c>
      <c r="AH46" s="515">
        <f t="shared" si="3"/>
        <v>0</v>
      </c>
      <c r="AI46" s="516">
        <f t="shared" si="4"/>
        <v>0</v>
      </c>
      <c r="AJ46" s="517">
        <f>(W46/W11)*AL11</f>
        <v>0</v>
      </c>
      <c r="AK46" s="510">
        <f>IF(ISBLANK(S46),0,(S46/W11)*AL11)</f>
        <v>0</v>
      </c>
      <c r="AL46" s="511">
        <f t="shared" si="5"/>
        <v>0</v>
      </c>
      <c r="AM46" s="517">
        <f t="shared" si="10"/>
        <v>0</v>
      </c>
      <c r="AN46" s="518">
        <f t="shared" si="6"/>
        <v>0</v>
      </c>
      <c r="AO46" s="510">
        <f>IF(ISBLANK(S46),0,(S46/W61)*AN62)</f>
        <v>0</v>
      </c>
      <c r="AP46" s="511">
        <f t="shared" si="7"/>
        <v>0</v>
      </c>
      <c r="AQ46" s="519" t="s">
        <v>2342</v>
      </c>
      <c r="AR46" s="520" t="s">
        <v>2343</v>
      </c>
      <c r="AS46" s="520" t="s">
        <v>2344</v>
      </c>
      <c r="AT46" s="520">
        <v>3</v>
      </c>
      <c r="AV46" s="381" t="s">
        <v>2294</v>
      </c>
      <c r="AW46" s="629">
        <f>ROW()</f>
        <v>46</v>
      </c>
    </row>
    <row r="47" spans="1:49" ht="18.95" customHeight="1">
      <c r="A47" s="3914"/>
      <c r="B47" s="441">
        <f t="shared" si="1"/>
        <v>0</v>
      </c>
      <c r="C47" s="442">
        <f>IF(G10=1,AG47,IF(G10=2,AK47,IF(G10=3,AO47,IF(G10=4,AS47))))</f>
        <v>0</v>
      </c>
      <c r="D47" s="443">
        <f>IF(G10=1,AH47,IF(G10=2,AL47,IF(G10=3,AP47,IF(G10=4,AT47))))</f>
        <v>0</v>
      </c>
      <c r="E47" s="506">
        <f>IF(G10=1,AF47,IF(G10=2,AJ47,IF(G10=3,AN47,IF(G10=4,AR47))))</f>
        <v>0</v>
      </c>
      <c r="F47" s="444" t="str">
        <f>IF(G10=1,"",IF(E47=G47,"",AC47))</f>
        <v/>
      </c>
      <c r="G47" s="507" t="str">
        <f>IF(G10=1,"",IF(G10=2,AI47,IF(G10=3,AM47,IF(G10=4,AQ47))))</f>
        <v/>
      </c>
      <c r="H47" s="445">
        <f>W47/W61</f>
        <v>0</v>
      </c>
      <c r="I47" s="3916"/>
      <c r="J47" s="619">
        <f>LARGE(J13:J46,1)+1</f>
        <v>35</v>
      </c>
      <c r="K47" s="349"/>
      <c r="L47" s="349"/>
      <c r="M47" s="349"/>
      <c r="N47" s="349"/>
      <c r="O47" s="349"/>
      <c r="P47" s="349"/>
      <c r="Q47" s="3917"/>
      <c r="R47" s="133" t="s">
        <v>2310</v>
      </c>
      <c r="S47" s="591"/>
      <c r="T47" s="592"/>
      <c r="U47" s="593"/>
      <c r="V47" s="446"/>
      <c r="W47" s="508">
        <f t="shared" si="2"/>
        <v>0</v>
      </c>
      <c r="X47" s="509">
        <f>(W47/W61)*X11</f>
        <v>0</v>
      </c>
      <c r="Y47" s="510" t="str">
        <f>IF(ISBLANK(S47),"",(S47/W61)*X11)</f>
        <v/>
      </c>
      <c r="Z47" s="511">
        <f t="shared" si="11"/>
        <v>0</v>
      </c>
      <c r="AA47" s="447"/>
      <c r="AB47" s="512">
        <f>AA11</f>
        <v>0</v>
      </c>
      <c r="AC47" s="512">
        <f t="shared" si="8"/>
        <v>0</v>
      </c>
      <c r="AD47" s="513">
        <f t="shared" si="9"/>
        <v>1</v>
      </c>
      <c r="AF47" s="514">
        <f>((W47/W11)*AH11)</f>
        <v>0</v>
      </c>
      <c r="AG47" s="510">
        <f>IF(ISTEXT(S47),S47,IF(ISBLANK(S47),0,(S47/W11)*AH11))</f>
        <v>0</v>
      </c>
      <c r="AH47" s="515">
        <f t="shared" si="3"/>
        <v>0</v>
      </c>
      <c r="AI47" s="516">
        <f t="shared" si="4"/>
        <v>0</v>
      </c>
      <c r="AJ47" s="517">
        <f>(W47/W11)*AL11</f>
        <v>0</v>
      </c>
      <c r="AK47" s="510">
        <f>IF(ISBLANK(S47),0,(S47/W11)*AL11)</f>
        <v>0</v>
      </c>
      <c r="AL47" s="511">
        <f t="shared" si="5"/>
        <v>0</v>
      </c>
      <c r="AM47" s="517">
        <f t="shared" si="10"/>
        <v>0</v>
      </c>
      <c r="AN47" s="518">
        <f t="shared" si="6"/>
        <v>0</v>
      </c>
      <c r="AO47" s="510">
        <f>IF(ISBLANK(S47),0,(S47/W61)*AN62)</f>
        <v>0</v>
      </c>
      <c r="AP47" s="511">
        <f t="shared" si="7"/>
        <v>0</v>
      </c>
      <c r="AQ47" s="519" t="s">
        <v>2342</v>
      </c>
      <c r="AR47" s="520" t="s">
        <v>2343</v>
      </c>
      <c r="AS47" s="520" t="s">
        <v>2344</v>
      </c>
      <c r="AT47" s="520">
        <v>3</v>
      </c>
      <c r="AV47" s="382" t="s">
        <v>2294</v>
      </c>
      <c r="AW47" s="628">
        <f>ROW()</f>
        <v>47</v>
      </c>
    </row>
    <row r="48" spans="1:49" ht="18.95" customHeight="1">
      <c r="A48" s="3914"/>
      <c r="B48" s="441">
        <f t="shared" si="1"/>
        <v>0</v>
      </c>
      <c r="C48" s="442">
        <f>IF(G10=1,AG48,IF(G10=2,AK48,IF(G10=3,AO48,IF(G10=4,AS48))))</f>
        <v>0</v>
      </c>
      <c r="D48" s="443">
        <f>IF(G10=1,AH48,IF(G10=2,AL48,IF(G10=3,AP48,IF(G10=4,AT48))))</f>
        <v>0</v>
      </c>
      <c r="E48" s="506">
        <f>IF(G10=1,AF48,IF(G10=2,AJ48,IF(G10=3,AN48,IF(G10=4,AR48))))</f>
        <v>0</v>
      </c>
      <c r="F48" s="444" t="str">
        <f>IF(G10=1,"",IF(E48=G48,"",AC48))</f>
        <v/>
      </c>
      <c r="G48" s="507" t="str">
        <f>IF(G10=1,"",IF(G10=2,AI48,IF(G10=3,AM48,IF(G10=4,AQ48))))</f>
        <v/>
      </c>
      <c r="H48" s="445">
        <f>W48/W61</f>
        <v>0</v>
      </c>
      <c r="I48" s="3916"/>
      <c r="J48" s="619">
        <f>LARGE(J13:J47,1)+1</f>
        <v>36</v>
      </c>
      <c r="K48" s="349"/>
      <c r="L48" s="349"/>
      <c r="M48" s="349"/>
      <c r="N48" s="349"/>
      <c r="O48" s="349"/>
      <c r="P48" s="349"/>
      <c r="Q48" s="3917"/>
      <c r="R48" s="133" t="s">
        <v>2310</v>
      </c>
      <c r="S48" s="591"/>
      <c r="T48" s="592"/>
      <c r="U48" s="593"/>
      <c r="V48" s="446"/>
      <c r="W48" s="508">
        <f t="shared" si="2"/>
        <v>0</v>
      </c>
      <c r="X48" s="509">
        <f>(W48/W61)*X11</f>
        <v>0</v>
      </c>
      <c r="Y48" s="510" t="str">
        <f>IF(ISBLANK(S48),"",(S48/W61)*X11)</f>
        <v/>
      </c>
      <c r="Z48" s="511">
        <f t="shared" si="11"/>
        <v>0</v>
      </c>
      <c r="AA48" s="447"/>
      <c r="AB48" s="512">
        <f>AA11</f>
        <v>0</v>
      </c>
      <c r="AC48" s="512">
        <f t="shared" si="8"/>
        <v>0</v>
      </c>
      <c r="AD48" s="513">
        <f t="shared" si="9"/>
        <v>1</v>
      </c>
      <c r="AF48" s="514">
        <f>((W48/W11)*AH11)</f>
        <v>0</v>
      </c>
      <c r="AG48" s="510">
        <f>IF(ISTEXT(S48),S48,IF(ISBLANK(S48),0,(S48/W11)*AH11))</f>
        <v>0</v>
      </c>
      <c r="AH48" s="515">
        <f t="shared" si="3"/>
        <v>0</v>
      </c>
      <c r="AI48" s="516">
        <f t="shared" si="4"/>
        <v>0</v>
      </c>
      <c r="AJ48" s="517">
        <f>(W48/W11)*AL11</f>
        <v>0</v>
      </c>
      <c r="AK48" s="510">
        <f>IF(ISBLANK(S48),0,(S48/W11)*AL11)</f>
        <v>0</v>
      </c>
      <c r="AL48" s="511">
        <f t="shared" si="5"/>
        <v>0</v>
      </c>
      <c r="AM48" s="517">
        <f t="shared" si="10"/>
        <v>0</v>
      </c>
      <c r="AN48" s="518">
        <f t="shared" si="6"/>
        <v>0</v>
      </c>
      <c r="AO48" s="510">
        <f>IF(ISBLANK(S48),0,(S48/W61)*AN62)</f>
        <v>0</v>
      </c>
      <c r="AP48" s="511">
        <f t="shared" si="7"/>
        <v>0</v>
      </c>
      <c r="AQ48" s="519" t="s">
        <v>2342</v>
      </c>
      <c r="AR48" s="520" t="s">
        <v>2343</v>
      </c>
      <c r="AS48" s="520" t="s">
        <v>2344</v>
      </c>
      <c r="AT48" s="520">
        <v>3</v>
      </c>
      <c r="AV48" s="381" t="s">
        <v>2294</v>
      </c>
      <c r="AW48" s="629">
        <f>ROW()</f>
        <v>48</v>
      </c>
    </row>
    <row r="49" spans="1:49" ht="18.95" customHeight="1">
      <c r="A49" s="3914"/>
      <c r="B49" s="441">
        <f t="shared" si="1"/>
        <v>0</v>
      </c>
      <c r="C49" s="442">
        <f>IF(G10=1,AG49,IF(G10=2,AK49,IF(G10=3,AO49,IF(G10=4,AS49))))</f>
        <v>0</v>
      </c>
      <c r="D49" s="443">
        <f>IF(G10=1,AH49,IF(G10=2,AL49,IF(G10=3,AP49,IF(G10=4,AT49))))</f>
        <v>0</v>
      </c>
      <c r="E49" s="506">
        <f>IF(G10=1,AF49,IF(G10=2,AJ49,IF(G10=3,AN49,IF(G10=4,AR49))))</f>
        <v>0</v>
      </c>
      <c r="F49" s="444" t="str">
        <f>IF(G10=1,"",IF(E49=G49,"",AC49))</f>
        <v/>
      </c>
      <c r="G49" s="507" t="str">
        <f>IF(G10=1,"",IF(G10=2,AI49,IF(G10=3,AM49,IF(G10=4,AQ49))))</f>
        <v/>
      </c>
      <c r="H49" s="445">
        <f>W49/W61</f>
        <v>0</v>
      </c>
      <c r="I49" s="3916"/>
      <c r="J49" s="619">
        <f>LARGE(J13:J48,1)+1</f>
        <v>37</v>
      </c>
      <c r="K49" s="349"/>
      <c r="L49" s="349"/>
      <c r="M49" s="349"/>
      <c r="N49" s="349"/>
      <c r="O49" s="349"/>
      <c r="P49" s="349"/>
      <c r="Q49" s="3917"/>
      <c r="R49" s="133" t="s">
        <v>2310</v>
      </c>
      <c r="S49" s="591"/>
      <c r="T49" s="592"/>
      <c r="U49" s="593"/>
      <c r="V49" s="446"/>
      <c r="W49" s="508">
        <f t="shared" si="2"/>
        <v>0</v>
      </c>
      <c r="X49" s="509">
        <f>(W49/W61)*X11</f>
        <v>0</v>
      </c>
      <c r="Y49" s="510" t="str">
        <f>IF(ISBLANK(S49),"",(S49/W61)*X11)</f>
        <v/>
      </c>
      <c r="Z49" s="511">
        <f t="shared" si="11"/>
        <v>0</v>
      </c>
      <c r="AA49" s="447"/>
      <c r="AB49" s="512">
        <f>AA11</f>
        <v>0</v>
      </c>
      <c r="AC49" s="512">
        <f t="shared" si="8"/>
        <v>0</v>
      </c>
      <c r="AD49" s="513">
        <f t="shared" si="9"/>
        <v>1</v>
      </c>
      <c r="AF49" s="514">
        <f>((W49/W11)*AH11)</f>
        <v>0</v>
      </c>
      <c r="AG49" s="510">
        <f>IF(ISTEXT(S49),S49,IF(ISBLANK(S49),0,(S49/W11)*AH11))</f>
        <v>0</v>
      </c>
      <c r="AH49" s="515">
        <f t="shared" si="3"/>
        <v>0</v>
      </c>
      <c r="AI49" s="516">
        <f t="shared" si="4"/>
        <v>0</v>
      </c>
      <c r="AJ49" s="517">
        <f>(W49/W11)*AL11</f>
        <v>0</v>
      </c>
      <c r="AK49" s="510">
        <f>IF(ISBLANK(S49),0,(S49/W11)*AL11)</f>
        <v>0</v>
      </c>
      <c r="AL49" s="511">
        <f t="shared" si="5"/>
        <v>0</v>
      </c>
      <c r="AM49" s="517">
        <f t="shared" si="10"/>
        <v>0</v>
      </c>
      <c r="AN49" s="518">
        <f t="shared" si="6"/>
        <v>0</v>
      </c>
      <c r="AO49" s="510">
        <f>IF(ISBLANK(S49),0,(S49/W61)*AN62)</f>
        <v>0</v>
      </c>
      <c r="AP49" s="511">
        <f t="shared" si="7"/>
        <v>0</v>
      </c>
      <c r="AQ49" s="519" t="s">
        <v>2342</v>
      </c>
      <c r="AR49" s="520" t="s">
        <v>2343</v>
      </c>
      <c r="AS49" s="520" t="s">
        <v>2344</v>
      </c>
      <c r="AT49" s="520">
        <v>3</v>
      </c>
      <c r="AV49" s="382" t="s">
        <v>2294</v>
      </c>
      <c r="AW49" s="628">
        <f>ROW()</f>
        <v>49</v>
      </c>
    </row>
    <row r="50" spans="1:49" ht="18.95" customHeight="1">
      <c r="A50" s="3914"/>
      <c r="B50" s="441">
        <f t="shared" si="1"/>
        <v>0</v>
      </c>
      <c r="C50" s="442">
        <f>IF(G10=1,AG50,IF(G10=2,AK50,IF(G10=3,AO50,IF(G10=4,AS50))))</f>
        <v>0</v>
      </c>
      <c r="D50" s="443">
        <f>IF(G10=1,AH50,IF(G10=2,AL50,IF(G10=3,AP50,IF(G10=4,AT50))))</f>
        <v>0</v>
      </c>
      <c r="E50" s="506">
        <f>IF(G10=1,AF50,IF(G10=2,AJ50,IF(G10=3,AN50,IF(G10=4,AR50))))</f>
        <v>0</v>
      </c>
      <c r="F50" s="444" t="str">
        <f>IF(G10=1,"",IF(E50=G50,"",AC50))</f>
        <v/>
      </c>
      <c r="G50" s="507" t="str">
        <f>IF(G10=1,"",IF(G10=2,AI50,IF(G10=3,AM50,IF(G10=4,AQ50))))</f>
        <v/>
      </c>
      <c r="H50" s="445">
        <f>W50/W61</f>
        <v>0</v>
      </c>
      <c r="I50" s="3916"/>
      <c r="J50" s="619">
        <f>LARGE(J13:J49,1)+1</f>
        <v>38</v>
      </c>
      <c r="K50" s="349"/>
      <c r="L50" s="349"/>
      <c r="M50" s="349"/>
      <c r="N50" s="349"/>
      <c r="O50" s="349"/>
      <c r="P50" s="349"/>
      <c r="Q50" s="3917"/>
      <c r="R50" s="133" t="s">
        <v>2310</v>
      </c>
      <c r="S50" s="591"/>
      <c r="T50" s="592"/>
      <c r="U50" s="593"/>
      <c r="V50" s="446"/>
      <c r="W50" s="508">
        <f t="shared" si="2"/>
        <v>0</v>
      </c>
      <c r="X50" s="509">
        <f>(W50/W61)*X11</f>
        <v>0</v>
      </c>
      <c r="Y50" s="510" t="str">
        <f>IF(ISBLANK(S50),"",(S50/W61)*X11)</f>
        <v/>
      </c>
      <c r="Z50" s="511">
        <f t="shared" si="11"/>
        <v>0</v>
      </c>
      <c r="AA50" s="447"/>
      <c r="AB50" s="512">
        <f>AA11</f>
        <v>0</v>
      </c>
      <c r="AC50" s="512">
        <f t="shared" si="8"/>
        <v>0</v>
      </c>
      <c r="AD50" s="513">
        <f t="shared" si="9"/>
        <v>1</v>
      </c>
      <c r="AF50" s="514">
        <f>((W50/W11)*AH11)</f>
        <v>0</v>
      </c>
      <c r="AG50" s="510">
        <f>IF(ISTEXT(S50),S50,IF(ISBLANK(S50),0,(S50/W11)*AH11))</f>
        <v>0</v>
      </c>
      <c r="AH50" s="515">
        <f t="shared" si="3"/>
        <v>0</v>
      </c>
      <c r="AI50" s="516">
        <f t="shared" si="4"/>
        <v>0</v>
      </c>
      <c r="AJ50" s="517">
        <f>(W50/W11)*AL11</f>
        <v>0</v>
      </c>
      <c r="AK50" s="510">
        <f>IF(ISBLANK(S50),0,(S50/W11)*AL11)</f>
        <v>0</v>
      </c>
      <c r="AL50" s="511">
        <f t="shared" si="5"/>
        <v>0</v>
      </c>
      <c r="AM50" s="517">
        <f t="shared" si="10"/>
        <v>0</v>
      </c>
      <c r="AN50" s="518">
        <f t="shared" si="6"/>
        <v>0</v>
      </c>
      <c r="AO50" s="510">
        <f>IF(ISBLANK(S50),0,(S50/W61)*AN62)</f>
        <v>0</v>
      </c>
      <c r="AP50" s="511">
        <f t="shared" si="7"/>
        <v>0</v>
      </c>
      <c r="AQ50" s="519" t="s">
        <v>2342</v>
      </c>
      <c r="AR50" s="520" t="s">
        <v>2343</v>
      </c>
      <c r="AS50" s="520" t="s">
        <v>2344</v>
      </c>
      <c r="AT50" s="520">
        <v>3</v>
      </c>
      <c r="AV50" s="381" t="s">
        <v>2294</v>
      </c>
      <c r="AW50" s="629">
        <f>ROW()</f>
        <v>50</v>
      </c>
    </row>
    <row r="51" spans="1:49" ht="18.95" customHeight="1">
      <c r="A51" s="3914"/>
      <c r="B51" s="441">
        <f t="shared" si="1"/>
        <v>0</v>
      </c>
      <c r="C51" s="442">
        <f>IF(G10=1,AG51,IF(G10=2,AK51,IF(G10=3,AO51,IF(G10=4,AS51))))</f>
        <v>0</v>
      </c>
      <c r="D51" s="443">
        <f>IF(G10=1,AH51,IF(G10=2,AL51,IF(G10=3,AP51,IF(G10=4,AT51))))</f>
        <v>0</v>
      </c>
      <c r="E51" s="506">
        <f>IF(G10=1,AF51,IF(G10=2,AJ51,IF(G10=3,AN51,IF(G10=4,AR51))))</f>
        <v>0</v>
      </c>
      <c r="F51" s="444" t="str">
        <f>IF(G10=1,"",IF(E51=G51,"",AC51))</f>
        <v/>
      </c>
      <c r="G51" s="507" t="str">
        <f>IF(G10=1,"",IF(G10=2,AI51,IF(G10=3,AM51,IF(G10=4,AQ51))))</f>
        <v/>
      </c>
      <c r="H51" s="445">
        <f>W51/W61</f>
        <v>0</v>
      </c>
      <c r="I51" s="3916"/>
      <c r="J51" s="619">
        <f>LARGE(J13:J50,1)+1</f>
        <v>39</v>
      </c>
      <c r="K51" s="349"/>
      <c r="L51" s="349"/>
      <c r="M51" s="349"/>
      <c r="N51" s="349"/>
      <c r="O51" s="349"/>
      <c r="P51" s="349"/>
      <c r="Q51" s="3917"/>
      <c r="R51" s="133" t="s">
        <v>2310</v>
      </c>
      <c r="S51" s="591"/>
      <c r="T51" s="592"/>
      <c r="U51" s="593"/>
      <c r="V51" s="446"/>
      <c r="W51" s="508">
        <f t="shared" si="2"/>
        <v>0</v>
      </c>
      <c r="X51" s="509">
        <f>(W51/W61)*X11</f>
        <v>0</v>
      </c>
      <c r="Y51" s="510" t="str">
        <f>IF(ISBLANK(S51),"",(S51/W61)*X11)</f>
        <v/>
      </c>
      <c r="Z51" s="511">
        <f t="shared" si="11"/>
        <v>0</v>
      </c>
      <c r="AA51" s="447"/>
      <c r="AB51" s="512">
        <f>AA11</f>
        <v>0</v>
      </c>
      <c r="AC51" s="512">
        <f t="shared" si="8"/>
        <v>0</v>
      </c>
      <c r="AD51" s="513">
        <f t="shared" si="9"/>
        <v>1</v>
      </c>
      <c r="AF51" s="514">
        <f>((W51/W11)*AH11)</f>
        <v>0</v>
      </c>
      <c r="AG51" s="510">
        <f>IF(ISTEXT(S51),S51,IF(ISBLANK(S51),0,(S51/W11)*AH11))</f>
        <v>0</v>
      </c>
      <c r="AH51" s="515">
        <f t="shared" si="3"/>
        <v>0</v>
      </c>
      <c r="AI51" s="516">
        <f t="shared" si="4"/>
        <v>0</v>
      </c>
      <c r="AJ51" s="517">
        <f>(W51/W11)*AL11</f>
        <v>0</v>
      </c>
      <c r="AK51" s="510">
        <f>IF(ISBLANK(S51),0,(S51/W11)*AL11)</f>
        <v>0</v>
      </c>
      <c r="AL51" s="511">
        <f t="shared" si="5"/>
        <v>0</v>
      </c>
      <c r="AM51" s="517">
        <f t="shared" si="10"/>
        <v>0</v>
      </c>
      <c r="AN51" s="518">
        <f t="shared" si="6"/>
        <v>0</v>
      </c>
      <c r="AO51" s="510">
        <f>IF(ISBLANK(S51),0,(S51/W61)*AN62)</f>
        <v>0</v>
      </c>
      <c r="AP51" s="511">
        <f t="shared" si="7"/>
        <v>0</v>
      </c>
      <c r="AQ51" s="519" t="s">
        <v>2342</v>
      </c>
      <c r="AR51" s="520" t="s">
        <v>2343</v>
      </c>
      <c r="AS51" s="520" t="s">
        <v>2344</v>
      </c>
      <c r="AT51" s="520">
        <v>3</v>
      </c>
      <c r="AV51" s="382" t="s">
        <v>2294</v>
      </c>
      <c r="AW51" s="628">
        <f>ROW()</f>
        <v>51</v>
      </c>
    </row>
    <row r="52" spans="1:49" ht="18.95" customHeight="1">
      <c r="A52" s="3914"/>
      <c r="B52" s="441">
        <f t="shared" si="1"/>
        <v>0</v>
      </c>
      <c r="C52" s="442">
        <f>IF(G10=1,AG52,IF(G10=2,AK52,IF(G10=3,AO52,IF(G10=4,AS52))))</f>
        <v>0</v>
      </c>
      <c r="D52" s="443">
        <f>IF(G10=1,AH52,IF(G10=2,AL52,IF(G10=3,AP52,IF(G10=4,AT52))))</f>
        <v>0</v>
      </c>
      <c r="E52" s="506">
        <f>IF(G10=1,AF52,IF(G10=2,AJ52,IF(G10=3,AN52,IF(G10=4,AR52))))</f>
        <v>0</v>
      </c>
      <c r="F52" s="444" t="str">
        <f>IF(G10=1,"",IF(E52=G52,"",AC52))</f>
        <v/>
      </c>
      <c r="G52" s="507" t="str">
        <f>IF(G10=1,"",IF(G10=2,AI52,IF(G10=3,AM52,IF(G10=4,AQ52))))</f>
        <v/>
      </c>
      <c r="H52" s="445">
        <f>W52/W61</f>
        <v>0</v>
      </c>
      <c r="I52" s="3916"/>
      <c r="J52" s="619">
        <f>LARGE(J13:J51,1)+1</f>
        <v>40</v>
      </c>
      <c r="K52" s="349"/>
      <c r="L52" s="349"/>
      <c r="M52" s="349"/>
      <c r="N52" s="349"/>
      <c r="O52" s="349"/>
      <c r="P52" s="349"/>
      <c r="Q52" s="3917"/>
      <c r="R52" s="133" t="s">
        <v>2310</v>
      </c>
      <c r="S52" s="591"/>
      <c r="T52" s="592"/>
      <c r="U52" s="593"/>
      <c r="V52" s="446"/>
      <c r="W52" s="508">
        <f t="shared" si="2"/>
        <v>0</v>
      </c>
      <c r="X52" s="509">
        <f>(W52/W61)*X11</f>
        <v>0</v>
      </c>
      <c r="Y52" s="510" t="str">
        <f>IF(ISBLANK(S52),"",(S52/W61)*X11)</f>
        <v/>
      </c>
      <c r="Z52" s="511">
        <f t="shared" si="11"/>
        <v>0</v>
      </c>
      <c r="AA52" s="447"/>
      <c r="AB52" s="512">
        <f>AA11</f>
        <v>0</v>
      </c>
      <c r="AC52" s="512">
        <f t="shared" si="8"/>
        <v>0</v>
      </c>
      <c r="AD52" s="513">
        <f t="shared" si="9"/>
        <v>1</v>
      </c>
      <c r="AF52" s="514">
        <f>((W52/W11)*AH11)</f>
        <v>0</v>
      </c>
      <c r="AG52" s="510">
        <f>IF(ISTEXT(S52),S52,IF(ISBLANK(S52),0,(S52/W11)*AH11))</f>
        <v>0</v>
      </c>
      <c r="AH52" s="515">
        <f t="shared" si="3"/>
        <v>0</v>
      </c>
      <c r="AI52" s="516">
        <f t="shared" si="4"/>
        <v>0</v>
      </c>
      <c r="AJ52" s="517">
        <f>(W52/W11)*AL11</f>
        <v>0</v>
      </c>
      <c r="AK52" s="510">
        <f>IF(ISBLANK(S52),0,(S52/W11)*AL11)</f>
        <v>0</v>
      </c>
      <c r="AL52" s="511">
        <f t="shared" si="5"/>
        <v>0</v>
      </c>
      <c r="AM52" s="517">
        <f t="shared" si="10"/>
        <v>0</v>
      </c>
      <c r="AN52" s="518">
        <f t="shared" si="6"/>
        <v>0</v>
      </c>
      <c r="AO52" s="510">
        <f>IF(ISBLANK(S52),0,(S52/W61)*AN62)</f>
        <v>0</v>
      </c>
      <c r="AP52" s="511">
        <f t="shared" si="7"/>
        <v>0</v>
      </c>
      <c r="AQ52" s="519" t="s">
        <v>2342</v>
      </c>
      <c r="AR52" s="520" t="s">
        <v>2343</v>
      </c>
      <c r="AS52" s="520" t="s">
        <v>2344</v>
      </c>
      <c r="AT52" s="520">
        <v>3</v>
      </c>
      <c r="AV52" s="381" t="s">
        <v>2294</v>
      </c>
      <c r="AW52" s="629">
        <f>ROW()</f>
        <v>52</v>
      </c>
    </row>
    <row r="53" spans="1:49" ht="18.95" customHeight="1">
      <c r="A53" s="3914"/>
      <c r="B53" s="441">
        <f t="shared" si="1"/>
        <v>0</v>
      </c>
      <c r="C53" s="442">
        <f>IF(G10=1,AG53,IF(G10=2,AK53,IF(G10=3,AO53,IF(G10=4,AS53))))</f>
        <v>0</v>
      </c>
      <c r="D53" s="443">
        <f>IF(G10=1,AH53,IF(G10=2,AL53,IF(G10=3,AP53,IF(G10=4,AT53))))</f>
        <v>0</v>
      </c>
      <c r="E53" s="506">
        <f>IF(G10=1,AF53,IF(G10=2,AJ53,IF(G10=3,AN53,IF(G10=4,AR53))))</f>
        <v>0</v>
      </c>
      <c r="F53" s="444" t="str">
        <f>IF(G10=1,"",IF(E53=G53,"",AC53))</f>
        <v/>
      </c>
      <c r="G53" s="507" t="str">
        <f>IF(G10=1,"",IF(G10=2,AI53,IF(G10=3,AM53,IF(G10=4,AQ53))))</f>
        <v/>
      </c>
      <c r="H53" s="445">
        <f>W53/W61</f>
        <v>0</v>
      </c>
      <c r="I53" s="3916"/>
      <c r="J53" s="619">
        <f>LARGE(J13:J52,1)+1</f>
        <v>41</v>
      </c>
      <c r="K53" s="349"/>
      <c r="L53" s="349"/>
      <c r="M53" s="349"/>
      <c r="N53" s="349"/>
      <c r="O53" s="349"/>
      <c r="P53" s="349"/>
      <c r="Q53" s="3917"/>
      <c r="R53" s="133" t="s">
        <v>2310</v>
      </c>
      <c r="S53" s="591"/>
      <c r="T53" s="592"/>
      <c r="U53" s="593"/>
      <c r="V53" s="446"/>
      <c r="W53" s="508">
        <f t="shared" si="2"/>
        <v>0</v>
      </c>
      <c r="X53" s="509">
        <f>(W53/W61)*X11</f>
        <v>0</v>
      </c>
      <c r="Y53" s="510" t="str">
        <f>IF(ISBLANK(S53),"",(S53/W61)*X11)</f>
        <v/>
      </c>
      <c r="Z53" s="511">
        <f t="shared" si="11"/>
        <v>0</v>
      </c>
      <c r="AA53" s="447"/>
      <c r="AB53" s="512">
        <f>AA11</f>
        <v>0</v>
      </c>
      <c r="AC53" s="512">
        <f t="shared" si="8"/>
        <v>0</v>
      </c>
      <c r="AD53" s="513">
        <f t="shared" si="9"/>
        <v>1</v>
      </c>
      <c r="AF53" s="514">
        <f>((W53/W11)*AH11)</f>
        <v>0</v>
      </c>
      <c r="AG53" s="510">
        <f>IF(ISTEXT(S53),S53,IF(ISBLANK(S53),0,(S53/W11)*AH11))</f>
        <v>0</v>
      </c>
      <c r="AH53" s="515">
        <f t="shared" si="3"/>
        <v>0</v>
      </c>
      <c r="AI53" s="516">
        <f t="shared" si="4"/>
        <v>0</v>
      </c>
      <c r="AJ53" s="517">
        <f>(W53/W11)*AL11</f>
        <v>0</v>
      </c>
      <c r="AK53" s="510">
        <f>IF(ISBLANK(S53),0,(S53/W11)*AL11)</f>
        <v>0</v>
      </c>
      <c r="AL53" s="511">
        <f t="shared" si="5"/>
        <v>0</v>
      </c>
      <c r="AM53" s="517">
        <f t="shared" si="10"/>
        <v>0</v>
      </c>
      <c r="AN53" s="518">
        <f t="shared" si="6"/>
        <v>0</v>
      </c>
      <c r="AO53" s="510">
        <f>IF(ISBLANK(S53),0,(S53/W61)*AN62)</f>
        <v>0</v>
      </c>
      <c r="AP53" s="511">
        <f t="shared" si="7"/>
        <v>0</v>
      </c>
      <c r="AQ53" s="519" t="s">
        <v>2342</v>
      </c>
      <c r="AR53" s="520" t="s">
        <v>2343</v>
      </c>
      <c r="AS53" s="520" t="s">
        <v>2344</v>
      </c>
      <c r="AT53" s="520">
        <v>3</v>
      </c>
      <c r="AV53" s="382" t="s">
        <v>2294</v>
      </c>
      <c r="AW53" s="628">
        <f>ROW()</f>
        <v>53</v>
      </c>
    </row>
    <row r="54" spans="1:49" ht="18.95" customHeight="1">
      <c r="A54" s="3914"/>
      <c r="B54" s="441">
        <f t="shared" si="1"/>
        <v>0</v>
      </c>
      <c r="C54" s="442">
        <f>IF(G10=1,AG54,IF(G10=2,AK54,IF(G10=3,AO54,IF(G10=4,AS54))))</f>
        <v>0</v>
      </c>
      <c r="D54" s="443">
        <f>IF(G10=1,AH54,IF(G10=2,AL54,IF(G10=3,AP54,IF(G10=4,AT54))))</f>
        <v>0</v>
      </c>
      <c r="E54" s="506">
        <f>IF(G10=1,AF54,IF(G10=2,AJ54,IF(G10=3,AN54,IF(G10=4,AR54))))</f>
        <v>0</v>
      </c>
      <c r="F54" s="444" t="str">
        <f>IF(G10=1,"",IF(E54=G54,"",AC54))</f>
        <v/>
      </c>
      <c r="G54" s="507" t="str">
        <f>IF(G10=1,"",IF(G10=2,AI54,IF(G10=3,AM54,IF(G10=4,AQ54))))</f>
        <v/>
      </c>
      <c r="H54" s="445">
        <f>W54/W61</f>
        <v>0</v>
      </c>
      <c r="I54" s="3916"/>
      <c r="J54" s="619">
        <f>LARGE(J13:J53,1)+1</f>
        <v>42</v>
      </c>
      <c r="K54" s="349"/>
      <c r="L54" s="349"/>
      <c r="M54" s="349"/>
      <c r="N54" s="349"/>
      <c r="O54" s="349"/>
      <c r="P54" s="349"/>
      <c r="Q54" s="3917"/>
      <c r="R54" s="133" t="s">
        <v>2310</v>
      </c>
      <c r="S54" s="591"/>
      <c r="T54" s="592"/>
      <c r="U54" s="593"/>
      <c r="V54" s="446"/>
      <c r="W54" s="508">
        <f t="shared" si="2"/>
        <v>0</v>
      </c>
      <c r="X54" s="509">
        <f>(W54/W61)*X11</f>
        <v>0</v>
      </c>
      <c r="Y54" s="510" t="str">
        <f>IF(ISBLANK(S54),"",(S54/W61)*X11)</f>
        <v/>
      </c>
      <c r="Z54" s="511">
        <f t="shared" si="11"/>
        <v>0</v>
      </c>
      <c r="AA54" s="447"/>
      <c r="AB54" s="512">
        <f>AA11</f>
        <v>0</v>
      </c>
      <c r="AC54" s="512">
        <f t="shared" si="8"/>
        <v>0</v>
      </c>
      <c r="AD54" s="513">
        <f t="shared" si="9"/>
        <v>1</v>
      </c>
      <c r="AF54" s="514">
        <f>((W54/W11)*AH11)</f>
        <v>0</v>
      </c>
      <c r="AG54" s="510">
        <f>IF(ISTEXT(S54),S54,IF(ISBLANK(S54),0,(S54/W11)*AH11))</f>
        <v>0</v>
      </c>
      <c r="AH54" s="515">
        <f t="shared" si="3"/>
        <v>0</v>
      </c>
      <c r="AI54" s="516">
        <f t="shared" si="4"/>
        <v>0</v>
      </c>
      <c r="AJ54" s="517">
        <f>(W54/W11)*AL11</f>
        <v>0</v>
      </c>
      <c r="AK54" s="510">
        <f>IF(ISBLANK(S54),0,(S54/W11)*AL11)</f>
        <v>0</v>
      </c>
      <c r="AL54" s="511">
        <f t="shared" si="5"/>
        <v>0</v>
      </c>
      <c r="AM54" s="517">
        <f t="shared" si="10"/>
        <v>0</v>
      </c>
      <c r="AN54" s="518">
        <f t="shared" si="6"/>
        <v>0</v>
      </c>
      <c r="AO54" s="510">
        <f>IF(ISBLANK(S54),0,(S54/W61)*AN62)</f>
        <v>0</v>
      </c>
      <c r="AP54" s="511">
        <f t="shared" si="7"/>
        <v>0</v>
      </c>
      <c r="AQ54" s="519" t="s">
        <v>2342</v>
      </c>
      <c r="AR54" s="520" t="s">
        <v>2343</v>
      </c>
      <c r="AS54" s="520" t="s">
        <v>2344</v>
      </c>
      <c r="AT54" s="520">
        <v>3</v>
      </c>
      <c r="AV54" s="381" t="s">
        <v>2294</v>
      </c>
      <c r="AW54" s="629">
        <f>ROW()</f>
        <v>54</v>
      </c>
    </row>
    <row r="55" spans="1:49" ht="18.95" customHeight="1">
      <c r="A55" s="3914"/>
      <c r="B55" s="441">
        <f t="shared" si="1"/>
        <v>0</v>
      </c>
      <c r="C55" s="442">
        <f>IF(G10=1,AG55,IF(G10=2,AK55,IF(G10=3,AO55,IF(G10=4,AS55))))</f>
        <v>0</v>
      </c>
      <c r="D55" s="443">
        <f>IF(G10=1,AH55,IF(G10=2,AL55,IF(G10=3,AP55,IF(G10=4,AT55))))</f>
        <v>0</v>
      </c>
      <c r="E55" s="506">
        <f>IF(G10=1,AF55,IF(G10=2,AJ55,IF(G10=3,AN55,IF(G10=4,AR55))))</f>
        <v>0</v>
      </c>
      <c r="F55" s="444" t="str">
        <f>IF(G10=1,"",IF(E55=G55,"",AC55))</f>
        <v/>
      </c>
      <c r="G55" s="507" t="str">
        <f>IF(G10=1,"",IF(G10=2,AI55,IF(G10=3,AM55,IF(G10=4,AQ55))))</f>
        <v/>
      </c>
      <c r="H55" s="445">
        <f>W55/W61</f>
        <v>0</v>
      </c>
      <c r="I55" s="3916"/>
      <c r="J55" s="619">
        <f>LARGE(J13:J54,1)+1</f>
        <v>43</v>
      </c>
      <c r="K55" s="349"/>
      <c r="L55" s="349"/>
      <c r="M55" s="349"/>
      <c r="N55" s="349"/>
      <c r="O55" s="349"/>
      <c r="P55" s="349"/>
      <c r="Q55" s="3917"/>
      <c r="R55" s="133" t="s">
        <v>2310</v>
      </c>
      <c r="S55" s="591"/>
      <c r="T55" s="592"/>
      <c r="U55" s="593"/>
      <c r="V55" s="446"/>
      <c r="W55" s="508">
        <f t="shared" si="2"/>
        <v>0</v>
      </c>
      <c r="X55" s="509">
        <f>(W55/W61)*X11</f>
        <v>0</v>
      </c>
      <c r="Y55" s="510" t="str">
        <f>IF(ISBLANK(S55),"",(S55/W61)*X11)</f>
        <v/>
      </c>
      <c r="Z55" s="511">
        <f t="shared" si="11"/>
        <v>0</v>
      </c>
      <c r="AA55" s="447"/>
      <c r="AB55" s="512">
        <f>AA11</f>
        <v>0</v>
      </c>
      <c r="AC55" s="512">
        <f t="shared" si="8"/>
        <v>0</v>
      </c>
      <c r="AD55" s="513">
        <f t="shared" si="9"/>
        <v>1</v>
      </c>
      <c r="AF55" s="514">
        <f>((W55/W11)*AH11)</f>
        <v>0</v>
      </c>
      <c r="AG55" s="510">
        <f>IF(ISTEXT(S55),S55,IF(ISBLANK(S55),0,(S55/W11)*AH11))</f>
        <v>0</v>
      </c>
      <c r="AH55" s="515">
        <f t="shared" si="3"/>
        <v>0</v>
      </c>
      <c r="AI55" s="516">
        <f t="shared" si="4"/>
        <v>0</v>
      </c>
      <c r="AJ55" s="517">
        <f>(W55/W11)*AL11</f>
        <v>0</v>
      </c>
      <c r="AK55" s="510">
        <f>IF(ISBLANK(S55),0,(S55/W11)*AL11)</f>
        <v>0</v>
      </c>
      <c r="AL55" s="511">
        <f t="shared" si="5"/>
        <v>0</v>
      </c>
      <c r="AM55" s="517">
        <f t="shared" si="10"/>
        <v>0</v>
      </c>
      <c r="AN55" s="518">
        <f t="shared" si="6"/>
        <v>0</v>
      </c>
      <c r="AO55" s="510">
        <f>IF(ISBLANK(S55),0,(S55/W61)*AN62)</f>
        <v>0</v>
      </c>
      <c r="AP55" s="511">
        <f t="shared" si="7"/>
        <v>0</v>
      </c>
      <c r="AQ55" s="519" t="s">
        <v>2342</v>
      </c>
      <c r="AR55" s="520" t="s">
        <v>2343</v>
      </c>
      <c r="AS55" s="520" t="s">
        <v>2344</v>
      </c>
      <c r="AT55" s="520">
        <v>3</v>
      </c>
      <c r="AV55" s="382" t="s">
        <v>2294</v>
      </c>
      <c r="AW55" s="628">
        <f>ROW()</f>
        <v>55</v>
      </c>
    </row>
    <row r="56" spans="1:49" ht="18.95" customHeight="1">
      <c r="A56" s="3914"/>
      <c r="B56" s="441">
        <f t="shared" si="1"/>
        <v>0</v>
      </c>
      <c r="C56" s="442">
        <f>IF(G10=1,AG56,IF(G10=2,AK56,IF(G10=3,AO56,IF(G10=4,AS56))))</f>
        <v>0</v>
      </c>
      <c r="D56" s="443">
        <f>IF(G10=1,AH56,IF(G10=2,AL56,IF(G10=3,AP56,IF(G10=4,AT56))))</f>
        <v>0</v>
      </c>
      <c r="E56" s="506">
        <f>IF(G10=1,AF56,IF(G10=2,AJ56,IF(G10=3,AN56,IF(G10=4,AR56))))</f>
        <v>0</v>
      </c>
      <c r="F56" s="444" t="str">
        <f>IF(G10=1,"",IF(E56=G56,"",AC56))</f>
        <v/>
      </c>
      <c r="G56" s="507" t="str">
        <f>IF(G10=1,"",IF(G10=2,AI56,IF(G10=3,AM56,IF(G10=4,AQ56))))</f>
        <v/>
      </c>
      <c r="H56" s="445">
        <f>W56/W61</f>
        <v>0</v>
      </c>
      <c r="I56" s="3916"/>
      <c r="J56" s="619">
        <f>LARGE(J13:J55,1)+1</f>
        <v>44</v>
      </c>
      <c r="K56" s="349"/>
      <c r="L56" s="349"/>
      <c r="M56" s="349"/>
      <c r="N56" s="349"/>
      <c r="O56" s="349"/>
      <c r="P56" s="349"/>
      <c r="Q56" s="3917"/>
      <c r="R56" s="133" t="s">
        <v>2310</v>
      </c>
      <c r="S56" s="591"/>
      <c r="T56" s="592"/>
      <c r="U56" s="593"/>
      <c r="V56" s="446"/>
      <c r="W56" s="508">
        <f t="shared" si="2"/>
        <v>0</v>
      </c>
      <c r="X56" s="509">
        <f>(W56/W61)*X11</f>
        <v>0</v>
      </c>
      <c r="Y56" s="510" t="str">
        <f>IF(ISBLANK(S56),"",(S56/W61)*X11)</f>
        <v/>
      </c>
      <c r="Z56" s="511">
        <f t="shared" si="11"/>
        <v>0</v>
      </c>
      <c r="AA56" s="447"/>
      <c r="AB56" s="512">
        <f>AA11</f>
        <v>0</v>
      </c>
      <c r="AC56" s="512">
        <f t="shared" si="8"/>
        <v>0</v>
      </c>
      <c r="AD56" s="513">
        <f t="shared" si="9"/>
        <v>1</v>
      </c>
      <c r="AF56" s="514">
        <f>((W56/W11)*AH11)</f>
        <v>0</v>
      </c>
      <c r="AG56" s="510">
        <f>IF(ISTEXT(S56),S56,IF(ISBLANK(S56),0,(S56/W11)*AH11))</f>
        <v>0</v>
      </c>
      <c r="AH56" s="515">
        <f t="shared" si="3"/>
        <v>0</v>
      </c>
      <c r="AI56" s="516">
        <f t="shared" si="4"/>
        <v>0</v>
      </c>
      <c r="AJ56" s="517">
        <f>(W56/W11)*AL11</f>
        <v>0</v>
      </c>
      <c r="AK56" s="510">
        <f>IF(ISBLANK(S56),0,(S56/W11)*AL11)</f>
        <v>0</v>
      </c>
      <c r="AL56" s="511">
        <f t="shared" si="5"/>
        <v>0</v>
      </c>
      <c r="AM56" s="517">
        <f t="shared" si="10"/>
        <v>0</v>
      </c>
      <c r="AN56" s="518">
        <f t="shared" si="6"/>
        <v>0</v>
      </c>
      <c r="AO56" s="510">
        <f>IF(ISBLANK(S56),0,(S56/W61)*AN62)</f>
        <v>0</v>
      </c>
      <c r="AP56" s="511">
        <f t="shared" si="7"/>
        <v>0</v>
      </c>
      <c r="AQ56" s="519" t="s">
        <v>2342</v>
      </c>
      <c r="AR56" s="520" t="s">
        <v>2343</v>
      </c>
      <c r="AS56" s="520" t="s">
        <v>2344</v>
      </c>
      <c r="AT56" s="520">
        <v>3</v>
      </c>
      <c r="AV56" s="381" t="s">
        <v>2294</v>
      </c>
      <c r="AW56" s="629">
        <f>ROW()</f>
        <v>56</v>
      </c>
    </row>
    <row r="57" spans="1:49" ht="18.95" customHeight="1">
      <c r="A57" s="3914"/>
      <c r="B57" s="441">
        <f t="shared" si="1"/>
        <v>0</v>
      </c>
      <c r="C57" s="442">
        <f>IF(G10=1,AG57,IF(G10=2,AK57,IF(G10=3,AO57,IF(G10=4,AS57))))</f>
        <v>0</v>
      </c>
      <c r="D57" s="443">
        <f>IF(G10=1,AH57,IF(G10=2,AL57,IF(G10=3,AP57,IF(G10=4,AT57))))</f>
        <v>0</v>
      </c>
      <c r="E57" s="506">
        <f>IF(G10=1,AF57,IF(G10=2,AJ57,IF(G10=3,AN57,IF(G10=4,AR57))))</f>
        <v>0</v>
      </c>
      <c r="F57" s="444" t="str">
        <f>IF(G10=1,"",IF(E57=G57,"",AC57))</f>
        <v/>
      </c>
      <c r="G57" s="507" t="str">
        <f>IF(G10=1,"",IF(G10=2,AI57,IF(G10=3,AM57,IF(G10=4,AQ57))))</f>
        <v/>
      </c>
      <c r="H57" s="445">
        <f>W57/W61</f>
        <v>0</v>
      </c>
      <c r="I57" s="3916"/>
      <c r="J57" s="619">
        <f>LARGE(J13:J56,1)+1</f>
        <v>45</v>
      </c>
      <c r="K57" s="349"/>
      <c r="L57" s="349"/>
      <c r="M57" s="349"/>
      <c r="N57" s="349"/>
      <c r="O57" s="349"/>
      <c r="P57" s="349"/>
      <c r="Q57" s="3917"/>
      <c r="R57" s="133" t="s">
        <v>2310</v>
      </c>
      <c r="S57" s="591"/>
      <c r="T57" s="592"/>
      <c r="U57" s="593"/>
      <c r="V57" s="446"/>
      <c r="W57" s="508">
        <f t="shared" si="2"/>
        <v>0</v>
      </c>
      <c r="X57" s="509">
        <f>(W57/W61)*X11</f>
        <v>0</v>
      </c>
      <c r="Y57" s="510" t="str">
        <f>IF(ISBLANK(S57),"",(S57/W61)*X11)</f>
        <v/>
      </c>
      <c r="Z57" s="511">
        <f t="shared" si="11"/>
        <v>0</v>
      </c>
      <c r="AA57" s="447"/>
      <c r="AB57" s="512">
        <f>AA11</f>
        <v>0</v>
      </c>
      <c r="AC57" s="512">
        <f t="shared" si="8"/>
        <v>0</v>
      </c>
      <c r="AD57" s="513">
        <f t="shared" si="9"/>
        <v>1</v>
      </c>
      <c r="AF57" s="514">
        <f>((W57/W11)*AH11)</f>
        <v>0</v>
      </c>
      <c r="AG57" s="510">
        <f>IF(ISTEXT(S57),S57,IF(ISBLANK(S57),0,(S57/W11)*AH11))</f>
        <v>0</v>
      </c>
      <c r="AH57" s="515">
        <f t="shared" si="3"/>
        <v>0</v>
      </c>
      <c r="AI57" s="516">
        <f t="shared" si="4"/>
        <v>0</v>
      </c>
      <c r="AJ57" s="517">
        <f>(W57/W11)*AL11</f>
        <v>0</v>
      </c>
      <c r="AK57" s="510">
        <f>IF(ISBLANK(S57),0,(S57/W11)*AL11)</f>
        <v>0</v>
      </c>
      <c r="AL57" s="511">
        <f t="shared" si="5"/>
        <v>0</v>
      </c>
      <c r="AM57" s="517">
        <f t="shared" si="10"/>
        <v>0</v>
      </c>
      <c r="AN57" s="518">
        <f t="shared" si="6"/>
        <v>0</v>
      </c>
      <c r="AO57" s="510">
        <f>IF(ISBLANK(S57),0,(S57/W61)*AN62)</f>
        <v>0</v>
      </c>
      <c r="AP57" s="511">
        <f t="shared" si="7"/>
        <v>0</v>
      </c>
      <c r="AQ57" s="519" t="s">
        <v>2342</v>
      </c>
      <c r="AR57" s="520" t="s">
        <v>2343</v>
      </c>
      <c r="AS57" s="520" t="s">
        <v>2344</v>
      </c>
      <c r="AT57" s="520">
        <v>3</v>
      </c>
      <c r="AV57" s="382" t="s">
        <v>2294</v>
      </c>
      <c r="AW57" s="628">
        <f>ROW()</f>
        <v>57</v>
      </c>
    </row>
    <row r="58" spans="1:49" ht="18.95" customHeight="1">
      <c r="A58" s="3914"/>
      <c r="B58" s="441">
        <f t="shared" si="1"/>
        <v>0</v>
      </c>
      <c r="C58" s="442">
        <f>IF(G10=1,AG58,IF(G10=2,AK58,IF(G10=3,AO58,IF(G10=4,AS58))))</f>
        <v>0</v>
      </c>
      <c r="D58" s="443">
        <f>IF(G10=1,AH58,IF(G10=2,AL58,IF(G10=3,AP58,IF(G10=4,AT58))))</f>
        <v>0</v>
      </c>
      <c r="E58" s="506">
        <f>IF(G10=1,AF58,IF(G10=2,AJ58,IF(G10=3,AN58,IF(G10=4,AR58))))</f>
        <v>0</v>
      </c>
      <c r="F58" s="444" t="str">
        <f>IF(G10=1,"",IF(E58=G58,"",AC58))</f>
        <v/>
      </c>
      <c r="G58" s="507" t="str">
        <f>IF(G10=1,"",IF(G10=2,AI58,IF(G10=3,AM58,IF(G10=4,AQ58))))</f>
        <v/>
      </c>
      <c r="H58" s="445">
        <f>W58/W61</f>
        <v>0</v>
      </c>
      <c r="I58" s="3916"/>
      <c r="J58" s="619">
        <f>LARGE(J13:J57,1)+1</f>
        <v>46</v>
      </c>
      <c r="K58" s="349"/>
      <c r="L58" s="349"/>
      <c r="M58" s="349"/>
      <c r="N58" s="349"/>
      <c r="O58" s="349"/>
      <c r="P58" s="349"/>
      <c r="Q58" s="3917"/>
      <c r="R58" s="133" t="s">
        <v>2310</v>
      </c>
      <c r="S58" s="591"/>
      <c r="T58" s="592"/>
      <c r="U58" s="593"/>
      <c r="V58" s="446"/>
      <c r="W58" s="508">
        <f t="shared" si="2"/>
        <v>0</v>
      </c>
      <c r="X58" s="509">
        <f>(W58/W61)*X11</f>
        <v>0</v>
      </c>
      <c r="Y58" s="510" t="str">
        <f>IF(ISBLANK(S58),"",(S58/W61)*X11)</f>
        <v/>
      </c>
      <c r="Z58" s="511">
        <f t="shared" si="11"/>
        <v>0</v>
      </c>
      <c r="AA58" s="447"/>
      <c r="AB58" s="512">
        <f>AA11</f>
        <v>0</v>
      </c>
      <c r="AC58" s="512">
        <f t="shared" si="8"/>
        <v>0</v>
      </c>
      <c r="AD58" s="513">
        <f t="shared" si="9"/>
        <v>1</v>
      </c>
      <c r="AF58" s="514">
        <f>((W58/W11)*AH11)</f>
        <v>0</v>
      </c>
      <c r="AG58" s="510">
        <f>IF(ISTEXT(S58),S58,IF(ISBLANK(S58),0,(S58/W11)*AH11))</f>
        <v>0</v>
      </c>
      <c r="AH58" s="515">
        <f t="shared" si="3"/>
        <v>0</v>
      </c>
      <c r="AI58" s="516">
        <f t="shared" si="4"/>
        <v>0</v>
      </c>
      <c r="AJ58" s="517">
        <f>(W58/W11)*AL11</f>
        <v>0</v>
      </c>
      <c r="AK58" s="510">
        <f>IF(ISBLANK(S58),0,(S58/W11)*AL11)</f>
        <v>0</v>
      </c>
      <c r="AL58" s="511">
        <f t="shared" si="5"/>
        <v>0</v>
      </c>
      <c r="AM58" s="517">
        <f t="shared" si="10"/>
        <v>0</v>
      </c>
      <c r="AN58" s="518">
        <f t="shared" si="6"/>
        <v>0</v>
      </c>
      <c r="AO58" s="510">
        <f>IF(ISBLANK(S58),0,(S58/W61)*AN62)</f>
        <v>0</v>
      </c>
      <c r="AP58" s="511">
        <f t="shared" si="7"/>
        <v>0</v>
      </c>
      <c r="AQ58" s="519" t="s">
        <v>2342</v>
      </c>
      <c r="AR58" s="520" t="s">
        <v>2343</v>
      </c>
      <c r="AS58" s="520" t="s">
        <v>2344</v>
      </c>
      <c r="AT58" s="520">
        <v>3</v>
      </c>
      <c r="AV58" s="382" t="s">
        <v>2294</v>
      </c>
      <c r="AW58" s="628">
        <f>ROW()</f>
        <v>58</v>
      </c>
    </row>
    <row r="59" spans="1:49" ht="18.95" customHeight="1">
      <c r="A59" s="3914"/>
      <c r="B59" s="441">
        <f t="shared" si="1"/>
        <v>0</v>
      </c>
      <c r="C59" s="442">
        <f>IF(G10=1,AG59,IF(G10=2,AK59,IF(G10=3,AO59,IF(G10=4,AS59))))</f>
        <v>0</v>
      </c>
      <c r="D59" s="443">
        <f>IF(G10=1,AH59,IF(G10=2,AL59,IF(G10=3,AP59,IF(G10=4,AT59))))</f>
        <v>0</v>
      </c>
      <c r="E59" s="506">
        <f>IF(G10=1,AF59,IF(G10=2,AJ59,IF(G10=3,AN59,IF(G10=4,AR59))))</f>
        <v>0</v>
      </c>
      <c r="F59" s="444" t="str">
        <f>IF(G10=1,"",IF(E59=G59,"",AC59))</f>
        <v/>
      </c>
      <c r="G59" s="507" t="str">
        <f>IF(G10=1,"",IF(G10=2,AI59,IF(G10=3,AM59,IF(G10=4,AQ59))))</f>
        <v/>
      </c>
      <c r="H59" s="445">
        <f>W59/W61</f>
        <v>0</v>
      </c>
      <c r="I59" s="3916"/>
      <c r="J59" s="619">
        <f>LARGE(J13:J58,1)+1</f>
        <v>47</v>
      </c>
      <c r="K59" s="349"/>
      <c r="L59" s="349"/>
      <c r="M59" s="349"/>
      <c r="N59" s="349"/>
      <c r="O59" s="349"/>
      <c r="P59" s="349"/>
      <c r="Q59" s="3917"/>
      <c r="R59" s="133" t="s">
        <v>2310</v>
      </c>
      <c r="S59" s="591"/>
      <c r="T59" s="592"/>
      <c r="U59" s="593"/>
      <c r="V59" s="446"/>
      <c r="W59" s="508">
        <f t="shared" si="2"/>
        <v>0</v>
      </c>
      <c r="X59" s="509">
        <f>(W59/W61)*X11</f>
        <v>0</v>
      </c>
      <c r="Y59" s="510" t="str">
        <f>IF(ISBLANK(S59),"",(S59/W61)*X11)</f>
        <v/>
      </c>
      <c r="Z59" s="511">
        <f t="shared" si="11"/>
        <v>0</v>
      </c>
      <c r="AA59" s="447"/>
      <c r="AB59" s="512">
        <f>AA11</f>
        <v>0</v>
      </c>
      <c r="AC59" s="512">
        <f t="shared" si="8"/>
        <v>0</v>
      </c>
      <c r="AD59" s="513">
        <f t="shared" si="9"/>
        <v>1</v>
      </c>
      <c r="AF59" s="514">
        <f>((W59/W11)*AH11)</f>
        <v>0</v>
      </c>
      <c r="AG59" s="510">
        <f>IF(ISTEXT(S59),S59,IF(ISBLANK(S59),0,(S59/W11)*AH11))</f>
        <v>0</v>
      </c>
      <c r="AH59" s="515">
        <f t="shared" si="3"/>
        <v>0</v>
      </c>
      <c r="AI59" s="516">
        <f t="shared" si="4"/>
        <v>0</v>
      </c>
      <c r="AJ59" s="517">
        <f>(W59/W11)*AL11</f>
        <v>0</v>
      </c>
      <c r="AK59" s="510">
        <f>IF(ISBLANK(S59),0,(S59/W11)*AL11)</f>
        <v>0</v>
      </c>
      <c r="AL59" s="511">
        <f t="shared" si="5"/>
        <v>0</v>
      </c>
      <c r="AM59" s="517">
        <f t="shared" si="10"/>
        <v>0</v>
      </c>
      <c r="AN59" s="518">
        <f t="shared" si="6"/>
        <v>0</v>
      </c>
      <c r="AO59" s="510">
        <f>IF(ISBLANK(S59),0,(S59/W61)*AN62)</f>
        <v>0</v>
      </c>
      <c r="AP59" s="511">
        <f t="shared" si="7"/>
        <v>0</v>
      </c>
      <c r="AQ59" s="519" t="s">
        <v>2342</v>
      </c>
      <c r="AR59" s="520" t="s">
        <v>2343</v>
      </c>
      <c r="AS59" s="520" t="s">
        <v>2344</v>
      </c>
      <c r="AT59" s="520">
        <v>3</v>
      </c>
      <c r="AV59" s="381" t="s">
        <v>2294</v>
      </c>
      <c r="AW59" s="629">
        <f>ROW()</f>
        <v>59</v>
      </c>
    </row>
    <row r="60" spans="1:49" ht="18.95" customHeight="1" thickBot="1">
      <c r="A60" s="3914"/>
      <c r="B60" s="441">
        <f t="shared" si="1"/>
        <v>0</v>
      </c>
      <c r="C60" s="442">
        <f>IF(G10=1,AG60,IF(G10=2,AK60,IF(G10=3,AO60,IF(G10=4,AS60))))</f>
        <v>0</v>
      </c>
      <c r="D60" s="443">
        <f>IF(G10=1,AH60,IF(G10=2,AL60,IF(G10=3,AP60,IF(G10=4,AT60))))</f>
        <v>0</v>
      </c>
      <c r="E60" s="506">
        <f>IF(G10=1,AF60,IF(G10=2,AJ60,IF(G10=3,AN60,IF(G10=4,AR60))))</f>
        <v>0</v>
      </c>
      <c r="F60" s="444" t="str">
        <f>IF(G10=1,"",IF(E60=G60,"",AC60))</f>
        <v/>
      </c>
      <c r="G60" s="507" t="str">
        <f>IF(G10=1,"",IF(G10=2,AI60,IF(G10=3,AM60,IF(G10=4,AQ60))))</f>
        <v/>
      </c>
      <c r="H60" s="445">
        <f>W60/W61</f>
        <v>0</v>
      </c>
      <c r="I60" s="3916"/>
      <c r="J60" s="619">
        <f>LARGE(J13:J59,1)+1</f>
        <v>48</v>
      </c>
      <c r="K60" s="453" t="s">
        <v>1058</v>
      </c>
      <c r="L60" s="449"/>
      <c r="M60" s="449"/>
      <c r="N60" s="449"/>
      <c r="O60" s="449"/>
      <c r="P60" s="449"/>
      <c r="Q60" s="3917"/>
      <c r="R60" s="133" t="s">
        <v>2310</v>
      </c>
      <c r="S60" s="591"/>
      <c r="T60" s="592"/>
      <c r="U60" s="593"/>
      <c r="V60" s="446"/>
      <c r="W60" s="508">
        <f t="shared" si="2"/>
        <v>0</v>
      </c>
      <c r="X60" s="509">
        <f>(W60/W61)*X11</f>
        <v>0</v>
      </c>
      <c r="Y60" s="510" t="str">
        <f>IF(ISBLANK(S60),"",(S60/W61)*X11)</f>
        <v/>
      </c>
      <c r="Z60" s="511">
        <f t="shared" si="11"/>
        <v>0</v>
      </c>
      <c r="AA60" s="447"/>
      <c r="AB60" s="512">
        <f>AA11</f>
        <v>0</v>
      </c>
      <c r="AC60" s="512">
        <f t="shared" si="8"/>
        <v>0</v>
      </c>
      <c r="AD60" s="513">
        <f t="shared" si="9"/>
        <v>1</v>
      </c>
      <c r="AE60" s="127"/>
      <c r="AF60" s="514">
        <f>((W60/W11)*AH11)</f>
        <v>0</v>
      </c>
      <c r="AG60" s="510">
        <f>IF(ISTEXT(S60),S60,IF(ISBLANK(S60),0,(S60/W11)*AH11))</f>
        <v>0</v>
      </c>
      <c r="AH60" s="515">
        <f t="shared" si="3"/>
        <v>0</v>
      </c>
      <c r="AI60" s="516">
        <f t="shared" si="4"/>
        <v>0</v>
      </c>
      <c r="AJ60" s="517">
        <f>(W60/W11)*AL11</f>
        <v>0</v>
      </c>
      <c r="AK60" s="510">
        <f>IF(ISBLANK(S60),0,(S60/W11)*AL11)</f>
        <v>0</v>
      </c>
      <c r="AL60" s="511">
        <f t="shared" si="5"/>
        <v>0</v>
      </c>
      <c r="AM60" s="517">
        <f t="shared" si="10"/>
        <v>0</v>
      </c>
      <c r="AN60" s="518">
        <f t="shared" si="6"/>
        <v>0</v>
      </c>
      <c r="AO60" s="510">
        <f>IF(ISBLANK(S60),0,(S60/W61)*AN62)</f>
        <v>0</v>
      </c>
      <c r="AP60" s="511">
        <f t="shared" si="7"/>
        <v>0</v>
      </c>
      <c r="AQ60" s="519" t="s">
        <v>2342</v>
      </c>
      <c r="AR60" s="520" t="s">
        <v>2343</v>
      </c>
      <c r="AS60" s="520" t="s">
        <v>2344</v>
      </c>
      <c r="AT60" s="520">
        <v>3</v>
      </c>
      <c r="AV60" s="631" t="s">
        <v>2291</v>
      </c>
      <c r="AW60" s="622">
        <f>ROW()</f>
        <v>60</v>
      </c>
    </row>
    <row r="61" spans="1:49" ht="19.5" customHeight="1" thickBot="1">
      <c r="A61" s="3914"/>
      <c r="B61" s="450"/>
      <c r="C61" s="632" t="s">
        <v>1314</v>
      </c>
      <c r="D61" s="450" t="s">
        <v>2345</v>
      </c>
      <c r="E61" s="450" t="s">
        <v>2346</v>
      </c>
      <c r="F61" s="452" t="s">
        <v>2347</v>
      </c>
      <c r="G61" s="450" t="s">
        <v>2348</v>
      </c>
      <c r="H61" s="450"/>
      <c r="I61" s="3916"/>
      <c r="J61" s="619">
        <f>LARGE(J13:J60,1)+1</f>
        <v>49</v>
      </c>
      <c r="K61" s="459" t="s">
        <v>1062</v>
      </c>
      <c r="L61" s="449"/>
      <c r="M61" s="449"/>
      <c r="N61" s="449"/>
      <c r="O61" s="449"/>
      <c r="P61" s="449"/>
      <c r="Q61" s="3917"/>
      <c r="R61" s="133" t="s">
        <v>2310</v>
      </c>
      <c r="S61" s="521">
        <f>S62/1000</f>
        <v>0.13500000000000001</v>
      </c>
      <c r="T61" s="454"/>
      <c r="U61" s="522">
        <f>SUM(U13:U60)</f>
        <v>0.875</v>
      </c>
      <c r="V61" s="455" t="s">
        <v>2349</v>
      </c>
      <c r="W61" s="523">
        <f>SUM(W13:W60)</f>
        <v>0.875</v>
      </c>
      <c r="X61" s="456"/>
      <c r="Y61" s="456"/>
      <c r="Z61" s="524"/>
      <c r="AA61" s="525"/>
      <c r="AB61" s="525"/>
      <c r="AC61" s="525"/>
      <c r="AD61" s="524"/>
      <c r="AF61" s="526" t="s">
        <v>1314</v>
      </c>
      <c r="AG61" s="525"/>
      <c r="AH61" s="525"/>
      <c r="AI61" s="526" t="s">
        <v>1314</v>
      </c>
      <c r="AJ61" s="450" t="s">
        <v>1314</v>
      </c>
      <c r="AK61" s="450" t="s">
        <v>1378</v>
      </c>
      <c r="AL61" s="527" t="s">
        <v>2345</v>
      </c>
      <c r="AM61" s="526" t="s">
        <v>1314</v>
      </c>
      <c r="AN61" s="450" t="s">
        <v>1314</v>
      </c>
      <c r="AO61" s="450" t="s">
        <v>1378</v>
      </c>
      <c r="AP61" s="527" t="s">
        <v>2345</v>
      </c>
      <c r="AQ61" s="450"/>
      <c r="AR61" s="528"/>
      <c r="AS61" s="450"/>
      <c r="AT61" s="450"/>
      <c r="AV61" s="631" t="s">
        <v>2291</v>
      </c>
      <c r="AW61" s="622">
        <f>ROW()</f>
        <v>61</v>
      </c>
    </row>
    <row r="62" spans="1:49" ht="19.5" customHeight="1">
      <c r="A62" s="3914"/>
      <c r="B62" s="456"/>
      <c r="C62" s="633">
        <f>SUM(C13:C60)</f>
        <v>3.125</v>
      </c>
      <c r="D62" s="529" t="str">
        <f>IF((G62)=0,"",(E62-G62))</f>
        <v/>
      </c>
      <c r="E62" s="529">
        <f>SUM(E13:E60)</f>
        <v>2.1875</v>
      </c>
      <c r="F62" s="457" t="e">
        <f>D62/E62</f>
        <v>#VALUE!</v>
      </c>
      <c r="G62" s="529">
        <f>SUM(G13:G60)</f>
        <v>0</v>
      </c>
      <c r="H62" s="458">
        <f>SUM(H13:H60)</f>
        <v>1</v>
      </c>
      <c r="I62" s="3916"/>
      <c r="J62" s="619">
        <f>LARGE(J13:J61,1)+1</f>
        <v>50</v>
      </c>
      <c r="K62" s="459" t="s">
        <v>2392</v>
      </c>
      <c r="L62" s="449"/>
      <c r="M62" s="449"/>
      <c r="N62" s="449"/>
      <c r="O62" s="449"/>
      <c r="P62" s="449"/>
      <c r="Q62" s="3917"/>
      <c r="R62" s="133" t="s">
        <v>2310</v>
      </c>
      <c r="S62" s="3905">
        <v>135</v>
      </c>
      <c r="T62" s="3702" t="s">
        <v>2350</v>
      </c>
      <c r="U62" s="3702"/>
      <c r="V62" s="3704" t="s">
        <v>2351</v>
      </c>
      <c r="W62" s="3681">
        <f>W61/(S62/1000)</f>
        <v>6.481481481481481</v>
      </c>
      <c r="X62" s="529">
        <f>SUM(X13:X61)</f>
        <v>1</v>
      </c>
      <c r="Y62" s="530">
        <f>SUM(Y13:Y61)</f>
        <v>1.4285714285714284</v>
      </c>
      <c r="Z62" s="531" t="s">
        <v>2352</v>
      </c>
      <c r="AA62" s="532">
        <f>COUNTIF(AC13:AC60,"&gt;0")</f>
        <v>0</v>
      </c>
      <c r="AB62" s="529"/>
      <c r="AC62" s="533"/>
      <c r="AD62" s="531"/>
      <c r="AF62" s="534">
        <f>SUM(AF13:AF60)</f>
        <v>2.1875</v>
      </c>
      <c r="AG62" s="533"/>
      <c r="AH62" s="533"/>
      <c r="AI62" s="534">
        <f>SUM(AI13:AI60)</f>
        <v>2.1875</v>
      </c>
      <c r="AJ62" s="529">
        <f>SUM(AJ13:AJ60)</f>
        <v>2.1875</v>
      </c>
      <c r="AK62" s="535">
        <f>(AL62/AJ62%)</f>
        <v>0</v>
      </c>
      <c r="AL62" s="536">
        <f>AJ62-AI62</f>
        <v>0</v>
      </c>
      <c r="AM62" s="529">
        <f>SUM(AM13:AM60)</f>
        <v>2.1875</v>
      </c>
      <c r="AN62" s="529">
        <f>SUM(AN13:AN60)</f>
        <v>2.1875</v>
      </c>
      <c r="AO62" s="537">
        <f>(AP62/AN62%)</f>
        <v>0</v>
      </c>
      <c r="AP62" s="536">
        <f>AN62-AM62</f>
        <v>0</v>
      </c>
      <c r="AQ62" s="538"/>
      <c r="AR62" s="539"/>
      <c r="AS62" s="538"/>
      <c r="AT62" s="540"/>
      <c r="AV62" s="631" t="s">
        <v>2291</v>
      </c>
      <c r="AW62" s="622">
        <f>ROW()</f>
        <v>62</v>
      </c>
    </row>
    <row r="63" spans="1:49" ht="19.5" customHeight="1" thickBot="1">
      <c r="A63" s="3914"/>
      <c r="B63" s="450"/>
      <c r="C63" s="450"/>
      <c r="D63" s="450"/>
      <c r="E63" s="450"/>
      <c r="F63" s="450"/>
      <c r="G63" s="450"/>
      <c r="H63" s="450"/>
      <c r="I63" s="3916"/>
      <c r="J63" s="619">
        <f>LARGE(J13:J62,1)+1</f>
        <v>51</v>
      </c>
      <c r="K63" s="460" t="s">
        <v>1957</v>
      </c>
      <c r="L63" s="461" t="s">
        <v>1088</v>
      </c>
      <c r="M63" s="461"/>
      <c r="N63" s="461"/>
      <c r="O63" s="462"/>
      <c r="P63" s="449"/>
      <c r="Q63" s="3917"/>
      <c r="R63" s="133" t="s">
        <v>2310</v>
      </c>
      <c r="S63" s="3906"/>
      <c r="T63" s="3703"/>
      <c r="U63" s="3703"/>
      <c r="V63" s="3705"/>
      <c r="W63" s="3682"/>
      <c r="X63" s="456"/>
      <c r="Y63" s="456"/>
      <c r="Z63" s="524"/>
      <c r="AA63" s="525"/>
      <c r="AB63" s="525"/>
      <c r="AC63" s="525"/>
      <c r="AD63" s="524"/>
      <c r="AF63" s="541"/>
      <c r="AG63" s="542"/>
      <c r="AH63" s="543"/>
      <c r="AI63" s="542"/>
      <c r="AJ63" s="542"/>
      <c r="AK63" s="542"/>
      <c r="AL63" s="543"/>
      <c r="AM63" s="542"/>
      <c r="AN63" s="542"/>
      <c r="AO63" s="542"/>
      <c r="AP63" s="543"/>
      <c r="AQ63" s="542"/>
      <c r="AR63" s="542"/>
      <c r="AS63" s="542"/>
      <c r="AT63" s="542"/>
      <c r="AV63" s="631" t="s">
        <v>2291</v>
      </c>
      <c r="AW63" s="622">
        <f>ROW()</f>
        <v>63</v>
      </c>
    </row>
    <row r="64" spans="1:49" ht="30" customHeight="1" thickBot="1">
      <c r="A64" s="3914"/>
      <c r="B64" s="634"/>
      <c r="C64" s="635"/>
      <c r="D64" s="635"/>
      <c r="E64" s="635"/>
      <c r="F64" s="635"/>
      <c r="G64" s="635"/>
      <c r="H64" s="635"/>
      <c r="I64" s="3916"/>
      <c r="J64" s="635"/>
      <c r="K64" s="635"/>
      <c r="L64" s="635"/>
      <c r="M64" s="635"/>
      <c r="N64" s="635"/>
      <c r="O64" s="635"/>
      <c r="P64" s="636"/>
      <c r="Q64" s="637" t="s">
        <v>2306</v>
      </c>
      <c r="R64" s="400" t="s">
        <v>2307</v>
      </c>
      <c r="S64" s="544">
        <v>10</v>
      </c>
      <c r="T64" s="3706" t="s">
        <v>2358</v>
      </c>
      <c r="U64" s="3706"/>
      <c r="V64" s="545" t="s">
        <v>2353</v>
      </c>
      <c r="W64" s="463">
        <f>S64/S61</f>
        <v>74.074074074074076</v>
      </c>
      <c r="X64" s="546"/>
      <c r="Y64" s="546"/>
      <c r="Z64" s="547"/>
      <c r="AA64" s="548"/>
      <c r="AB64" s="548"/>
      <c r="AC64" s="547"/>
      <c r="AD64" s="549"/>
      <c r="AF64" s="638"/>
      <c r="AG64" s="547"/>
      <c r="AH64" s="549"/>
      <c r="AI64" s="547"/>
      <c r="AJ64" s="547"/>
      <c r="AK64" s="547"/>
      <c r="AL64" s="549"/>
      <c r="AM64" s="547"/>
      <c r="AN64" s="547"/>
      <c r="AO64" s="547"/>
      <c r="AP64" s="549"/>
      <c r="AQ64" s="547"/>
      <c r="AR64" s="547"/>
      <c r="AS64" s="547"/>
      <c r="AT64" s="547"/>
      <c r="AV64" s="631" t="s">
        <v>2291</v>
      </c>
      <c r="AW64" s="622">
        <f>ROW()</f>
        <v>64</v>
      </c>
    </row>
    <row r="65" spans="3:30" ht="30" customHeight="1" thickBot="1"/>
    <row r="66" spans="3:30" ht="18" customHeight="1">
      <c r="C66" s="464" t="s">
        <v>2354</v>
      </c>
      <c r="D66" s="465" t="s">
        <v>2355</v>
      </c>
      <c r="S66" s="775" t="str">
        <f>ADDRESS(ROW(),COLUMN(),4)</f>
        <v>S66</v>
      </c>
      <c r="T66" s="3891" t="s">
        <v>2482</v>
      </c>
      <c r="U66" s="3891"/>
      <c r="V66" s="3891"/>
      <c r="W66" s="3892"/>
      <c r="Y66" s="3858" t="s">
        <v>1050</v>
      </c>
      <c r="Z66" s="3859"/>
      <c r="AA66" s="3859"/>
      <c r="AB66" s="3859"/>
      <c r="AC66" s="3859"/>
      <c r="AD66" s="3860"/>
    </row>
    <row r="67" spans="3:30" ht="18" customHeight="1">
      <c r="C67" s="111"/>
      <c r="D67" s="111"/>
      <c r="S67" s="776" t="s">
        <v>2417</v>
      </c>
      <c r="T67" s="3893"/>
      <c r="U67" s="3893"/>
      <c r="V67" s="3893"/>
      <c r="W67" s="3894"/>
      <c r="Y67" s="3861" t="s">
        <v>951</v>
      </c>
      <c r="Z67" s="3862"/>
      <c r="AA67" s="196" t="s">
        <v>1051</v>
      </c>
      <c r="AB67" s="623" t="s">
        <v>1052</v>
      </c>
      <c r="AC67" s="3863" t="s">
        <v>975</v>
      </c>
      <c r="AD67" s="3864"/>
    </row>
    <row r="68" spans="3:30" ht="18" customHeight="1">
      <c r="C68" s="464" t="s">
        <v>2354</v>
      </c>
      <c r="D68" s="465" t="s">
        <v>2356</v>
      </c>
      <c r="S68" s="3895" t="s">
        <v>750</v>
      </c>
      <c r="T68" s="3896"/>
      <c r="U68" s="3896"/>
      <c r="V68" s="3896"/>
      <c r="W68" s="3897"/>
      <c r="Y68" s="3898">
        <v>20</v>
      </c>
      <c r="Z68" s="3889">
        <f>Y68/100</f>
        <v>0.2</v>
      </c>
      <c r="AA68" s="197" t="s">
        <v>1053</v>
      </c>
      <c r="AB68" s="198">
        <v>1</v>
      </c>
      <c r="AC68" s="199">
        <f>(Y68*AB68)*10</f>
        <v>200</v>
      </c>
      <c r="AD68" s="200">
        <f>AC68/1000</f>
        <v>0.2</v>
      </c>
    </row>
    <row r="69" spans="3:30" ht="18" customHeight="1">
      <c r="S69" s="3895"/>
      <c r="T69" s="3896"/>
      <c r="U69" s="3896"/>
      <c r="V69" s="3896"/>
      <c r="W69" s="3897"/>
      <c r="Y69" s="3898"/>
      <c r="Z69" s="3889"/>
      <c r="AA69" s="197" t="s">
        <v>1054</v>
      </c>
      <c r="AB69" s="198">
        <v>1.03</v>
      </c>
      <c r="AC69" s="199">
        <f>(Y68*AB69)*10</f>
        <v>206</v>
      </c>
      <c r="AD69" s="200">
        <f t="shared" ref="AD69:AD72" si="12">AC69/1000</f>
        <v>0.20599999999999999</v>
      </c>
    </row>
    <row r="70" spans="3:30" ht="18" customHeight="1">
      <c r="S70" s="3900" t="s">
        <v>2418</v>
      </c>
      <c r="T70" s="3901"/>
      <c r="U70" s="3901"/>
      <c r="V70" s="3901"/>
      <c r="W70" s="3902"/>
      <c r="Y70" s="3898"/>
      <c r="Z70" s="3889"/>
      <c r="AA70" s="197" t="s">
        <v>1055</v>
      </c>
      <c r="AB70" s="198">
        <v>1.0149999999999999</v>
      </c>
      <c r="AC70" s="199">
        <f>(AB70*Y68)*10</f>
        <v>202.99999999999997</v>
      </c>
      <c r="AD70" s="200">
        <f t="shared" si="12"/>
        <v>0.20299999999999996</v>
      </c>
    </row>
    <row r="71" spans="3:30" ht="18" customHeight="1">
      <c r="S71" s="639"/>
      <c r="T71" s="640"/>
      <c r="U71" s="640"/>
      <c r="V71" s="640"/>
      <c r="W71" s="641"/>
      <c r="Y71" s="3898"/>
      <c r="Z71" s="3889"/>
      <c r="AA71" s="197" t="s">
        <v>1056</v>
      </c>
      <c r="AB71" s="198">
        <v>0.92</v>
      </c>
      <c r="AC71" s="199">
        <f>(AB71*Y68)*10</f>
        <v>184.00000000000003</v>
      </c>
      <c r="AD71" s="200">
        <f t="shared" si="12"/>
        <v>0.18400000000000002</v>
      </c>
    </row>
    <row r="72" spans="3:30" ht="18" customHeight="1" thickBot="1">
      <c r="S72" s="3903" t="s">
        <v>2419</v>
      </c>
      <c r="T72" s="3904"/>
      <c r="U72" s="3904"/>
      <c r="V72" s="3904"/>
      <c r="W72" s="130"/>
      <c r="Y72" s="3899"/>
      <c r="Z72" s="3890"/>
      <c r="AA72" s="466" t="s">
        <v>1057</v>
      </c>
      <c r="AB72" s="467">
        <v>0.8</v>
      </c>
      <c r="AC72" s="468">
        <f>(AB72*Y68)*10</f>
        <v>160</v>
      </c>
      <c r="AD72" s="469">
        <f t="shared" si="12"/>
        <v>0.16</v>
      </c>
    </row>
    <row r="73" spans="3:30" ht="18" customHeight="1" thickBot="1">
      <c r="S73" s="3903"/>
      <c r="T73" s="3904"/>
      <c r="U73" s="3904"/>
      <c r="V73" s="3904"/>
      <c r="W73" s="130"/>
    </row>
    <row r="74" spans="3:30" ht="18" customHeight="1">
      <c r="S74" s="3885" t="s">
        <v>2420</v>
      </c>
      <c r="T74" s="3886"/>
      <c r="U74" s="3886"/>
      <c r="V74" s="3886"/>
      <c r="W74" s="130"/>
      <c r="Y74" s="3858" t="s">
        <v>1050</v>
      </c>
      <c r="Z74" s="3859"/>
      <c r="AA74" s="3859"/>
      <c r="AB74" s="3859"/>
      <c r="AC74" s="3859"/>
      <c r="AD74" s="3860"/>
    </row>
    <row r="75" spans="3:30" ht="18" customHeight="1">
      <c r="S75" s="3885"/>
      <c r="T75" s="3886"/>
      <c r="U75" s="3886"/>
      <c r="V75" s="3886"/>
      <c r="W75" s="130"/>
      <c r="Y75" s="3861" t="s">
        <v>951</v>
      </c>
      <c r="Z75" s="3862"/>
      <c r="AA75" s="196" t="s">
        <v>1051</v>
      </c>
      <c r="AB75" s="623" t="s">
        <v>1052</v>
      </c>
      <c r="AC75" s="3863" t="s">
        <v>975</v>
      </c>
      <c r="AD75" s="3864"/>
    </row>
    <row r="76" spans="3:30" ht="18" customHeight="1">
      <c r="S76" s="3885"/>
      <c r="T76" s="3886"/>
      <c r="U76" s="3886"/>
      <c r="V76" s="3886"/>
      <c r="W76" s="130"/>
      <c r="Y76" s="3887">
        <v>10</v>
      </c>
      <c r="Z76" s="3889">
        <f>Y76/10</f>
        <v>1</v>
      </c>
      <c r="AA76" s="197" t="s">
        <v>1053</v>
      </c>
      <c r="AB76" s="198">
        <v>1</v>
      </c>
      <c r="AC76" s="199">
        <f>(Y76*AB76)*100</f>
        <v>1000</v>
      </c>
      <c r="AD76" s="200">
        <f>AC76/1000</f>
        <v>1</v>
      </c>
    </row>
    <row r="77" spans="3:30" ht="18" customHeight="1">
      <c r="S77" s="3885"/>
      <c r="T77" s="3886"/>
      <c r="U77" s="3886"/>
      <c r="V77" s="3886"/>
      <c r="W77" s="130"/>
      <c r="Y77" s="3887"/>
      <c r="Z77" s="3889"/>
      <c r="AA77" s="197" t="s">
        <v>1054</v>
      </c>
      <c r="AB77" s="198">
        <v>1.03</v>
      </c>
      <c r="AC77" s="199">
        <f>(Y76*AB77)*100</f>
        <v>1030</v>
      </c>
      <c r="AD77" s="200">
        <f t="shared" ref="AD77:AD80" si="13">AC77/1000</f>
        <v>1.03</v>
      </c>
    </row>
    <row r="78" spans="3:30" ht="18" customHeight="1">
      <c r="S78" s="3885"/>
      <c r="T78" s="3886"/>
      <c r="U78" s="3886"/>
      <c r="V78" s="3886"/>
      <c r="W78" s="130"/>
      <c r="Y78" s="3887"/>
      <c r="Z78" s="3889"/>
      <c r="AA78" s="197" t="s">
        <v>1055</v>
      </c>
      <c r="AB78" s="198">
        <v>1.0149999999999999</v>
      </c>
      <c r="AC78" s="199">
        <f>(AB78*Y76)*100</f>
        <v>1014.9999999999999</v>
      </c>
      <c r="AD78" s="200">
        <f t="shared" si="13"/>
        <v>1.0149999999999999</v>
      </c>
    </row>
    <row r="79" spans="3:30" ht="18" customHeight="1">
      <c r="S79" s="3885"/>
      <c r="T79" s="3886"/>
      <c r="U79" s="3886"/>
      <c r="V79" s="3886"/>
      <c r="W79" s="130"/>
      <c r="Y79" s="3887"/>
      <c r="Z79" s="3889"/>
      <c r="AA79" s="197" t="s">
        <v>1056</v>
      </c>
      <c r="AB79" s="198">
        <v>0.92</v>
      </c>
      <c r="AC79" s="199">
        <f>(AB79*Y76)*100</f>
        <v>920.00000000000011</v>
      </c>
      <c r="AD79" s="200">
        <f t="shared" si="13"/>
        <v>0.92000000000000015</v>
      </c>
    </row>
    <row r="80" spans="3:30" ht="18" customHeight="1" thickBot="1">
      <c r="S80" s="3885"/>
      <c r="T80" s="3886"/>
      <c r="U80" s="3886"/>
      <c r="V80" s="3886"/>
      <c r="W80" s="130"/>
      <c r="Y80" s="3888"/>
      <c r="Z80" s="3890"/>
      <c r="AA80" s="466" t="s">
        <v>1057</v>
      </c>
      <c r="AB80" s="467">
        <v>0.8</v>
      </c>
      <c r="AC80" s="468">
        <f>(AB80*Y76)*100</f>
        <v>800</v>
      </c>
      <c r="AD80" s="469">
        <f t="shared" si="13"/>
        <v>0.8</v>
      </c>
    </row>
    <row r="81" spans="19:30" ht="18" customHeight="1" thickBot="1">
      <c r="S81" s="642" t="s">
        <v>2421</v>
      </c>
      <c r="T81" s="111"/>
      <c r="U81" s="111"/>
      <c r="V81" s="111"/>
      <c r="W81" s="130"/>
    </row>
    <row r="82" spans="19:30" ht="18" customHeight="1" thickBot="1">
      <c r="S82" s="642"/>
      <c r="T82" s="111"/>
      <c r="U82" s="111"/>
      <c r="V82" s="111"/>
      <c r="W82" s="130"/>
      <c r="Y82" s="3858" t="s">
        <v>2422</v>
      </c>
      <c r="Z82" s="3859"/>
      <c r="AA82" s="3859"/>
      <c r="AB82" s="3859"/>
      <c r="AC82" s="3859"/>
      <c r="AD82" s="3860"/>
    </row>
    <row r="83" spans="19:30" ht="18" customHeight="1">
      <c r="S83" s="3823" t="s">
        <v>2423</v>
      </c>
      <c r="T83" s="3824"/>
      <c r="U83" s="3824"/>
      <c r="V83" s="3824"/>
      <c r="W83" s="3825"/>
      <c r="Y83" s="3861" t="s">
        <v>951</v>
      </c>
      <c r="Z83" s="3862"/>
      <c r="AA83" s="196" t="s">
        <v>1051</v>
      </c>
      <c r="AB83" s="623" t="s">
        <v>1052</v>
      </c>
      <c r="AC83" s="3863" t="s">
        <v>975</v>
      </c>
      <c r="AD83" s="3864"/>
    </row>
    <row r="84" spans="19:30" ht="18" customHeight="1" thickBot="1">
      <c r="S84" s="3826"/>
      <c r="T84" s="3827"/>
      <c r="U84" s="3827"/>
      <c r="V84" s="3827"/>
      <c r="W84" s="3828"/>
      <c r="Y84" s="3875">
        <v>15</v>
      </c>
      <c r="Z84" s="3877">
        <f>Y84/1000</f>
        <v>1.4999999999999999E-2</v>
      </c>
      <c r="AA84" s="197" t="s">
        <v>1053</v>
      </c>
      <c r="AB84" s="198">
        <v>1</v>
      </c>
      <c r="AC84" s="199">
        <f>(Y84*AB84)</f>
        <v>15</v>
      </c>
      <c r="AD84" s="643">
        <f>AC84/1000</f>
        <v>1.4999999999999999E-2</v>
      </c>
    </row>
    <row r="85" spans="19:30" ht="18" customHeight="1">
      <c r="S85" s="644" t="s">
        <v>150</v>
      </c>
      <c r="T85" s="3879" t="s">
        <v>2424</v>
      </c>
      <c r="U85" s="3879"/>
      <c r="V85" s="3879"/>
      <c r="W85" s="645" t="str">
        <f>+ADDRESS(ROW(T5),COLUMN(T5),4)</f>
        <v>T5</v>
      </c>
      <c r="Y85" s="3875"/>
      <c r="Z85" s="3877"/>
      <c r="AA85" s="197" t="s">
        <v>1054</v>
      </c>
      <c r="AB85" s="198">
        <v>1.03</v>
      </c>
      <c r="AC85" s="646">
        <f>(Y84*AB85)</f>
        <v>15.450000000000001</v>
      </c>
      <c r="AD85" s="643">
        <f t="shared" ref="AD85:AD88" si="14">AC85/1000</f>
        <v>1.5450000000000002E-2</v>
      </c>
    </row>
    <row r="86" spans="19:30" ht="18" customHeight="1">
      <c r="S86" s="647" t="s">
        <v>152</v>
      </c>
      <c r="T86" s="3857" t="s">
        <v>2425</v>
      </c>
      <c r="U86" s="3857"/>
      <c r="V86" s="3857"/>
      <c r="W86" s="648" t="str">
        <f>ADDRESS(ROW(V6),COLUMN(V6),4)</f>
        <v>V6</v>
      </c>
      <c r="Y86" s="3875"/>
      <c r="Z86" s="3877"/>
      <c r="AA86" s="197" t="s">
        <v>1055</v>
      </c>
      <c r="AB86" s="198">
        <v>1.0149999999999999</v>
      </c>
      <c r="AC86" s="646">
        <f>(AB86*Y84)</f>
        <v>15.224999999999998</v>
      </c>
      <c r="AD86" s="643">
        <f t="shared" si="14"/>
        <v>1.5224999999999997E-2</v>
      </c>
    </row>
    <row r="87" spans="19:30" ht="18" customHeight="1">
      <c r="S87" s="3880" t="s">
        <v>2415</v>
      </c>
      <c r="T87" s="3881"/>
      <c r="U87" s="3881"/>
      <c r="V87" s="3881"/>
      <c r="W87" s="3882"/>
      <c r="Y87" s="3875"/>
      <c r="Z87" s="3877"/>
      <c r="AA87" s="197" t="s">
        <v>1056</v>
      </c>
      <c r="AB87" s="198">
        <v>0.92</v>
      </c>
      <c r="AC87" s="646">
        <f>(AB87*Y84)</f>
        <v>13.8</v>
      </c>
      <c r="AD87" s="643">
        <f t="shared" si="14"/>
        <v>1.3800000000000002E-2</v>
      </c>
    </row>
    <row r="88" spans="19:30" ht="18" customHeight="1" thickBot="1">
      <c r="S88" s="3883" t="s">
        <v>2313</v>
      </c>
      <c r="T88" s="3881" t="s">
        <v>2426</v>
      </c>
      <c r="U88" s="3881"/>
      <c r="V88" s="3881"/>
      <c r="W88" s="3884" t="str">
        <f>ADDRESS(ROW(T7),COLUMN(T7),4)</f>
        <v>T7</v>
      </c>
      <c r="Y88" s="3876"/>
      <c r="Z88" s="3878"/>
      <c r="AA88" s="466" t="s">
        <v>1057</v>
      </c>
      <c r="AB88" s="467">
        <v>0.8</v>
      </c>
      <c r="AC88" s="649">
        <f>(AB88*Y84)</f>
        <v>12</v>
      </c>
      <c r="AD88" s="650">
        <f t="shared" si="14"/>
        <v>1.2E-2</v>
      </c>
    </row>
    <row r="89" spans="19:30" ht="18" customHeight="1" thickBot="1">
      <c r="S89" s="3883"/>
      <c r="T89" s="3881"/>
      <c r="U89" s="3881"/>
      <c r="V89" s="3881"/>
      <c r="W89" s="3884"/>
    </row>
    <row r="90" spans="19:30" ht="18" customHeight="1">
      <c r="S90" s="651" t="s">
        <v>1952</v>
      </c>
      <c r="T90" s="3857" t="s">
        <v>2427</v>
      </c>
      <c r="U90" s="3857"/>
      <c r="V90" s="3857"/>
      <c r="W90" s="648" t="str">
        <f>ADDRESS(ROW(T8),COLUMN(T8),4)</f>
        <v>T8</v>
      </c>
      <c r="Y90" s="3858" t="s">
        <v>2428</v>
      </c>
      <c r="Z90" s="3859"/>
      <c r="AA90" s="3859"/>
      <c r="AB90" s="3859"/>
      <c r="AC90" s="3859"/>
      <c r="AD90" s="3860"/>
    </row>
    <row r="91" spans="19:30" ht="18" customHeight="1">
      <c r="S91" s="652" t="s">
        <v>2429</v>
      </c>
      <c r="T91" s="653"/>
      <c r="U91" s="653"/>
      <c r="V91" s="653"/>
      <c r="W91" s="654" t="s">
        <v>2430</v>
      </c>
      <c r="Y91" s="3861" t="s">
        <v>951</v>
      </c>
      <c r="Z91" s="3862"/>
      <c r="AA91" s="196" t="s">
        <v>1051</v>
      </c>
      <c r="AB91" s="623" t="s">
        <v>1052</v>
      </c>
      <c r="AC91" s="3863" t="s">
        <v>975</v>
      </c>
      <c r="AD91" s="3864"/>
    </row>
    <row r="92" spans="19:30" ht="18" customHeight="1">
      <c r="S92" s="652"/>
      <c r="T92" s="653"/>
      <c r="U92" s="653"/>
      <c r="V92" s="653"/>
      <c r="W92" s="654"/>
      <c r="Y92" s="3865">
        <v>1.5</v>
      </c>
      <c r="Z92" s="3867">
        <f>Y92*1000</f>
        <v>1500</v>
      </c>
      <c r="AA92" s="197" t="s">
        <v>1053</v>
      </c>
      <c r="AB92" s="198">
        <v>1</v>
      </c>
      <c r="AC92" s="199">
        <f>(Z92*AB92)</f>
        <v>1500</v>
      </c>
      <c r="AD92" s="643">
        <f>AC92/1000</f>
        <v>1.5</v>
      </c>
    </row>
    <row r="93" spans="19:30" ht="18" customHeight="1">
      <c r="S93" s="3869" t="s">
        <v>2431</v>
      </c>
      <c r="T93" s="3870"/>
      <c r="U93" s="3870"/>
      <c r="V93" s="3870"/>
      <c r="W93" s="655" t="str">
        <f>LEFT(ADDRESS(1,COLUMN(V13),4),LEN(ADDRESS(1,COLUMN(),4))-1)</f>
        <v>V</v>
      </c>
      <c r="Y93" s="3865"/>
      <c r="Z93" s="3867"/>
      <c r="AA93" s="197" t="s">
        <v>1054</v>
      </c>
      <c r="AB93" s="198">
        <v>1.03</v>
      </c>
      <c r="AC93" s="199">
        <f>(Z92*AB93)</f>
        <v>1545</v>
      </c>
      <c r="AD93" s="643">
        <f t="shared" ref="AD93:AD96" si="15">AC93/1000</f>
        <v>1.5449999999999999</v>
      </c>
    </row>
    <row r="94" spans="19:30" ht="18" customHeight="1">
      <c r="S94" s="3871" t="s">
        <v>2432</v>
      </c>
      <c r="T94" s="3872"/>
      <c r="U94" s="3872"/>
      <c r="V94" s="3872"/>
      <c r="W94" s="656"/>
      <c r="Y94" s="3865"/>
      <c r="Z94" s="3867"/>
      <c r="AA94" s="197" t="s">
        <v>1055</v>
      </c>
      <c r="AB94" s="198">
        <v>1.0149999999999999</v>
      </c>
      <c r="AC94" s="199">
        <f>(AB94*Z92)</f>
        <v>1522.4999999999998</v>
      </c>
      <c r="AD94" s="643">
        <f t="shared" si="15"/>
        <v>1.5224999999999997</v>
      </c>
    </row>
    <row r="95" spans="19:30" ht="18" customHeight="1">
      <c r="S95" s="3871" t="s">
        <v>2433</v>
      </c>
      <c r="T95" s="3872"/>
      <c r="U95" s="3872"/>
      <c r="V95" s="3872"/>
      <c r="W95" s="656"/>
      <c r="Y95" s="3865"/>
      <c r="Z95" s="3867"/>
      <c r="AA95" s="197" t="s">
        <v>1056</v>
      </c>
      <c r="AB95" s="198">
        <v>0.92</v>
      </c>
      <c r="AC95" s="199">
        <f>(AB95*Z92)</f>
        <v>1380</v>
      </c>
      <c r="AD95" s="643">
        <f t="shared" si="15"/>
        <v>1.38</v>
      </c>
    </row>
    <row r="96" spans="19:30" ht="18" customHeight="1" thickBot="1">
      <c r="S96" s="3873" t="s">
        <v>2434</v>
      </c>
      <c r="T96" s="3874"/>
      <c r="U96" s="3874"/>
      <c r="V96" s="3874"/>
      <c r="W96" s="656"/>
      <c r="Y96" s="3866"/>
      <c r="Z96" s="3868"/>
      <c r="AA96" s="466" t="s">
        <v>1057</v>
      </c>
      <c r="AB96" s="467">
        <v>0.8</v>
      </c>
      <c r="AC96" s="468">
        <f>(AB96*Z92)</f>
        <v>1200</v>
      </c>
      <c r="AD96" s="650">
        <f t="shared" si="15"/>
        <v>1.2</v>
      </c>
    </row>
    <row r="97" spans="19:23" ht="18" customHeight="1">
      <c r="S97" s="657"/>
      <c r="T97" s="658"/>
      <c r="U97" s="658"/>
      <c r="V97" s="658"/>
      <c r="W97" s="656"/>
    </row>
    <row r="98" spans="19:23" ht="18" customHeight="1">
      <c r="S98" s="659" t="s">
        <v>2330</v>
      </c>
      <c r="T98" s="660" t="s">
        <v>2331</v>
      </c>
      <c r="U98" s="661" t="s">
        <v>2336</v>
      </c>
      <c r="V98" s="662"/>
      <c r="W98" s="656"/>
    </row>
    <row r="99" spans="19:23" ht="18" customHeight="1">
      <c r="S99" s="663" t="str">
        <f>LEFT(ADDRESS(1,COLUMN(S13),4),LEN(ADDRESS(1,COLUMN(),4))-1)</f>
        <v>S</v>
      </c>
      <c r="T99" s="664" t="str">
        <f>LEFT(ADDRESS(1,COLUMN(T13),4),LEN(ADDRESS(1,COLUMN(),4))-1)</f>
        <v>T</v>
      </c>
      <c r="U99" s="664" t="str">
        <f>LEFT(ADDRESS(1,COLUMN(U13),4),LEN(ADDRESS(1,COLUMN(),4))-1)</f>
        <v>U</v>
      </c>
      <c r="V99" s="665" t="s">
        <v>2435</v>
      </c>
      <c r="W99" s="656"/>
    </row>
    <row r="100" spans="19:23" ht="18" customHeight="1">
      <c r="S100" s="666">
        <v>7</v>
      </c>
      <c r="T100" s="667" t="s">
        <v>2436</v>
      </c>
      <c r="U100" s="668">
        <v>1.5</v>
      </c>
      <c r="V100" s="669"/>
      <c r="W100" s="656"/>
    </row>
    <row r="101" spans="19:23" ht="18" customHeight="1">
      <c r="S101" s="670"/>
      <c r="T101" s="671"/>
      <c r="U101" s="671"/>
      <c r="V101" s="669"/>
      <c r="W101" s="656"/>
    </row>
    <row r="102" spans="19:23" ht="18" customHeight="1">
      <c r="S102" s="672" t="s">
        <v>157</v>
      </c>
      <c r="T102" s="3833" t="s">
        <v>2437</v>
      </c>
      <c r="U102" s="3833"/>
      <c r="V102" s="3833"/>
      <c r="W102" s="673" t="str">
        <f>LEFT(ADDRESS(1,COLUMN(U13),4),LEN(ADDRESS(1,COLUMN(),4))-1)</f>
        <v>U</v>
      </c>
    </row>
    <row r="103" spans="19:23" ht="18" customHeight="1">
      <c r="S103" s="470"/>
      <c r="T103" s="471"/>
      <c r="U103" s="471"/>
      <c r="V103" s="471"/>
      <c r="W103" s="472"/>
    </row>
    <row r="104" spans="19:23" ht="18" customHeight="1">
      <c r="S104" s="674" t="s">
        <v>158</v>
      </c>
      <c r="T104" s="3834" t="s">
        <v>2438</v>
      </c>
      <c r="U104" s="3834"/>
      <c r="V104" s="3834"/>
      <c r="W104" s="675" t="str">
        <f>ADDRESS(ROW(W11),COLUMN(W11),4)</f>
        <v>W11</v>
      </c>
    </row>
    <row r="105" spans="19:23" ht="18" customHeight="1" thickBot="1">
      <c r="S105" s="470"/>
      <c r="T105" s="471"/>
      <c r="U105" s="471"/>
      <c r="V105" s="471"/>
      <c r="W105" s="472"/>
    </row>
    <row r="106" spans="19:23" ht="18" customHeight="1">
      <c r="S106" s="3835" t="s">
        <v>2439</v>
      </c>
      <c r="T106" s="3836"/>
      <c r="U106" s="3836"/>
      <c r="V106" s="3836"/>
      <c r="W106" s="3837"/>
    </row>
    <row r="107" spans="19:23" ht="18" customHeight="1" thickBot="1">
      <c r="S107" s="3838"/>
      <c r="T107" s="3839"/>
      <c r="U107" s="3839"/>
      <c r="V107" s="3839"/>
      <c r="W107" s="3840"/>
    </row>
    <row r="108" spans="19:23" ht="18" customHeight="1">
      <c r="S108" s="676"/>
      <c r="T108" s="621"/>
      <c r="U108" s="621"/>
      <c r="V108" s="621"/>
      <c r="W108" s="677"/>
    </row>
    <row r="109" spans="19:23" ht="18" customHeight="1">
      <c r="S109" s="678" t="s">
        <v>159</v>
      </c>
      <c r="T109" s="3841" t="s">
        <v>2440</v>
      </c>
      <c r="U109" s="3841"/>
      <c r="V109" s="3841"/>
      <c r="W109" s="679" t="str">
        <f>ADDRESS(ROW(AA11),COLUMN(AA11),4)</f>
        <v>AA11</v>
      </c>
    </row>
    <row r="110" spans="19:23" ht="18" customHeight="1">
      <c r="S110" s="470"/>
      <c r="T110" s="471"/>
      <c r="U110" s="471"/>
      <c r="V110" s="471"/>
      <c r="W110" s="472"/>
    </row>
    <row r="111" spans="19:23" ht="18" customHeight="1">
      <c r="S111" s="680" t="s">
        <v>2441</v>
      </c>
      <c r="T111" s="3842" t="s">
        <v>2442</v>
      </c>
      <c r="U111" s="3842"/>
      <c r="V111" s="3842"/>
      <c r="W111" s="681" t="str">
        <f>LEFT(ADDRESS(1,COLUMN(AA13),4),LEN(ADDRESS(1,COLUMN(),4))-1)</f>
        <v>A</v>
      </c>
    </row>
    <row r="112" spans="19:23" ht="18" customHeight="1" thickBot="1">
      <c r="S112" s="470"/>
      <c r="T112" s="471"/>
      <c r="U112" s="471"/>
      <c r="V112" s="471"/>
      <c r="W112" s="472"/>
    </row>
    <row r="113" spans="19:23" ht="18" customHeight="1">
      <c r="S113" s="3843" t="s">
        <v>2443</v>
      </c>
      <c r="T113" s="3844"/>
      <c r="U113" s="3844"/>
      <c r="V113" s="3844"/>
      <c r="W113" s="3845"/>
    </row>
    <row r="114" spans="19:23" ht="18" customHeight="1" thickBot="1">
      <c r="S114" s="3846"/>
      <c r="T114" s="3847"/>
      <c r="U114" s="3847"/>
      <c r="V114" s="3847"/>
      <c r="W114" s="3848"/>
    </row>
    <row r="115" spans="19:23" ht="18" customHeight="1">
      <c r="S115" s="470"/>
      <c r="T115" s="471"/>
      <c r="U115" s="471"/>
      <c r="V115" s="471"/>
      <c r="W115" s="472"/>
    </row>
    <row r="116" spans="19:23" ht="18" customHeight="1">
      <c r="S116" s="682" t="s">
        <v>2329</v>
      </c>
      <c r="T116" s="683"/>
      <c r="U116" s="683"/>
      <c r="V116" s="683"/>
      <c r="W116" s="684" t="str">
        <f>LEFT(ADDRESS(1,COLUMN(B12),4),LEN(ADDRESS(1,COLUMN(),4))-1)</f>
        <v>B</v>
      </c>
    </row>
    <row r="117" spans="19:23" ht="18" customHeight="1">
      <c r="S117" s="3849" t="s">
        <v>2444</v>
      </c>
      <c r="T117" s="3850"/>
      <c r="U117" s="3850"/>
      <c r="V117" s="3850"/>
      <c r="W117" s="3851"/>
    </row>
    <row r="118" spans="19:23" ht="18" customHeight="1">
      <c r="S118" s="3852" t="s">
        <v>2445</v>
      </c>
      <c r="T118" s="3853"/>
      <c r="U118" s="3853"/>
      <c r="V118" s="3853"/>
      <c r="W118" s="685"/>
    </row>
    <row r="119" spans="19:23" ht="18" customHeight="1">
      <c r="S119" s="3854" t="s">
        <v>2446</v>
      </c>
      <c r="T119" s="3855"/>
      <c r="U119" s="3855"/>
      <c r="V119" s="3855"/>
      <c r="W119" s="3856"/>
    </row>
    <row r="120" spans="19:23" ht="18" customHeight="1">
      <c r="S120" s="3854" t="s">
        <v>2447</v>
      </c>
      <c r="T120" s="3855"/>
      <c r="U120" s="3855"/>
      <c r="V120" s="3855"/>
      <c r="W120" s="3856"/>
    </row>
    <row r="121" spans="19:23" ht="18" customHeight="1">
      <c r="S121" s="3854" t="s">
        <v>2448</v>
      </c>
      <c r="T121" s="3855"/>
      <c r="U121" s="3855"/>
      <c r="V121" s="3855"/>
      <c r="W121" s="3856"/>
    </row>
    <row r="122" spans="19:23" ht="18" customHeight="1">
      <c r="S122" s="686"/>
      <c r="T122" s="195"/>
      <c r="U122" s="195"/>
      <c r="V122" s="195"/>
      <c r="W122" s="687"/>
    </row>
    <row r="123" spans="19:23" ht="18" customHeight="1">
      <c r="S123" s="688" t="s">
        <v>163</v>
      </c>
      <c r="T123" s="3832" t="s">
        <v>2449</v>
      </c>
      <c r="U123" s="3832"/>
      <c r="V123" s="3832"/>
      <c r="W123" s="689" t="str">
        <f>ADDRESS(ROW(G8),COLUMN(G8),4)</f>
        <v>G8</v>
      </c>
    </row>
    <row r="124" spans="19:23" ht="18" customHeight="1">
      <c r="S124" s="686"/>
      <c r="T124" s="195"/>
      <c r="U124" s="195"/>
      <c r="V124" s="195"/>
      <c r="W124" s="687"/>
    </row>
    <row r="125" spans="19:23" ht="18" customHeight="1">
      <c r="S125" s="3815" t="s">
        <v>2450</v>
      </c>
      <c r="T125" s="3816"/>
      <c r="U125" s="3816"/>
      <c r="V125" s="3816"/>
      <c r="W125" s="690" t="str">
        <f>ADDRESS(ROW(G10),COLUMN(G10),4)</f>
        <v>G10</v>
      </c>
    </row>
    <row r="126" spans="19:23" ht="18" customHeight="1">
      <c r="S126" s="691" t="s">
        <v>2451</v>
      </c>
      <c r="T126" s="195"/>
      <c r="U126" s="195"/>
      <c r="V126" s="195"/>
      <c r="W126" s="687"/>
    </row>
    <row r="127" spans="19:23" ht="18" customHeight="1">
      <c r="S127" s="686"/>
      <c r="T127" s="195" t="s">
        <v>2452</v>
      </c>
      <c r="U127" s="195"/>
      <c r="V127" s="195"/>
      <c r="W127" s="687"/>
    </row>
    <row r="128" spans="19:23" ht="18" customHeight="1">
      <c r="S128" s="686"/>
      <c r="T128" s="195" t="s">
        <v>2453</v>
      </c>
      <c r="U128" s="195"/>
      <c r="V128" s="195"/>
      <c r="W128" s="687"/>
    </row>
    <row r="129" spans="19:23" ht="18" customHeight="1">
      <c r="S129" s="686"/>
      <c r="T129" s="195"/>
      <c r="U129" s="195" t="s">
        <v>2454</v>
      </c>
      <c r="V129" s="195"/>
      <c r="W129" s="687"/>
    </row>
    <row r="130" spans="19:23" ht="18" customHeight="1">
      <c r="S130" s="686"/>
      <c r="T130" s="195" t="s">
        <v>2455</v>
      </c>
      <c r="U130" s="195"/>
      <c r="V130" s="195"/>
      <c r="W130" s="687"/>
    </row>
    <row r="131" spans="19:23" ht="18" customHeight="1">
      <c r="S131" s="686"/>
      <c r="T131" s="195"/>
      <c r="U131" s="195" t="s">
        <v>2456</v>
      </c>
      <c r="V131" s="195"/>
      <c r="W131" s="687"/>
    </row>
    <row r="132" spans="19:23" ht="18" customHeight="1">
      <c r="S132" s="686"/>
      <c r="T132" s="195"/>
      <c r="U132" s="195"/>
      <c r="V132" s="195"/>
      <c r="W132" s="687"/>
    </row>
    <row r="133" spans="19:23" ht="18" customHeight="1">
      <c r="S133" s="3817" t="s">
        <v>2457</v>
      </c>
      <c r="T133" s="3818"/>
      <c r="U133" s="3818"/>
      <c r="V133" s="3818"/>
      <c r="W133" s="3819"/>
    </row>
    <row r="134" spans="19:23" ht="18" customHeight="1">
      <c r="S134" s="3817"/>
      <c r="T134" s="3818"/>
      <c r="U134" s="3818"/>
      <c r="V134" s="3818"/>
      <c r="W134" s="3819"/>
    </row>
    <row r="135" spans="19:23" ht="18" customHeight="1">
      <c r="S135" s="3820" t="s">
        <v>2458</v>
      </c>
      <c r="T135" s="3821"/>
      <c r="U135" s="3821"/>
      <c r="V135" s="3821"/>
      <c r="W135" s="3822"/>
    </row>
    <row r="136" spans="19:23" ht="18" customHeight="1">
      <c r="S136" s="692"/>
      <c r="T136" s="73"/>
      <c r="U136" s="73"/>
      <c r="V136" s="73"/>
      <c r="W136" s="105"/>
    </row>
    <row r="137" spans="19:23" ht="18" customHeight="1">
      <c r="S137" s="692"/>
      <c r="T137" s="73"/>
      <c r="U137" s="73"/>
      <c r="V137" s="73"/>
      <c r="W137" s="105"/>
    </row>
    <row r="138" spans="19:23" ht="18" customHeight="1">
      <c r="S138" s="692"/>
      <c r="T138" s="73"/>
      <c r="U138" s="73"/>
      <c r="V138" s="73"/>
      <c r="W138" s="105"/>
    </row>
    <row r="139" spans="19:23" ht="18" customHeight="1">
      <c r="S139" s="692"/>
      <c r="T139" s="73"/>
      <c r="U139" s="73"/>
      <c r="V139" s="73"/>
      <c r="W139" s="105"/>
    </row>
    <row r="140" spans="19:23" ht="18" customHeight="1">
      <c r="S140" s="692"/>
      <c r="T140" s="73"/>
      <c r="U140" s="73"/>
      <c r="V140" s="73"/>
      <c r="W140" s="105"/>
    </row>
    <row r="141" spans="19:23" ht="18" customHeight="1">
      <c r="S141" s="692"/>
      <c r="T141" s="73"/>
      <c r="U141" s="73"/>
      <c r="V141" s="73"/>
      <c r="W141" s="105"/>
    </row>
    <row r="142" spans="19:23" ht="18" customHeight="1">
      <c r="S142" s="692"/>
      <c r="T142" s="73"/>
      <c r="U142" s="73"/>
      <c r="V142" s="73"/>
      <c r="W142" s="105"/>
    </row>
    <row r="143" spans="19:23" ht="18" customHeight="1">
      <c r="S143" s="692"/>
      <c r="T143" s="73"/>
      <c r="U143" s="73"/>
      <c r="V143" s="73"/>
      <c r="W143" s="105"/>
    </row>
    <row r="144" spans="19:23" ht="18" customHeight="1" thickBot="1">
      <c r="S144" s="692"/>
      <c r="T144" s="73"/>
      <c r="U144" s="73"/>
      <c r="V144" s="73"/>
      <c r="W144" s="105"/>
    </row>
    <row r="145" spans="19:23" ht="18" customHeight="1">
      <c r="S145" s="3823" t="s">
        <v>2459</v>
      </c>
      <c r="T145" s="3824"/>
      <c r="U145" s="3824"/>
      <c r="V145" s="3824"/>
      <c r="W145" s="3825"/>
    </row>
    <row r="146" spans="19:23" ht="18" customHeight="1" thickBot="1">
      <c r="S146" s="3826"/>
      <c r="T146" s="3827"/>
      <c r="U146" s="3827"/>
      <c r="V146" s="3827"/>
      <c r="W146" s="3828"/>
    </row>
    <row r="147" spans="19:23" ht="18" customHeight="1" thickBot="1">
      <c r="S147" s="693"/>
      <c r="T147" s="454"/>
      <c r="U147" s="454"/>
      <c r="V147" s="455" t="s">
        <v>2349</v>
      </c>
      <c r="W147" s="694"/>
    </row>
    <row r="148" spans="19:23" ht="18" customHeight="1">
      <c r="S148" s="3700" t="str">
        <f>ADDRESS(ROW(S44),COLUMN(S44),4)</f>
        <v>S44</v>
      </c>
      <c r="T148" s="3702" t="s">
        <v>2350</v>
      </c>
      <c r="U148" s="3702"/>
      <c r="V148" s="3704" t="s">
        <v>2351</v>
      </c>
      <c r="W148" s="3830" t="str">
        <f>ADDRESS(ROW(W44),COLUMN(W44),4)</f>
        <v>W44</v>
      </c>
    </row>
    <row r="149" spans="19:23" ht="18" customHeight="1" thickBot="1">
      <c r="S149" s="3829"/>
      <c r="T149" s="3703"/>
      <c r="U149" s="3703"/>
      <c r="V149" s="3705"/>
      <c r="W149" s="3831"/>
    </row>
    <row r="150" spans="19:23" ht="18" customHeight="1">
      <c r="S150" s="3804" t="str">
        <f>ADDRESS(ROW(S46),COLUMN(S46),4)</f>
        <v>S46</v>
      </c>
      <c r="T150" s="3806" t="s">
        <v>2358</v>
      </c>
      <c r="U150" s="3806"/>
      <c r="V150" s="3808" t="s">
        <v>2460</v>
      </c>
      <c r="W150" s="3810" t="str">
        <f>ADDRESS(ROW(W46),COLUMN(W46),4)</f>
        <v>W46</v>
      </c>
    </row>
    <row r="151" spans="19:23" ht="18" customHeight="1">
      <c r="S151" s="3805"/>
      <c r="T151" s="3807"/>
      <c r="U151" s="3807"/>
      <c r="V151" s="3809"/>
      <c r="W151" s="3811"/>
    </row>
    <row r="152" spans="19:23" ht="18" customHeight="1">
      <c r="S152" s="692"/>
      <c r="T152" s="73"/>
      <c r="U152" s="73"/>
      <c r="V152" s="3693" t="s">
        <v>2353</v>
      </c>
      <c r="W152" s="3813" t="str">
        <f>ADDRESS(ROW(G8),COLUMN(G8),4)</f>
        <v>G8</v>
      </c>
    </row>
    <row r="153" spans="19:23" ht="18" customHeight="1" thickBot="1">
      <c r="S153" s="695" t="s">
        <v>1239</v>
      </c>
      <c r="T153" s="696"/>
      <c r="U153" s="696"/>
      <c r="V153" s="3812"/>
      <c r="W153" s="3814"/>
    </row>
    <row r="154" spans="19:23" ht="18" customHeight="1">
      <c r="S154" s="3798" t="s">
        <v>2461</v>
      </c>
      <c r="T154" s="3799"/>
      <c r="U154" s="3799"/>
      <c r="V154" s="3799"/>
      <c r="W154" s="3800"/>
    </row>
    <row r="155" spans="19:23" ht="18" customHeight="1" thickBot="1">
      <c r="S155" s="3801"/>
      <c r="T155" s="3802"/>
      <c r="U155" s="3802"/>
      <c r="V155" s="3802"/>
      <c r="W155" s="3803"/>
    </row>
    <row r="156" spans="19:23" ht="15" customHeight="1"/>
    <row r="157" spans="19:23" ht="15" customHeight="1"/>
    <row r="158" spans="19:23" ht="15" customHeight="1"/>
    <row r="159" spans="19:23" ht="15" customHeight="1"/>
    <row r="160" spans="19:23" ht="15" customHeight="1"/>
  </sheetData>
  <mergeCells count="100">
    <mergeCell ref="B2:Q2"/>
    <mergeCell ref="B4:H4"/>
    <mergeCell ref="J4:P4"/>
    <mergeCell ref="S4:W4"/>
    <mergeCell ref="X4:AD4"/>
    <mergeCell ref="B9:D9"/>
    <mergeCell ref="AF5:AT5"/>
    <mergeCell ref="A6:A64"/>
    <mergeCell ref="B6:G6"/>
    <mergeCell ref="I6:I64"/>
    <mergeCell ref="Q6:Q63"/>
    <mergeCell ref="V6:W6"/>
    <mergeCell ref="X6:AD7"/>
    <mergeCell ref="AF6:AT7"/>
    <mergeCell ref="B7:G7"/>
    <mergeCell ref="T7:W7"/>
    <mergeCell ref="B5:G5"/>
    <mergeCell ref="J5:O5"/>
    <mergeCell ref="T5:V5"/>
    <mergeCell ref="E8:F9"/>
    <mergeCell ref="G8:G9"/>
    <mergeCell ref="T8:W8"/>
    <mergeCell ref="X8:Z10"/>
    <mergeCell ref="AA8:AD10"/>
    <mergeCell ref="T64:U64"/>
    <mergeCell ref="AF9:AH10"/>
    <mergeCell ref="AI9:AL10"/>
    <mergeCell ref="AM9:AP10"/>
    <mergeCell ref="AQ9:AT10"/>
    <mergeCell ref="S11:U11"/>
    <mergeCell ref="X11:Z11"/>
    <mergeCell ref="J12:P12"/>
    <mergeCell ref="S62:S63"/>
    <mergeCell ref="T62:U63"/>
    <mergeCell ref="V62:V63"/>
    <mergeCell ref="W62:W63"/>
    <mergeCell ref="T66:W67"/>
    <mergeCell ref="Y66:AD66"/>
    <mergeCell ref="Y67:Z67"/>
    <mergeCell ref="AC67:AD67"/>
    <mergeCell ref="S68:W69"/>
    <mergeCell ref="Y68:Y72"/>
    <mergeCell ref="Z68:Z72"/>
    <mergeCell ref="S70:W70"/>
    <mergeCell ref="S72:V73"/>
    <mergeCell ref="S74:V80"/>
    <mergeCell ref="Y74:AD74"/>
    <mergeCell ref="Y75:Z75"/>
    <mergeCell ref="AC75:AD75"/>
    <mergeCell ref="Y76:Y80"/>
    <mergeCell ref="Z76:Z80"/>
    <mergeCell ref="Y82:AD82"/>
    <mergeCell ref="S83:W84"/>
    <mergeCell ref="Y83:Z83"/>
    <mergeCell ref="AC83:AD83"/>
    <mergeCell ref="Y84:Y88"/>
    <mergeCell ref="Z84:Z88"/>
    <mergeCell ref="T85:V85"/>
    <mergeCell ref="T86:V86"/>
    <mergeCell ref="S87:W87"/>
    <mergeCell ref="S88:S89"/>
    <mergeCell ref="T88:V89"/>
    <mergeCell ref="W88:W89"/>
    <mergeCell ref="T90:V90"/>
    <mergeCell ref="Y90:AD90"/>
    <mergeCell ref="Y91:Z91"/>
    <mergeCell ref="AC91:AD91"/>
    <mergeCell ref="Y92:Y96"/>
    <mergeCell ref="Z92:Z96"/>
    <mergeCell ref="S93:V93"/>
    <mergeCell ref="S94:V94"/>
    <mergeCell ref="S95:V95"/>
    <mergeCell ref="S96:V96"/>
    <mergeCell ref="T123:V123"/>
    <mergeCell ref="T102:V102"/>
    <mergeCell ref="T104:V104"/>
    <mergeCell ref="S106:W107"/>
    <mergeCell ref="T109:V109"/>
    <mergeCell ref="T111:V111"/>
    <mergeCell ref="S113:W114"/>
    <mergeCell ref="S117:W117"/>
    <mergeCell ref="S118:V118"/>
    <mergeCell ref="S119:W119"/>
    <mergeCell ref="S120:W120"/>
    <mergeCell ref="S121:W121"/>
    <mergeCell ref="S125:V125"/>
    <mergeCell ref="S133:W134"/>
    <mergeCell ref="S135:W135"/>
    <mergeCell ref="S145:W146"/>
    <mergeCell ref="S148:S149"/>
    <mergeCell ref="T148:U149"/>
    <mergeCell ref="V148:V149"/>
    <mergeCell ref="W148:W149"/>
    <mergeCell ref="S154:W155"/>
    <mergeCell ref="S150:S151"/>
    <mergeCell ref="T150:U151"/>
    <mergeCell ref="V150:V151"/>
    <mergeCell ref="W150:W151"/>
    <mergeCell ref="V152:V153"/>
    <mergeCell ref="W152:W153"/>
  </mergeCells>
  <hyperlinks>
    <hyperlink ref="D66" r:id="rId1" xr:uid="{00000000-0004-0000-1A00-000000000000}"/>
    <hyperlink ref="S69:W69" r:id="rId2" display="Visuellement, ça représente quoi 100 calories ?" xr:uid="{00000000-0004-0000-1A00-000001000000}"/>
    <hyperlink ref="L63" r:id="rId3" xr:uid="{00000000-0004-0000-1A00-000002000000}"/>
  </hyperlinks>
  <printOptions horizontalCentered="1"/>
  <pageMargins left="0.25" right="0.25" top="0.75" bottom="0.75" header="0.3" footer="0.3"/>
  <pageSetup paperSize="9" scale="18" orientation="landscape"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XJ872"/>
  <sheetViews>
    <sheetView zoomScaleNormal="100" workbookViewId="0">
      <selection activeCell="I17" sqref="I17"/>
    </sheetView>
  </sheetViews>
  <sheetFormatPr baseColWidth="10" defaultRowHeight="15"/>
  <cols>
    <col min="1" max="1" width="3.7109375" style="1180" customWidth="1"/>
    <col min="2" max="14" width="15.7109375" style="1180" customWidth="1"/>
    <col min="15" max="15" width="11.42578125" style="1180"/>
    <col min="16" max="16" width="16.5703125" style="1180" customWidth="1"/>
    <col min="17" max="16384" width="11.42578125" style="1180"/>
  </cols>
  <sheetData>
    <row r="1" spans="1:17" ht="15.75" thickBot="1">
      <c r="A1" s="1984">
        <f t="shared" ref="A1:Q1" ca="1" si="0">CELL("largeur",A1)</f>
        <v>3</v>
      </c>
      <c r="B1" s="1984">
        <f t="shared" ca="1" si="0"/>
        <v>15</v>
      </c>
      <c r="C1" s="1984">
        <f t="shared" ca="1" si="0"/>
        <v>15</v>
      </c>
      <c r="D1" s="1984">
        <f t="shared" ca="1" si="0"/>
        <v>15</v>
      </c>
      <c r="E1" s="1984">
        <f t="shared" ca="1" si="0"/>
        <v>15</v>
      </c>
      <c r="F1" s="1984">
        <f t="shared" ca="1" si="0"/>
        <v>15</v>
      </c>
      <c r="G1" s="1984">
        <f t="shared" ca="1" si="0"/>
        <v>15</v>
      </c>
      <c r="H1" s="1984">
        <f t="shared" ca="1" si="0"/>
        <v>15</v>
      </c>
      <c r="I1" s="1984">
        <f t="shared" ca="1" si="0"/>
        <v>15</v>
      </c>
      <c r="J1" s="1984">
        <f t="shared" ca="1" si="0"/>
        <v>15</v>
      </c>
      <c r="K1" s="1984">
        <f t="shared" ca="1" si="0"/>
        <v>15</v>
      </c>
      <c r="L1" s="1984">
        <f t="shared" ca="1" si="0"/>
        <v>15</v>
      </c>
      <c r="M1" s="1984">
        <f t="shared" ca="1" si="0"/>
        <v>15</v>
      </c>
      <c r="N1" s="1984">
        <f t="shared" ca="1" si="0"/>
        <v>15</v>
      </c>
      <c r="O1" s="1984">
        <f t="shared" ca="1" si="0"/>
        <v>11</v>
      </c>
      <c r="P1" s="1984">
        <f t="shared" ca="1" si="0"/>
        <v>16</v>
      </c>
      <c r="Q1" s="1984">
        <f t="shared" ca="1" si="0"/>
        <v>11</v>
      </c>
    </row>
    <row r="2" spans="1:17" ht="26.25">
      <c r="A2" s="1985"/>
      <c r="B2" s="4576" t="s">
        <v>728</v>
      </c>
      <c r="C2" s="4577"/>
      <c r="D2" s="4577"/>
      <c r="E2" s="4577"/>
      <c r="F2" s="4577"/>
      <c r="G2" s="4577"/>
      <c r="H2" s="4577"/>
      <c r="I2" s="4577"/>
      <c r="J2" s="4577"/>
      <c r="K2" s="4577"/>
      <c r="L2" s="4577"/>
      <c r="M2" s="4577"/>
      <c r="N2" s="4577"/>
      <c r="O2" s="4577"/>
      <c r="P2" s="4577"/>
      <c r="Q2" s="4578"/>
    </row>
    <row r="3" spans="1:17" ht="20.100000000000001" customHeight="1">
      <c r="A3" s="1985"/>
      <c r="B3" s="4579" t="s">
        <v>729</v>
      </c>
      <c r="C3" s="4580"/>
      <c r="D3" s="4580"/>
      <c r="E3" s="4580"/>
      <c r="F3" s="4580"/>
      <c r="G3" s="4580"/>
      <c r="H3" s="4580"/>
      <c r="I3" s="4580"/>
      <c r="J3" s="4580"/>
      <c r="K3" s="4580"/>
      <c r="L3" s="4580"/>
      <c r="M3" s="4580"/>
      <c r="N3" s="4580"/>
      <c r="O3" s="4580"/>
      <c r="P3" s="4580"/>
      <c r="Q3" s="4581"/>
    </row>
    <row r="4" spans="1:17" ht="20.100000000000001" customHeight="1">
      <c r="A4" s="1985"/>
      <c r="B4" s="4579" t="s">
        <v>730</v>
      </c>
      <c r="C4" s="4580"/>
      <c r="D4" s="4580"/>
      <c r="E4" s="4580"/>
      <c r="F4" s="4580"/>
      <c r="G4" s="4580"/>
      <c r="H4" s="4580"/>
      <c r="I4" s="4580"/>
      <c r="J4" s="4580"/>
      <c r="K4" s="4580"/>
      <c r="L4" s="4580"/>
      <c r="M4" s="4580"/>
      <c r="N4" s="4580"/>
      <c r="O4" s="4580"/>
      <c r="P4" s="4580"/>
      <c r="Q4" s="4581"/>
    </row>
    <row r="5" spans="1:17" ht="20.100000000000001" customHeight="1">
      <c r="A5" s="1985"/>
      <c r="B5" s="4579" t="s">
        <v>731</v>
      </c>
      <c r="C5" s="4580"/>
      <c r="D5" s="4580"/>
      <c r="E5" s="4580"/>
      <c r="F5" s="4580"/>
      <c r="G5" s="4580"/>
      <c r="H5" s="4580"/>
      <c r="I5" s="4580"/>
      <c r="J5" s="4580"/>
      <c r="K5" s="4580"/>
      <c r="L5" s="4580"/>
      <c r="M5" s="4580"/>
      <c r="N5" s="4580"/>
      <c r="O5" s="4580"/>
      <c r="P5" s="4580"/>
      <c r="Q5" s="4581"/>
    </row>
    <row r="6" spans="1:17" ht="27" thickBot="1">
      <c r="A6" s="1985"/>
      <c r="B6" s="61" t="s">
        <v>732</v>
      </c>
      <c r="C6" s="4582" t="s">
        <v>733</v>
      </c>
      <c r="D6" s="4582"/>
      <c r="E6" s="4582"/>
      <c r="F6" s="4582"/>
      <c r="G6" s="4582"/>
      <c r="H6" s="4582"/>
      <c r="I6" s="4582"/>
      <c r="J6" s="4582"/>
      <c r="K6" s="4582"/>
      <c r="L6" s="4582"/>
      <c r="M6" s="4582"/>
      <c r="N6" s="4582"/>
      <c r="O6" s="4582"/>
      <c r="P6" s="4582"/>
      <c r="Q6" s="4583"/>
    </row>
    <row r="7" spans="1:17" ht="15.75">
      <c r="A7" s="1201"/>
      <c r="B7" s="1985"/>
      <c r="C7" s="1986"/>
      <c r="D7" s="1985"/>
      <c r="E7" s="1985"/>
      <c r="F7" s="1985"/>
      <c r="G7" s="1985"/>
      <c r="H7" s="1985"/>
      <c r="I7" s="1985"/>
      <c r="J7" s="1985"/>
      <c r="K7" s="1985"/>
      <c r="L7" s="1985"/>
      <c r="M7" s="1201"/>
      <c r="N7" s="1201"/>
      <c r="O7" s="1201"/>
      <c r="P7" s="1201"/>
      <c r="Q7" s="1201"/>
    </row>
    <row r="8" spans="1:17" ht="15.75" customHeight="1">
      <c r="A8" s="1201"/>
      <c r="B8" s="4584" t="s">
        <v>734</v>
      </c>
      <c r="C8" s="4584"/>
      <c r="D8" s="4584"/>
      <c r="E8" s="4584"/>
      <c r="F8" s="4584"/>
      <c r="G8" s="4584"/>
      <c r="H8" s="4584"/>
      <c r="I8" s="4584"/>
      <c r="J8" s="4584"/>
      <c r="K8" s="4584"/>
      <c r="L8" s="4584"/>
      <c r="M8" s="4584"/>
      <c r="N8" s="4584"/>
      <c r="O8" s="4584"/>
      <c r="P8" s="4584"/>
      <c r="Q8" s="4584"/>
    </row>
    <row r="9" spans="1:17" ht="15.75" customHeight="1">
      <c r="A9" s="1201"/>
      <c r="B9" s="4584"/>
      <c r="C9" s="4584"/>
      <c r="D9" s="4584"/>
      <c r="E9" s="4584"/>
      <c r="F9" s="4584"/>
      <c r="G9" s="4584"/>
      <c r="H9" s="4584"/>
      <c r="I9" s="4584"/>
      <c r="J9" s="4584"/>
      <c r="K9" s="4584"/>
      <c r="L9" s="4584"/>
      <c r="M9" s="4584"/>
      <c r="N9" s="4584"/>
      <c r="O9" s="4584"/>
      <c r="P9" s="4584"/>
      <c r="Q9" s="4584"/>
    </row>
    <row r="10" spans="1:17" ht="30.75" customHeight="1">
      <c r="A10" s="1201"/>
      <c r="B10" s="4584"/>
      <c r="C10" s="4584"/>
      <c r="D10" s="4584"/>
      <c r="E10" s="4584"/>
      <c r="F10" s="4584"/>
      <c r="G10" s="4584"/>
      <c r="H10" s="4584"/>
      <c r="I10" s="4584"/>
      <c r="J10" s="4584"/>
      <c r="K10" s="4584"/>
      <c r="L10" s="4584"/>
      <c r="M10" s="4584"/>
      <c r="N10" s="4584"/>
      <c r="O10" s="4584"/>
      <c r="P10" s="4584"/>
      <c r="Q10" s="4584"/>
    </row>
    <row r="11" spans="1:17" ht="15.75" thickBot="1">
      <c r="A11" s="1201"/>
      <c r="B11" s="1985"/>
      <c r="C11" s="1987"/>
      <c r="D11" s="1985"/>
      <c r="E11" s="1985"/>
      <c r="F11" s="1985"/>
      <c r="G11" s="1985"/>
      <c r="H11" s="1985"/>
      <c r="I11" s="1985"/>
      <c r="J11" s="1985"/>
      <c r="K11" s="1985"/>
      <c r="L11" s="1985"/>
      <c r="M11" s="1201"/>
      <c r="N11" s="1201"/>
      <c r="O11" s="1201"/>
      <c r="P11" s="1201"/>
      <c r="Q11" s="1201"/>
    </row>
    <row r="12" spans="1:17" ht="31.5" customHeight="1" thickBot="1">
      <c r="A12" s="1201"/>
      <c r="B12" s="4542" t="s">
        <v>735</v>
      </c>
      <c r="C12" s="4543"/>
      <c r="D12" s="4543"/>
      <c r="E12" s="4543"/>
      <c r="F12" s="4543"/>
      <c r="G12" s="4543"/>
      <c r="H12" s="4543"/>
      <c r="I12" s="4543"/>
      <c r="J12" s="4543"/>
      <c r="K12" s="4543"/>
      <c r="L12" s="4543"/>
      <c r="M12" s="4543"/>
      <c r="N12" s="4543"/>
      <c r="O12" s="4543"/>
      <c r="P12" s="4543"/>
      <c r="Q12" s="4544"/>
    </row>
    <row r="13" spans="1:17">
      <c r="A13" s="1201"/>
      <c r="B13" s="1988"/>
      <c r="C13" s="1985"/>
      <c r="D13" s="1985"/>
      <c r="E13" s="1985"/>
      <c r="F13" s="1985"/>
      <c r="G13" s="1985"/>
      <c r="H13" s="1985"/>
      <c r="I13" s="1985"/>
      <c r="J13" s="1985"/>
      <c r="K13" s="1985"/>
      <c r="L13" s="1985"/>
      <c r="M13" s="1201"/>
      <c r="N13" s="1201"/>
      <c r="O13" s="1201"/>
      <c r="P13" s="1201"/>
      <c r="Q13" s="1201"/>
    </row>
    <row r="14" spans="1:17">
      <c r="A14" s="1201"/>
      <c r="B14" s="1988"/>
      <c r="C14" s="1985"/>
      <c r="D14" s="1985"/>
      <c r="E14" s="1985"/>
      <c r="F14" s="1985"/>
      <c r="G14" s="1985"/>
      <c r="H14" s="1985"/>
      <c r="I14" s="1985"/>
      <c r="J14" s="1985"/>
      <c r="K14" s="1985"/>
      <c r="L14" s="1985"/>
      <c r="M14" s="1201"/>
      <c r="N14" s="1201"/>
      <c r="O14" s="1201"/>
      <c r="P14" s="1201"/>
      <c r="Q14" s="1201"/>
    </row>
    <row r="15" spans="1:17">
      <c r="A15" s="1201"/>
      <c r="B15" s="1988"/>
      <c r="C15" s="1985"/>
      <c r="D15" s="1985"/>
      <c r="E15" s="1985"/>
      <c r="F15" s="1985"/>
      <c r="G15" s="1985"/>
      <c r="H15" s="1985"/>
      <c r="I15" s="1985"/>
      <c r="J15" s="1985"/>
      <c r="K15" s="1985"/>
      <c r="L15" s="1985"/>
      <c r="M15" s="1201"/>
      <c r="N15" s="1201"/>
      <c r="O15" s="1201"/>
      <c r="P15" s="1201"/>
      <c r="Q15" s="1201"/>
    </row>
    <row r="16" spans="1:17" ht="18.75">
      <c r="A16" s="1201"/>
      <c r="B16" s="1988"/>
      <c r="C16" s="1989" t="s">
        <v>736</v>
      </c>
      <c r="D16" s="1990"/>
      <c r="E16" s="1990"/>
      <c r="F16" s="1985"/>
      <c r="G16" s="1985"/>
      <c r="H16" s="1985"/>
      <c r="I16" s="1985"/>
      <c r="J16" s="1985"/>
      <c r="K16" s="1201"/>
      <c r="L16" s="1991" t="s">
        <v>737</v>
      </c>
      <c r="M16" s="1201"/>
      <c r="N16" s="62" t="s">
        <v>738</v>
      </c>
      <c r="O16" s="1201"/>
      <c r="P16" s="1201"/>
      <c r="Q16" s="1201"/>
    </row>
    <row r="17" spans="1:17" ht="18.75">
      <c r="A17" s="1201"/>
      <c r="B17" s="1988"/>
      <c r="C17" s="1989" t="s">
        <v>739</v>
      </c>
      <c r="D17" s="1990"/>
      <c r="E17" s="1990"/>
      <c r="F17" s="1985"/>
      <c r="G17" s="1985"/>
      <c r="H17" s="1985"/>
      <c r="I17" s="1985"/>
      <c r="J17" s="1985"/>
      <c r="L17" s="1992" t="s">
        <v>740</v>
      </c>
      <c r="M17" s="1201"/>
      <c r="N17" s="1201"/>
      <c r="O17" s="1201"/>
      <c r="P17" s="1201"/>
      <c r="Q17" s="1201"/>
    </row>
    <row r="18" spans="1:17" ht="18.75">
      <c r="A18" s="1201"/>
      <c r="B18" s="1985"/>
      <c r="C18" s="1993" t="s">
        <v>741</v>
      </c>
      <c r="D18" s="1993"/>
      <c r="E18" s="1993"/>
      <c r="F18" s="1993"/>
      <c r="G18" s="1993"/>
      <c r="H18" s="1985"/>
      <c r="I18" s="1985"/>
      <c r="J18" s="1985"/>
      <c r="K18" s="1985"/>
      <c r="L18" s="1994" t="s">
        <v>742</v>
      </c>
      <c r="M18" s="1995" t="s">
        <v>163</v>
      </c>
      <c r="N18" s="1995" t="s">
        <v>150</v>
      </c>
      <c r="O18" s="1201"/>
      <c r="P18" s="1201"/>
      <c r="Q18" s="1201"/>
    </row>
    <row r="19" spans="1:17" ht="18.75">
      <c r="A19" s="1201"/>
      <c r="B19" s="1985"/>
      <c r="C19" s="1993"/>
      <c r="D19" s="1993" t="s">
        <v>743</v>
      </c>
      <c r="E19" s="1993"/>
      <c r="F19" s="1993"/>
      <c r="G19" s="1993"/>
      <c r="H19" s="1985"/>
      <c r="I19" s="1985"/>
      <c r="J19" s="1985"/>
      <c r="K19" s="1996" t="s">
        <v>744</v>
      </c>
      <c r="L19" s="1996" t="s">
        <v>745</v>
      </c>
      <c r="M19" s="1995" t="s">
        <v>164</v>
      </c>
      <c r="N19" s="1995" t="s">
        <v>152</v>
      </c>
      <c r="O19" s="1201" t="s">
        <v>746</v>
      </c>
      <c r="P19" s="1201"/>
      <c r="Q19" s="1201"/>
    </row>
    <row r="20" spans="1:17" ht="15.75">
      <c r="A20" s="1201"/>
      <c r="B20" s="1985"/>
      <c r="C20" s="1993"/>
      <c r="D20" s="1993" t="s">
        <v>747</v>
      </c>
      <c r="E20" s="1993"/>
      <c r="F20" s="1993"/>
      <c r="G20" s="1993"/>
      <c r="H20" s="1985"/>
      <c r="I20" s="1985"/>
      <c r="J20" s="1985"/>
      <c r="K20" s="1985"/>
      <c r="L20" s="1985"/>
      <c r="M20" s="1995" t="s">
        <v>167</v>
      </c>
      <c r="N20" s="1995" t="s">
        <v>154</v>
      </c>
      <c r="O20" s="1201"/>
      <c r="P20" s="1201"/>
      <c r="Q20" s="1201"/>
    </row>
    <row r="21" spans="1:17" ht="15.75">
      <c r="A21" s="1201"/>
      <c r="B21" s="1985"/>
      <c r="C21" s="1993"/>
      <c r="D21" s="1993" t="s">
        <v>748</v>
      </c>
      <c r="E21" s="1993"/>
      <c r="F21" s="1993"/>
      <c r="G21" s="1993"/>
      <c r="H21" s="1985"/>
      <c r="I21" s="1985"/>
      <c r="J21" s="1985"/>
      <c r="K21" s="1985"/>
      <c r="L21" s="1985"/>
      <c r="M21" s="1995" t="s">
        <v>168</v>
      </c>
      <c r="N21" s="1995" t="s">
        <v>155</v>
      </c>
      <c r="O21" s="1201"/>
      <c r="P21" s="1201"/>
      <c r="Q21" s="1201"/>
    </row>
    <row r="22" spans="1:17" ht="15.75">
      <c r="A22" s="1201"/>
      <c r="B22" s="1985"/>
      <c r="C22" s="1993"/>
      <c r="D22" s="1993" t="s">
        <v>749</v>
      </c>
      <c r="E22" s="1993"/>
      <c r="F22" s="1993"/>
      <c r="G22" s="1993"/>
      <c r="H22" s="1985"/>
      <c r="I22" s="1985"/>
      <c r="J22" s="1985"/>
      <c r="K22" s="1985"/>
      <c r="L22" s="1985"/>
      <c r="M22" s="1995" t="s">
        <v>169</v>
      </c>
      <c r="N22" s="1995" t="s">
        <v>156</v>
      </c>
      <c r="O22" s="1201"/>
      <c r="P22" s="1201"/>
      <c r="Q22" s="1201"/>
    </row>
    <row r="23" spans="1:17" ht="15.75">
      <c r="A23" s="1201"/>
      <c r="B23" s="1985"/>
      <c r="C23" s="1985"/>
      <c r="D23" s="1985"/>
      <c r="E23" s="1985"/>
      <c r="F23" s="1985"/>
      <c r="G23" s="1985"/>
      <c r="H23" s="1985"/>
      <c r="I23" s="1985"/>
      <c r="J23" s="1985"/>
      <c r="K23" s="1985"/>
      <c r="L23" s="1985"/>
      <c r="M23" s="1995" t="s">
        <v>170</v>
      </c>
      <c r="N23" s="1995" t="s">
        <v>157</v>
      </c>
      <c r="O23" s="1201"/>
      <c r="P23" s="1201"/>
      <c r="Q23" s="1201"/>
    </row>
    <row r="24" spans="1:17" ht="15.75">
      <c r="A24" s="1201"/>
      <c r="B24" s="1985"/>
      <c r="C24" s="1985"/>
      <c r="D24" s="1985"/>
      <c r="E24" s="1985"/>
      <c r="F24" s="1985"/>
      <c r="G24" s="1985"/>
      <c r="H24" s="1985"/>
      <c r="I24" s="1985"/>
      <c r="J24" s="1985"/>
      <c r="K24" s="1985"/>
      <c r="L24" s="1985"/>
      <c r="M24" s="1995" t="s">
        <v>171</v>
      </c>
      <c r="N24" s="1995" t="s">
        <v>158</v>
      </c>
      <c r="O24" s="1201"/>
      <c r="P24" s="1201"/>
      <c r="Q24" s="1201"/>
    </row>
    <row r="25" spans="1:17" ht="15.75">
      <c r="A25" s="1201"/>
      <c r="B25" s="1985"/>
      <c r="C25" s="1201"/>
      <c r="D25" s="1201"/>
      <c r="E25" s="1201"/>
      <c r="F25" s="1201"/>
      <c r="G25" s="1201"/>
      <c r="H25" s="1201"/>
      <c r="I25" s="1201"/>
      <c r="J25" s="1201"/>
      <c r="K25" s="1201"/>
      <c r="L25" s="1985"/>
      <c r="M25" s="1995" t="s">
        <v>172</v>
      </c>
      <c r="N25" s="1995" t="s">
        <v>159</v>
      </c>
      <c r="O25" s="1201"/>
      <c r="P25" s="1201"/>
      <c r="Q25" s="1201"/>
    </row>
    <row r="26" spans="1:17" ht="15.75">
      <c r="A26" s="1201"/>
      <c r="B26" s="1985"/>
      <c r="C26" s="4545" t="s">
        <v>750</v>
      </c>
      <c r="D26" s="4546"/>
      <c r="E26" s="4546"/>
      <c r="F26" s="4547"/>
      <c r="G26" s="1985"/>
      <c r="H26" s="4553" t="s">
        <v>751</v>
      </c>
      <c r="I26" s="4554"/>
      <c r="J26" s="4554"/>
      <c r="K26" s="4555"/>
      <c r="L26" s="1985"/>
      <c r="M26" s="1995" t="s">
        <v>173</v>
      </c>
      <c r="N26" s="1995" t="s">
        <v>160</v>
      </c>
      <c r="O26" s="1201"/>
      <c r="P26" s="1201"/>
      <c r="Q26" s="1201"/>
    </row>
    <row r="27" spans="1:17" ht="15.75">
      <c r="A27" s="1201"/>
      <c r="B27" s="1985"/>
      <c r="C27" s="4548"/>
      <c r="D27" s="3896"/>
      <c r="E27" s="3896"/>
      <c r="F27" s="4549"/>
      <c r="G27" s="1985"/>
      <c r="H27" s="4556"/>
      <c r="I27" s="4557"/>
      <c r="J27" s="4557"/>
      <c r="K27" s="4558"/>
      <c r="L27" s="1985"/>
      <c r="M27" s="1995" t="s">
        <v>174</v>
      </c>
      <c r="N27" s="1995" t="s">
        <v>161</v>
      </c>
      <c r="O27" s="1201"/>
      <c r="P27" s="1201"/>
      <c r="Q27" s="1201"/>
    </row>
    <row r="28" spans="1:17">
      <c r="A28" s="1201"/>
      <c r="B28" s="1985"/>
      <c r="C28" s="4548"/>
      <c r="D28" s="3896"/>
      <c r="E28" s="3896"/>
      <c r="F28" s="4549"/>
      <c r="G28" s="1985"/>
      <c r="H28" s="4556"/>
      <c r="I28" s="4557"/>
      <c r="J28" s="4557"/>
      <c r="K28" s="4558"/>
      <c r="L28" s="1985"/>
      <c r="M28" s="1201"/>
      <c r="N28" s="1201"/>
      <c r="O28" s="1201"/>
      <c r="P28" s="1201"/>
      <c r="Q28" s="1201"/>
    </row>
    <row r="29" spans="1:17">
      <c r="A29" s="1201"/>
      <c r="B29" s="1985"/>
      <c r="C29" s="4548"/>
      <c r="D29" s="3896"/>
      <c r="E29" s="3896"/>
      <c r="F29" s="4549"/>
      <c r="G29" s="1985"/>
      <c r="H29" s="4559"/>
      <c r="I29" s="4560"/>
      <c r="J29" s="4560"/>
      <c r="K29" s="4561"/>
      <c r="L29" s="1985"/>
      <c r="M29" s="1201"/>
      <c r="N29" s="1201"/>
      <c r="O29" s="1201"/>
      <c r="P29" s="1201"/>
      <c r="Q29" s="1201"/>
    </row>
    <row r="30" spans="1:17">
      <c r="A30" s="1201"/>
      <c r="B30" s="1985"/>
      <c r="C30" s="4548"/>
      <c r="D30" s="3896"/>
      <c r="E30" s="3896"/>
      <c r="F30" s="4549"/>
      <c r="G30" s="1985"/>
      <c r="H30" s="1985"/>
      <c r="I30" s="1985"/>
      <c r="J30" s="1985"/>
      <c r="K30" s="1985"/>
      <c r="L30" s="1985"/>
      <c r="M30" s="1201"/>
      <c r="N30" s="1201"/>
      <c r="O30" s="1201"/>
      <c r="P30" s="1201"/>
      <c r="Q30" s="1201"/>
    </row>
    <row r="31" spans="1:17">
      <c r="A31" s="1201"/>
      <c r="B31" s="1985"/>
      <c r="C31" s="4550"/>
      <c r="D31" s="4551"/>
      <c r="E31" s="4551"/>
      <c r="F31" s="4552"/>
      <c r="G31" s="1985"/>
      <c r="H31" s="1985"/>
      <c r="I31" s="1985"/>
      <c r="J31" s="1985"/>
      <c r="K31" s="1985"/>
      <c r="L31" s="1985"/>
      <c r="M31" s="1201"/>
      <c r="N31" s="1201"/>
      <c r="O31" s="1201"/>
      <c r="P31" s="1201"/>
      <c r="Q31" s="1201"/>
    </row>
    <row r="32" spans="1:17">
      <c r="A32" s="1201"/>
      <c r="B32" s="1985"/>
      <c r="C32" s="1985"/>
      <c r="D32" s="1985"/>
      <c r="E32" s="1985"/>
      <c r="F32" s="1985"/>
      <c r="G32" s="1985"/>
      <c r="H32" s="1985"/>
      <c r="I32" s="1985"/>
      <c r="J32" s="1985"/>
      <c r="K32" s="1985"/>
      <c r="L32" s="1985"/>
      <c r="M32" s="1201"/>
      <c r="O32" s="1201"/>
      <c r="P32" s="1201"/>
      <c r="Q32" s="1201"/>
    </row>
    <row r="33" spans="1:17" ht="15" customHeight="1">
      <c r="A33" s="1201"/>
      <c r="B33" s="1985"/>
      <c r="C33" s="1993"/>
      <c r="D33" s="1993"/>
      <c r="E33" s="1993"/>
      <c r="F33" s="1993"/>
      <c r="G33" s="1993"/>
      <c r="H33" s="1993"/>
      <c r="I33" s="1993"/>
      <c r="J33" s="1985"/>
      <c r="K33" s="1985"/>
      <c r="L33" s="1201"/>
      <c r="M33" s="1201"/>
      <c r="N33" s="1201"/>
      <c r="O33" s="1201"/>
      <c r="P33" s="1201"/>
      <c r="Q33" s="1201"/>
    </row>
    <row r="34" spans="1:17">
      <c r="A34" s="1997"/>
      <c r="B34" s="1998"/>
      <c r="C34" s="1999"/>
      <c r="D34" s="1999"/>
      <c r="E34" s="1999"/>
      <c r="F34" s="1999"/>
      <c r="G34" s="1999"/>
      <c r="H34" s="1999"/>
      <c r="I34" s="1999"/>
      <c r="J34" s="1998"/>
      <c r="K34" s="1998"/>
      <c r="L34" s="1998"/>
      <c r="M34" s="1997"/>
      <c r="N34" s="1997"/>
      <c r="O34" s="1997"/>
      <c r="P34" s="1997"/>
      <c r="Q34" s="1997"/>
    </row>
    <row r="35" spans="1:17" ht="15" customHeight="1">
      <c r="B35" s="1201"/>
      <c r="C35" s="1201"/>
      <c r="D35" s="1201"/>
      <c r="E35" s="63"/>
      <c r="F35" s="63"/>
      <c r="G35" s="1201"/>
      <c r="H35" s="1201"/>
      <c r="I35" s="1201"/>
      <c r="J35" s="1201"/>
      <c r="K35" s="1201"/>
      <c r="L35" s="1201"/>
      <c r="M35" s="1201"/>
      <c r="N35" s="1201"/>
      <c r="O35" s="1201"/>
      <c r="P35" s="1201"/>
      <c r="Q35" s="1201"/>
    </row>
    <row r="36" spans="1:17" ht="15" customHeight="1">
      <c r="A36" s="1201"/>
      <c r="B36" s="63"/>
      <c r="C36" s="64" t="s">
        <v>752</v>
      </c>
      <c r="D36" s="1201"/>
      <c r="E36" s="63"/>
      <c r="F36" s="63"/>
      <c r="G36" s="1201"/>
      <c r="H36" s="1201"/>
      <c r="I36" s="1201"/>
      <c r="J36" s="1201"/>
      <c r="K36" s="1201"/>
      <c r="L36" s="1201"/>
      <c r="M36" s="1201"/>
      <c r="N36" s="1201"/>
      <c r="O36" s="1201"/>
      <c r="P36" s="1201"/>
      <c r="Q36" s="1201"/>
    </row>
    <row r="37" spans="1:17" ht="15" customHeight="1">
      <c r="A37" s="1201"/>
      <c r="B37" s="65" t="s">
        <v>732</v>
      </c>
      <c r="C37" s="66" t="s">
        <v>753</v>
      </c>
      <c r="D37" s="1201"/>
      <c r="E37" s="66"/>
      <c r="F37" s="66"/>
      <c r="G37" s="1993"/>
      <c r="H37" s="1201"/>
      <c r="I37" s="1201"/>
      <c r="J37" s="1201"/>
      <c r="K37" s="1201"/>
      <c r="L37" s="1201"/>
      <c r="M37" s="4562" t="s">
        <v>754</v>
      </c>
      <c r="N37" s="4563"/>
      <c r="O37" s="4563"/>
      <c r="P37" s="4564"/>
      <c r="Q37" s="1201"/>
    </row>
    <row r="38" spans="1:17" ht="21">
      <c r="A38" s="1201"/>
      <c r="B38" s="67"/>
      <c r="C38" s="67"/>
      <c r="D38" s="1201"/>
      <c r="E38" s="66"/>
      <c r="F38" s="66"/>
      <c r="G38" s="1993"/>
      <c r="H38" s="1201"/>
      <c r="I38" s="1201"/>
      <c r="J38" s="1201"/>
      <c r="K38" s="1201"/>
      <c r="L38" s="1201"/>
      <c r="M38" s="4565"/>
      <c r="N38" s="4566"/>
      <c r="O38" s="4566"/>
      <c r="P38" s="4567"/>
      <c r="Q38" s="1201"/>
    </row>
    <row r="39" spans="1:17" ht="15" customHeight="1">
      <c r="A39" s="1201"/>
      <c r="B39" s="65" t="s">
        <v>732</v>
      </c>
      <c r="C39" s="4568" t="s">
        <v>755</v>
      </c>
      <c r="D39" s="4568"/>
      <c r="E39" s="4568"/>
      <c r="F39" s="4568"/>
      <c r="G39" s="4568"/>
      <c r="H39" s="4568"/>
      <c r="I39" s="1993"/>
      <c r="J39" s="1985"/>
      <c r="K39" s="1201"/>
      <c r="L39" s="1201"/>
      <c r="M39" s="4565"/>
      <c r="N39" s="4566"/>
      <c r="O39" s="4566"/>
      <c r="P39" s="4567"/>
      <c r="Q39" s="1201"/>
    </row>
    <row r="40" spans="1:17" ht="21">
      <c r="A40" s="1201"/>
      <c r="B40" s="67"/>
      <c r="C40" s="63"/>
      <c r="D40" s="1201"/>
      <c r="E40" s="63"/>
      <c r="F40" s="63"/>
      <c r="G40" s="1993"/>
      <c r="H40" s="1993"/>
      <c r="I40" s="1993"/>
      <c r="J40" s="1985"/>
      <c r="K40" s="1201"/>
      <c r="L40" s="1201"/>
      <c r="M40" s="4565"/>
      <c r="N40" s="4566"/>
      <c r="O40" s="4566"/>
      <c r="P40" s="4567"/>
      <c r="Q40" s="1201"/>
    </row>
    <row r="41" spans="1:17" ht="21">
      <c r="A41" s="1201"/>
      <c r="B41" s="63"/>
      <c r="C41" s="64" t="s">
        <v>756</v>
      </c>
      <c r="D41" s="1201"/>
      <c r="E41" s="63"/>
      <c r="F41" s="63"/>
      <c r="G41" s="1993"/>
      <c r="H41" s="1993"/>
      <c r="I41" s="1993"/>
      <c r="J41" s="1985"/>
      <c r="K41" s="1201"/>
      <c r="L41" s="1985"/>
      <c r="M41" s="4569" t="s">
        <v>757</v>
      </c>
      <c r="N41" s="4570"/>
      <c r="O41" s="4570"/>
      <c r="P41" s="4571"/>
      <c r="Q41" s="1201"/>
    </row>
    <row r="42" spans="1:17" ht="21">
      <c r="A42" s="1201"/>
      <c r="B42" s="65" t="s">
        <v>732</v>
      </c>
      <c r="C42" s="4575" t="s">
        <v>758</v>
      </c>
      <c r="D42" s="4575"/>
      <c r="E42" s="4575"/>
      <c r="F42" s="4575"/>
      <c r="G42" s="4575"/>
      <c r="H42" s="4575"/>
      <c r="I42" s="4575"/>
      <c r="J42" s="4575"/>
      <c r="K42" s="1201"/>
      <c r="L42" s="1985"/>
      <c r="M42" s="4569"/>
      <c r="N42" s="4570"/>
      <c r="O42" s="4570"/>
      <c r="P42" s="4571"/>
      <c r="Q42" s="1201"/>
    </row>
    <row r="43" spans="1:17" ht="21">
      <c r="A43" s="1201"/>
      <c r="B43" s="66"/>
      <c r="C43" s="66"/>
      <c r="D43" s="1201"/>
      <c r="E43" s="66"/>
      <c r="F43" s="66"/>
      <c r="G43" s="1993"/>
      <c r="H43" s="68"/>
      <c r="I43" s="1993"/>
      <c r="J43" s="1985"/>
      <c r="K43" s="1985"/>
      <c r="L43" s="1985"/>
      <c r="M43" s="4572"/>
      <c r="N43" s="4573"/>
      <c r="O43" s="4573"/>
      <c r="P43" s="4574"/>
      <c r="Q43" s="1201"/>
    </row>
    <row r="44" spans="1:17" ht="21">
      <c r="A44" s="1201"/>
      <c r="B44" s="65" t="s">
        <v>732</v>
      </c>
      <c r="C44" s="4585" t="s">
        <v>759</v>
      </c>
      <c r="D44" s="4585"/>
      <c r="E44" s="4585"/>
      <c r="F44" s="4585"/>
      <c r="G44" s="1993"/>
      <c r="H44" s="68"/>
      <c r="I44" s="1993"/>
      <c r="J44" s="1985"/>
      <c r="K44" s="1985"/>
      <c r="L44" s="1985"/>
      <c r="M44" s="1201"/>
      <c r="N44" s="1201"/>
      <c r="O44" s="1201"/>
      <c r="P44" s="1201"/>
      <c r="Q44" s="1201"/>
    </row>
    <row r="45" spans="1:17" ht="21" customHeight="1">
      <c r="A45" s="1201"/>
      <c r="B45" s="68"/>
      <c r="C45" s="68"/>
      <c r="D45" s="1201"/>
      <c r="E45" s="66"/>
      <c r="F45" s="66"/>
      <c r="G45" s="1993"/>
      <c r="H45" s="68"/>
      <c r="I45" s="1993"/>
      <c r="J45" s="1985"/>
      <c r="K45" s="1985"/>
      <c r="L45" s="1985"/>
      <c r="M45" s="1985"/>
      <c r="N45" s="1985"/>
      <c r="O45" s="1985"/>
      <c r="P45" s="1985"/>
      <c r="Q45" s="1201"/>
    </row>
    <row r="46" spans="1:17" ht="21">
      <c r="A46" s="1201"/>
      <c r="B46" s="65" t="s">
        <v>732</v>
      </c>
      <c r="C46" s="4541" t="s">
        <v>760</v>
      </c>
      <c r="D46" s="4541"/>
      <c r="E46" s="68"/>
      <c r="F46" s="68"/>
      <c r="G46" s="1993"/>
      <c r="H46" s="68"/>
      <c r="I46" s="1993"/>
      <c r="J46" s="1985"/>
      <c r="K46" s="1985"/>
      <c r="L46" s="1985"/>
      <c r="M46" s="4586" t="s">
        <v>761</v>
      </c>
      <c r="N46" s="4587"/>
      <c r="O46" s="4587"/>
      <c r="P46" s="4588"/>
      <c r="Q46" s="1201"/>
    </row>
    <row r="47" spans="1:17" ht="21">
      <c r="A47" s="1201"/>
      <c r="B47" s="66"/>
      <c r="C47" s="69"/>
      <c r="D47" s="66"/>
      <c r="E47" s="68"/>
      <c r="F47" s="1993"/>
      <c r="G47" s="1993"/>
      <c r="H47" s="68"/>
      <c r="I47" s="1993"/>
      <c r="J47" s="1985"/>
      <c r="K47" s="1985"/>
      <c r="L47" s="1985"/>
      <c r="M47" s="4538" t="s">
        <v>762</v>
      </c>
      <c r="N47" s="4539"/>
      <c r="O47" s="4539"/>
      <c r="P47" s="4540"/>
      <c r="Q47" s="1201"/>
    </row>
    <row r="48" spans="1:17" ht="21">
      <c r="A48" s="1201"/>
      <c r="B48" s="65" t="s">
        <v>732</v>
      </c>
      <c r="C48" s="4541" t="s">
        <v>763</v>
      </c>
      <c r="D48" s="4541"/>
      <c r="E48" s="4541"/>
      <c r="F48" s="1993"/>
      <c r="I48" s="1993"/>
      <c r="J48" s="1985"/>
      <c r="K48" s="1201"/>
      <c r="L48" s="1201"/>
      <c r="M48" s="4538"/>
      <c r="N48" s="4539"/>
      <c r="O48" s="4539"/>
      <c r="P48" s="4540"/>
      <c r="Q48" s="1201"/>
    </row>
    <row r="49" spans="1:17">
      <c r="A49" s="1201"/>
      <c r="B49" s="68"/>
      <c r="C49" s="68"/>
      <c r="D49" s="68"/>
      <c r="E49" s="68"/>
      <c r="F49" s="1993"/>
      <c r="G49" s="1993"/>
      <c r="H49" s="68"/>
      <c r="I49" s="1993"/>
      <c r="J49" s="1985"/>
      <c r="K49" s="1201"/>
      <c r="L49" s="1201"/>
      <c r="M49" s="4538"/>
      <c r="N49" s="4539"/>
      <c r="O49" s="4539"/>
      <c r="P49" s="4540"/>
      <c r="Q49" s="1201"/>
    </row>
    <row r="50" spans="1:17" ht="21">
      <c r="A50" s="1201"/>
      <c r="B50" s="65" t="s">
        <v>732</v>
      </c>
      <c r="C50" s="4541" t="s">
        <v>764</v>
      </c>
      <c r="D50" s="4541"/>
      <c r="E50" s="4541"/>
      <c r="F50" s="68"/>
      <c r="G50" s="1993"/>
      <c r="H50" s="68"/>
      <c r="I50" s="1993"/>
      <c r="J50" s="1985"/>
      <c r="K50" s="1201"/>
      <c r="L50" s="1201"/>
      <c r="M50" s="4538"/>
      <c r="N50" s="4539"/>
      <c r="O50" s="4539"/>
      <c r="P50" s="4540"/>
      <c r="Q50" s="1201"/>
    </row>
    <row r="51" spans="1:17" ht="21">
      <c r="A51" s="1201"/>
      <c r="B51" s="66"/>
      <c r="C51" s="66"/>
      <c r="D51" s="68"/>
      <c r="E51" s="68"/>
      <c r="F51" s="68"/>
      <c r="G51" s="1993"/>
      <c r="H51" s="68"/>
      <c r="I51" s="1993"/>
      <c r="J51" s="1985"/>
      <c r="K51" s="1201"/>
      <c r="L51" s="1201"/>
      <c r="M51" s="4522" t="s">
        <v>765</v>
      </c>
      <c r="N51" s="4523"/>
      <c r="O51" s="4523"/>
      <c r="P51" s="4524"/>
      <c r="Q51" s="1201"/>
    </row>
    <row r="52" spans="1:17" ht="21">
      <c r="A52" s="1201"/>
      <c r="B52" s="65" t="s">
        <v>732</v>
      </c>
      <c r="C52" s="4525" t="s">
        <v>766</v>
      </c>
      <c r="D52" s="4525"/>
      <c r="E52" s="4525"/>
      <c r="G52" s="1993"/>
      <c r="H52" s="68"/>
      <c r="I52" s="1993"/>
      <c r="J52" s="1985"/>
      <c r="K52" s="1201"/>
      <c r="L52" s="1201"/>
      <c r="M52" s="4522"/>
      <c r="N52" s="4523"/>
      <c r="O52" s="4523"/>
      <c r="P52" s="4524"/>
      <c r="Q52" s="1201"/>
    </row>
    <row r="53" spans="1:17" ht="15" customHeight="1">
      <c r="A53" s="1201"/>
      <c r="B53" s="1985"/>
      <c r="C53" s="1993"/>
      <c r="D53" s="1993"/>
      <c r="E53" s="1993"/>
      <c r="F53" s="1993"/>
      <c r="G53" s="1993"/>
      <c r="H53" s="1993"/>
      <c r="I53" s="1993"/>
      <c r="J53" s="1985"/>
      <c r="K53" s="1201"/>
      <c r="L53" s="1201"/>
      <c r="M53" s="4522"/>
      <c r="N53" s="4523"/>
      <c r="O53" s="4523"/>
      <c r="P53" s="4524"/>
      <c r="Q53" s="1201"/>
    </row>
    <row r="54" spans="1:17" ht="21">
      <c r="A54" s="1201"/>
      <c r="B54" s="65" t="s">
        <v>732</v>
      </c>
      <c r="C54" s="4526" t="s">
        <v>767</v>
      </c>
      <c r="D54" s="4526"/>
      <c r="E54" s="4526"/>
      <c r="F54" s="4526"/>
      <c r="G54" s="1993"/>
      <c r="H54" s="1993"/>
      <c r="I54" s="1993"/>
      <c r="J54" s="1985"/>
      <c r="K54" s="1201"/>
      <c r="L54" s="1201"/>
      <c r="M54" s="4527" t="s">
        <v>768</v>
      </c>
      <c r="N54" s="4528"/>
      <c r="O54" s="4528"/>
      <c r="P54" s="4529"/>
      <c r="Q54" s="1201"/>
    </row>
    <row r="55" spans="1:17">
      <c r="A55" s="1201"/>
      <c r="B55" s="1201"/>
      <c r="C55" s="1201"/>
      <c r="D55" s="1201"/>
      <c r="E55" s="1201"/>
      <c r="F55" s="1201"/>
      <c r="G55" s="1201"/>
      <c r="H55" s="1201"/>
      <c r="I55" s="1201"/>
      <c r="J55" s="1201"/>
      <c r="K55" s="1985"/>
      <c r="L55" s="1985"/>
      <c r="M55" s="4527"/>
      <c r="N55" s="4528"/>
      <c r="O55" s="4528"/>
      <c r="P55" s="4529"/>
      <c r="Q55" s="1201"/>
    </row>
    <row r="56" spans="1:17">
      <c r="A56" s="1201"/>
      <c r="B56" s="1201"/>
      <c r="C56" s="1201"/>
      <c r="D56" s="1201"/>
      <c r="E56" s="1201"/>
      <c r="F56" s="1201"/>
      <c r="G56" s="1201"/>
      <c r="H56" s="1201"/>
      <c r="I56" s="1201"/>
      <c r="J56" s="1201"/>
      <c r="K56" s="1985"/>
      <c r="L56" s="1985"/>
      <c r="M56" s="4530"/>
      <c r="N56" s="4531"/>
      <c r="O56" s="4531"/>
      <c r="P56" s="4532"/>
      <c r="Q56" s="1201"/>
    </row>
    <row r="57" spans="1:17">
      <c r="A57" s="1201"/>
      <c r="B57" s="1985"/>
      <c r="C57" s="1993"/>
      <c r="D57" s="1993"/>
      <c r="E57" s="1993"/>
      <c r="F57" s="1993"/>
      <c r="G57" s="1993"/>
      <c r="H57" s="1993"/>
      <c r="I57" s="1993"/>
      <c r="J57" s="1985"/>
      <c r="K57" s="1985"/>
      <c r="L57" s="1985"/>
      <c r="M57" s="1201"/>
      <c r="N57" s="1201"/>
      <c r="O57" s="1201"/>
      <c r="P57" s="1201"/>
      <c r="Q57" s="1201"/>
    </row>
    <row r="58" spans="1:17">
      <c r="A58" s="1997"/>
      <c r="B58" s="1998"/>
      <c r="C58" s="1999"/>
      <c r="D58" s="1999"/>
      <c r="E58" s="1999"/>
      <c r="F58" s="1999"/>
      <c r="G58" s="1999"/>
      <c r="H58" s="1999"/>
      <c r="I58" s="1999"/>
      <c r="J58" s="1998"/>
      <c r="K58" s="1998"/>
      <c r="L58" s="1998"/>
      <c r="M58" s="1997"/>
      <c r="N58" s="1997"/>
      <c r="O58" s="1997"/>
      <c r="P58" s="1997"/>
      <c r="Q58" s="1997"/>
    </row>
    <row r="59" spans="1:17" ht="15" customHeight="1">
      <c r="B59" s="1201"/>
      <c r="C59" s="1201"/>
      <c r="D59" s="1201"/>
      <c r="E59" s="63"/>
      <c r="F59" s="63"/>
      <c r="G59" s="1201"/>
      <c r="H59" s="1201"/>
      <c r="I59" s="1201"/>
      <c r="J59" s="1201"/>
      <c r="K59" s="1201"/>
      <c r="L59" s="1201"/>
      <c r="M59" s="1201"/>
      <c r="N59" s="1201"/>
      <c r="O59" s="1201"/>
      <c r="P59" s="1201"/>
      <c r="Q59" s="1201"/>
    </row>
    <row r="60" spans="1:17" ht="15" customHeight="1">
      <c r="B60" s="1201"/>
      <c r="C60" s="70" t="s">
        <v>769</v>
      </c>
      <c r="D60" s="71"/>
      <c r="E60" s="71"/>
      <c r="F60" s="71"/>
      <c r="G60" s="71"/>
      <c r="H60" s="71"/>
      <c r="I60" s="71"/>
      <c r="J60" s="71"/>
      <c r="K60" s="71"/>
      <c r="L60" s="71"/>
      <c r="M60" s="2000"/>
      <c r="N60" s="1201"/>
      <c r="O60" s="1201"/>
      <c r="P60" s="1201"/>
      <c r="Q60" s="1201"/>
    </row>
    <row r="61" spans="1:17" ht="45" customHeight="1">
      <c r="B61" s="1201"/>
      <c r="C61" s="72"/>
      <c r="D61" s="72"/>
      <c r="E61" s="72"/>
      <c r="F61" s="72"/>
      <c r="G61" s="72"/>
      <c r="H61" s="72"/>
      <c r="I61" s="72"/>
      <c r="J61" s="72"/>
      <c r="K61" s="72"/>
      <c r="L61" s="1201"/>
      <c r="M61" s="1201"/>
      <c r="N61" s="1201"/>
      <c r="O61" s="1201"/>
      <c r="P61" s="1201"/>
      <c r="Q61" s="1201"/>
    </row>
    <row r="62" spans="1:17" ht="15" customHeight="1">
      <c r="B62" s="1201"/>
      <c r="C62" s="1201"/>
      <c r="D62" s="1201"/>
      <c r="E62" s="63"/>
      <c r="F62" s="63"/>
      <c r="G62" s="1201"/>
      <c r="H62" s="1201"/>
      <c r="I62" s="1201"/>
      <c r="J62" s="1201"/>
      <c r="K62" s="1201"/>
      <c r="L62" s="1201"/>
      <c r="M62" s="1201"/>
      <c r="N62" s="1201"/>
      <c r="O62" s="1201"/>
      <c r="P62" s="1201"/>
      <c r="Q62" s="1201"/>
    </row>
    <row r="63" spans="1:17" ht="15" customHeight="1" thickBot="1">
      <c r="B63" s="1201"/>
      <c r="C63" s="1201"/>
      <c r="D63" s="1201"/>
      <c r="E63" s="63"/>
      <c r="F63" s="63"/>
      <c r="G63" s="1201"/>
      <c r="H63" s="1201"/>
      <c r="I63" s="1201"/>
      <c r="J63" s="1201"/>
      <c r="K63" s="1201"/>
      <c r="L63" s="1201"/>
      <c r="M63" s="1201"/>
      <c r="N63" s="1201"/>
      <c r="O63" s="1201"/>
      <c r="P63" s="1201"/>
      <c r="Q63" s="1201"/>
    </row>
    <row r="64" spans="1:17" ht="20.100000000000001" customHeight="1">
      <c r="B64" s="4533" t="s">
        <v>770</v>
      </c>
      <c r="C64" s="4534"/>
      <c r="D64" s="4534"/>
      <c r="E64" s="4534"/>
      <c r="F64" s="4534"/>
      <c r="G64" s="4534"/>
      <c r="H64" s="4534"/>
      <c r="I64" s="4534"/>
      <c r="J64" s="4534"/>
      <c r="K64" s="4534"/>
      <c r="L64" s="4535"/>
      <c r="M64" s="1201"/>
      <c r="N64" s="1201"/>
      <c r="O64" s="1201"/>
      <c r="P64" s="1201"/>
      <c r="Q64" s="1201"/>
    </row>
    <row r="65" spans="2:17" ht="20.100000000000001" customHeight="1">
      <c r="B65" s="2001"/>
      <c r="C65" s="2002"/>
      <c r="D65" s="2002"/>
      <c r="E65" s="2002"/>
      <c r="F65" s="2002"/>
      <c r="G65" s="2002"/>
      <c r="H65" s="2002"/>
      <c r="I65" s="2002"/>
      <c r="J65" s="2002"/>
      <c r="K65" s="2002"/>
      <c r="L65" s="2003"/>
      <c r="M65" s="1201"/>
      <c r="N65" s="1201"/>
      <c r="O65" s="1201"/>
      <c r="P65" s="1201"/>
      <c r="Q65" s="1201"/>
    </row>
    <row r="66" spans="2:17" ht="20.100000000000001" customHeight="1">
      <c r="B66" s="2004" t="s">
        <v>771</v>
      </c>
      <c r="C66" s="2005">
        <v>3</v>
      </c>
      <c r="D66" s="1464"/>
      <c r="E66" s="4536" t="s">
        <v>772</v>
      </c>
      <c r="F66" s="4536"/>
      <c r="G66" s="4536"/>
      <c r="H66" s="4536"/>
      <c r="I66" s="4536"/>
      <c r="J66" s="4536"/>
      <c r="K66" s="4536"/>
      <c r="L66" s="4537"/>
      <c r="M66" s="1201"/>
      <c r="N66" s="1201"/>
      <c r="O66" s="1201"/>
      <c r="P66" s="1201"/>
      <c r="Q66" s="1201"/>
    </row>
    <row r="67" spans="2:17" ht="20.100000000000001" customHeight="1">
      <c r="B67" s="2004"/>
      <c r="C67" s="2006"/>
      <c r="D67" s="1464"/>
      <c r="E67" s="4536"/>
      <c r="F67" s="4536"/>
      <c r="G67" s="4536"/>
      <c r="H67" s="4536"/>
      <c r="I67" s="4536"/>
      <c r="J67" s="4536"/>
      <c r="K67" s="4536"/>
      <c r="L67" s="4537"/>
      <c r="M67" s="1201"/>
      <c r="N67" s="1201"/>
      <c r="O67" s="1201"/>
      <c r="P67" s="1201"/>
      <c r="Q67" s="1201"/>
    </row>
    <row r="68" spans="2:17" ht="20.100000000000001" customHeight="1">
      <c r="B68" s="2004" t="s">
        <v>773</v>
      </c>
      <c r="C68" s="2007"/>
      <c r="D68" s="1464"/>
      <c r="E68" s="4536"/>
      <c r="F68" s="4536"/>
      <c r="G68" s="4536"/>
      <c r="H68" s="4536"/>
      <c r="I68" s="4536"/>
      <c r="J68" s="4536"/>
      <c r="K68" s="4536"/>
      <c r="L68" s="4537"/>
      <c r="M68" s="1201"/>
      <c r="N68" s="1201"/>
      <c r="O68" s="1201"/>
      <c r="P68" s="1201"/>
      <c r="Q68" s="1201"/>
    </row>
    <row r="69" spans="2:17" ht="20.100000000000001" customHeight="1">
      <c r="B69" s="2004"/>
      <c r="C69" s="2007"/>
      <c r="D69" s="1464"/>
      <c r="E69" s="4536"/>
      <c r="F69" s="4536"/>
      <c r="G69" s="4536"/>
      <c r="H69" s="4536"/>
      <c r="I69" s="4536"/>
      <c r="J69" s="4536"/>
      <c r="K69" s="4536"/>
      <c r="L69" s="4537"/>
      <c r="M69" s="1201"/>
      <c r="N69" s="1201"/>
      <c r="O69" s="1201"/>
      <c r="P69" s="1201"/>
      <c r="Q69" s="1201"/>
    </row>
    <row r="70" spans="2:17" ht="20.100000000000001" customHeight="1">
      <c r="B70" s="2004" t="s">
        <v>774</v>
      </c>
      <c r="C70" s="2007"/>
      <c r="D70" s="1464"/>
      <c r="E70" s="4536"/>
      <c r="F70" s="4536"/>
      <c r="G70" s="4536"/>
      <c r="H70" s="4536"/>
      <c r="I70" s="4536"/>
      <c r="J70" s="4536"/>
      <c r="K70" s="4536"/>
      <c r="L70" s="4537"/>
      <c r="M70" s="1201"/>
      <c r="N70" s="1201"/>
      <c r="O70" s="1201"/>
      <c r="P70" s="1201"/>
      <c r="Q70" s="1201"/>
    </row>
    <row r="71" spans="2:17" ht="20.100000000000001" customHeight="1">
      <c r="B71" s="2004"/>
      <c r="C71" s="2007"/>
      <c r="D71" s="1464"/>
      <c r="E71" s="1067"/>
      <c r="F71" s="1067"/>
      <c r="G71" s="1067"/>
      <c r="H71" s="1067"/>
      <c r="I71" s="1067"/>
      <c r="J71" s="1067"/>
      <c r="K71" s="1067"/>
      <c r="L71" s="1068"/>
      <c r="M71" s="1201"/>
      <c r="N71" s="1201"/>
      <c r="O71" s="1201"/>
      <c r="P71" s="1201"/>
      <c r="Q71" s="1201"/>
    </row>
    <row r="72" spans="2:17" ht="20.100000000000001" customHeight="1">
      <c r="B72" s="2008" t="s">
        <v>1442</v>
      </c>
      <c r="C72" s="1464"/>
      <c r="D72" s="2009">
        <f t="shared" ref="D72" ca="1" si="1">CELL("largeur",D72)</f>
        <v>15</v>
      </c>
      <c r="E72" s="74"/>
      <c r="F72" s="2010" t="s">
        <v>775</v>
      </c>
      <c r="G72" s="75" t="s">
        <v>776</v>
      </c>
      <c r="H72" s="75" t="s">
        <v>777</v>
      </c>
      <c r="I72" s="75" t="s">
        <v>778</v>
      </c>
      <c r="J72" s="75" t="s">
        <v>779</v>
      </c>
      <c r="K72" s="75" t="s">
        <v>780</v>
      </c>
      <c r="L72" s="76" t="s">
        <v>781</v>
      </c>
      <c r="M72" s="1201"/>
      <c r="N72" s="1201"/>
      <c r="O72" s="1201"/>
      <c r="P72" s="1201"/>
      <c r="Q72" s="1201"/>
    </row>
    <row r="73" spans="2:17" ht="20.100000000000001" customHeight="1">
      <c r="B73" s="2011"/>
      <c r="C73" s="1464"/>
      <c r="D73" s="1464"/>
      <c r="E73" s="74"/>
      <c r="F73" s="2010"/>
      <c r="G73" s="75"/>
      <c r="H73" s="75"/>
      <c r="I73" s="75"/>
      <c r="J73" s="75"/>
      <c r="K73" s="75"/>
      <c r="L73" s="76"/>
      <c r="M73" s="1201"/>
      <c r="N73" s="1201"/>
      <c r="O73" s="1201"/>
      <c r="P73" s="1201"/>
      <c r="Q73" s="1201"/>
    </row>
    <row r="74" spans="2:17" ht="20.100000000000001" customHeight="1">
      <c r="B74" s="2011" t="s">
        <v>782</v>
      </c>
      <c r="C74" s="1464"/>
      <c r="D74" s="1464"/>
      <c r="E74" s="2012"/>
      <c r="F74" s="77" t="s">
        <v>150</v>
      </c>
      <c r="G74" s="77" t="s">
        <v>152</v>
      </c>
      <c r="H74" s="77" t="s">
        <v>154</v>
      </c>
      <c r="I74" s="77" t="s">
        <v>155</v>
      </c>
      <c r="J74" s="77" t="s">
        <v>156</v>
      </c>
      <c r="K74" s="2013" t="s">
        <v>783</v>
      </c>
      <c r="L74" s="2014" t="s">
        <v>784</v>
      </c>
      <c r="M74" s="1201"/>
      <c r="N74" s="1201"/>
      <c r="O74" s="1201"/>
      <c r="P74" s="1201"/>
      <c r="Q74" s="1201"/>
    </row>
    <row r="75" spans="2:17" ht="20.100000000000001" customHeight="1">
      <c r="B75" s="2011"/>
      <c r="C75" s="1464"/>
      <c r="D75" s="1464"/>
      <c r="E75" s="1464"/>
      <c r="F75" s="78"/>
      <c r="G75" s="78"/>
      <c r="H75" s="78"/>
      <c r="I75" s="78"/>
      <c r="J75" s="78"/>
      <c r="K75" s="2015"/>
      <c r="L75" s="2016"/>
      <c r="M75" s="1201"/>
      <c r="N75" s="1201"/>
      <c r="O75" s="1201"/>
      <c r="P75" s="1201"/>
      <c r="Q75" s="1201"/>
    </row>
    <row r="76" spans="2:17" ht="20.100000000000001" customHeight="1">
      <c r="B76" s="79" t="s">
        <v>157</v>
      </c>
      <c r="C76" s="77" t="s">
        <v>158</v>
      </c>
      <c r="D76" s="77" t="s">
        <v>159</v>
      </c>
      <c r="E76" s="77" t="s">
        <v>160</v>
      </c>
      <c r="F76" s="77" t="s">
        <v>161</v>
      </c>
      <c r="G76" s="77" t="s">
        <v>163</v>
      </c>
      <c r="H76" s="77" t="s">
        <v>164</v>
      </c>
      <c r="I76" s="77" t="s">
        <v>167</v>
      </c>
      <c r="J76" s="77" t="s">
        <v>168</v>
      </c>
      <c r="K76" s="2013" t="s">
        <v>688</v>
      </c>
      <c r="L76" s="2014" t="s">
        <v>785</v>
      </c>
      <c r="M76" s="1201"/>
      <c r="N76" s="1201"/>
      <c r="O76" s="1201"/>
      <c r="P76" s="1201"/>
      <c r="Q76" s="1201"/>
    </row>
    <row r="77" spans="2:17" ht="20.100000000000001" customHeight="1">
      <c r="B77" s="80"/>
      <c r="C77" s="78"/>
      <c r="D77" s="78"/>
      <c r="E77" s="78"/>
      <c r="F77" s="78"/>
      <c r="G77" s="78"/>
      <c r="H77" s="78"/>
      <c r="I77" s="78"/>
      <c r="J77" s="78"/>
      <c r="K77" s="2015"/>
      <c r="L77" s="2016"/>
      <c r="M77" s="1201"/>
      <c r="N77" s="1201"/>
      <c r="O77" s="1201"/>
      <c r="P77" s="1201"/>
      <c r="Q77" s="1201"/>
    </row>
    <row r="78" spans="2:17" ht="20.100000000000001" customHeight="1">
      <c r="B78" s="2017"/>
      <c r="C78" s="2018"/>
      <c r="D78" s="2019" t="s">
        <v>786</v>
      </c>
      <c r="E78" s="2020">
        <f>COLUMN()</f>
        <v>5</v>
      </c>
      <c r="F78" s="2018"/>
      <c r="G78" s="2019" t="s">
        <v>787</v>
      </c>
      <c r="H78" s="81" t="str">
        <f>ADDRESS(ROW(),COLUMN(),4)</f>
        <v>H78</v>
      </c>
      <c r="I78" s="2018"/>
      <c r="J78" s="2018"/>
      <c r="K78" s="2021" t="s">
        <v>22</v>
      </c>
      <c r="L78" s="2014" t="s">
        <v>788</v>
      </c>
      <c r="M78" s="1201"/>
      <c r="N78" s="1201"/>
      <c r="O78" s="1201"/>
      <c r="P78" s="1201"/>
      <c r="Q78" s="1201"/>
    </row>
    <row r="79" spans="2:17" ht="20.100000000000001" customHeight="1">
      <c r="B79" s="2017"/>
      <c r="C79" s="2018"/>
      <c r="D79" s="2019"/>
      <c r="E79" s="2022"/>
      <c r="F79" s="2018"/>
      <c r="G79" s="2018"/>
      <c r="H79" s="2018"/>
      <c r="I79" s="2018"/>
      <c r="J79" s="2018"/>
      <c r="K79" s="2023"/>
      <c r="L79" s="2016"/>
      <c r="M79" s="1201"/>
      <c r="N79" s="1201"/>
      <c r="O79" s="1201"/>
      <c r="P79" s="1201"/>
      <c r="Q79" s="1201"/>
    </row>
    <row r="80" spans="2:17" ht="20.100000000000001" customHeight="1">
      <c r="B80" s="2017"/>
      <c r="C80" s="2018"/>
      <c r="D80" s="2019" t="s">
        <v>789</v>
      </c>
      <c r="E80" s="82" t="str">
        <f>LEFT(ADDRESS(1,COLUMN(),4),LEN(ADDRESS(1,COLUMN(),4))-1)</f>
        <v>E</v>
      </c>
      <c r="F80" s="2018"/>
      <c r="G80" s="2019" t="s">
        <v>790</v>
      </c>
      <c r="H80" s="83">
        <f>ROW()</f>
        <v>80</v>
      </c>
      <c r="I80" s="2018"/>
      <c r="J80" s="2024" t="s">
        <v>773</v>
      </c>
      <c r="K80" s="2018"/>
      <c r="L80" s="2025"/>
      <c r="M80" s="1201"/>
      <c r="N80" s="1201"/>
      <c r="O80" s="1201"/>
      <c r="P80" s="1201"/>
      <c r="Q80" s="1201"/>
    </row>
    <row r="81" spans="2:17" ht="20.100000000000001" customHeight="1">
      <c r="B81" s="2017"/>
      <c r="C81" s="2018"/>
      <c r="D81" s="2019"/>
      <c r="E81" s="2019"/>
      <c r="F81" s="2019"/>
      <c r="G81" s="2019"/>
      <c r="H81" s="2019"/>
      <c r="I81" s="2019"/>
      <c r="J81" s="2024"/>
      <c r="K81" s="2018"/>
      <c r="L81" s="2025"/>
      <c r="M81" s="1201"/>
      <c r="N81" s="1201"/>
      <c r="O81" s="1201"/>
      <c r="P81" s="1201"/>
      <c r="Q81" s="1201"/>
    </row>
    <row r="82" spans="2:17" ht="20.100000000000001" customHeight="1">
      <c r="B82" s="2017"/>
      <c r="C82" s="84" t="s">
        <v>358</v>
      </c>
      <c r="D82" s="85" t="str">
        <f ca="1">CELL("nomfichier")</f>
        <v>E:\0-UPRT\1-UPRT.FR-SITE-WEB\ff-fiches-fabrications\ff-fiches-fabrication-maj-08-2020\[ff-8-restauration-Christian.Frechede.xlsx]Formats-Formules-Fonctions</v>
      </c>
      <c r="E82" s="1985"/>
      <c r="F82" s="2019"/>
      <c r="G82" s="2019"/>
      <c r="H82" s="2019"/>
      <c r="I82" s="2019"/>
      <c r="J82" s="2024"/>
      <c r="K82" s="2018"/>
      <c r="L82" s="2025"/>
      <c r="M82" s="1201"/>
      <c r="N82" s="1201"/>
      <c r="O82" s="1201"/>
      <c r="P82" s="1201"/>
      <c r="Q82" s="1201"/>
    </row>
    <row r="83" spans="2:17" ht="20.100000000000001" customHeight="1" thickBot="1">
      <c r="B83" s="2026"/>
      <c r="C83" s="2027"/>
      <c r="D83" s="2027"/>
      <c r="E83" s="2027"/>
      <c r="F83" s="2027"/>
      <c r="G83" s="2027"/>
      <c r="H83" s="2027"/>
      <c r="I83" s="2027"/>
      <c r="J83" s="2027"/>
      <c r="K83" s="2027"/>
      <c r="L83" s="2028"/>
      <c r="M83" s="1201"/>
      <c r="N83" s="1201"/>
      <c r="O83" s="1201"/>
      <c r="P83" s="1201"/>
      <c r="Q83" s="1201"/>
    </row>
    <row r="84" spans="2:17" ht="15" customHeight="1" thickBot="1">
      <c r="B84" s="1201"/>
      <c r="C84" s="1201"/>
      <c r="D84" s="1201"/>
      <c r="E84" s="63"/>
      <c r="F84" s="63"/>
      <c r="G84" s="1201"/>
      <c r="H84" s="1201"/>
      <c r="I84" s="1201"/>
      <c r="J84" s="1201"/>
      <c r="K84" s="1201"/>
      <c r="L84" s="1201"/>
      <c r="M84" s="1201"/>
      <c r="N84" s="1201"/>
      <c r="O84" s="1201"/>
      <c r="P84" s="1201"/>
      <c r="Q84" s="1201"/>
    </row>
    <row r="85" spans="2:17" ht="24.95" customHeight="1">
      <c r="B85" s="2029" t="s">
        <v>99</v>
      </c>
      <c r="C85" s="4511" t="s">
        <v>791</v>
      </c>
      <c r="D85" s="4511"/>
      <c r="E85" s="4511"/>
      <c r="F85" s="4511"/>
      <c r="G85" s="4511"/>
      <c r="H85" s="4511"/>
      <c r="I85" s="4511"/>
      <c r="J85" s="4511"/>
      <c r="K85" s="4512"/>
      <c r="L85" s="1201"/>
      <c r="M85" s="1201"/>
      <c r="N85" s="1201"/>
      <c r="O85" s="1201"/>
      <c r="P85" s="1201"/>
      <c r="Q85" s="1201"/>
    </row>
    <row r="86" spans="2:17" ht="24.95" customHeight="1">
      <c r="B86" s="2030" t="s">
        <v>100</v>
      </c>
      <c r="C86" s="4513" t="s">
        <v>792</v>
      </c>
      <c r="D86" s="4513"/>
      <c r="E86" s="4513"/>
      <c r="F86" s="4513"/>
      <c r="G86" s="4513"/>
      <c r="H86" s="4513"/>
      <c r="I86" s="4513"/>
      <c r="J86" s="4513"/>
      <c r="K86" s="4514"/>
      <c r="L86" s="1201"/>
      <c r="M86" s="1201"/>
      <c r="N86" s="1201"/>
      <c r="O86" s="1201"/>
      <c r="P86" s="1201"/>
      <c r="Q86" s="1201"/>
    </row>
    <row r="87" spans="2:17" ht="24.95" customHeight="1">
      <c r="B87" s="2031" t="s">
        <v>101</v>
      </c>
      <c r="C87" s="4515" t="s">
        <v>793</v>
      </c>
      <c r="D87" s="4515"/>
      <c r="E87" s="4515"/>
      <c r="F87" s="4515"/>
      <c r="G87" s="4515"/>
      <c r="H87" s="4515"/>
      <c r="I87" s="4515"/>
      <c r="J87" s="4515"/>
      <c r="K87" s="4516"/>
      <c r="L87" s="1201"/>
      <c r="M87" s="1201"/>
      <c r="N87" s="1201"/>
      <c r="O87" s="1201"/>
      <c r="P87" s="1201"/>
      <c r="Q87" s="1201"/>
    </row>
    <row r="88" spans="2:17" ht="24.95" customHeight="1">
      <c r="B88" s="2032"/>
      <c r="C88" s="4517" t="s">
        <v>794</v>
      </c>
      <c r="D88" s="4517"/>
      <c r="E88" s="4517"/>
      <c r="F88" s="4517"/>
      <c r="G88" s="4517"/>
      <c r="H88" s="4517"/>
      <c r="I88" s="4517"/>
      <c r="J88" s="4517"/>
      <c r="K88" s="4518"/>
      <c r="L88" s="1201"/>
      <c r="M88" s="1201"/>
      <c r="N88" s="1201"/>
      <c r="O88" s="1201"/>
      <c r="P88" s="1201"/>
      <c r="Q88" s="1201"/>
    </row>
    <row r="89" spans="2:17" ht="24.95" customHeight="1">
      <c r="B89" s="4519" t="s">
        <v>101</v>
      </c>
      <c r="C89" s="4520" t="str">
        <f>C87</f>
        <v>Saisir ICI</v>
      </c>
      <c r="D89" s="4520"/>
      <c r="E89" s="4520"/>
      <c r="F89" s="4520"/>
      <c r="G89" s="4520"/>
      <c r="H89" s="4520"/>
      <c r="I89" s="4520"/>
      <c r="J89" s="4520"/>
      <c r="K89" s="4521"/>
      <c r="L89" s="1201"/>
      <c r="M89" s="1201"/>
      <c r="N89" s="1201"/>
      <c r="O89" s="1201"/>
      <c r="P89" s="1201"/>
      <c r="Q89" s="1201"/>
    </row>
    <row r="90" spans="2:17" ht="24.95" customHeight="1">
      <c r="B90" s="4519"/>
      <c r="C90" s="4520"/>
      <c r="D90" s="4520"/>
      <c r="E90" s="4520"/>
      <c r="F90" s="4520"/>
      <c r="G90" s="4520"/>
      <c r="H90" s="4520"/>
      <c r="I90" s="4520"/>
      <c r="J90" s="4520"/>
      <c r="K90" s="4521"/>
      <c r="L90" s="1201"/>
      <c r="M90" s="1201"/>
      <c r="N90" s="1201"/>
      <c r="O90" s="1201"/>
      <c r="P90" s="1201"/>
      <c r="Q90" s="1201"/>
    </row>
    <row r="91" spans="2:17" ht="24.95" customHeight="1">
      <c r="B91" s="4519"/>
      <c r="C91" s="4520"/>
      <c r="D91" s="4520"/>
      <c r="E91" s="4520"/>
      <c r="F91" s="4520"/>
      <c r="G91" s="4520"/>
      <c r="H91" s="4520"/>
      <c r="I91" s="4520"/>
      <c r="J91" s="4520"/>
      <c r="K91" s="4521"/>
      <c r="L91" s="1201"/>
      <c r="M91" s="1201"/>
      <c r="N91" s="1201"/>
      <c r="O91" s="1201"/>
      <c r="P91" s="1201"/>
      <c r="Q91" s="1201"/>
    </row>
    <row r="92" spans="2:17" ht="24.95" customHeight="1">
      <c r="B92" s="4497" t="s">
        <v>99</v>
      </c>
      <c r="C92" s="4500" t="str">
        <f>+C85</f>
        <v>TEST POLICE DE CARACTERES</v>
      </c>
      <c r="D92" s="4500"/>
      <c r="E92" s="4500"/>
      <c r="F92" s="4500"/>
      <c r="G92" s="4500"/>
      <c r="H92" s="4500"/>
      <c r="I92" s="4500"/>
      <c r="J92" s="4500"/>
      <c r="K92" s="4501"/>
      <c r="L92" s="1201"/>
      <c r="M92" s="1201"/>
      <c r="N92" s="1201"/>
      <c r="O92" s="1201"/>
      <c r="P92" s="1201"/>
      <c r="Q92" s="1201"/>
    </row>
    <row r="93" spans="2:17" ht="24.95" customHeight="1">
      <c r="B93" s="4498"/>
      <c r="C93" s="4502"/>
      <c r="D93" s="4502"/>
      <c r="E93" s="4502"/>
      <c r="F93" s="4502"/>
      <c r="G93" s="4502"/>
      <c r="H93" s="4502"/>
      <c r="I93" s="4502"/>
      <c r="J93" s="4502"/>
      <c r="K93" s="4503"/>
      <c r="L93" s="1201"/>
      <c r="M93" s="1201"/>
      <c r="N93" s="1201"/>
      <c r="O93" s="1201"/>
      <c r="P93" s="1201"/>
      <c r="Q93" s="1201"/>
    </row>
    <row r="94" spans="2:17" ht="24.95" customHeight="1">
      <c r="B94" s="4499"/>
      <c r="C94" s="4504"/>
      <c r="D94" s="4504"/>
      <c r="E94" s="4504"/>
      <c r="F94" s="4504"/>
      <c r="G94" s="4504"/>
      <c r="H94" s="4504"/>
      <c r="I94" s="4504"/>
      <c r="J94" s="4504"/>
      <c r="K94" s="4505"/>
      <c r="L94" s="1201"/>
      <c r="M94" s="1201"/>
      <c r="N94" s="1201"/>
      <c r="O94" s="1201"/>
      <c r="P94" s="1201"/>
      <c r="Q94" s="1201"/>
    </row>
    <row r="95" spans="2:17" ht="24.95" customHeight="1">
      <c r="B95" s="4498" t="s">
        <v>100</v>
      </c>
      <c r="C95" s="4507" t="str">
        <f>+C86</f>
        <v>Saisir une ou des lettres / nombres ou une phrase cellule C jaune</v>
      </c>
      <c r="D95" s="4507"/>
      <c r="E95" s="4507"/>
      <c r="F95" s="4507"/>
      <c r="G95" s="4507"/>
      <c r="H95" s="4507"/>
      <c r="I95" s="4507"/>
      <c r="J95" s="4507"/>
      <c r="K95" s="4508"/>
      <c r="L95" s="1201"/>
      <c r="M95" s="1201"/>
      <c r="N95" s="1201"/>
      <c r="O95" s="1201"/>
      <c r="P95" s="1201"/>
      <c r="Q95" s="1201"/>
    </row>
    <row r="96" spans="2:17" ht="24.95" customHeight="1">
      <c r="B96" s="4498"/>
      <c r="C96" s="4507"/>
      <c r="D96" s="4507"/>
      <c r="E96" s="4507"/>
      <c r="F96" s="4507"/>
      <c r="G96" s="4507"/>
      <c r="H96" s="4507"/>
      <c r="I96" s="4507"/>
      <c r="J96" s="4507"/>
      <c r="K96" s="4508"/>
      <c r="L96" s="1201"/>
      <c r="M96" s="1201"/>
      <c r="N96" s="1201"/>
      <c r="O96" s="1201"/>
      <c r="P96" s="1201"/>
      <c r="Q96" s="1201"/>
    </row>
    <row r="97" spans="2:17" ht="24.95" customHeight="1">
      <c r="B97" s="4498"/>
      <c r="C97" s="4507"/>
      <c r="D97" s="4507"/>
      <c r="E97" s="4507"/>
      <c r="F97" s="4507"/>
      <c r="G97" s="4507"/>
      <c r="H97" s="4507"/>
      <c r="I97" s="4507"/>
      <c r="J97" s="4507"/>
      <c r="K97" s="4508"/>
      <c r="L97" s="1201"/>
      <c r="M97" s="1201"/>
      <c r="N97" s="1201"/>
      <c r="O97" s="1201"/>
      <c r="P97" s="1201"/>
      <c r="Q97" s="1201"/>
    </row>
    <row r="98" spans="2:17" ht="24.95" customHeight="1">
      <c r="B98" s="4498"/>
      <c r="C98" s="4507"/>
      <c r="D98" s="4507"/>
      <c r="E98" s="4507"/>
      <c r="F98" s="4507"/>
      <c r="G98" s="4507"/>
      <c r="H98" s="4507"/>
      <c r="I98" s="4507"/>
      <c r="J98" s="4507"/>
      <c r="K98" s="4508"/>
      <c r="L98" s="1201"/>
      <c r="M98" s="1201"/>
      <c r="N98" s="1201"/>
      <c r="O98" s="1201"/>
      <c r="P98" s="1201"/>
      <c r="Q98" s="1201"/>
    </row>
    <row r="99" spans="2:17" ht="24.95" customHeight="1" thickBot="1">
      <c r="B99" s="4506"/>
      <c r="C99" s="4509"/>
      <c r="D99" s="4509"/>
      <c r="E99" s="4509"/>
      <c r="F99" s="4509"/>
      <c r="G99" s="4509"/>
      <c r="H99" s="4509"/>
      <c r="I99" s="4509"/>
      <c r="J99" s="4509"/>
      <c r="K99" s="4510"/>
      <c r="L99" s="1201"/>
      <c r="M99" s="1201"/>
      <c r="N99" s="1201"/>
      <c r="O99" s="1201"/>
      <c r="P99" s="1201"/>
      <c r="Q99" s="1201"/>
    </row>
    <row r="100" spans="2:17" ht="15" customHeight="1">
      <c r="B100" s="1201"/>
      <c r="C100" s="1201"/>
      <c r="D100" s="1201"/>
      <c r="E100" s="1201"/>
      <c r="F100" s="1201"/>
      <c r="G100" s="1201"/>
      <c r="H100" s="1201"/>
      <c r="I100" s="1201"/>
      <c r="J100" s="1201"/>
      <c r="K100" s="1201"/>
      <c r="L100" s="1201"/>
      <c r="M100" s="1201"/>
      <c r="N100" s="1201"/>
      <c r="O100" s="1201"/>
      <c r="P100" s="1201"/>
      <c r="Q100" s="1201"/>
    </row>
    <row r="101" spans="2:17" ht="15" customHeight="1">
      <c r="B101" s="1201"/>
      <c r="C101" s="1201"/>
      <c r="D101" s="1201"/>
      <c r="E101" s="63"/>
      <c r="F101" s="63"/>
      <c r="G101" s="1201"/>
      <c r="H101" s="1201"/>
      <c r="I101" s="1201"/>
      <c r="J101" s="1201"/>
      <c r="K101" s="1201"/>
      <c r="L101" s="1201"/>
      <c r="M101" s="1201"/>
      <c r="N101" s="1201"/>
      <c r="O101" s="1201"/>
      <c r="P101" s="1201"/>
      <c r="Q101" s="1201"/>
    </row>
    <row r="102" spans="2:17" ht="20.100000000000001" customHeight="1">
      <c r="B102" s="1201"/>
      <c r="C102" s="2033" t="s">
        <v>795</v>
      </c>
      <c r="D102" s="2034"/>
      <c r="E102" s="2034"/>
      <c r="F102" s="2034"/>
      <c r="G102" s="1201"/>
      <c r="H102" s="1201"/>
      <c r="I102" s="1201"/>
      <c r="J102" s="1201"/>
      <c r="K102" s="1201"/>
      <c r="L102" s="1201"/>
      <c r="M102" s="1201"/>
      <c r="N102" s="1201"/>
      <c r="O102" s="1201"/>
      <c r="P102" s="1201"/>
      <c r="Q102" s="1201"/>
    </row>
    <row r="103" spans="2:17" ht="20.100000000000001" customHeight="1">
      <c r="B103" s="65" t="s">
        <v>732</v>
      </c>
      <c r="C103" s="4491" t="s">
        <v>796</v>
      </c>
      <c r="D103" s="4491"/>
      <c r="E103" s="4491"/>
      <c r="F103" s="4491"/>
      <c r="G103" s="4491"/>
      <c r="H103" s="4491"/>
      <c r="I103" s="1201"/>
      <c r="J103" s="1201"/>
      <c r="K103" s="1201"/>
      <c r="L103" s="1201"/>
      <c r="M103" s="1201"/>
      <c r="N103" s="1201"/>
      <c r="O103" s="1201"/>
      <c r="P103" s="1201"/>
      <c r="Q103" s="1201"/>
    </row>
    <row r="104" spans="2:17" ht="20.100000000000001" customHeight="1">
      <c r="B104" s="1201"/>
      <c r="C104" s="2033"/>
      <c r="D104" s="2034"/>
      <c r="E104" s="2034"/>
      <c r="F104" s="2034"/>
      <c r="G104" s="1201"/>
      <c r="H104" s="1201"/>
      <c r="I104" s="1201"/>
      <c r="J104" s="1201"/>
      <c r="K104" s="1201"/>
      <c r="L104" s="1201"/>
      <c r="M104" s="1201"/>
      <c r="N104" s="1201"/>
      <c r="O104" s="1201"/>
      <c r="P104" s="1201"/>
      <c r="Q104" s="1201"/>
    </row>
    <row r="105" spans="2:17" ht="20.100000000000001" customHeight="1">
      <c r="B105" s="65" t="s">
        <v>732</v>
      </c>
      <c r="C105" s="4491" t="s">
        <v>797</v>
      </c>
      <c r="D105" s="4492"/>
      <c r="E105" s="4492"/>
      <c r="F105" s="4492"/>
      <c r="G105" s="1201"/>
      <c r="H105" s="1201"/>
      <c r="I105" s="1201"/>
      <c r="J105" s="1201"/>
      <c r="K105" s="1201"/>
      <c r="L105" s="1201"/>
      <c r="M105" s="1201"/>
      <c r="N105" s="1201"/>
      <c r="O105" s="1201"/>
      <c r="P105" s="1201"/>
      <c r="Q105" s="1201"/>
    </row>
    <row r="106" spans="2:17" ht="20.100000000000001" customHeight="1">
      <c r="B106" s="1201"/>
      <c r="C106" s="2034"/>
      <c r="D106" s="2034"/>
      <c r="E106" s="2034"/>
      <c r="F106" s="2034"/>
      <c r="G106" s="1201"/>
      <c r="H106" s="1201"/>
      <c r="I106" s="1201"/>
      <c r="J106" s="1201"/>
      <c r="K106" s="1201"/>
      <c r="L106" s="1201"/>
      <c r="M106" s="1201"/>
      <c r="N106" s="1201"/>
      <c r="O106" s="1201"/>
      <c r="P106" s="1201"/>
      <c r="Q106" s="1201"/>
    </row>
    <row r="107" spans="2:17" ht="20.100000000000001" customHeight="1">
      <c r="B107" s="65" t="s">
        <v>732</v>
      </c>
      <c r="C107" s="4496" t="s">
        <v>798</v>
      </c>
      <c r="D107" s="4496"/>
      <c r="E107" s="4496"/>
      <c r="F107" s="4496"/>
      <c r="G107" s="1201"/>
      <c r="H107" s="1201"/>
      <c r="I107" s="1201"/>
      <c r="J107" s="1201"/>
      <c r="K107" s="1201"/>
      <c r="L107" s="1201"/>
      <c r="M107" s="1201"/>
      <c r="N107" s="1201"/>
      <c r="O107" s="1201"/>
      <c r="P107" s="1201"/>
      <c r="Q107" s="1201"/>
    </row>
    <row r="108" spans="2:17" ht="20.100000000000001" customHeight="1">
      <c r="B108" s="1201"/>
      <c r="C108" s="2034"/>
      <c r="D108" s="2034"/>
      <c r="E108" s="2034"/>
      <c r="F108" s="2034"/>
      <c r="G108" s="1201"/>
      <c r="H108" s="1201"/>
      <c r="I108" s="1201"/>
      <c r="J108" s="1201"/>
      <c r="K108" s="1201"/>
      <c r="L108" s="1201"/>
      <c r="M108" s="1201"/>
      <c r="N108" s="1201"/>
      <c r="O108" s="1201"/>
      <c r="P108" s="1201"/>
      <c r="Q108" s="1201"/>
    </row>
    <row r="109" spans="2:17" ht="20.100000000000001" customHeight="1">
      <c r="B109" s="1201"/>
      <c r="C109" s="86" t="s">
        <v>799</v>
      </c>
      <c r="D109" s="2034"/>
      <c r="E109" s="2034"/>
      <c r="F109" s="2035"/>
      <c r="G109" s="1201"/>
      <c r="H109" s="1201"/>
      <c r="I109" s="1201"/>
      <c r="J109" s="1201"/>
      <c r="K109" s="1201"/>
      <c r="L109" s="1201"/>
      <c r="M109" s="1201"/>
      <c r="N109" s="1201"/>
      <c r="O109" s="1201"/>
      <c r="P109" s="1201"/>
      <c r="Q109" s="1201"/>
    </row>
    <row r="110" spans="2:17" ht="20.100000000000001" customHeight="1">
      <c r="B110" s="65" t="s">
        <v>732</v>
      </c>
      <c r="C110" s="4493" t="s">
        <v>800</v>
      </c>
      <c r="D110" s="4493"/>
      <c r="E110" s="4493"/>
      <c r="F110" s="4493"/>
      <c r="G110" s="4493"/>
      <c r="H110" s="4493"/>
      <c r="I110" s="4493"/>
      <c r="J110" s="1201"/>
      <c r="K110" s="1201"/>
      <c r="L110" s="1201"/>
      <c r="M110" s="1201"/>
      <c r="N110" s="1201"/>
      <c r="O110" s="1201"/>
      <c r="P110" s="1201"/>
      <c r="Q110" s="1201"/>
    </row>
    <row r="111" spans="2:17" ht="20.100000000000001" customHeight="1">
      <c r="B111" s="2036"/>
      <c r="C111" s="2036"/>
      <c r="D111" s="2036"/>
      <c r="E111" s="2036"/>
      <c r="F111" s="2036"/>
      <c r="G111" s="2036"/>
      <c r="H111" s="2036"/>
      <c r="I111" s="2036"/>
      <c r="J111" s="1201"/>
      <c r="K111" s="1201"/>
      <c r="L111" s="1201"/>
      <c r="M111" s="1201"/>
      <c r="N111" s="1201"/>
      <c r="O111" s="1201"/>
      <c r="P111" s="1201"/>
      <c r="Q111" s="1201"/>
    </row>
    <row r="112" spans="2:17" ht="20.100000000000001" customHeight="1">
      <c r="B112" s="65" t="s">
        <v>732</v>
      </c>
      <c r="C112" s="4493" t="s">
        <v>801</v>
      </c>
      <c r="D112" s="4493"/>
      <c r="E112" s="2034"/>
      <c r="F112" s="2034"/>
      <c r="G112" s="1201"/>
      <c r="H112" s="1201"/>
      <c r="I112" s="1201"/>
      <c r="J112" s="1201"/>
      <c r="K112" s="1201"/>
      <c r="L112" s="1201"/>
      <c r="M112" s="1201"/>
      <c r="N112" s="1201"/>
      <c r="O112" s="1201"/>
      <c r="P112" s="1201"/>
      <c r="Q112" s="1201"/>
    </row>
    <row r="113" spans="1:17" ht="20.100000000000001" customHeight="1">
      <c r="B113" s="1201"/>
      <c r="C113" s="2034"/>
      <c r="D113" s="2034"/>
      <c r="E113" s="2034"/>
      <c r="F113" s="2035"/>
      <c r="G113" s="1201"/>
      <c r="H113" s="1201"/>
      <c r="I113" s="1201"/>
      <c r="J113" s="1201"/>
      <c r="K113" s="1201"/>
      <c r="L113" s="1201"/>
      <c r="M113" s="1201"/>
      <c r="N113" s="1201"/>
      <c r="O113" s="1201"/>
      <c r="P113" s="1201"/>
      <c r="Q113" s="1201"/>
    </row>
    <row r="114" spans="1:17" ht="20.100000000000001" customHeight="1">
      <c r="B114" s="1201"/>
      <c r="C114" s="86" t="s">
        <v>802</v>
      </c>
      <c r="D114" s="2034"/>
      <c r="E114" s="2034"/>
      <c r="F114" s="2034"/>
      <c r="G114" s="1201"/>
      <c r="H114" s="1201"/>
      <c r="I114" s="1201"/>
      <c r="J114" s="1201"/>
      <c r="K114" s="1201"/>
      <c r="L114" s="1201"/>
      <c r="M114" s="1201"/>
      <c r="N114" s="1201"/>
      <c r="O114" s="1201"/>
      <c r="P114" s="1201"/>
      <c r="Q114" s="1201"/>
    </row>
    <row r="115" spans="1:17" ht="20.100000000000001" customHeight="1">
      <c r="B115" s="65" t="s">
        <v>732</v>
      </c>
      <c r="C115" s="4493" t="s">
        <v>803</v>
      </c>
      <c r="D115" s="4493"/>
      <c r="E115" s="4493"/>
      <c r="F115" s="4493"/>
      <c r="G115" s="1201"/>
      <c r="H115" s="1201"/>
      <c r="I115" s="1201"/>
      <c r="J115" s="1201"/>
      <c r="K115" s="1201"/>
      <c r="L115" s="1201"/>
      <c r="M115" s="1201"/>
      <c r="N115" s="1201"/>
      <c r="O115" s="1201"/>
      <c r="P115" s="1201"/>
      <c r="Q115" s="1201"/>
    </row>
    <row r="116" spans="1:17" ht="20.100000000000001" customHeight="1">
      <c r="B116" s="1201"/>
      <c r="C116" s="2034"/>
      <c r="D116" s="2034"/>
      <c r="E116" s="2034"/>
      <c r="F116" s="2034"/>
      <c r="G116" s="1201"/>
      <c r="H116" s="1201"/>
      <c r="I116" s="1201"/>
      <c r="J116" s="1201"/>
      <c r="K116" s="1201"/>
      <c r="L116" s="1201"/>
      <c r="M116" s="1201"/>
      <c r="N116" s="1201"/>
      <c r="O116" s="1201"/>
      <c r="P116" s="1201"/>
      <c r="Q116" s="1201"/>
    </row>
    <row r="117" spans="1:17" ht="20.100000000000001" customHeight="1">
      <c r="B117" s="1201"/>
      <c r="C117" s="86" t="s">
        <v>804</v>
      </c>
      <c r="D117" s="2034"/>
      <c r="E117" s="2034"/>
      <c r="F117" s="2034"/>
      <c r="G117" s="1201"/>
      <c r="H117" s="1201"/>
      <c r="I117" s="1201"/>
      <c r="J117" s="1201"/>
      <c r="K117" s="1201"/>
      <c r="L117" s="1201"/>
      <c r="M117" s="1201"/>
      <c r="N117" s="1201"/>
      <c r="O117" s="1201"/>
      <c r="P117" s="1201"/>
      <c r="Q117" s="1201"/>
    </row>
    <row r="118" spans="1:17" ht="20.100000000000001" customHeight="1">
      <c r="B118" s="65" t="s">
        <v>732</v>
      </c>
      <c r="C118" s="4493" t="s">
        <v>805</v>
      </c>
      <c r="D118" s="4493"/>
      <c r="E118" s="4493"/>
      <c r="F118" s="4493"/>
      <c r="G118" s="1201"/>
      <c r="H118" s="1201"/>
      <c r="I118" s="1201"/>
      <c r="J118" s="1201"/>
      <c r="K118" s="1201"/>
      <c r="L118" s="1201"/>
      <c r="M118" s="1201"/>
      <c r="N118" s="1201"/>
      <c r="O118" s="1201"/>
      <c r="P118" s="1201"/>
      <c r="Q118" s="1201"/>
    </row>
    <row r="119" spans="1:17" ht="20.100000000000001" customHeight="1">
      <c r="B119" s="1201"/>
      <c r="C119" s="2034"/>
      <c r="D119" s="2034"/>
      <c r="E119" s="2034"/>
      <c r="F119" s="2034"/>
      <c r="G119" s="1201"/>
      <c r="H119" s="1201"/>
      <c r="I119" s="1201"/>
      <c r="J119" s="1201"/>
      <c r="K119" s="1201"/>
      <c r="L119" s="1201"/>
      <c r="M119" s="1201"/>
      <c r="N119" s="1201"/>
      <c r="O119" s="1201"/>
      <c r="P119" s="1201"/>
      <c r="Q119" s="1201"/>
    </row>
    <row r="120" spans="1:17" ht="20.100000000000001" customHeight="1">
      <c r="B120" s="1201"/>
      <c r="C120" s="86" t="s">
        <v>806</v>
      </c>
      <c r="D120" s="2034"/>
      <c r="E120" s="2034"/>
      <c r="F120" s="2034"/>
      <c r="G120" s="1201"/>
      <c r="H120" s="1201"/>
      <c r="I120" s="1201"/>
      <c r="J120" s="1201"/>
      <c r="K120" s="1201"/>
      <c r="L120" s="1201"/>
      <c r="M120" s="1201"/>
      <c r="N120" s="1201"/>
      <c r="O120" s="1201"/>
      <c r="P120" s="1201"/>
      <c r="Q120" s="1201"/>
    </row>
    <row r="121" spans="1:17" ht="20.100000000000001" customHeight="1">
      <c r="B121" s="65" t="s">
        <v>732</v>
      </c>
      <c r="C121" s="4493" t="s">
        <v>807</v>
      </c>
      <c r="D121" s="4493"/>
      <c r="E121" s="2034"/>
      <c r="F121" s="2034"/>
      <c r="G121" s="1201"/>
      <c r="H121" s="1201"/>
      <c r="I121" s="1201"/>
      <c r="J121" s="1201"/>
      <c r="K121" s="1201"/>
      <c r="L121" s="1201"/>
      <c r="M121" s="1201"/>
      <c r="N121" s="1201"/>
      <c r="O121" s="1201"/>
      <c r="P121" s="1201"/>
      <c r="Q121" s="1201"/>
    </row>
    <row r="122" spans="1:17" ht="20.100000000000001" customHeight="1">
      <c r="B122" s="2036"/>
      <c r="C122" s="2036"/>
      <c r="D122" s="2036"/>
      <c r="E122" s="2034"/>
      <c r="F122" s="2034"/>
      <c r="G122" s="1201"/>
      <c r="H122" s="1201"/>
      <c r="I122" s="1201"/>
      <c r="J122" s="1201"/>
      <c r="K122" s="1201"/>
      <c r="L122" s="1201"/>
      <c r="M122" s="1201"/>
      <c r="N122" s="1201"/>
      <c r="O122" s="1201"/>
      <c r="P122" s="1201"/>
      <c r="Q122" s="1201"/>
    </row>
    <row r="123" spans="1:17" ht="20.100000000000001" customHeight="1">
      <c r="B123" s="87" t="s">
        <v>732</v>
      </c>
      <c r="C123" s="4491" t="s">
        <v>808</v>
      </c>
      <c r="D123" s="4492"/>
      <c r="E123" s="4492"/>
      <c r="F123" s="4492"/>
      <c r="G123" s="1201"/>
      <c r="H123" s="1201"/>
      <c r="I123" s="1201"/>
      <c r="J123" s="1201"/>
      <c r="K123" s="1201"/>
      <c r="L123" s="1201"/>
      <c r="M123" s="1201"/>
      <c r="N123" s="1201"/>
      <c r="O123" s="1201"/>
      <c r="P123" s="1201"/>
      <c r="Q123" s="1201"/>
    </row>
    <row r="124" spans="1:17" ht="20.100000000000001" customHeight="1">
      <c r="B124" s="1201"/>
      <c r="C124" s="2034"/>
      <c r="D124" s="2034"/>
      <c r="E124" s="2034"/>
      <c r="F124" s="2037"/>
      <c r="G124" s="1201"/>
      <c r="H124" s="1201"/>
      <c r="I124" s="1201"/>
      <c r="J124" s="1201"/>
      <c r="K124" s="1201"/>
      <c r="L124" s="1201"/>
      <c r="M124" s="1201"/>
      <c r="N124" s="1201"/>
      <c r="O124" s="1201"/>
      <c r="P124" s="1201"/>
      <c r="Q124" s="1201"/>
    </row>
    <row r="125" spans="1:17" ht="20.100000000000001" customHeight="1">
      <c r="B125" s="1201"/>
      <c r="C125" s="86" t="s">
        <v>809</v>
      </c>
      <c r="D125" s="2034"/>
      <c r="E125" s="2034"/>
      <c r="F125" s="2037"/>
      <c r="G125" s="1201"/>
      <c r="H125" s="1201"/>
      <c r="I125" s="1201"/>
      <c r="J125" s="1201"/>
      <c r="K125" s="1201"/>
      <c r="L125" s="1201"/>
      <c r="M125" s="1201"/>
      <c r="N125" s="1201"/>
      <c r="O125" s="1201"/>
      <c r="P125" s="1201"/>
      <c r="Q125" s="1201"/>
    </row>
    <row r="126" spans="1:17" ht="20.100000000000001" customHeight="1">
      <c r="B126" s="65" t="s">
        <v>732</v>
      </c>
      <c r="C126" s="4493" t="s">
        <v>810</v>
      </c>
      <c r="D126" s="4493"/>
      <c r="E126" s="4493"/>
      <c r="F126" s="4493"/>
      <c r="G126" s="4493"/>
      <c r="H126" s="1201"/>
      <c r="I126" s="1201"/>
      <c r="J126" s="1201"/>
      <c r="K126" s="1201"/>
      <c r="L126" s="1201"/>
      <c r="M126" s="1201"/>
      <c r="N126" s="1201"/>
      <c r="O126" s="1201"/>
      <c r="P126" s="1201"/>
      <c r="Q126" s="1201"/>
    </row>
    <row r="127" spans="1:17" ht="20.100000000000001" customHeight="1">
      <c r="B127" s="1201"/>
      <c r="C127" s="1201"/>
      <c r="D127" s="1201"/>
      <c r="E127" s="63"/>
      <c r="F127" s="63"/>
      <c r="G127" s="1201"/>
      <c r="H127" s="1201"/>
      <c r="I127" s="1201"/>
      <c r="J127" s="1201"/>
      <c r="K127" s="1201"/>
      <c r="L127" s="1201"/>
      <c r="M127" s="1201"/>
      <c r="N127" s="1201"/>
      <c r="O127" s="1201"/>
      <c r="P127" s="1201"/>
      <c r="Q127" s="1201"/>
    </row>
    <row r="128" spans="1:17">
      <c r="A128" s="1997"/>
      <c r="B128" s="1998"/>
      <c r="C128" s="1999"/>
      <c r="D128" s="1999"/>
      <c r="E128" s="1999"/>
      <c r="F128" s="1999"/>
      <c r="G128" s="1999"/>
      <c r="H128" s="1999"/>
      <c r="I128" s="1999"/>
      <c r="J128" s="1998"/>
      <c r="K128" s="1998"/>
      <c r="L128" s="1998"/>
      <c r="M128" s="1997"/>
      <c r="N128" s="1997"/>
      <c r="O128" s="1997"/>
      <c r="P128" s="1997"/>
      <c r="Q128" s="1997"/>
    </row>
    <row r="129" spans="1:17" ht="18.75">
      <c r="A129" s="1201"/>
      <c r="B129" s="88" t="s">
        <v>811</v>
      </c>
      <c r="C129" s="1201"/>
      <c r="D129" s="1201"/>
      <c r="E129" s="1201"/>
      <c r="F129" s="2038"/>
      <c r="G129" s="2038"/>
      <c r="H129" s="1985"/>
      <c r="I129" s="2039"/>
      <c r="J129" s="2040"/>
      <c r="K129" s="2040"/>
      <c r="L129" s="2041"/>
      <c r="M129" s="2039"/>
      <c r="N129" s="2039"/>
      <c r="O129" s="1201"/>
      <c r="P129" s="1201"/>
      <c r="Q129" s="1985"/>
    </row>
    <row r="130" spans="1:17" ht="18.75">
      <c r="A130" s="1201"/>
      <c r="B130" s="88"/>
      <c r="C130" s="4494" t="s">
        <v>812</v>
      </c>
      <c r="D130" s="4494"/>
      <c r="E130" s="4494"/>
      <c r="F130" s="4494"/>
      <c r="G130" s="4494"/>
      <c r="H130" s="4494"/>
      <c r="I130" s="2039"/>
      <c r="J130" s="2039"/>
      <c r="K130" s="2041"/>
      <c r="L130" s="2041"/>
      <c r="M130" s="2039"/>
      <c r="N130" s="2039"/>
      <c r="O130" s="1201"/>
      <c r="P130" s="1201"/>
      <c r="Q130" s="1985"/>
    </row>
    <row r="131" spans="1:17" ht="18.75">
      <c r="A131" s="1201"/>
      <c r="B131" s="88"/>
      <c r="C131" s="89"/>
      <c r="D131" s="2038"/>
      <c r="E131" s="2038"/>
      <c r="F131" s="2038"/>
      <c r="G131" s="2038"/>
      <c r="H131" s="1985"/>
      <c r="I131" s="2039"/>
      <c r="J131" s="2039"/>
      <c r="K131" s="2041"/>
      <c r="L131" s="2041"/>
      <c r="M131" s="2039"/>
      <c r="N131" s="2039"/>
      <c r="O131" s="1201"/>
      <c r="P131" s="1201"/>
      <c r="Q131" s="1985"/>
    </row>
    <row r="132" spans="1:17" ht="18.75">
      <c r="A132" s="1201"/>
      <c r="B132" s="1070"/>
      <c r="C132" s="4495" t="s">
        <v>813</v>
      </c>
      <c r="D132" s="4495"/>
      <c r="E132" s="4495"/>
      <c r="F132" s="4495"/>
      <c r="G132" s="1985"/>
      <c r="H132" s="1985"/>
      <c r="I132" s="1985"/>
      <c r="J132" s="1985"/>
      <c r="K132" s="1985"/>
      <c r="L132" s="2041"/>
      <c r="M132" s="2039"/>
      <c r="N132" s="2039"/>
      <c r="O132" s="1201"/>
      <c r="P132" s="1201"/>
      <c r="Q132" s="1985"/>
    </row>
    <row r="133" spans="1:17" ht="18.75">
      <c r="A133" s="1201"/>
      <c r="B133" s="1070"/>
      <c r="C133" s="1069"/>
      <c r="D133" s="2038"/>
      <c r="E133" s="2038"/>
      <c r="F133" s="2038"/>
      <c r="G133" s="1985"/>
      <c r="H133" s="1985"/>
      <c r="I133" s="1985"/>
      <c r="J133" s="1985"/>
      <c r="K133" s="2041"/>
      <c r="L133" s="2041"/>
      <c r="M133" s="2039"/>
      <c r="N133" s="2039"/>
      <c r="O133" s="1201"/>
      <c r="P133" s="1201"/>
      <c r="Q133" s="1985"/>
    </row>
    <row r="134" spans="1:17" ht="18.75">
      <c r="A134" s="1201"/>
      <c r="B134" s="88"/>
      <c r="C134" s="4494" t="s">
        <v>814</v>
      </c>
      <c r="D134" s="4494"/>
      <c r="E134" s="4494"/>
      <c r="F134" s="4494"/>
      <c r="G134" s="1985"/>
      <c r="H134" s="1985"/>
      <c r="I134" s="1985"/>
      <c r="J134" s="1985"/>
      <c r="K134" s="1985"/>
      <c r="L134" s="2041"/>
      <c r="M134" s="2039"/>
      <c r="N134" s="2039"/>
      <c r="O134" s="1201"/>
      <c r="P134" s="1201"/>
      <c r="Q134" s="1985"/>
    </row>
    <row r="135" spans="1:17" ht="18.75">
      <c r="A135" s="1201"/>
      <c r="B135" s="88"/>
      <c r="C135" s="88"/>
      <c r="D135" s="88"/>
      <c r="E135" s="88"/>
      <c r="F135" s="88"/>
      <c r="G135" s="1985"/>
      <c r="H135" s="1985"/>
      <c r="I135" s="1985"/>
      <c r="J135" s="1985"/>
      <c r="K135" s="1985"/>
      <c r="L135" s="2041"/>
      <c r="M135" s="2039"/>
      <c r="N135" s="2039"/>
      <c r="O135" s="1201"/>
      <c r="P135" s="1201"/>
      <c r="Q135" s="1985"/>
    </row>
    <row r="136" spans="1:17" ht="18.75">
      <c r="A136" s="1201"/>
      <c r="B136" s="88"/>
      <c r="C136" s="4494" t="s">
        <v>815</v>
      </c>
      <c r="D136" s="4494"/>
      <c r="E136" s="4494"/>
      <c r="F136" s="4494"/>
      <c r="G136" s="1985"/>
      <c r="H136" s="1985"/>
      <c r="I136" s="1985"/>
      <c r="J136" s="1985"/>
      <c r="K136" s="1985"/>
      <c r="L136" s="2041"/>
      <c r="M136" s="2039"/>
      <c r="N136" s="2039"/>
      <c r="O136" s="1201"/>
      <c r="P136" s="1201"/>
      <c r="Q136" s="1985"/>
    </row>
    <row r="137" spans="1:17" ht="18.75">
      <c r="A137" s="1201"/>
      <c r="B137" s="88"/>
      <c r="C137" s="89"/>
      <c r="D137" s="2038"/>
      <c r="E137" s="2038"/>
      <c r="F137" s="2038"/>
      <c r="G137" s="1985"/>
      <c r="H137" s="1985"/>
      <c r="I137" s="1985"/>
      <c r="J137" s="1985"/>
      <c r="K137" s="1985"/>
      <c r="L137" s="2041"/>
      <c r="M137" s="2039"/>
      <c r="N137" s="2039"/>
      <c r="O137" s="1201"/>
      <c r="P137" s="1201"/>
      <c r="Q137" s="1985"/>
    </row>
    <row r="138" spans="1:17" ht="16.5" customHeight="1">
      <c r="A138" s="1201"/>
      <c r="B138" s="2042" t="s">
        <v>816</v>
      </c>
      <c r="C138" s="2043"/>
      <c r="D138" s="2044"/>
      <c r="E138" s="2043"/>
      <c r="F138" s="2043"/>
      <c r="G138" s="2043"/>
      <c r="H138" s="2043"/>
      <c r="I138" s="2043"/>
      <c r="J138" s="2043"/>
      <c r="K138" s="2043"/>
      <c r="L138" s="1201"/>
      <c r="M138" s="1201"/>
      <c r="N138" s="1201"/>
      <c r="O138" s="1201"/>
      <c r="P138" s="1201"/>
      <c r="Q138" s="1201"/>
    </row>
    <row r="139" spans="1:17" ht="16.5" customHeight="1">
      <c r="A139" s="1201"/>
      <c r="B139" s="2045"/>
      <c r="C139" s="2043"/>
      <c r="D139" s="2046" t="s">
        <v>817</v>
      </c>
      <c r="E139" s="2047"/>
      <c r="F139" s="2047"/>
      <c r="G139" s="2048"/>
      <c r="H139" s="2048"/>
      <c r="I139" s="2048"/>
      <c r="J139" s="2048"/>
      <c r="K139" s="2048"/>
      <c r="L139" s="1201"/>
      <c r="M139" s="1201"/>
      <c r="N139" s="1201"/>
      <c r="O139" s="1201"/>
      <c r="P139" s="1201"/>
      <c r="Q139" s="1201"/>
    </row>
    <row r="140" spans="1:17" ht="20.100000000000001" customHeight="1">
      <c r="A140" s="1201"/>
      <c r="B140" s="2049"/>
      <c r="C140" s="2043"/>
      <c r="D140" s="2047" t="s">
        <v>818</v>
      </c>
      <c r="E140" s="2043"/>
      <c r="F140" s="2043"/>
      <c r="G140" s="2043"/>
      <c r="H140" s="2043"/>
      <c r="I140" s="2043"/>
      <c r="J140" s="2043"/>
      <c r="K140" s="2043"/>
      <c r="L140" s="1201"/>
      <c r="M140" s="1201"/>
      <c r="N140" s="1201"/>
      <c r="O140" s="1201"/>
      <c r="P140" s="1201"/>
      <c r="Q140" s="1201"/>
    </row>
    <row r="141" spans="1:17" ht="20.100000000000001" customHeight="1">
      <c r="A141" s="1201"/>
      <c r="B141" s="2049"/>
      <c r="C141" s="2043"/>
      <c r="D141" s="2047" t="s">
        <v>819</v>
      </c>
      <c r="E141" s="2043"/>
      <c r="F141" s="2043"/>
      <c r="G141" s="2043"/>
      <c r="H141" s="2043"/>
      <c r="I141" s="2046" t="s">
        <v>820</v>
      </c>
      <c r="J141" s="2043"/>
      <c r="K141" s="2043"/>
      <c r="L141" s="1201"/>
      <c r="M141" s="1201"/>
      <c r="N141" s="1201"/>
      <c r="O141" s="1201"/>
      <c r="P141" s="1201"/>
      <c r="Q141" s="1201"/>
    </row>
    <row r="142" spans="1:17" ht="20.100000000000001" customHeight="1" thickBot="1">
      <c r="A142" s="1201"/>
      <c r="B142" s="2050" t="s">
        <v>821</v>
      </c>
      <c r="C142" s="2051"/>
      <c r="D142" s="2052"/>
      <c r="E142" s="2051"/>
      <c r="F142" s="2053"/>
      <c r="G142" s="2051"/>
      <c r="H142" s="2051"/>
      <c r="I142" s="2051"/>
      <c r="J142" s="2051"/>
      <c r="K142" s="2051"/>
      <c r="L142" s="1201"/>
      <c r="M142" s="1201"/>
      <c r="N142" s="1201"/>
      <c r="O142" s="1201"/>
      <c r="P142" s="1201"/>
      <c r="Q142" s="1201"/>
    </row>
    <row r="143" spans="1:17" ht="20.100000000000001" customHeight="1" thickTop="1" thickBot="1">
      <c r="A143" s="1201"/>
      <c r="B143" s="2050"/>
      <c r="C143" s="2054"/>
      <c r="D143" s="2055">
        <f>LEN(F143)</f>
        <v>58</v>
      </c>
      <c r="E143" s="2056" t="s">
        <v>822</v>
      </c>
      <c r="F143" s="2057" t="s">
        <v>816</v>
      </c>
      <c r="G143" s="2051"/>
      <c r="H143" s="2051"/>
      <c r="I143" s="2051"/>
      <c r="J143" s="2051"/>
      <c r="K143" s="2051"/>
      <c r="L143" s="1201"/>
      <c r="M143" s="1201"/>
      <c r="N143" s="1201"/>
      <c r="O143" s="1201"/>
      <c r="P143" s="1201"/>
      <c r="Q143" s="1201"/>
    </row>
    <row r="144" spans="1:17" ht="20.100000000000001" customHeight="1" thickTop="1">
      <c r="A144" s="1201"/>
      <c r="B144" s="2050"/>
      <c r="C144" s="2051"/>
      <c r="D144" s="2051"/>
      <c r="E144" s="2051"/>
      <c r="F144" s="2058"/>
      <c r="G144" s="2051"/>
      <c r="H144" s="2051"/>
      <c r="I144" s="2051"/>
      <c r="J144" s="2051"/>
      <c r="K144" s="2051"/>
      <c r="L144" s="1201"/>
      <c r="M144" s="1201"/>
      <c r="N144" s="1201"/>
      <c r="O144" s="1201"/>
      <c r="P144" s="1201"/>
      <c r="Q144" s="1201"/>
    </row>
    <row r="145" spans="1:17" ht="20.100000000000001" customHeight="1">
      <c r="A145" s="1201"/>
      <c r="B145" s="2050" t="s">
        <v>823</v>
      </c>
      <c r="C145" s="2059"/>
      <c r="D145" s="2059"/>
      <c r="E145" s="2059"/>
      <c r="F145" s="2059"/>
      <c r="G145" s="2059"/>
      <c r="H145" s="2059"/>
      <c r="I145" s="2059"/>
      <c r="J145" s="2059"/>
      <c r="K145" s="2059"/>
      <c r="L145" s="1201"/>
      <c r="M145" s="1201"/>
      <c r="N145" s="1201"/>
      <c r="O145" s="1201"/>
      <c r="P145" s="1201"/>
      <c r="Q145" s="1201"/>
    </row>
    <row r="146" spans="1:17" ht="20.100000000000001" customHeight="1">
      <c r="A146" s="1201"/>
      <c r="B146" s="2050"/>
      <c r="C146" s="2054"/>
      <c r="D146" s="2055">
        <f>LEN(F146)</f>
        <v>50</v>
      </c>
      <c r="E146" s="2056" t="s">
        <v>822</v>
      </c>
      <c r="F146" s="2060" t="str">
        <f>SUBSTITUTE(F143," ","")</f>
        <v>Utilitairepoursupprimerlesespacevidesdansunephrase</v>
      </c>
      <c r="G146" s="2051"/>
      <c r="H146" s="2051"/>
      <c r="I146" s="2051"/>
      <c r="J146" s="2051"/>
      <c r="K146" s="2051"/>
      <c r="L146" s="1201"/>
      <c r="M146" s="1201"/>
      <c r="N146" s="1201"/>
      <c r="O146" s="1201"/>
      <c r="P146" s="1201"/>
      <c r="Q146" s="1201"/>
    </row>
    <row r="147" spans="1:17" ht="18.75">
      <c r="A147" s="1201"/>
      <c r="B147" s="2050"/>
      <c r="C147" s="2050" t="s">
        <v>824</v>
      </c>
      <c r="D147" s="2059"/>
      <c r="E147" s="2059"/>
      <c r="F147" s="2059"/>
      <c r="G147" s="2059"/>
      <c r="H147" s="2059"/>
      <c r="I147" s="2059"/>
      <c r="J147" s="2059"/>
      <c r="K147" s="2059"/>
      <c r="L147" s="1201"/>
      <c r="M147" s="1201"/>
      <c r="N147" s="1201"/>
      <c r="O147" s="1201"/>
      <c r="P147" s="1201"/>
      <c r="Q147" s="1201"/>
    </row>
    <row r="148" spans="1:17" ht="18.75">
      <c r="A148" s="1201"/>
      <c r="B148" s="2061"/>
      <c r="C148" s="2050" t="s">
        <v>825</v>
      </c>
      <c r="D148" s="2050"/>
      <c r="E148" s="2061"/>
      <c r="F148" s="2061"/>
      <c r="G148" s="2061"/>
      <c r="H148" s="2061"/>
      <c r="I148" s="2061"/>
      <c r="J148" s="2061"/>
      <c r="K148" s="2061"/>
      <c r="L148" s="1201"/>
      <c r="M148" s="1201"/>
      <c r="N148" s="1201"/>
      <c r="O148" s="1201"/>
      <c r="P148" s="1201"/>
      <c r="Q148" s="1201"/>
    </row>
    <row r="149" spans="1:17" ht="18.75">
      <c r="A149" s="1201"/>
      <c r="B149" s="2061"/>
      <c r="C149" s="2050" t="s">
        <v>826</v>
      </c>
      <c r="D149" s="2050"/>
      <c r="E149" s="2061"/>
      <c r="F149" s="2061"/>
      <c r="G149" s="2061"/>
      <c r="H149" s="2061"/>
      <c r="I149" s="2061"/>
      <c r="J149" s="2061"/>
      <c r="K149" s="2061"/>
      <c r="L149" s="1201"/>
      <c r="M149" s="1201"/>
      <c r="N149" s="1201"/>
      <c r="O149" s="1201"/>
      <c r="P149" s="1201"/>
      <c r="Q149" s="1201"/>
    </row>
    <row r="150" spans="1:17" ht="18.75">
      <c r="A150" s="1201"/>
      <c r="B150" s="2061"/>
      <c r="C150" s="2050"/>
      <c r="D150" s="2050"/>
      <c r="E150" s="2061"/>
      <c r="F150" s="2061"/>
      <c r="G150" s="2061"/>
      <c r="H150" s="2061"/>
      <c r="I150" s="2061"/>
      <c r="J150" s="2061"/>
      <c r="K150" s="2061"/>
      <c r="L150" s="1201"/>
      <c r="M150" s="1201"/>
      <c r="N150" s="1201"/>
      <c r="O150" s="1201"/>
      <c r="P150" s="1201"/>
      <c r="Q150" s="1201"/>
    </row>
    <row r="151" spans="1:17" ht="15.75">
      <c r="A151" s="1201"/>
      <c r="B151" s="2061"/>
      <c r="C151" s="2062" t="s">
        <v>827</v>
      </c>
      <c r="D151" s="2063" t="s">
        <v>828</v>
      </c>
      <c r="E151" s="2061"/>
      <c r="F151" s="2061"/>
      <c r="G151" s="2061"/>
      <c r="H151" s="2061"/>
      <c r="I151" s="2061"/>
      <c r="J151" s="2061"/>
      <c r="K151" s="2061"/>
      <c r="L151" s="1201"/>
      <c r="M151" s="1201"/>
      <c r="N151" s="1201"/>
      <c r="O151" s="1201"/>
      <c r="P151" s="1201"/>
      <c r="Q151" s="1201"/>
    </row>
    <row r="152" spans="1:17" ht="15" customHeight="1">
      <c r="B152" s="2061"/>
      <c r="C152" s="2061"/>
      <c r="D152" s="2061"/>
      <c r="E152" s="2061"/>
      <c r="F152" s="2061"/>
      <c r="G152" s="2061"/>
      <c r="H152" s="2061"/>
      <c r="I152" s="2061"/>
      <c r="J152" s="2061"/>
      <c r="K152" s="2061"/>
      <c r="L152" s="1201"/>
      <c r="M152" s="1201"/>
      <c r="N152" s="1201"/>
      <c r="O152" s="1201"/>
      <c r="P152" s="1201"/>
      <c r="Q152" s="1201"/>
    </row>
    <row r="153" spans="1:17">
      <c r="A153" s="1201"/>
      <c r="B153" s="1985"/>
      <c r="C153" s="1985"/>
      <c r="D153" s="1985"/>
      <c r="E153" s="1985"/>
      <c r="F153" s="1985"/>
      <c r="G153" s="1985"/>
      <c r="H153" s="1985"/>
      <c r="I153" s="1985"/>
      <c r="J153" s="1985"/>
      <c r="K153" s="1985"/>
      <c r="L153" s="1985"/>
      <c r="M153" s="1201"/>
      <c r="N153" s="1201"/>
      <c r="O153" s="1201"/>
      <c r="P153" s="1201"/>
      <c r="Q153" s="1201"/>
    </row>
    <row r="154" spans="1:17" ht="18.75">
      <c r="A154" s="1201"/>
      <c r="B154" s="1985"/>
      <c r="C154" s="90"/>
      <c r="D154" s="89" t="s">
        <v>814</v>
      </c>
      <c r="E154" s="88"/>
      <c r="F154" s="88"/>
      <c r="G154" s="1201"/>
      <c r="H154" s="1201"/>
      <c r="I154" s="1201"/>
      <c r="J154" s="1201"/>
      <c r="K154" s="1201"/>
      <c r="L154" s="1201"/>
      <c r="M154" s="1201"/>
      <c r="N154" s="1201"/>
      <c r="O154" s="1201"/>
      <c r="P154" s="1201"/>
      <c r="Q154" s="1201"/>
    </row>
    <row r="155" spans="1:17">
      <c r="A155" s="1201"/>
      <c r="B155" s="1985"/>
      <c r="C155" s="1201"/>
      <c r="D155" s="2064"/>
      <c r="E155" s="1201"/>
      <c r="F155" s="1201"/>
      <c r="G155" s="1201"/>
      <c r="H155" s="1201"/>
      <c r="I155" s="1201"/>
      <c r="J155" s="1201"/>
      <c r="K155" s="1201"/>
      <c r="L155" s="1201"/>
      <c r="M155" s="1201"/>
      <c r="N155" s="1201"/>
      <c r="O155" s="1201"/>
      <c r="P155" s="1201"/>
      <c r="Q155" s="1201"/>
    </row>
    <row r="156" spans="1:17">
      <c r="A156" s="1201"/>
      <c r="B156" s="1985"/>
      <c r="C156" s="91" t="s">
        <v>829</v>
      </c>
      <c r="D156" s="1201"/>
      <c r="E156" s="1201"/>
      <c r="F156" s="1201"/>
      <c r="G156" s="1201"/>
      <c r="H156" s="1201"/>
      <c r="I156" s="92" t="s">
        <v>830</v>
      </c>
      <c r="J156" s="92" t="s">
        <v>831</v>
      </c>
      <c r="K156" s="1201"/>
      <c r="L156" s="1201"/>
      <c r="M156" s="1201"/>
      <c r="N156" s="1201"/>
      <c r="O156" s="1201"/>
      <c r="P156" s="1201"/>
      <c r="Q156" s="1201"/>
    </row>
    <row r="157" spans="1:17">
      <c r="A157" s="1201"/>
      <c r="B157" s="1985"/>
      <c r="C157" s="2065" t="s">
        <v>832</v>
      </c>
      <c r="D157" s="1201"/>
      <c r="E157" s="1201"/>
      <c r="F157" s="1201"/>
      <c r="G157" s="1201"/>
      <c r="H157" s="1201"/>
      <c r="I157" s="2066">
        <v>41422</v>
      </c>
      <c r="J157" s="2067">
        <v>4416</v>
      </c>
      <c r="K157" s="1201"/>
      <c r="L157" s="1201"/>
      <c r="M157" s="1201"/>
      <c r="N157" s="1201"/>
      <c r="O157" s="1201"/>
      <c r="P157" s="1201"/>
      <c r="Q157" s="1201"/>
    </row>
    <row r="158" spans="1:17">
      <c r="A158" s="1201"/>
      <c r="B158" s="1985"/>
      <c r="C158" s="2065" t="s">
        <v>833</v>
      </c>
      <c r="D158" s="1201"/>
      <c r="E158" s="1201"/>
      <c r="F158" s="1201"/>
      <c r="G158" s="1201"/>
      <c r="H158" s="1201"/>
      <c r="I158" s="2066">
        <v>41092</v>
      </c>
      <c r="J158" s="2067">
        <v>14900</v>
      </c>
      <c r="K158" s="1201"/>
      <c r="L158" s="1201"/>
      <c r="M158" s="1201"/>
      <c r="N158" s="1201"/>
      <c r="O158" s="1201"/>
      <c r="P158" s="1201"/>
      <c r="Q158" s="1201"/>
    </row>
    <row r="159" spans="1:17">
      <c r="A159" s="1201"/>
      <c r="B159" s="1985"/>
      <c r="C159" s="2065" t="s">
        <v>834</v>
      </c>
      <c r="D159" s="1201"/>
      <c r="E159" s="1201"/>
      <c r="F159" s="1201"/>
      <c r="G159" s="1201"/>
      <c r="H159" s="1201"/>
      <c r="I159" s="2066">
        <v>41062</v>
      </c>
      <c r="J159" s="2067">
        <v>36257</v>
      </c>
      <c r="K159" s="1201"/>
      <c r="L159" s="1201"/>
      <c r="M159" s="1201"/>
      <c r="N159" s="1201"/>
      <c r="O159" s="1201"/>
      <c r="P159" s="1201"/>
      <c r="Q159" s="1201"/>
    </row>
    <row r="160" spans="1:17">
      <c r="A160" s="1201"/>
      <c r="B160" s="1985"/>
      <c r="C160" s="2065" t="s">
        <v>835</v>
      </c>
      <c r="D160" s="1201"/>
      <c r="E160" s="1201"/>
      <c r="F160" s="1201"/>
      <c r="G160" s="1201"/>
      <c r="H160" s="1201"/>
      <c r="I160" s="2066">
        <v>41062</v>
      </c>
      <c r="J160" s="2067">
        <v>14390</v>
      </c>
      <c r="K160" s="1201"/>
      <c r="L160" s="1201"/>
      <c r="M160" s="1201"/>
      <c r="N160" s="1201"/>
      <c r="O160" s="1201"/>
      <c r="P160" s="1201"/>
      <c r="Q160" s="1201"/>
    </row>
    <row r="161" spans="1:17">
      <c r="A161" s="1201"/>
      <c r="B161" s="1985"/>
      <c r="C161" s="2068" t="s">
        <v>836</v>
      </c>
      <c r="D161" s="1201"/>
      <c r="E161" s="1201"/>
      <c r="F161" s="1201"/>
      <c r="G161" s="1201"/>
      <c r="H161" s="1201"/>
      <c r="I161" s="2066">
        <v>41052</v>
      </c>
      <c r="J161" s="2067">
        <v>48910</v>
      </c>
      <c r="K161" s="1201"/>
      <c r="L161" s="1201"/>
      <c r="M161" s="1201"/>
      <c r="N161" s="1201"/>
      <c r="O161" s="1201"/>
      <c r="P161" s="1201"/>
      <c r="Q161" s="1201"/>
    </row>
    <row r="162" spans="1:17">
      <c r="A162" s="1201"/>
      <c r="B162" s="1985"/>
      <c r="C162" s="2065" t="s">
        <v>837</v>
      </c>
      <c r="D162" s="1201"/>
      <c r="E162" s="1201"/>
      <c r="F162" s="1201"/>
      <c r="G162" s="1201"/>
      <c r="H162" s="1201"/>
      <c r="I162" s="2066">
        <v>41025</v>
      </c>
      <c r="J162" s="2067">
        <v>14751</v>
      </c>
      <c r="K162" s="1201"/>
      <c r="L162" s="1201"/>
      <c r="M162" s="1201"/>
      <c r="N162" s="1201"/>
      <c r="O162" s="1201"/>
      <c r="P162" s="1201"/>
      <c r="Q162" s="1201"/>
    </row>
    <row r="163" spans="1:17">
      <c r="A163" s="1201"/>
      <c r="B163" s="1985"/>
      <c r="C163" s="2065" t="s">
        <v>838</v>
      </c>
      <c r="D163" s="1201"/>
      <c r="E163" s="1201"/>
      <c r="F163" s="1201"/>
      <c r="G163" s="1201"/>
      <c r="H163" s="1201"/>
      <c r="I163" s="2066">
        <v>40848</v>
      </c>
      <c r="J163" s="2067">
        <v>10084</v>
      </c>
      <c r="K163" s="1201"/>
      <c r="L163" s="1201"/>
      <c r="M163" s="1201"/>
      <c r="N163" s="1201"/>
      <c r="O163" s="1201"/>
      <c r="P163" s="1201"/>
      <c r="Q163" s="1201"/>
    </row>
    <row r="164" spans="1:17">
      <c r="A164" s="1201"/>
      <c r="B164" s="1985"/>
      <c r="C164" s="2065" t="s">
        <v>839</v>
      </c>
      <c r="D164" s="1201"/>
      <c r="E164" s="1201"/>
      <c r="F164" s="1201"/>
      <c r="G164" s="1201"/>
      <c r="H164" s="1201"/>
      <c r="I164" s="2066">
        <v>40454</v>
      </c>
      <c r="J164" s="2067">
        <v>45222</v>
      </c>
      <c r="K164" s="1201"/>
      <c r="L164" s="1201"/>
      <c r="M164" s="1201"/>
      <c r="N164" s="1201"/>
      <c r="O164" s="1201"/>
      <c r="P164" s="1201"/>
      <c r="Q164" s="1201"/>
    </row>
    <row r="165" spans="1:17">
      <c r="A165" s="1201"/>
      <c r="B165" s="1985"/>
      <c r="C165" s="2065" t="s">
        <v>840</v>
      </c>
      <c r="D165" s="1201"/>
      <c r="E165" s="1201"/>
      <c r="F165" s="1201"/>
      <c r="G165" s="1201"/>
      <c r="H165" s="1201"/>
      <c r="I165" s="2066">
        <v>40294</v>
      </c>
      <c r="J165" s="2067">
        <v>65784</v>
      </c>
      <c r="K165" s="1201"/>
      <c r="L165" s="1201"/>
      <c r="M165" s="1201"/>
      <c r="N165" s="1201"/>
      <c r="O165" s="1201"/>
      <c r="P165" s="1201"/>
      <c r="Q165" s="1201"/>
    </row>
    <row r="166" spans="1:17">
      <c r="A166" s="1201"/>
      <c r="B166" s="1985"/>
      <c r="C166" s="2065" t="s">
        <v>841</v>
      </c>
      <c r="D166" s="1201"/>
      <c r="E166" s="1201"/>
      <c r="F166" s="1201"/>
      <c r="G166" s="1201"/>
      <c r="H166" s="1201"/>
      <c r="I166" s="2066">
        <v>40273</v>
      </c>
      <c r="J166" s="2067">
        <v>96965</v>
      </c>
      <c r="K166" s="1201"/>
      <c r="L166" s="1201"/>
      <c r="M166" s="1201"/>
      <c r="N166" s="1201"/>
      <c r="O166" s="1201"/>
      <c r="P166" s="1201"/>
      <c r="Q166" s="1201"/>
    </row>
    <row r="167" spans="1:17">
      <c r="A167" s="1201"/>
      <c r="B167" s="1985"/>
      <c r="C167" s="2065" t="s">
        <v>842</v>
      </c>
      <c r="D167" s="1201"/>
      <c r="E167" s="1201"/>
      <c r="F167" s="1201"/>
      <c r="G167" s="1201"/>
      <c r="H167" s="1201"/>
      <c r="I167" s="2066">
        <v>40273</v>
      </c>
      <c r="J167" s="2067">
        <v>45902</v>
      </c>
      <c r="K167" s="1201"/>
      <c r="L167" s="1201"/>
      <c r="M167" s="1201"/>
      <c r="N167" s="1201"/>
      <c r="O167" s="1201"/>
      <c r="P167" s="1201"/>
      <c r="Q167" s="1201"/>
    </row>
    <row r="168" spans="1:17">
      <c r="A168" s="1201"/>
      <c r="B168" s="1985"/>
      <c r="C168" s="2065" t="s">
        <v>843</v>
      </c>
      <c r="D168" s="1201"/>
      <c r="E168" s="1201"/>
      <c r="F168" s="1201"/>
      <c r="G168" s="1201"/>
      <c r="H168" s="1201"/>
      <c r="I168" s="2066">
        <v>40250</v>
      </c>
      <c r="J168" s="2067">
        <v>122444</v>
      </c>
      <c r="K168" s="1201"/>
      <c r="L168" s="1201"/>
      <c r="M168" s="1201"/>
      <c r="N168" s="1201"/>
      <c r="O168" s="1201"/>
      <c r="P168" s="1201"/>
      <c r="Q168" s="1201"/>
    </row>
    <row r="169" spans="1:17">
      <c r="A169" s="1201"/>
      <c r="B169" s="1985"/>
      <c r="C169" s="2065" t="s">
        <v>844</v>
      </c>
      <c r="D169" s="1201"/>
      <c r="E169" s="1201"/>
      <c r="F169" s="1201"/>
      <c r="G169" s="1201"/>
      <c r="H169" s="1201"/>
      <c r="I169" s="2066">
        <v>40182</v>
      </c>
      <c r="J169" s="2067">
        <v>100241</v>
      </c>
      <c r="K169" s="1201"/>
      <c r="L169" s="1201"/>
      <c r="M169" s="1201"/>
      <c r="N169" s="1201"/>
      <c r="O169" s="1201"/>
      <c r="P169" s="1201"/>
      <c r="Q169" s="1201"/>
    </row>
    <row r="170" spans="1:17">
      <c r="A170" s="1201"/>
      <c r="B170" s="1985"/>
      <c r="C170" s="2065" t="s">
        <v>845</v>
      </c>
      <c r="D170" s="1201"/>
      <c r="E170" s="1201"/>
      <c r="F170" s="1201"/>
      <c r="G170" s="1201"/>
      <c r="H170" s="1201"/>
      <c r="I170" s="2066">
        <v>40138</v>
      </c>
      <c r="J170" s="2067">
        <v>23956</v>
      </c>
      <c r="K170" s="1201"/>
      <c r="L170" s="1201"/>
      <c r="M170" s="1201"/>
      <c r="N170" s="1201"/>
      <c r="O170" s="1201"/>
      <c r="P170" s="1201"/>
      <c r="Q170" s="1201"/>
    </row>
    <row r="171" spans="1:17">
      <c r="A171" s="1201"/>
      <c r="B171" s="1985"/>
      <c r="C171" s="2065" t="s">
        <v>846</v>
      </c>
      <c r="D171" s="1201"/>
      <c r="E171" s="1201"/>
      <c r="F171" s="1201"/>
      <c r="G171" s="1201"/>
      <c r="H171" s="1201"/>
      <c r="I171" s="2066">
        <v>40125</v>
      </c>
      <c r="J171" s="2067">
        <v>113684</v>
      </c>
      <c r="K171" s="1201"/>
      <c r="L171" s="1201"/>
      <c r="M171" s="1201"/>
      <c r="N171" s="1201"/>
      <c r="O171" s="1201"/>
      <c r="P171" s="1201"/>
      <c r="Q171" s="1201"/>
    </row>
    <row r="172" spans="1:17">
      <c r="A172" s="1201"/>
      <c r="B172" s="1985"/>
      <c r="C172" s="2065" t="s">
        <v>847</v>
      </c>
      <c r="D172" s="1201"/>
      <c r="E172" s="1201"/>
      <c r="F172" s="1201"/>
      <c r="G172" s="1201"/>
      <c r="H172" s="1201"/>
      <c r="I172" s="2066">
        <v>40111</v>
      </c>
      <c r="J172" s="2067">
        <v>27154</v>
      </c>
      <c r="K172" s="1201"/>
      <c r="L172" s="1201"/>
      <c r="M172" s="1201"/>
      <c r="N172" s="1201"/>
      <c r="O172" s="1201"/>
      <c r="P172" s="1201"/>
      <c r="Q172" s="1201"/>
    </row>
    <row r="173" spans="1:17">
      <c r="A173" s="1201"/>
      <c r="B173" s="1985"/>
      <c r="C173" s="2065" t="s">
        <v>848</v>
      </c>
      <c r="D173" s="1201"/>
      <c r="E173" s="1201"/>
      <c r="F173" s="1201"/>
      <c r="G173" s="1201"/>
      <c r="H173" s="1201"/>
      <c r="I173" s="2066">
        <v>40096</v>
      </c>
      <c r="J173" s="2067">
        <v>25774</v>
      </c>
      <c r="K173" s="1201"/>
      <c r="L173" s="1201"/>
      <c r="M173" s="1201"/>
      <c r="N173" s="1201"/>
      <c r="O173" s="1201"/>
      <c r="P173" s="1201"/>
      <c r="Q173" s="1201"/>
    </row>
    <row r="174" spans="1:17">
      <c r="A174" s="1201"/>
      <c r="B174" s="1985"/>
      <c r="C174" s="2065" t="s">
        <v>849</v>
      </c>
      <c r="D174" s="1201"/>
      <c r="E174" s="1201"/>
      <c r="F174" s="1201"/>
      <c r="G174" s="1201"/>
      <c r="H174" s="1201"/>
      <c r="I174" s="2066">
        <v>40085</v>
      </c>
      <c r="J174" s="2067">
        <v>79344</v>
      </c>
      <c r="K174" s="1201"/>
      <c r="L174" s="1201"/>
      <c r="M174" s="1201"/>
      <c r="N174" s="1201"/>
      <c r="O174" s="1201"/>
      <c r="P174" s="1201"/>
      <c r="Q174" s="1201"/>
    </row>
    <row r="175" spans="1:17">
      <c r="A175" s="1201"/>
      <c r="B175" s="1985"/>
      <c r="C175" s="2065" t="s">
        <v>850</v>
      </c>
      <c r="D175" s="1201"/>
      <c r="E175" s="1201"/>
      <c r="F175" s="1201"/>
      <c r="G175" s="1201"/>
      <c r="H175" s="1201"/>
      <c r="I175" s="2066">
        <v>40068</v>
      </c>
      <c r="J175" s="2067">
        <v>145176</v>
      </c>
      <c r="K175" s="1201"/>
      <c r="L175" s="1201"/>
      <c r="M175" s="1201"/>
      <c r="N175" s="1201"/>
      <c r="O175" s="1201"/>
      <c r="P175" s="1201"/>
      <c r="Q175" s="1201"/>
    </row>
    <row r="176" spans="1:17">
      <c r="A176" s="1201"/>
      <c r="B176" s="1985"/>
      <c r="C176" s="2065" t="s">
        <v>851</v>
      </c>
      <c r="D176" s="1201"/>
      <c r="E176" s="1201"/>
      <c r="F176" s="1201"/>
      <c r="G176" s="1201"/>
      <c r="H176" s="1201"/>
      <c r="I176" s="2066">
        <v>40048</v>
      </c>
      <c r="J176" s="2067">
        <v>7657</v>
      </c>
      <c r="K176" s="1201"/>
      <c r="L176" s="1201"/>
      <c r="M176" s="1201"/>
      <c r="N176" s="1201"/>
      <c r="O176" s="1201"/>
      <c r="P176" s="1201"/>
      <c r="Q176" s="1201"/>
    </row>
    <row r="177" spans="1:17">
      <c r="A177" s="1201"/>
      <c r="B177" s="1985"/>
      <c r="C177" s="2065" t="s">
        <v>852</v>
      </c>
      <c r="D177" s="1201"/>
      <c r="E177" s="1201"/>
      <c r="F177" s="1201"/>
      <c r="G177" s="1201"/>
      <c r="H177" s="1201"/>
      <c r="I177" s="2066">
        <v>40044</v>
      </c>
      <c r="J177" s="2067">
        <v>45164</v>
      </c>
      <c r="K177" s="1201"/>
      <c r="L177" s="1201"/>
      <c r="M177" s="1201"/>
      <c r="N177" s="1201"/>
      <c r="O177" s="1201"/>
      <c r="P177" s="1201"/>
      <c r="Q177" s="1201"/>
    </row>
    <row r="178" spans="1:17">
      <c r="A178" s="1201"/>
      <c r="B178" s="1985"/>
      <c r="C178" s="2065" t="s">
        <v>853</v>
      </c>
      <c r="D178" s="1201"/>
      <c r="E178" s="1201"/>
      <c r="F178" s="1201"/>
      <c r="G178" s="1201"/>
      <c r="H178" s="1201"/>
      <c r="I178" s="2066">
        <v>40020</v>
      </c>
      <c r="J178" s="2067">
        <v>105218</v>
      </c>
      <c r="K178" s="1201"/>
      <c r="L178" s="1201"/>
      <c r="M178" s="1201"/>
      <c r="N178" s="1201"/>
      <c r="O178" s="1201"/>
      <c r="P178" s="1201"/>
      <c r="Q178" s="1201"/>
    </row>
    <row r="179" spans="1:17">
      <c r="A179" s="1201"/>
      <c r="B179" s="1985"/>
      <c r="C179" s="2065" t="s">
        <v>854</v>
      </c>
      <c r="D179" s="1201"/>
      <c r="E179" s="1201"/>
      <c r="F179" s="1201"/>
      <c r="G179" s="1201"/>
      <c r="H179" s="1201"/>
      <c r="I179" s="2066">
        <v>39788</v>
      </c>
      <c r="J179" s="2067">
        <v>59780</v>
      </c>
      <c r="K179" s="1201"/>
      <c r="L179" s="1201"/>
      <c r="M179" s="1201"/>
      <c r="N179" s="1201"/>
      <c r="O179" s="1201"/>
      <c r="P179" s="1201"/>
      <c r="Q179" s="1201"/>
    </row>
    <row r="180" spans="1:17">
      <c r="A180" s="1201"/>
      <c r="B180" s="1985"/>
      <c r="C180" s="2065" t="s">
        <v>855</v>
      </c>
      <c r="D180" s="1201"/>
      <c r="E180" s="1201"/>
      <c r="F180" s="1201"/>
      <c r="G180" s="1201"/>
      <c r="H180" s="1201"/>
      <c r="I180" s="2066">
        <v>39787</v>
      </c>
      <c r="J180" s="2067">
        <v>75563</v>
      </c>
      <c r="K180" s="1201"/>
      <c r="L180" s="1201"/>
      <c r="M180" s="1201"/>
      <c r="N180" s="1201"/>
      <c r="O180" s="1201"/>
      <c r="P180" s="1201"/>
      <c r="Q180" s="1201"/>
    </row>
    <row r="181" spans="1:17">
      <c r="A181" s="1201"/>
      <c r="B181" s="1985"/>
      <c r="C181" s="2065" t="s">
        <v>856</v>
      </c>
      <c r="D181" s="1201"/>
      <c r="E181" s="1201"/>
      <c r="F181" s="1201"/>
      <c r="G181" s="1201"/>
      <c r="H181" s="1201"/>
      <c r="I181" s="2066">
        <v>39787</v>
      </c>
      <c r="J181" s="2067">
        <v>15781</v>
      </c>
      <c r="K181" s="1201"/>
      <c r="L181" s="1201"/>
      <c r="M181" s="1201"/>
      <c r="N181" s="1201"/>
      <c r="O181" s="1201"/>
      <c r="P181" s="1201"/>
      <c r="Q181" s="1201"/>
    </row>
    <row r="182" spans="1:17">
      <c r="A182" s="1201"/>
      <c r="B182" s="1985"/>
      <c r="C182" s="2065" t="s">
        <v>857</v>
      </c>
      <c r="D182" s="2069"/>
      <c r="E182" s="2069"/>
      <c r="F182" s="1201"/>
      <c r="G182" s="1201"/>
      <c r="H182" s="1201"/>
      <c r="I182" s="1201"/>
      <c r="J182" s="1201"/>
      <c r="K182" s="1201"/>
      <c r="L182" s="1201"/>
      <c r="M182" s="1201"/>
      <c r="N182" s="1201"/>
      <c r="O182" s="1201"/>
      <c r="P182" s="1201"/>
      <c r="Q182" s="1201"/>
    </row>
    <row r="183" spans="1:17" ht="20.100000000000001" customHeight="1">
      <c r="B183" s="1201"/>
      <c r="C183" s="1201"/>
      <c r="D183" s="1201"/>
      <c r="E183" s="63"/>
      <c r="F183" s="63"/>
      <c r="G183" s="1201"/>
      <c r="H183" s="1201"/>
      <c r="I183" s="1201"/>
      <c r="J183" s="1201"/>
      <c r="K183" s="1201"/>
      <c r="L183" s="1201"/>
      <c r="M183" s="1201"/>
      <c r="N183" s="1201"/>
      <c r="O183" s="1201"/>
      <c r="P183" s="1201"/>
      <c r="Q183" s="1201"/>
    </row>
    <row r="184" spans="1:17" ht="20.100000000000001" customHeight="1">
      <c r="B184" s="1201"/>
      <c r="C184" s="93" t="s">
        <v>858</v>
      </c>
      <c r="D184" s="1201"/>
      <c r="E184" s="63"/>
      <c r="F184" s="63"/>
      <c r="G184" s="1201"/>
      <c r="H184" s="1201"/>
      <c r="I184" s="1201"/>
      <c r="J184" s="1201"/>
      <c r="K184" s="1201"/>
      <c r="L184" s="1201"/>
      <c r="M184" s="1201"/>
      <c r="N184" s="1201"/>
      <c r="O184" s="1201"/>
      <c r="P184" s="1201"/>
      <c r="Q184" s="1201"/>
    </row>
    <row r="185" spans="1:17" ht="20.100000000000001" customHeight="1">
      <c r="B185" s="1201"/>
      <c r="C185" s="1201"/>
      <c r="D185" s="1201"/>
      <c r="E185" s="63"/>
      <c r="F185" s="63"/>
      <c r="G185" s="1201"/>
      <c r="H185" s="1201"/>
      <c r="I185" s="1201"/>
      <c r="J185" s="1201"/>
      <c r="K185" s="1201"/>
      <c r="L185" s="1201"/>
      <c r="M185" s="1201"/>
      <c r="N185" s="1201"/>
      <c r="O185" s="1201"/>
      <c r="P185" s="1201"/>
      <c r="Q185" s="1201"/>
    </row>
    <row r="186" spans="1:17" ht="20.100000000000001" customHeight="1">
      <c r="B186" s="1201"/>
      <c r="C186" s="1201"/>
      <c r="D186" s="1201"/>
      <c r="E186" s="63"/>
      <c r="F186" s="63"/>
      <c r="G186" s="1201"/>
      <c r="H186" s="1201"/>
      <c r="I186" s="1201"/>
      <c r="J186" s="1201"/>
      <c r="K186" s="1201"/>
      <c r="L186" s="1201"/>
      <c r="M186" s="1201"/>
      <c r="N186" s="1201"/>
      <c r="O186" s="1201"/>
      <c r="P186" s="1201"/>
      <c r="Q186" s="1201"/>
    </row>
    <row r="187" spans="1:17" ht="20.100000000000001" customHeight="1">
      <c r="B187" s="1201"/>
      <c r="C187" s="1201"/>
      <c r="D187" s="1201"/>
      <c r="E187" s="63"/>
      <c r="F187" s="63"/>
      <c r="G187" s="1201"/>
      <c r="H187" s="1201"/>
      <c r="I187" s="1201"/>
      <c r="J187" s="1201"/>
      <c r="K187" s="1201"/>
      <c r="L187" s="1201"/>
      <c r="M187" s="1201"/>
      <c r="N187" s="1201"/>
      <c r="O187" s="1201"/>
      <c r="P187" s="1201"/>
      <c r="Q187" s="1201"/>
    </row>
    <row r="188" spans="1:17" ht="20.100000000000001" customHeight="1">
      <c r="B188" s="1201"/>
      <c r="C188" s="1201"/>
      <c r="D188" s="1201"/>
      <c r="E188" s="63"/>
      <c r="F188" s="63"/>
      <c r="G188" s="1201"/>
      <c r="H188" s="1201"/>
      <c r="I188" s="1201"/>
      <c r="J188" s="1201"/>
      <c r="K188" s="1201"/>
      <c r="L188" s="1201"/>
      <c r="M188" s="1201"/>
      <c r="N188" s="1201"/>
      <c r="O188" s="1201"/>
      <c r="P188" s="1201"/>
      <c r="Q188" s="1201"/>
    </row>
    <row r="189" spans="1:17" ht="20.100000000000001" customHeight="1">
      <c r="B189" s="1201"/>
      <c r="C189" s="1201"/>
      <c r="D189" s="1201"/>
      <c r="E189" s="63"/>
      <c r="F189" s="63"/>
      <c r="G189" s="1201"/>
      <c r="H189" s="1201"/>
      <c r="I189" s="1201"/>
      <c r="J189" s="1201"/>
      <c r="K189" s="1201"/>
      <c r="L189" s="1201"/>
      <c r="M189" s="1201"/>
      <c r="N189" s="1201"/>
      <c r="O189" s="1201"/>
      <c r="P189" s="1201"/>
      <c r="Q189" s="1201"/>
    </row>
    <row r="190" spans="1:17" ht="20.100000000000001" customHeight="1">
      <c r="B190" s="1201"/>
      <c r="C190" s="1201"/>
      <c r="D190" s="1201"/>
      <c r="E190" s="63"/>
      <c r="F190" s="63"/>
      <c r="G190" s="1201"/>
      <c r="H190" s="1201"/>
      <c r="I190" s="1201"/>
      <c r="J190" s="1201"/>
      <c r="K190" s="1201"/>
      <c r="L190" s="1201"/>
      <c r="M190" s="1201"/>
      <c r="N190" s="1201"/>
      <c r="O190" s="1201"/>
      <c r="P190" s="1201"/>
      <c r="Q190" s="1201"/>
    </row>
    <row r="191" spans="1:17" ht="20.100000000000001" customHeight="1">
      <c r="B191" s="1201"/>
      <c r="C191" s="1201"/>
      <c r="D191" s="1201"/>
      <c r="E191" s="63"/>
      <c r="F191" s="63"/>
      <c r="G191" s="1201"/>
      <c r="H191" s="1201"/>
      <c r="I191" s="1201"/>
      <c r="J191" s="1201"/>
      <c r="K191" s="1201"/>
      <c r="L191" s="1201"/>
      <c r="M191" s="1201"/>
      <c r="N191" s="1201"/>
      <c r="O191" s="1201"/>
      <c r="P191" s="1201"/>
      <c r="Q191" s="1201"/>
    </row>
    <row r="192" spans="1:17" ht="20.100000000000001" customHeight="1">
      <c r="B192" s="1201"/>
      <c r="C192" s="1201"/>
      <c r="D192" s="1201"/>
      <c r="E192" s="63"/>
      <c r="F192" s="63"/>
      <c r="G192" s="1201"/>
      <c r="H192" s="1201"/>
      <c r="I192" s="1201"/>
      <c r="J192" s="1201"/>
      <c r="K192" s="1201"/>
      <c r="L192" s="1201"/>
      <c r="M192" s="1201"/>
      <c r="N192" s="1201"/>
      <c r="O192" s="1201"/>
      <c r="P192" s="1201"/>
      <c r="Q192" s="1201"/>
    </row>
    <row r="193" spans="1:1310" ht="20.100000000000001" customHeight="1">
      <c r="B193" s="1201"/>
      <c r="C193" s="1201"/>
      <c r="D193" s="1201"/>
      <c r="E193" s="63"/>
      <c r="F193" s="63"/>
      <c r="G193" s="1201"/>
      <c r="H193" s="1201"/>
      <c r="I193" s="1201"/>
      <c r="J193" s="1201"/>
      <c r="K193" s="1201"/>
      <c r="L193" s="1201"/>
      <c r="M193" s="1201"/>
      <c r="N193" s="1201"/>
      <c r="O193" s="1201"/>
      <c r="P193" s="1201"/>
      <c r="Q193" s="1201"/>
    </row>
    <row r="194" spans="1:1310" ht="20.100000000000001" customHeight="1">
      <c r="B194" s="1201"/>
      <c r="C194" s="1201"/>
      <c r="D194" s="1201"/>
      <c r="E194" s="63"/>
      <c r="F194" s="63"/>
      <c r="G194" s="1201"/>
      <c r="H194" s="1201"/>
      <c r="I194" s="1201"/>
      <c r="J194" s="1201"/>
      <c r="K194" s="1201"/>
      <c r="L194" s="1201"/>
      <c r="M194" s="1201"/>
      <c r="N194" s="1201"/>
      <c r="O194" s="1201"/>
      <c r="P194" s="1201"/>
      <c r="Q194" s="1201"/>
    </row>
    <row r="195" spans="1:1310" ht="20.100000000000001" customHeight="1">
      <c r="B195" s="1201"/>
      <c r="C195" s="1201"/>
      <c r="D195" s="1201"/>
      <c r="E195" s="63"/>
      <c r="F195" s="63"/>
      <c r="G195" s="1201"/>
      <c r="H195" s="1201"/>
      <c r="I195" s="1201"/>
      <c r="J195" s="1201"/>
      <c r="K195" s="1201"/>
      <c r="L195" s="1201"/>
      <c r="M195" s="1201"/>
      <c r="N195" s="1201"/>
      <c r="O195" s="1201"/>
      <c r="P195" s="1201"/>
      <c r="Q195" s="1201"/>
    </row>
    <row r="196" spans="1:1310" ht="20.100000000000001" customHeight="1">
      <c r="B196" s="1201"/>
      <c r="C196" s="1201"/>
      <c r="D196" s="1201"/>
      <c r="E196" s="63"/>
      <c r="F196" s="63"/>
      <c r="G196" s="1201"/>
      <c r="H196" s="1201"/>
      <c r="I196" s="1201"/>
      <c r="J196" s="1201"/>
      <c r="K196" s="1201"/>
      <c r="L196" s="1201"/>
      <c r="M196" s="1201"/>
      <c r="N196" s="1201"/>
      <c r="O196" s="1201"/>
      <c r="P196" s="1201"/>
      <c r="Q196" s="1201"/>
    </row>
    <row r="197" spans="1:1310" s="2072" customFormat="1" ht="23.25" customHeight="1">
      <c r="A197" s="94">
        <v>1</v>
      </c>
      <c r="B197" s="4488" t="s">
        <v>859</v>
      </c>
      <c r="C197" s="4488"/>
      <c r="D197" s="4488"/>
      <c r="E197" s="4488"/>
      <c r="F197" s="4488"/>
      <c r="G197" s="4488"/>
      <c r="H197" s="4488"/>
      <c r="I197" s="4488"/>
      <c r="J197" s="4488"/>
      <c r="K197" s="4488"/>
      <c r="L197" s="4488"/>
      <c r="M197" s="4488"/>
      <c r="N197" s="4488"/>
      <c r="O197" s="4488"/>
      <c r="P197" s="4488"/>
      <c r="Q197" s="4488"/>
      <c r="R197" s="1838"/>
      <c r="S197" s="1838"/>
      <c r="T197" s="1838"/>
      <c r="U197" s="1838"/>
      <c r="V197" s="1838"/>
      <c r="W197" s="1838"/>
      <c r="X197" s="1838"/>
      <c r="Y197" s="1838"/>
      <c r="Z197" s="1838"/>
      <c r="AA197" s="1838"/>
      <c r="AB197" s="1838"/>
      <c r="AC197" s="1838"/>
      <c r="AD197" s="2070"/>
      <c r="AE197" s="2070"/>
      <c r="AF197" s="2070"/>
      <c r="AG197" s="2070"/>
      <c r="AH197" s="2070"/>
      <c r="AI197" s="2070"/>
      <c r="AJ197" s="2070"/>
      <c r="AK197" s="2070"/>
      <c r="AL197" s="2070"/>
      <c r="AM197" s="2070"/>
      <c r="AN197" s="2070"/>
      <c r="AO197" s="2070"/>
      <c r="AP197" s="2070"/>
      <c r="AQ197" s="2070"/>
      <c r="AR197" s="2070"/>
      <c r="AS197" s="2070"/>
      <c r="AT197" s="2070"/>
      <c r="AU197" s="2070"/>
      <c r="AV197" s="2071"/>
      <c r="AW197" s="2071"/>
      <c r="AX197" s="2071"/>
      <c r="AY197" s="2071"/>
      <c r="AZ197" s="2071"/>
      <c r="BA197" s="2071"/>
      <c r="BB197" s="2071"/>
      <c r="BC197" s="2071"/>
      <c r="BD197" s="2071"/>
      <c r="BE197" s="2071"/>
      <c r="BF197" s="2071"/>
      <c r="BG197" s="2071"/>
      <c r="BH197" s="2071"/>
      <c r="BI197" s="2071"/>
      <c r="BJ197" s="2071"/>
      <c r="BK197" s="2071"/>
      <c r="BL197" s="2071"/>
      <c r="BM197" s="2071"/>
      <c r="BN197" s="2071"/>
      <c r="BO197" s="2071"/>
      <c r="BP197" s="2071"/>
      <c r="BQ197" s="2071"/>
      <c r="BR197" s="2071"/>
      <c r="BS197" s="2071"/>
      <c r="BT197" s="2071"/>
      <c r="BU197" s="2071"/>
      <c r="BV197" s="2071"/>
      <c r="BW197" s="2071"/>
      <c r="BX197" s="2071"/>
      <c r="BY197" s="2071"/>
      <c r="BZ197" s="2071"/>
      <c r="CA197" s="2071"/>
      <c r="CB197" s="2071"/>
      <c r="CC197" s="2071"/>
      <c r="CD197" s="2071"/>
      <c r="CE197" s="2071"/>
      <c r="CF197" s="2071"/>
      <c r="CG197" s="2071"/>
      <c r="CH197" s="2071"/>
      <c r="CI197" s="2071"/>
      <c r="CJ197" s="2071"/>
      <c r="CK197" s="2071"/>
      <c r="CL197" s="2071"/>
      <c r="CM197" s="2071"/>
      <c r="CN197" s="2071"/>
      <c r="CO197" s="2071"/>
      <c r="CP197" s="2071"/>
      <c r="CQ197" s="2071"/>
      <c r="CR197" s="2071"/>
      <c r="CS197" s="2071"/>
      <c r="CT197" s="2071"/>
      <c r="CU197" s="2071"/>
      <c r="CV197" s="2071"/>
      <c r="CW197" s="2071"/>
      <c r="CX197" s="2071"/>
      <c r="CY197" s="2071"/>
      <c r="CZ197" s="2071"/>
      <c r="DA197" s="2071"/>
      <c r="DB197" s="2071"/>
      <c r="DC197" s="2071"/>
      <c r="DD197" s="2071"/>
      <c r="DE197" s="2071"/>
      <c r="DF197" s="2071"/>
      <c r="DG197" s="2071"/>
      <c r="DH197" s="2071"/>
      <c r="DI197" s="2071"/>
      <c r="DJ197" s="2071"/>
      <c r="DK197" s="2071"/>
      <c r="DL197" s="2071"/>
      <c r="DM197" s="2071"/>
      <c r="DN197" s="2071"/>
      <c r="DO197" s="2071"/>
      <c r="DP197" s="2071"/>
      <c r="DQ197" s="2071"/>
      <c r="DR197" s="2071"/>
      <c r="DS197" s="2071"/>
      <c r="DT197" s="2071"/>
      <c r="DU197" s="2071"/>
      <c r="DV197" s="2071"/>
      <c r="DW197" s="2071"/>
      <c r="DX197" s="2071"/>
      <c r="DY197" s="2071"/>
      <c r="DZ197" s="2071"/>
      <c r="EA197" s="2071"/>
      <c r="EB197" s="2071"/>
      <c r="EC197" s="2071"/>
      <c r="ED197" s="2071"/>
      <c r="EE197" s="2071"/>
      <c r="EF197" s="2071"/>
      <c r="EG197" s="2071"/>
      <c r="EH197" s="2071"/>
      <c r="EI197" s="2071"/>
      <c r="EJ197" s="2071"/>
      <c r="EK197" s="2071"/>
      <c r="EL197" s="2071"/>
      <c r="EM197" s="2071"/>
      <c r="EN197" s="2071"/>
      <c r="EO197" s="2071"/>
      <c r="EP197" s="2071"/>
      <c r="EQ197" s="2071"/>
      <c r="ER197" s="2071"/>
      <c r="ES197" s="2071"/>
      <c r="ET197" s="2071"/>
      <c r="EU197" s="2071"/>
      <c r="EV197" s="2071"/>
      <c r="EW197" s="2071"/>
      <c r="EX197" s="2071"/>
      <c r="EY197" s="2071"/>
      <c r="EZ197" s="2071"/>
      <c r="FA197" s="2071"/>
      <c r="FB197" s="2071"/>
      <c r="FC197" s="2071"/>
      <c r="FD197" s="2071"/>
      <c r="FE197" s="2071"/>
      <c r="FF197" s="2071"/>
      <c r="FG197" s="2071"/>
      <c r="FH197" s="2071"/>
      <c r="FI197" s="2071"/>
      <c r="FJ197" s="2071"/>
      <c r="FK197" s="2071"/>
      <c r="FL197" s="2071"/>
      <c r="FM197" s="2071"/>
      <c r="FN197" s="2071"/>
      <c r="FO197" s="2071"/>
      <c r="FP197" s="2071"/>
      <c r="FQ197" s="2071"/>
      <c r="FR197" s="2071"/>
      <c r="FS197" s="2071"/>
      <c r="FT197" s="2071"/>
      <c r="FU197" s="2071"/>
      <c r="FV197" s="2071"/>
      <c r="FW197" s="2071"/>
      <c r="FX197" s="2071"/>
      <c r="FY197" s="2071"/>
      <c r="FZ197" s="2071"/>
      <c r="GA197" s="2071"/>
      <c r="GB197" s="2071"/>
      <c r="GC197" s="2071"/>
      <c r="GD197" s="2071"/>
      <c r="GE197" s="2071"/>
      <c r="GF197" s="2071"/>
      <c r="GG197" s="2071"/>
      <c r="GH197" s="2071"/>
      <c r="GI197" s="2071"/>
      <c r="GJ197" s="2071"/>
      <c r="GK197" s="2071"/>
      <c r="GL197" s="2071"/>
      <c r="GM197" s="2071"/>
      <c r="GN197" s="2071"/>
      <c r="GO197" s="2071"/>
      <c r="GP197" s="2071"/>
      <c r="GQ197" s="2071"/>
      <c r="GR197" s="2071"/>
      <c r="GS197" s="2071"/>
      <c r="GT197" s="2071"/>
      <c r="GU197" s="2071"/>
      <c r="GV197" s="2071"/>
      <c r="GW197" s="2071"/>
      <c r="GX197" s="2071"/>
      <c r="GY197" s="2071"/>
      <c r="GZ197" s="2071"/>
      <c r="HA197" s="2071"/>
      <c r="HB197" s="2071"/>
      <c r="HC197" s="2071"/>
      <c r="HD197" s="2071"/>
      <c r="HE197" s="2071"/>
      <c r="HF197" s="2071"/>
      <c r="HG197" s="2071"/>
      <c r="HH197" s="2071"/>
      <c r="HI197" s="2071"/>
      <c r="HJ197" s="2071"/>
      <c r="HK197" s="2071"/>
      <c r="HL197" s="2071"/>
      <c r="HM197" s="2071"/>
      <c r="HN197" s="2071"/>
      <c r="HO197" s="2071"/>
      <c r="HP197" s="2071"/>
      <c r="HQ197" s="2071"/>
      <c r="HR197" s="2071"/>
      <c r="HS197" s="2071"/>
      <c r="HT197" s="2071"/>
      <c r="HU197" s="2071"/>
      <c r="HV197" s="2071"/>
      <c r="HW197" s="2071"/>
      <c r="HX197" s="2071"/>
      <c r="HY197" s="2071"/>
      <c r="HZ197" s="2071"/>
      <c r="IA197" s="2071"/>
      <c r="IB197" s="2071"/>
      <c r="IC197" s="2071"/>
      <c r="ID197" s="2071"/>
      <c r="IE197" s="2071"/>
      <c r="IF197" s="2071"/>
      <c r="IG197" s="2071"/>
      <c r="IH197" s="2071"/>
      <c r="II197" s="2071"/>
      <c r="IJ197" s="2071"/>
      <c r="IK197" s="2071"/>
      <c r="IL197" s="2071"/>
      <c r="IM197" s="2071"/>
      <c r="IN197" s="2071"/>
      <c r="IO197" s="2071"/>
      <c r="IP197" s="2071"/>
      <c r="IQ197" s="2071"/>
      <c r="IR197" s="2071"/>
      <c r="IS197" s="2071"/>
      <c r="IT197" s="2071"/>
      <c r="IU197" s="2071"/>
      <c r="IV197" s="2071"/>
      <c r="IW197" s="2071"/>
      <c r="IX197" s="2071"/>
      <c r="IY197" s="2071"/>
      <c r="IZ197" s="2071"/>
      <c r="JA197" s="2071"/>
      <c r="JB197" s="2071"/>
      <c r="JC197" s="2071"/>
      <c r="JD197" s="2071"/>
      <c r="JE197" s="2071"/>
      <c r="JF197" s="2071"/>
      <c r="JG197" s="2071"/>
      <c r="JH197" s="2071"/>
      <c r="JI197" s="2071"/>
      <c r="JJ197" s="2071"/>
      <c r="JK197" s="2071"/>
      <c r="JL197" s="2071"/>
      <c r="JM197" s="2071"/>
      <c r="JN197" s="2071"/>
      <c r="JO197" s="2071"/>
      <c r="JP197" s="2071"/>
      <c r="JQ197" s="2071"/>
      <c r="JR197" s="2071"/>
      <c r="JS197" s="2071"/>
      <c r="JT197" s="2071"/>
      <c r="JU197" s="2071"/>
      <c r="JV197" s="2071"/>
      <c r="JW197" s="2071"/>
      <c r="JX197" s="2071"/>
      <c r="JY197" s="2071"/>
      <c r="JZ197" s="2071"/>
      <c r="KA197" s="2071"/>
      <c r="KB197" s="2071"/>
      <c r="KC197" s="2071"/>
      <c r="KD197" s="2071"/>
      <c r="KE197" s="2071"/>
      <c r="KF197" s="2071"/>
      <c r="KG197" s="2071"/>
      <c r="KH197" s="2071"/>
      <c r="KI197" s="2071"/>
      <c r="KJ197" s="2071"/>
      <c r="KK197" s="2071"/>
      <c r="KL197" s="2071"/>
      <c r="KM197" s="2071"/>
      <c r="KN197" s="2071"/>
      <c r="KO197" s="2071"/>
      <c r="KP197" s="2071"/>
      <c r="KQ197" s="2071"/>
      <c r="KR197" s="2071"/>
      <c r="KS197" s="2071"/>
      <c r="KT197" s="2071"/>
      <c r="KU197" s="2071"/>
      <c r="KV197" s="2071"/>
      <c r="KW197" s="2071"/>
      <c r="KX197" s="2071"/>
      <c r="KY197" s="2071"/>
      <c r="KZ197" s="2071"/>
      <c r="LA197" s="2071"/>
      <c r="LB197" s="2071"/>
      <c r="LC197" s="2071"/>
      <c r="LD197" s="2071"/>
      <c r="LE197" s="2071"/>
      <c r="LF197" s="2071"/>
      <c r="LG197" s="2071"/>
      <c r="LH197" s="2071"/>
      <c r="LI197" s="2071"/>
      <c r="LJ197" s="2071"/>
      <c r="LK197" s="2071"/>
      <c r="LL197" s="2071"/>
      <c r="LM197" s="2071"/>
      <c r="LN197" s="2071"/>
      <c r="LO197" s="2071"/>
      <c r="LP197" s="2071"/>
      <c r="LQ197" s="2071"/>
      <c r="LR197" s="2071"/>
      <c r="LS197" s="2071"/>
      <c r="LT197" s="2071"/>
      <c r="LU197" s="2071"/>
      <c r="LV197" s="2071"/>
      <c r="LW197" s="2071"/>
      <c r="LX197" s="2071"/>
      <c r="LY197" s="2071"/>
      <c r="LZ197" s="2071"/>
      <c r="MA197" s="2071"/>
      <c r="MB197" s="2071"/>
      <c r="MC197" s="2071"/>
      <c r="MD197" s="2071"/>
      <c r="ME197" s="2071"/>
      <c r="MF197" s="2071"/>
      <c r="MG197" s="2071"/>
      <c r="MH197" s="2071"/>
      <c r="MI197" s="2071"/>
      <c r="MJ197" s="2071"/>
      <c r="MK197" s="2071"/>
      <c r="ML197" s="2071"/>
      <c r="MM197" s="2071"/>
      <c r="MN197" s="2071"/>
      <c r="MO197" s="2071"/>
      <c r="MP197" s="2071"/>
      <c r="MQ197" s="2071"/>
      <c r="MR197" s="2071"/>
      <c r="MS197" s="2071"/>
      <c r="MT197" s="2071"/>
      <c r="MU197" s="2071"/>
      <c r="MV197" s="2071"/>
      <c r="MW197" s="2071"/>
      <c r="MX197" s="2071"/>
      <c r="MY197" s="2071"/>
      <c r="MZ197" s="2071"/>
      <c r="NA197" s="2071"/>
      <c r="NB197" s="2071"/>
      <c r="NC197" s="2071"/>
      <c r="ND197" s="2071"/>
      <c r="NE197" s="2071"/>
      <c r="NF197" s="2071"/>
      <c r="NG197" s="2071"/>
      <c r="NH197" s="2071"/>
      <c r="NI197" s="2071"/>
      <c r="NJ197" s="2071"/>
      <c r="NK197" s="2071"/>
      <c r="NL197" s="2071"/>
      <c r="NM197" s="2071"/>
      <c r="NN197" s="2071"/>
      <c r="NO197" s="2071"/>
      <c r="NP197" s="2071"/>
      <c r="NQ197" s="2071"/>
      <c r="NR197" s="2071"/>
      <c r="NS197" s="2071"/>
      <c r="NT197" s="2071"/>
      <c r="NU197" s="2071"/>
      <c r="NV197" s="2071"/>
      <c r="NW197" s="2071"/>
      <c r="NX197" s="2071"/>
      <c r="NY197" s="2071"/>
      <c r="NZ197" s="2071"/>
      <c r="OA197" s="2071"/>
      <c r="OB197" s="2071"/>
      <c r="OC197" s="2071"/>
      <c r="OD197" s="2071"/>
      <c r="OE197" s="2071"/>
      <c r="OF197" s="2071"/>
      <c r="OG197" s="2071"/>
      <c r="OH197" s="2071"/>
      <c r="OI197" s="2071"/>
      <c r="OJ197" s="2071"/>
      <c r="OK197" s="2071"/>
      <c r="OL197" s="2071"/>
      <c r="OM197" s="2071"/>
      <c r="ON197" s="2071"/>
      <c r="OO197" s="2071"/>
      <c r="OP197" s="2071"/>
      <c r="OQ197" s="2071"/>
      <c r="OR197" s="2071"/>
      <c r="OS197" s="2071"/>
      <c r="OT197" s="2071"/>
      <c r="OU197" s="2071"/>
      <c r="OV197" s="2071"/>
      <c r="OW197" s="2071"/>
      <c r="OX197" s="2071"/>
      <c r="OY197" s="2071"/>
      <c r="OZ197" s="2071"/>
      <c r="PA197" s="2071"/>
      <c r="PB197" s="2071"/>
      <c r="PC197" s="2071"/>
      <c r="PD197" s="2071"/>
      <c r="PE197" s="2071"/>
      <c r="PF197" s="2071"/>
      <c r="PG197" s="2071"/>
      <c r="PH197" s="2071"/>
      <c r="PI197" s="2071"/>
      <c r="PJ197" s="2071"/>
      <c r="PK197" s="2071"/>
      <c r="PL197" s="2071"/>
      <c r="PM197" s="2071"/>
      <c r="PN197" s="2071"/>
      <c r="PO197" s="2071"/>
      <c r="PP197" s="2071"/>
      <c r="PQ197" s="2071"/>
      <c r="PR197" s="2071"/>
      <c r="PS197" s="2071"/>
      <c r="PT197" s="2071"/>
      <c r="PU197" s="2071"/>
      <c r="PV197" s="2071"/>
      <c r="PW197" s="2071"/>
      <c r="PX197" s="2071"/>
      <c r="PY197" s="2071"/>
      <c r="PZ197" s="2071"/>
      <c r="QA197" s="2071"/>
      <c r="QB197" s="2071"/>
      <c r="QC197" s="2071"/>
      <c r="QD197" s="2071"/>
      <c r="QE197" s="2071"/>
      <c r="QF197" s="2071"/>
      <c r="QG197" s="2071"/>
      <c r="QH197" s="2071"/>
      <c r="QI197" s="2071"/>
      <c r="QJ197" s="2071"/>
      <c r="QK197" s="2071"/>
      <c r="QL197" s="2071"/>
      <c r="QM197" s="2071"/>
      <c r="QN197" s="2071"/>
      <c r="QO197" s="2071"/>
      <c r="QP197" s="2071"/>
      <c r="QQ197" s="2071"/>
      <c r="QR197" s="2071"/>
      <c r="QS197" s="2071"/>
      <c r="QT197" s="2071"/>
      <c r="QU197" s="2071"/>
      <c r="QV197" s="2071"/>
      <c r="QW197" s="2071"/>
      <c r="QX197" s="2071"/>
      <c r="QY197" s="2071"/>
      <c r="QZ197" s="2071"/>
      <c r="RA197" s="2071"/>
      <c r="RB197" s="2071"/>
      <c r="RC197" s="2071"/>
      <c r="RD197" s="2071"/>
      <c r="RE197" s="2071"/>
      <c r="RF197" s="2071"/>
      <c r="RG197" s="2071"/>
      <c r="RH197" s="2071"/>
      <c r="RI197" s="2071"/>
      <c r="RJ197" s="2071"/>
      <c r="RK197" s="2071"/>
      <c r="RL197" s="2071"/>
      <c r="RM197" s="2071"/>
      <c r="RN197" s="2071"/>
      <c r="RO197" s="2071"/>
      <c r="RP197" s="2071"/>
      <c r="RQ197" s="2071"/>
      <c r="RR197" s="2071"/>
      <c r="RS197" s="2071"/>
      <c r="RT197" s="2071"/>
      <c r="RU197" s="2071"/>
      <c r="RV197" s="2071"/>
      <c r="RW197" s="2071"/>
      <c r="RX197" s="2071"/>
      <c r="RY197" s="2071"/>
      <c r="RZ197" s="2071"/>
      <c r="SA197" s="2071"/>
      <c r="SB197" s="2071"/>
      <c r="SC197" s="2071"/>
      <c r="SD197" s="2071"/>
      <c r="SE197" s="2071"/>
      <c r="SF197" s="2071"/>
      <c r="SG197" s="2071"/>
      <c r="SH197" s="2071"/>
      <c r="SI197" s="2071"/>
      <c r="SJ197" s="2071"/>
      <c r="SK197" s="2071"/>
      <c r="SL197" s="2071"/>
      <c r="SM197" s="2071"/>
      <c r="SN197" s="2071"/>
      <c r="SO197" s="2071"/>
      <c r="SP197" s="2071"/>
      <c r="SQ197" s="2071"/>
      <c r="SR197" s="2071"/>
      <c r="SS197" s="2071"/>
      <c r="ST197" s="2071"/>
      <c r="SU197" s="2071"/>
      <c r="SV197" s="2071"/>
      <c r="SW197" s="2071"/>
      <c r="SX197" s="2071"/>
      <c r="SY197" s="2071"/>
      <c r="SZ197" s="2071"/>
      <c r="TA197" s="2071"/>
      <c r="TB197" s="2071"/>
      <c r="TC197" s="2071"/>
      <c r="TD197" s="2071"/>
      <c r="TE197" s="2071"/>
      <c r="TF197" s="2071"/>
      <c r="TG197" s="2071"/>
      <c r="TH197" s="2071"/>
      <c r="TI197" s="2071"/>
      <c r="TJ197" s="2071"/>
      <c r="TK197" s="2071"/>
      <c r="TL197" s="2071"/>
      <c r="TM197" s="2071"/>
      <c r="TN197" s="2071"/>
      <c r="TO197" s="2071"/>
      <c r="TP197" s="2071"/>
      <c r="TQ197" s="2071"/>
      <c r="TR197" s="2071"/>
      <c r="TS197" s="2071"/>
      <c r="TT197" s="2071"/>
      <c r="TU197" s="2071"/>
      <c r="TV197" s="2071"/>
      <c r="TW197" s="2071"/>
      <c r="TX197" s="2071"/>
      <c r="TY197" s="2071"/>
      <c r="TZ197" s="2071"/>
      <c r="UA197" s="2071"/>
      <c r="UB197" s="2071"/>
      <c r="UC197" s="2071"/>
      <c r="UD197" s="2071"/>
      <c r="UE197" s="2071"/>
      <c r="UF197" s="2071"/>
      <c r="UG197" s="2071"/>
      <c r="UH197" s="2071"/>
      <c r="UI197" s="2071"/>
      <c r="UJ197" s="2071"/>
      <c r="UK197" s="2071"/>
      <c r="UL197" s="2071"/>
      <c r="UM197" s="2071"/>
      <c r="UN197" s="2071"/>
      <c r="UO197" s="2071"/>
      <c r="UP197" s="2071"/>
      <c r="UQ197" s="2071"/>
      <c r="UR197" s="2071"/>
      <c r="US197" s="2071"/>
      <c r="UT197" s="2071"/>
      <c r="UU197" s="2071"/>
      <c r="UV197" s="2071"/>
      <c r="UW197" s="2071"/>
      <c r="UX197" s="2071"/>
      <c r="UY197" s="2071"/>
      <c r="UZ197" s="2071"/>
      <c r="VA197" s="2071"/>
      <c r="VB197" s="2071"/>
      <c r="VC197" s="2071"/>
      <c r="VD197" s="2071"/>
      <c r="VE197" s="2071"/>
      <c r="VF197" s="2071"/>
      <c r="VG197" s="2071"/>
      <c r="VH197" s="2071"/>
      <c r="VI197" s="2071"/>
      <c r="VJ197" s="2071"/>
      <c r="VK197" s="2071"/>
      <c r="VL197" s="2071"/>
      <c r="VM197" s="2071"/>
      <c r="VN197" s="2071"/>
      <c r="VO197" s="2071"/>
      <c r="VP197" s="2071"/>
      <c r="VQ197" s="2071"/>
      <c r="VR197" s="2071"/>
      <c r="VS197" s="2071"/>
      <c r="VT197" s="2071"/>
      <c r="VU197" s="2071"/>
      <c r="VV197" s="2071"/>
      <c r="VW197" s="2071"/>
      <c r="VX197" s="2071"/>
      <c r="VY197" s="2071"/>
      <c r="VZ197" s="2071"/>
      <c r="WA197" s="2071"/>
      <c r="WB197" s="2071"/>
      <c r="WC197" s="2071"/>
      <c r="WD197" s="2071"/>
      <c r="WE197" s="2071"/>
      <c r="WF197" s="2071"/>
      <c r="WG197" s="2071"/>
      <c r="WH197" s="2071"/>
      <c r="WI197" s="2071"/>
      <c r="WJ197" s="2071"/>
      <c r="WK197" s="2071"/>
      <c r="WL197" s="2071"/>
      <c r="WM197" s="2071"/>
      <c r="WN197" s="2071"/>
      <c r="WO197" s="2071"/>
      <c r="WP197" s="2071"/>
      <c r="WQ197" s="2071"/>
      <c r="WR197" s="2071"/>
      <c r="WS197" s="2071"/>
      <c r="WT197" s="2071"/>
      <c r="WU197" s="2071"/>
      <c r="WV197" s="2071"/>
      <c r="WW197" s="2071"/>
      <c r="WX197" s="2071"/>
      <c r="WY197" s="2071"/>
      <c r="WZ197" s="2071"/>
      <c r="XA197" s="2071"/>
      <c r="XB197" s="2071"/>
      <c r="XC197" s="2071"/>
      <c r="XD197" s="2071"/>
      <c r="XE197" s="2071"/>
      <c r="XF197" s="2071"/>
      <c r="XG197" s="2071"/>
      <c r="XH197" s="2071"/>
      <c r="XI197" s="2071"/>
      <c r="XJ197" s="2071"/>
      <c r="XK197" s="2071"/>
      <c r="XL197" s="2071"/>
      <c r="XM197" s="2071"/>
      <c r="XN197" s="2071"/>
      <c r="XO197" s="2071"/>
      <c r="XP197" s="2071"/>
      <c r="XQ197" s="2071"/>
      <c r="XR197" s="2071"/>
      <c r="XS197" s="2071"/>
      <c r="XT197" s="2071"/>
      <c r="XU197" s="2071"/>
      <c r="XV197" s="2071"/>
      <c r="XW197" s="2071"/>
      <c r="XX197" s="2071"/>
      <c r="XY197" s="2071"/>
      <c r="XZ197" s="2071"/>
      <c r="YA197" s="2071"/>
      <c r="YB197" s="2071"/>
      <c r="YC197" s="2071"/>
      <c r="YD197" s="2071"/>
      <c r="YE197" s="2071"/>
      <c r="YF197" s="2071"/>
      <c r="YG197" s="2071"/>
      <c r="YH197" s="2071"/>
      <c r="YI197" s="2071"/>
      <c r="YJ197" s="2071"/>
      <c r="YK197" s="2071"/>
      <c r="YL197" s="2071"/>
      <c r="YM197" s="2071"/>
      <c r="YN197" s="2071"/>
      <c r="YO197" s="2071"/>
      <c r="YP197" s="2071"/>
      <c r="YQ197" s="2071"/>
      <c r="YR197" s="2071"/>
      <c r="YS197" s="2071"/>
      <c r="YT197" s="2071"/>
      <c r="YU197" s="2071"/>
      <c r="YV197" s="2071"/>
      <c r="YW197" s="2071"/>
      <c r="YX197" s="2071"/>
      <c r="YY197" s="2071"/>
      <c r="YZ197" s="2071"/>
      <c r="ZA197" s="2071"/>
      <c r="ZB197" s="2071"/>
      <c r="ZC197" s="2071"/>
      <c r="ZD197" s="2071"/>
      <c r="ZE197" s="2071"/>
      <c r="ZF197" s="2071"/>
      <c r="ZG197" s="2071"/>
      <c r="ZH197" s="2071"/>
      <c r="ZI197" s="2071"/>
      <c r="ZJ197" s="2071"/>
      <c r="ZK197" s="2071"/>
      <c r="ZL197" s="2071"/>
      <c r="ZM197" s="2071"/>
      <c r="ZN197" s="2071"/>
      <c r="ZO197" s="2071"/>
      <c r="ZP197" s="2071"/>
      <c r="ZQ197" s="2071"/>
      <c r="ZR197" s="2071"/>
      <c r="ZS197" s="2071"/>
      <c r="ZT197" s="2071"/>
      <c r="ZU197" s="2071"/>
      <c r="ZV197" s="2071"/>
      <c r="ZW197" s="2071"/>
      <c r="ZX197" s="2071"/>
      <c r="ZY197" s="2071"/>
      <c r="ZZ197" s="2071"/>
      <c r="AAA197" s="2071"/>
      <c r="AAB197" s="2071"/>
      <c r="AAC197" s="2071"/>
      <c r="AAD197" s="2071"/>
      <c r="AAE197" s="2071"/>
      <c r="AAF197" s="2071"/>
      <c r="AAG197" s="2071"/>
      <c r="AAH197" s="2071"/>
      <c r="AAI197" s="2071"/>
      <c r="AAJ197" s="2071"/>
      <c r="AAK197" s="2071"/>
      <c r="AAL197" s="2071"/>
      <c r="AAM197" s="2071"/>
      <c r="AAN197" s="2071"/>
      <c r="AAO197" s="2071"/>
      <c r="AAP197" s="2071"/>
      <c r="AAQ197" s="2071"/>
      <c r="AAR197" s="2071"/>
      <c r="AAS197" s="2071"/>
      <c r="AAT197" s="2071"/>
      <c r="AAU197" s="2071"/>
      <c r="AAV197" s="2071"/>
      <c r="AAW197" s="2071"/>
      <c r="AAX197" s="2071"/>
      <c r="AAY197" s="2071"/>
      <c r="AAZ197" s="2071"/>
      <c r="ABA197" s="2071"/>
      <c r="ABB197" s="2071"/>
      <c r="ABC197" s="2071"/>
      <c r="ABD197" s="2071"/>
      <c r="ABE197" s="2071"/>
      <c r="ABF197" s="2071"/>
      <c r="ABG197" s="2071"/>
      <c r="ABH197" s="2071"/>
      <c r="ABI197" s="2071"/>
      <c r="ABJ197" s="2071"/>
      <c r="ABK197" s="2071"/>
      <c r="ABL197" s="2071"/>
      <c r="ABM197" s="2071"/>
      <c r="ABN197" s="2071"/>
      <c r="ABO197" s="2071"/>
      <c r="ABP197" s="2071"/>
      <c r="ABQ197" s="2071"/>
      <c r="ABR197" s="2071"/>
      <c r="ABS197" s="2071"/>
      <c r="ABT197" s="2071"/>
      <c r="ABU197" s="2071"/>
      <c r="ABV197" s="2071"/>
      <c r="ABW197" s="2071"/>
      <c r="ABX197" s="2071"/>
      <c r="ABY197" s="2071"/>
      <c r="ABZ197" s="2071"/>
      <c r="ACA197" s="2071"/>
      <c r="ACB197" s="2071"/>
      <c r="ACC197" s="2071"/>
      <c r="ACD197" s="2071"/>
      <c r="ACE197" s="2071"/>
      <c r="ACF197" s="2071"/>
      <c r="ACG197" s="2071"/>
      <c r="ACH197" s="2071"/>
      <c r="ACI197" s="2071"/>
      <c r="ACJ197" s="2071"/>
      <c r="ACK197" s="2071"/>
      <c r="ACL197" s="2071"/>
      <c r="ACM197" s="2071"/>
      <c r="ACN197" s="2071"/>
      <c r="ACO197" s="2071"/>
      <c r="ACP197" s="2071"/>
      <c r="ACQ197" s="2071"/>
      <c r="ACR197" s="2071"/>
      <c r="ACS197" s="2071"/>
      <c r="ACT197" s="2071"/>
      <c r="ACU197" s="2071"/>
      <c r="ACV197" s="2071"/>
      <c r="ACW197" s="2071"/>
      <c r="ACX197" s="2071"/>
      <c r="ACY197" s="2071"/>
      <c r="ACZ197" s="2071"/>
      <c r="ADA197" s="2071"/>
      <c r="ADB197" s="2071"/>
      <c r="ADC197" s="2071"/>
      <c r="ADD197" s="2071"/>
      <c r="ADE197" s="2071"/>
      <c r="ADF197" s="2071"/>
      <c r="ADG197" s="2071"/>
      <c r="ADH197" s="2071"/>
      <c r="ADI197" s="2071"/>
      <c r="ADJ197" s="2071"/>
      <c r="ADK197" s="2071"/>
      <c r="ADL197" s="2071"/>
      <c r="ADM197" s="2071"/>
      <c r="ADN197" s="2071"/>
      <c r="ADO197" s="2071"/>
      <c r="ADP197" s="2071"/>
      <c r="ADQ197" s="2071"/>
      <c r="ADR197" s="2071"/>
      <c r="ADS197" s="2071"/>
      <c r="ADT197" s="2071"/>
      <c r="ADU197" s="2071"/>
      <c r="ADV197" s="2071"/>
      <c r="ADW197" s="2071"/>
      <c r="ADX197" s="2071"/>
      <c r="ADY197" s="2071"/>
      <c r="ADZ197" s="2071"/>
      <c r="AEA197" s="2071"/>
      <c r="AEB197" s="2071"/>
      <c r="AEC197" s="2071"/>
      <c r="AED197" s="2071"/>
      <c r="AEE197" s="2071"/>
      <c r="AEF197" s="2071"/>
      <c r="AEG197" s="2071"/>
      <c r="AEH197" s="2071"/>
      <c r="AEI197" s="2071"/>
      <c r="AEJ197" s="2071"/>
      <c r="AEK197" s="2071"/>
      <c r="AEL197" s="2071"/>
      <c r="AEM197" s="2071"/>
      <c r="AEN197" s="2071"/>
      <c r="AEO197" s="2071"/>
      <c r="AEP197" s="2071"/>
      <c r="AEQ197" s="2071"/>
      <c r="AER197" s="2071"/>
      <c r="AES197" s="2071"/>
      <c r="AET197" s="2071"/>
      <c r="AEU197" s="2071"/>
      <c r="AEV197" s="2071"/>
      <c r="AEW197" s="2071"/>
      <c r="AEX197" s="2071"/>
      <c r="AEY197" s="2071"/>
      <c r="AEZ197" s="2071"/>
      <c r="AFA197" s="2071"/>
      <c r="AFB197" s="2071"/>
      <c r="AFC197" s="2071"/>
      <c r="AFD197" s="2071"/>
      <c r="AFE197" s="2071"/>
      <c r="AFF197" s="2071"/>
      <c r="AFG197" s="2071"/>
      <c r="AFH197" s="2071"/>
      <c r="AFI197" s="2071"/>
      <c r="AFJ197" s="2071"/>
      <c r="AFK197" s="2071"/>
      <c r="AFL197" s="2071"/>
      <c r="AFM197" s="2071"/>
      <c r="AFN197" s="2071"/>
      <c r="AFO197" s="2071"/>
      <c r="AFP197" s="2071"/>
      <c r="AFQ197" s="2071"/>
      <c r="AFR197" s="2071"/>
      <c r="AFS197" s="2071"/>
      <c r="AFT197" s="2071"/>
      <c r="AFU197" s="2071"/>
      <c r="AFV197" s="2071"/>
      <c r="AFW197" s="2071"/>
      <c r="AFX197" s="2071"/>
      <c r="AFY197" s="2071"/>
      <c r="AFZ197" s="2071"/>
      <c r="AGA197" s="2071"/>
      <c r="AGB197" s="2071"/>
      <c r="AGC197" s="2071"/>
      <c r="AGD197" s="2071"/>
      <c r="AGE197" s="2071"/>
      <c r="AGF197" s="2071"/>
      <c r="AGG197" s="2071"/>
      <c r="AGH197" s="2071"/>
      <c r="AGI197" s="2071"/>
      <c r="AGJ197" s="2071"/>
      <c r="AGK197" s="2071"/>
      <c r="AGL197" s="2071"/>
      <c r="AGM197" s="2071"/>
      <c r="AGN197" s="2071"/>
      <c r="AGO197" s="2071"/>
      <c r="AGP197" s="2071"/>
      <c r="AGQ197" s="2071"/>
      <c r="AGR197" s="2071"/>
      <c r="AGS197" s="2071"/>
      <c r="AGT197" s="2071"/>
      <c r="AGU197" s="2071"/>
      <c r="AGV197" s="2071"/>
      <c r="AGW197" s="2071"/>
      <c r="AGX197" s="2071"/>
      <c r="AGY197" s="2071"/>
      <c r="AGZ197" s="2071"/>
      <c r="AHA197" s="2071"/>
      <c r="AHB197" s="2071"/>
      <c r="AHC197" s="2071"/>
      <c r="AHD197" s="2071"/>
      <c r="AHE197" s="2071"/>
      <c r="AHF197" s="2071"/>
      <c r="AHG197" s="2071"/>
      <c r="AHH197" s="2071"/>
      <c r="AHI197" s="2071"/>
      <c r="AHJ197" s="2071"/>
      <c r="AHK197" s="2071"/>
      <c r="AHL197" s="2071"/>
      <c r="AHM197" s="2071"/>
      <c r="AHN197" s="2071"/>
      <c r="AHO197" s="2071"/>
      <c r="AHP197" s="2071"/>
      <c r="AHQ197" s="2071"/>
      <c r="AHR197" s="2071"/>
      <c r="AHS197" s="2071"/>
      <c r="AHT197" s="2071"/>
      <c r="AHU197" s="2071"/>
      <c r="AHV197" s="2071"/>
      <c r="AHW197" s="2071"/>
      <c r="AHX197" s="2071"/>
      <c r="AHY197" s="2071"/>
      <c r="AHZ197" s="2071"/>
      <c r="AIA197" s="2071"/>
      <c r="AIB197" s="2071"/>
      <c r="AIC197" s="2071"/>
      <c r="AID197" s="2071"/>
      <c r="AIE197" s="2071"/>
      <c r="AIF197" s="2071"/>
      <c r="AIG197" s="2071"/>
      <c r="AIH197" s="2071"/>
      <c r="AII197" s="2071"/>
      <c r="AIJ197" s="2071"/>
      <c r="AIK197" s="2071"/>
      <c r="AIL197" s="2071"/>
      <c r="AIM197" s="2071"/>
      <c r="AIN197" s="2071"/>
      <c r="AIO197" s="2071"/>
      <c r="AIP197" s="2071"/>
      <c r="AIQ197" s="2071"/>
      <c r="AIR197" s="2071"/>
      <c r="AIS197" s="2071"/>
      <c r="AIT197" s="2071"/>
      <c r="AIU197" s="2071"/>
      <c r="AIV197" s="2071"/>
      <c r="AIW197" s="2071"/>
      <c r="AIX197" s="2071"/>
      <c r="AIY197" s="2071"/>
      <c r="AIZ197" s="2071"/>
      <c r="AJA197" s="2071"/>
      <c r="AJB197" s="2071"/>
      <c r="AJC197" s="2071"/>
      <c r="AJD197" s="2071"/>
      <c r="AJE197" s="2071"/>
      <c r="AJF197" s="2071"/>
      <c r="AJG197" s="2071"/>
      <c r="AJH197" s="2071"/>
      <c r="AJI197" s="2071"/>
      <c r="AJJ197" s="2071"/>
      <c r="AJK197" s="2071"/>
      <c r="AJL197" s="2071"/>
      <c r="AJM197" s="2071"/>
      <c r="AJN197" s="2071"/>
      <c r="AJO197" s="2071"/>
      <c r="AJP197" s="2071"/>
      <c r="AJQ197" s="2071"/>
      <c r="AJR197" s="2071"/>
      <c r="AJS197" s="2071"/>
      <c r="AJT197" s="2071"/>
      <c r="AJU197" s="2071"/>
      <c r="AJV197" s="2071"/>
      <c r="AJW197" s="2071"/>
      <c r="AJX197" s="2071"/>
      <c r="AJY197" s="2071"/>
      <c r="AJZ197" s="2071"/>
      <c r="AKA197" s="2071"/>
      <c r="AKB197" s="2071"/>
      <c r="AKC197" s="2071"/>
      <c r="AKD197" s="2071"/>
      <c r="AKE197" s="2071"/>
      <c r="AKF197" s="2071"/>
      <c r="AKG197" s="2071"/>
      <c r="AKH197" s="2071"/>
      <c r="AKI197" s="2071"/>
      <c r="AKJ197" s="2071"/>
      <c r="AKK197" s="2071"/>
      <c r="AKL197" s="2071"/>
      <c r="AKM197" s="2071"/>
      <c r="AKN197" s="2071"/>
      <c r="AKO197" s="2071"/>
      <c r="AKP197" s="2071"/>
      <c r="AKQ197" s="2071"/>
      <c r="AKR197" s="2071"/>
      <c r="AKS197" s="2071"/>
      <c r="AKT197" s="2071"/>
      <c r="AKU197" s="2071"/>
      <c r="AKV197" s="2071"/>
      <c r="AKW197" s="2071"/>
      <c r="AKX197" s="2071"/>
      <c r="AKY197" s="2071"/>
      <c r="AKZ197" s="2071"/>
      <c r="ALA197" s="2071"/>
      <c r="ALB197" s="2071"/>
      <c r="ALC197" s="2071"/>
      <c r="ALD197" s="2071"/>
      <c r="ALE197" s="2071"/>
      <c r="ALF197" s="2071"/>
      <c r="ALG197" s="2071"/>
      <c r="ALH197" s="2071"/>
      <c r="ALI197" s="2071"/>
      <c r="ALJ197" s="2071"/>
      <c r="ALK197" s="2071"/>
      <c r="ALL197" s="2071"/>
      <c r="ALM197" s="2071"/>
      <c r="ALN197" s="2071"/>
      <c r="ALO197" s="2071"/>
      <c r="ALP197" s="2071"/>
      <c r="ALQ197" s="2071"/>
      <c r="ALR197" s="2071"/>
      <c r="ALS197" s="2071"/>
      <c r="ALT197" s="2071"/>
      <c r="ALU197" s="2071"/>
      <c r="ALV197" s="2071"/>
      <c r="ALW197" s="2071"/>
      <c r="ALX197" s="2071"/>
      <c r="ALY197" s="2071"/>
      <c r="ALZ197" s="2071"/>
      <c r="AMA197" s="2071"/>
      <c r="AMB197" s="2071"/>
      <c r="AMC197" s="2071"/>
      <c r="AMD197" s="2071"/>
      <c r="AME197" s="2071"/>
      <c r="AMF197" s="2071"/>
      <c r="AMG197" s="2071"/>
      <c r="AMH197" s="2071"/>
      <c r="AMI197" s="2071"/>
      <c r="AMJ197" s="2071"/>
      <c r="AMK197" s="2071"/>
      <c r="AML197" s="2071"/>
      <c r="AMM197" s="2071"/>
      <c r="AMN197" s="2071"/>
      <c r="AMO197" s="2071"/>
      <c r="AMP197" s="2071"/>
      <c r="AMQ197" s="2071"/>
      <c r="AMR197" s="2071"/>
      <c r="AMS197" s="2071"/>
      <c r="AMT197" s="2071"/>
      <c r="AMU197" s="2071"/>
      <c r="AMV197" s="2071"/>
      <c r="AMW197" s="2071"/>
      <c r="AMX197" s="2071"/>
      <c r="AMY197" s="2071"/>
      <c r="AMZ197" s="2071"/>
      <c r="ANA197" s="2071"/>
      <c r="ANB197" s="2071"/>
      <c r="ANC197" s="2071"/>
      <c r="AND197" s="2071"/>
      <c r="ANE197" s="2071"/>
      <c r="ANF197" s="2071"/>
      <c r="ANG197" s="2071"/>
      <c r="ANH197" s="2071"/>
      <c r="ANI197" s="2071"/>
      <c r="ANJ197" s="2071"/>
      <c r="ANK197" s="2071"/>
      <c r="ANL197" s="2071"/>
      <c r="ANM197" s="2071"/>
      <c r="ANN197" s="2071"/>
      <c r="ANO197" s="2071"/>
      <c r="ANP197" s="2071"/>
      <c r="ANQ197" s="2071"/>
      <c r="ANR197" s="2071"/>
      <c r="ANS197" s="2071"/>
      <c r="ANT197" s="2071"/>
      <c r="ANU197" s="2071"/>
      <c r="ANV197" s="2071"/>
      <c r="ANW197" s="2071"/>
      <c r="ANX197" s="2071"/>
      <c r="ANY197" s="2071"/>
      <c r="ANZ197" s="2071"/>
      <c r="AOA197" s="2071"/>
      <c r="AOB197" s="2071"/>
      <c r="AOC197" s="2071"/>
      <c r="AOD197" s="2071"/>
      <c r="AOE197" s="2071"/>
      <c r="AOF197" s="2071"/>
      <c r="AOG197" s="2071"/>
      <c r="AOH197" s="2071"/>
      <c r="AOI197" s="2071"/>
      <c r="AOJ197" s="2071"/>
      <c r="AOK197" s="2071"/>
      <c r="AOL197" s="2071"/>
      <c r="AOM197" s="2071"/>
      <c r="AON197" s="2071"/>
      <c r="AOO197" s="2071"/>
      <c r="AOP197" s="2071"/>
      <c r="AOQ197" s="2071"/>
      <c r="AOR197" s="2071"/>
      <c r="AOS197" s="2071"/>
      <c r="AOT197" s="2071"/>
      <c r="AOU197" s="2071"/>
      <c r="AOV197" s="2071"/>
      <c r="AOW197" s="2071"/>
      <c r="AOX197" s="2071"/>
      <c r="AOY197" s="2071"/>
      <c r="AOZ197" s="2071"/>
      <c r="APA197" s="2071"/>
      <c r="APB197" s="2071"/>
      <c r="APC197" s="2071"/>
      <c r="APD197" s="2071"/>
      <c r="APE197" s="2071"/>
      <c r="APF197" s="2071"/>
      <c r="APG197" s="2071"/>
      <c r="APH197" s="2071"/>
      <c r="API197" s="2071"/>
      <c r="APJ197" s="2071"/>
      <c r="APK197" s="2071"/>
      <c r="APL197" s="2071"/>
      <c r="APM197" s="2071"/>
      <c r="APN197" s="2071"/>
      <c r="APO197" s="2071"/>
      <c r="APP197" s="2071"/>
      <c r="APQ197" s="2071"/>
      <c r="APR197" s="2071"/>
      <c r="APS197" s="2071"/>
      <c r="APT197" s="2071"/>
      <c r="APU197" s="2071"/>
      <c r="APV197" s="2071"/>
      <c r="APW197" s="2071"/>
      <c r="APX197" s="2071"/>
      <c r="APY197" s="2071"/>
      <c r="APZ197" s="2071"/>
      <c r="AQA197" s="2071"/>
      <c r="AQB197" s="2071"/>
      <c r="AQC197" s="2071"/>
      <c r="AQD197" s="2071"/>
      <c r="AQE197" s="2071"/>
      <c r="AQF197" s="2071"/>
      <c r="AQG197" s="2071"/>
      <c r="AQH197" s="2071"/>
      <c r="AQI197" s="2071"/>
      <c r="AQJ197" s="2071"/>
      <c r="AQK197" s="2071"/>
      <c r="AQL197" s="2071"/>
      <c r="AQM197" s="2071"/>
      <c r="AQN197" s="2071"/>
      <c r="AQO197" s="2071"/>
      <c r="AQP197" s="2071"/>
      <c r="AQQ197" s="2071"/>
      <c r="AQR197" s="2071"/>
      <c r="AQS197" s="2071"/>
      <c r="AQT197" s="2071"/>
      <c r="AQU197" s="2071"/>
      <c r="AQV197" s="2071"/>
      <c r="AQW197" s="2071"/>
      <c r="AQX197" s="2071"/>
      <c r="AQY197" s="2071"/>
      <c r="AQZ197" s="2071"/>
      <c r="ARA197" s="2071"/>
      <c r="ARB197" s="2071"/>
      <c r="ARC197" s="2071"/>
      <c r="ARD197" s="2071"/>
      <c r="ARE197" s="2071"/>
      <c r="ARF197" s="2071"/>
      <c r="ARG197" s="2071"/>
      <c r="ARH197" s="2071"/>
      <c r="ARI197" s="2071"/>
      <c r="ARJ197" s="2071"/>
      <c r="ARK197" s="2071"/>
      <c r="ARL197" s="2071"/>
      <c r="ARM197" s="2071"/>
      <c r="ARN197" s="2071"/>
      <c r="ARO197" s="2071"/>
      <c r="ARP197" s="2071"/>
      <c r="ARQ197" s="2071"/>
      <c r="ARR197" s="2071"/>
      <c r="ARS197" s="2071"/>
      <c r="ART197" s="2071"/>
      <c r="ARU197" s="2071"/>
      <c r="ARV197" s="2071"/>
      <c r="ARW197" s="2071"/>
      <c r="ARX197" s="2071"/>
      <c r="ARY197" s="2071"/>
      <c r="ARZ197" s="2071"/>
      <c r="ASA197" s="2071"/>
      <c r="ASB197" s="2071"/>
      <c r="ASC197" s="2071"/>
      <c r="ASD197" s="2071"/>
      <c r="ASE197" s="2071"/>
      <c r="ASF197" s="2071"/>
      <c r="ASG197" s="2071"/>
      <c r="ASH197" s="2071"/>
      <c r="ASI197" s="2071"/>
      <c r="ASJ197" s="2071"/>
      <c r="ASK197" s="2071"/>
      <c r="ASL197" s="2071"/>
      <c r="ASM197" s="2071"/>
      <c r="ASN197" s="2071"/>
      <c r="ASO197" s="2071"/>
      <c r="ASP197" s="2071"/>
      <c r="ASQ197" s="2071"/>
      <c r="ASR197" s="2071"/>
      <c r="ASS197" s="2071"/>
      <c r="AST197" s="2071"/>
      <c r="ASU197" s="2071"/>
      <c r="ASV197" s="2071"/>
      <c r="ASW197" s="2071"/>
      <c r="ASX197" s="2071"/>
      <c r="ASY197" s="2071"/>
      <c r="ASZ197" s="2071"/>
      <c r="ATA197" s="2071"/>
      <c r="ATB197" s="2071"/>
      <c r="ATC197" s="2071"/>
      <c r="ATD197" s="2071"/>
      <c r="ATE197" s="2071"/>
      <c r="ATF197" s="2071"/>
      <c r="ATG197" s="2071"/>
      <c r="ATH197" s="2071"/>
      <c r="ATI197" s="2071"/>
      <c r="ATJ197" s="2071"/>
      <c r="ATK197" s="2071"/>
      <c r="ATL197" s="2071"/>
      <c r="ATM197" s="2071"/>
      <c r="ATN197" s="2071"/>
      <c r="ATO197" s="2071"/>
      <c r="ATP197" s="2071"/>
      <c r="ATQ197" s="2071"/>
      <c r="ATR197" s="2071"/>
      <c r="ATS197" s="2071"/>
      <c r="ATT197" s="2071"/>
      <c r="ATU197" s="2071"/>
      <c r="ATV197" s="2071"/>
      <c r="ATW197" s="2071"/>
      <c r="ATX197" s="2071"/>
      <c r="ATY197" s="2071"/>
      <c r="ATZ197" s="2071"/>
      <c r="AUA197" s="2071"/>
      <c r="AUB197" s="2071"/>
      <c r="AUC197" s="2071"/>
      <c r="AUD197" s="2071"/>
      <c r="AUE197" s="2071"/>
      <c r="AUF197" s="2071"/>
      <c r="AUG197" s="2071"/>
      <c r="AUH197" s="2071"/>
      <c r="AUI197" s="2071"/>
      <c r="AUJ197" s="2071"/>
      <c r="AUK197" s="2071"/>
      <c r="AUL197" s="2071"/>
      <c r="AUM197" s="2071"/>
      <c r="AUN197" s="2071"/>
      <c r="AUO197" s="2071"/>
      <c r="AUP197" s="2071"/>
      <c r="AUQ197" s="2071"/>
      <c r="AUR197" s="2071"/>
      <c r="AUS197" s="2071"/>
      <c r="AUT197" s="2071"/>
      <c r="AUU197" s="2071"/>
      <c r="AUV197" s="2071"/>
      <c r="AUW197" s="2071"/>
      <c r="AUX197" s="2071"/>
      <c r="AUY197" s="2071"/>
      <c r="AUZ197" s="2071"/>
      <c r="AVA197" s="2071"/>
      <c r="AVB197" s="2071"/>
      <c r="AVC197" s="2071"/>
      <c r="AVD197" s="2071"/>
      <c r="AVE197" s="2071"/>
      <c r="AVF197" s="2071"/>
      <c r="AVG197" s="2071"/>
      <c r="AVH197" s="2071"/>
      <c r="AVI197" s="2071"/>
      <c r="AVJ197" s="2071"/>
      <c r="AVK197" s="2071"/>
      <c r="AVL197" s="2071"/>
      <c r="AVM197" s="2071"/>
      <c r="AVN197" s="2071"/>
      <c r="AVO197" s="2071"/>
      <c r="AVP197" s="2071"/>
      <c r="AVQ197" s="2071"/>
      <c r="AVR197" s="2071"/>
      <c r="AVS197" s="2071"/>
      <c r="AVT197" s="2071"/>
      <c r="AVU197" s="2071"/>
      <c r="AVV197" s="2071"/>
      <c r="AVW197" s="2071"/>
      <c r="AVX197" s="2071"/>
      <c r="AVY197" s="2071"/>
      <c r="AVZ197" s="2071"/>
      <c r="AWA197" s="2071"/>
      <c r="AWB197" s="2071"/>
      <c r="AWC197" s="2071"/>
      <c r="AWD197" s="2071"/>
      <c r="AWE197" s="2071"/>
      <c r="AWF197" s="2071"/>
      <c r="AWG197" s="2071"/>
      <c r="AWH197" s="2071"/>
      <c r="AWI197" s="2071"/>
      <c r="AWJ197" s="2071"/>
      <c r="AWK197" s="2071"/>
      <c r="AWL197" s="2071"/>
      <c r="AWM197" s="2071"/>
      <c r="AWN197" s="2071"/>
      <c r="AWO197" s="2071"/>
      <c r="AWP197" s="2071"/>
      <c r="AWQ197" s="2071"/>
      <c r="AWR197" s="2071"/>
      <c r="AWS197" s="2071"/>
      <c r="AWT197" s="2071"/>
      <c r="AWU197" s="2071"/>
      <c r="AWV197" s="2071"/>
      <c r="AWW197" s="2071"/>
      <c r="AWX197" s="2071"/>
      <c r="AWY197" s="2071"/>
      <c r="AWZ197" s="2071"/>
      <c r="AXA197" s="2071"/>
      <c r="AXB197" s="2071"/>
      <c r="AXC197" s="2071"/>
      <c r="AXD197" s="2071"/>
      <c r="AXE197" s="2071"/>
      <c r="AXF197" s="2071"/>
      <c r="AXG197" s="2071"/>
      <c r="AXH197" s="2071"/>
      <c r="AXI197" s="2071"/>
      <c r="AXJ197" s="2071"/>
    </row>
    <row r="198" spans="1:1310" s="2072" customFormat="1" ht="23.25" customHeight="1">
      <c r="A198" s="2073"/>
      <c r="B198" s="4489" t="s">
        <v>860</v>
      </c>
      <c r="C198" s="4489"/>
      <c r="D198" s="4489"/>
      <c r="E198" s="4489"/>
      <c r="F198" s="4489"/>
      <c r="G198" s="4489"/>
      <c r="H198" s="4489"/>
      <c r="I198" s="4489"/>
      <c r="J198" s="4489"/>
      <c r="K198" s="4489"/>
      <c r="L198" s="4489"/>
      <c r="M198" s="4489"/>
      <c r="N198" s="4489"/>
      <c r="O198" s="4489"/>
      <c r="P198" s="4489"/>
      <c r="Q198" s="4489"/>
      <c r="R198" s="1838"/>
      <c r="S198" s="1838"/>
      <c r="T198" s="1838"/>
      <c r="U198" s="1838"/>
      <c r="V198" s="1838"/>
      <c r="W198" s="1838"/>
      <c r="X198" s="1838"/>
      <c r="Y198" s="1838"/>
      <c r="Z198" s="1838"/>
      <c r="AA198" s="1838"/>
      <c r="AB198" s="1838"/>
      <c r="AC198" s="1838"/>
      <c r="AD198" s="2070"/>
      <c r="AE198" s="2070"/>
      <c r="AF198" s="2070"/>
      <c r="AG198" s="2070"/>
      <c r="AH198" s="2070"/>
      <c r="AI198" s="2070"/>
      <c r="AJ198" s="2070"/>
      <c r="AK198" s="2070"/>
      <c r="AL198" s="2070"/>
      <c r="AM198" s="2070"/>
      <c r="AN198" s="2070"/>
      <c r="AO198" s="2070"/>
      <c r="AP198" s="2070"/>
      <c r="AQ198" s="2070"/>
      <c r="AR198" s="2070"/>
      <c r="AS198" s="2070"/>
      <c r="AT198" s="2070"/>
      <c r="AU198" s="2070"/>
      <c r="AV198" s="2071"/>
      <c r="AW198" s="2071"/>
      <c r="AX198" s="2071"/>
      <c r="AY198" s="2071"/>
      <c r="AZ198" s="2071"/>
      <c r="BA198" s="2071"/>
      <c r="BB198" s="2071"/>
      <c r="BC198" s="2071"/>
      <c r="BD198" s="2071"/>
      <c r="BE198" s="2071"/>
      <c r="BF198" s="2071"/>
      <c r="BG198" s="2071"/>
      <c r="BH198" s="2071"/>
      <c r="BI198" s="2071"/>
      <c r="BJ198" s="2071"/>
      <c r="BK198" s="2071"/>
      <c r="BL198" s="2071"/>
      <c r="BM198" s="2071"/>
      <c r="BN198" s="2071"/>
      <c r="BO198" s="2071"/>
      <c r="BP198" s="2071"/>
      <c r="BQ198" s="2071"/>
      <c r="BR198" s="2071"/>
      <c r="BS198" s="2071"/>
      <c r="BT198" s="2071"/>
      <c r="BU198" s="2071"/>
      <c r="BV198" s="2071"/>
      <c r="BW198" s="2071"/>
      <c r="BX198" s="2071"/>
      <c r="BY198" s="2071"/>
      <c r="BZ198" s="2071"/>
      <c r="CA198" s="2071"/>
      <c r="CB198" s="2071"/>
      <c r="CC198" s="2071"/>
      <c r="CD198" s="2071"/>
      <c r="CE198" s="2071"/>
      <c r="CF198" s="2071"/>
      <c r="CG198" s="2071"/>
      <c r="CH198" s="2071"/>
      <c r="CI198" s="2071"/>
      <c r="CJ198" s="2071"/>
      <c r="CK198" s="2071"/>
      <c r="CL198" s="2071"/>
      <c r="CM198" s="2071"/>
      <c r="CN198" s="2071"/>
      <c r="CO198" s="2071"/>
      <c r="CP198" s="2071"/>
      <c r="CQ198" s="2071"/>
      <c r="CR198" s="2071"/>
      <c r="CS198" s="2071"/>
      <c r="CT198" s="2071"/>
      <c r="CU198" s="2071"/>
      <c r="CV198" s="2071"/>
      <c r="CW198" s="2071"/>
      <c r="CX198" s="2071"/>
      <c r="CY198" s="2071"/>
      <c r="CZ198" s="2071"/>
      <c r="DA198" s="2071"/>
      <c r="DB198" s="2071"/>
      <c r="DC198" s="2071"/>
      <c r="DD198" s="2071"/>
      <c r="DE198" s="2071"/>
      <c r="DF198" s="2071"/>
      <c r="DG198" s="2071"/>
      <c r="DH198" s="2071"/>
      <c r="DI198" s="2071"/>
      <c r="DJ198" s="2071"/>
      <c r="DK198" s="2071"/>
      <c r="DL198" s="2071"/>
      <c r="DM198" s="2071"/>
      <c r="DN198" s="2071"/>
      <c r="DO198" s="2071"/>
      <c r="DP198" s="2071"/>
      <c r="DQ198" s="2071"/>
      <c r="DR198" s="2071"/>
      <c r="DS198" s="2071"/>
      <c r="DT198" s="2071"/>
      <c r="DU198" s="2071"/>
      <c r="DV198" s="2071"/>
      <c r="DW198" s="2071"/>
      <c r="DX198" s="2071"/>
      <c r="DY198" s="2071"/>
      <c r="DZ198" s="2071"/>
      <c r="EA198" s="2071"/>
      <c r="EB198" s="2071"/>
      <c r="EC198" s="2071"/>
      <c r="ED198" s="2071"/>
      <c r="EE198" s="2071"/>
      <c r="EF198" s="2071"/>
      <c r="EG198" s="2071"/>
      <c r="EH198" s="2071"/>
      <c r="EI198" s="2071"/>
      <c r="EJ198" s="2071"/>
      <c r="EK198" s="2071"/>
      <c r="EL198" s="2071"/>
      <c r="EM198" s="2071"/>
      <c r="EN198" s="2071"/>
      <c r="EO198" s="2071"/>
      <c r="EP198" s="2071"/>
      <c r="EQ198" s="2071"/>
      <c r="ER198" s="2071"/>
      <c r="ES198" s="2071"/>
      <c r="ET198" s="2071"/>
      <c r="EU198" s="2071"/>
      <c r="EV198" s="2071"/>
      <c r="EW198" s="2071"/>
      <c r="EX198" s="2071"/>
      <c r="EY198" s="2071"/>
      <c r="EZ198" s="2071"/>
      <c r="FA198" s="2071"/>
      <c r="FB198" s="2071"/>
      <c r="FC198" s="2071"/>
      <c r="FD198" s="2071"/>
      <c r="FE198" s="2071"/>
      <c r="FF198" s="2071"/>
      <c r="FG198" s="2071"/>
      <c r="FH198" s="2071"/>
      <c r="FI198" s="2071"/>
      <c r="FJ198" s="2071"/>
      <c r="FK198" s="2071"/>
      <c r="FL198" s="2071"/>
      <c r="FM198" s="2071"/>
      <c r="FN198" s="2071"/>
      <c r="FO198" s="2071"/>
      <c r="FP198" s="2071"/>
      <c r="FQ198" s="2071"/>
      <c r="FR198" s="2071"/>
      <c r="FS198" s="2071"/>
      <c r="FT198" s="2071"/>
      <c r="FU198" s="2071"/>
      <c r="FV198" s="2071"/>
      <c r="FW198" s="2071"/>
      <c r="FX198" s="2071"/>
      <c r="FY198" s="2071"/>
      <c r="FZ198" s="2071"/>
      <c r="GA198" s="2071"/>
      <c r="GB198" s="2071"/>
      <c r="GC198" s="2071"/>
      <c r="GD198" s="2071"/>
      <c r="GE198" s="2071"/>
      <c r="GF198" s="2071"/>
      <c r="GG198" s="2071"/>
      <c r="GH198" s="2071"/>
      <c r="GI198" s="2071"/>
      <c r="GJ198" s="2071"/>
      <c r="GK198" s="2071"/>
      <c r="GL198" s="2071"/>
      <c r="GM198" s="2071"/>
      <c r="GN198" s="2071"/>
      <c r="GO198" s="2071"/>
      <c r="GP198" s="2071"/>
      <c r="GQ198" s="2071"/>
      <c r="GR198" s="2071"/>
      <c r="GS198" s="2071"/>
      <c r="GT198" s="2071"/>
      <c r="GU198" s="2071"/>
      <c r="GV198" s="2071"/>
      <c r="GW198" s="2071"/>
      <c r="GX198" s="2071"/>
      <c r="GY198" s="2071"/>
      <c r="GZ198" s="2071"/>
      <c r="HA198" s="2071"/>
      <c r="HB198" s="2071"/>
      <c r="HC198" s="2071"/>
      <c r="HD198" s="2071"/>
      <c r="HE198" s="2071"/>
      <c r="HF198" s="2071"/>
      <c r="HG198" s="2071"/>
      <c r="HH198" s="2071"/>
      <c r="HI198" s="2071"/>
      <c r="HJ198" s="2071"/>
      <c r="HK198" s="2071"/>
      <c r="HL198" s="2071"/>
      <c r="HM198" s="2071"/>
      <c r="HN198" s="2071"/>
      <c r="HO198" s="2071"/>
      <c r="HP198" s="2071"/>
      <c r="HQ198" s="2071"/>
      <c r="HR198" s="2071"/>
      <c r="HS198" s="2071"/>
      <c r="HT198" s="2071"/>
      <c r="HU198" s="2071"/>
      <c r="HV198" s="2071"/>
      <c r="HW198" s="2071"/>
      <c r="HX198" s="2071"/>
      <c r="HY198" s="2071"/>
      <c r="HZ198" s="2071"/>
      <c r="IA198" s="2071"/>
      <c r="IB198" s="2071"/>
      <c r="IC198" s="2071"/>
      <c r="ID198" s="2071"/>
      <c r="IE198" s="2071"/>
      <c r="IF198" s="2071"/>
      <c r="IG198" s="2071"/>
      <c r="IH198" s="2071"/>
      <c r="II198" s="2071"/>
      <c r="IJ198" s="2071"/>
      <c r="IK198" s="2071"/>
      <c r="IL198" s="2071"/>
      <c r="IM198" s="2071"/>
      <c r="IN198" s="2071"/>
      <c r="IO198" s="2071"/>
      <c r="IP198" s="2071"/>
      <c r="IQ198" s="2071"/>
      <c r="IR198" s="2071"/>
      <c r="IS198" s="2071"/>
      <c r="IT198" s="2071"/>
      <c r="IU198" s="2071"/>
      <c r="IV198" s="2071"/>
      <c r="IW198" s="2071"/>
      <c r="IX198" s="2071"/>
      <c r="IY198" s="2071"/>
      <c r="IZ198" s="2071"/>
      <c r="JA198" s="2071"/>
      <c r="JB198" s="2071"/>
      <c r="JC198" s="2071"/>
      <c r="JD198" s="2071"/>
      <c r="JE198" s="2071"/>
      <c r="JF198" s="2071"/>
      <c r="JG198" s="2071"/>
      <c r="JH198" s="2071"/>
      <c r="JI198" s="2071"/>
      <c r="JJ198" s="2071"/>
      <c r="JK198" s="2071"/>
      <c r="JL198" s="2071"/>
      <c r="JM198" s="2071"/>
      <c r="JN198" s="2071"/>
      <c r="JO198" s="2071"/>
      <c r="JP198" s="2071"/>
      <c r="JQ198" s="2071"/>
      <c r="JR198" s="2071"/>
      <c r="JS198" s="2071"/>
      <c r="JT198" s="2071"/>
      <c r="JU198" s="2071"/>
      <c r="JV198" s="2071"/>
      <c r="JW198" s="2071"/>
      <c r="JX198" s="2071"/>
      <c r="JY198" s="2071"/>
      <c r="JZ198" s="2071"/>
      <c r="KA198" s="2071"/>
      <c r="KB198" s="2071"/>
      <c r="KC198" s="2071"/>
      <c r="KD198" s="2071"/>
      <c r="KE198" s="2071"/>
      <c r="KF198" s="2071"/>
      <c r="KG198" s="2071"/>
      <c r="KH198" s="2071"/>
      <c r="KI198" s="2071"/>
      <c r="KJ198" s="2071"/>
      <c r="KK198" s="2071"/>
      <c r="KL198" s="2071"/>
      <c r="KM198" s="2071"/>
      <c r="KN198" s="2071"/>
      <c r="KO198" s="2071"/>
      <c r="KP198" s="2071"/>
      <c r="KQ198" s="2071"/>
      <c r="KR198" s="2071"/>
      <c r="KS198" s="2071"/>
      <c r="KT198" s="2071"/>
      <c r="KU198" s="2071"/>
      <c r="KV198" s="2071"/>
      <c r="KW198" s="2071"/>
      <c r="KX198" s="2071"/>
      <c r="KY198" s="2071"/>
      <c r="KZ198" s="2071"/>
      <c r="LA198" s="2071"/>
      <c r="LB198" s="2071"/>
      <c r="LC198" s="2071"/>
      <c r="LD198" s="2071"/>
      <c r="LE198" s="2071"/>
      <c r="LF198" s="2071"/>
      <c r="LG198" s="2071"/>
      <c r="LH198" s="2071"/>
      <c r="LI198" s="2071"/>
      <c r="LJ198" s="2071"/>
      <c r="LK198" s="2071"/>
      <c r="LL198" s="2071"/>
      <c r="LM198" s="2071"/>
      <c r="LN198" s="2071"/>
      <c r="LO198" s="2071"/>
      <c r="LP198" s="2071"/>
      <c r="LQ198" s="2071"/>
      <c r="LR198" s="2071"/>
      <c r="LS198" s="2071"/>
      <c r="LT198" s="2071"/>
      <c r="LU198" s="2071"/>
      <c r="LV198" s="2071"/>
      <c r="LW198" s="2071"/>
      <c r="LX198" s="2071"/>
      <c r="LY198" s="2071"/>
      <c r="LZ198" s="2071"/>
      <c r="MA198" s="2071"/>
      <c r="MB198" s="2071"/>
      <c r="MC198" s="2071"/>
      <c r="MD198" s="2071"/>
      <c r="ME198" s="2071"/>
      <c r="MF198" s="2071"/>
      <c r="MG198" s="2071"/>
      <c r="MH198" s="2071"/>
      <c r="MI198" s="2071"/>
      <c r="MJ198" s="2071"/>
      <c r="MK198" s="2071"/>
      <c r="ML198" s="2071"/>
      <c r="MM198" s="2071"/>
      <c r="MN198" s="2071"/>
      <c r="MO198" s="2071"/>
      <c r="MP198" s="2071"/>
      <c r="MQ198" s="2071"/>
      <c r="MR198" s="2071"/>
      <c r="MS198" s="2071"/>
      <c r="MT198" s="2071"/>
      <c r="MU198" s="2071"/>
      <c r="MV198" s="2071"/>
      <c r="MW198" s="2071"/>
      <c r="MX198" s="2071"/>
      <c r="MY198" s="2071"/>
      <c r="MZ198" s="2071"/>
      <c r="NA198" s="2071"/>
      <c r="NB198" s="2071"/>
      <c r="NC198" s="2071"/>
      <c r="ND198" s="2071"/>
      <c r="NE198" s="2071"/>
      <c r="NF198" s="2071"/>
      <c r="NG198" s="2071"/>
      <c r="NH198" s="2071"/>
      <c r="NI198" s="2071"/>
      <c r="NJ198" s="2071"/>
      <c r="NK198" s="2071"/>
      <c r="NL198" s="2071"/>
      <c r="NM198" s="2071"/>
      <c r="NN198" s="2071"/>
      <c r="NO198" s="2071"/>
      <c r="NP198" s="2071"/>
      <c r="NQ198" s="2071"/>
      <c r="NR198" s="2071"/>
      <c r="NS198" s="2071"/>
      <c r="NT198" s="2071"/>
      <c r="NU198" s="2071"/>
      <c r="NV198" s="2071"/>
      <c r="NW198" s="2071"/>
      <c r="NX198" s="2071"/>
      <c r="NY198" s="2071"/>
      <c r="NZ198" s="2071"/>
      <c r="OA198" s="2071"/>
      <c r="OB198" s="2071"/>
      <c r="OC198" s="2071"/>
      <c r="OD198" s="2071"/>
      <c r="OE198" s="2071"/>
      <c r="OF198" s="2071"/>
      <c r="OG198" s="2071"/>
      <c r="OH198" s="2071"/>
      <c r="OI198" s="2071"/>
      <c r="OJ198" s="2071"/>
      <c r="OK198" s="2071"/>
      <c r="OL198" s="2071"/>
      <c r="OM198" s="2071"/>
      <c r="ON198" s="2071"/>
      <c r="OO198" s="2071"/>
      <c r="OP198" s="2071"/>
      <c r="OQ198" s="2071"/>
      <c r="OR198" s="2071"/>
      <c r="OS198" s="2071"/>
      <c r="OT198" s="2071"/>
      <c r="OU198" s="2071"/>
      <c r="OV198" s="2071"/>
      <c r="OW198" s="2071"/>
      <c r="OX198" s="2071"/>
      <c r="OY198" s="2071"/>
      <c r="OZ198" s="2071"/>
      <c r="PA198" s="2071"/>
      <c r="PB198" s="2071"/>
      <c r="PC198" s="2071"/>
      <c r="PD198" s="2071"/>
      <c r="PE198" s="2071"/>
      <c r="PF198" s="2071"/>
      <c r="PG198" s="2071"/>
      <c r="PH198" s="2071"/>
      <c r="PI198" s="2071"/>
      <c r="PJ198" s="2071"/>
      <c r="PK198" s="2071"/>
      <c r="PL198" s="2071"/>
      <c r="PM198" s="2071"/>
      <c r="PN198" s="2071"/>
      <c r="PO198" s="2071"/>
      <c r="PP198" s="2071"/>
      <c r="PQ198" s="2071"/>
      <c r="PR198" s="2071"/>
      <c r="PS198" s="2071"/>
      <c r="PT198" s="2071"/>
      <c r="PU198" s="2071"/>
      <c r="PV198" s="2071"/>
      <c r="PW198" s="2071"/>
      <c r="PX198" s="2071"/>
      <c r="PY198" s="2071"/>
      <c r="PZ198" s="2071"/>
      <c r="QA198" s="2071"/>
      <c r="QB198" s="2071"/>
      <c r="QC198" s="2071"/>
      <c r="QD198" s="2071"/>
      <c r="QE198" s="2071"/>
      <c r="QF198" s="2071"/>
      <c r="QG198" s="2071"/>
      <c r="QH198" s="2071"/>
      <c r="QI198" s="2071"/>
      <c r="QJ198" s="2071"/>
      <c r="QK198" s="2071"/>
      <c r="QL198" s="2071"/>
      <c r="QM198" s="2071"/>
      <c r="QN198" s="2071"/>
      <c r="QO198" s="2071"/>
      <c r="QP198" s="2071"/>
      <c r="QQ198" s="2071"/>
      <c r="QR198" s="2071"/>
      <c r="QS198" s="2071"/>
      <c r="QT198" s="2071"/>
      <c r="QU198" s="2071"/>
      <c r="QV198" s="2071"/>
      <c r="QW198" s="2071"/>
      <c r="QX198" s="2071"/>
      <c r="QY198" s="2071"/>
      <c r="QZ198" s="2071"/>
      <c r="RA198" s="2071"/>
      <c r="RB198" s="2071"/>
      <c r="RC198" s="2071"/>
      <c r="RD198" s="2071"/>
      <c r="RE198" s="2071"/>
      <c r="RF198" s="2071"/>
      <c r="RG198" s="2071"/>
      <c r="RH198" s="2071"/>
      <c r="RI198" s="2071"/>
      <c r="RJ198" s="2071"/>
      <c r="RK198" s="2071"/>
      <c r="RL198" s="2071"/>
      <c r="RM198" s="2071"/>
      <c r="RN198" s="2071"/>
      <c r="RO198" s="2071"/>
      <c r="RP198" s="2071"/>
      <c r="RQ198" s="2071"/>
      <c r="RR198" s="2071"/>
      <c r="RS198" s="2071"/>
      <c r="RT198" s="2071"/>
      <c r="RU198" s="2071"/>
      <c r="RV198" s="2071"/>
      <c r="RW198" s="2071"/>
      <c r="RX198" s="2071"/>
      <c r="RY198" s="2071"/>
      <c r="RZ198" s="2071"/>
      <c r="SA198" s="2071"/>
      <c r="SB198" s="2071"/>
      <c r="SC198" s="2071"/>
      <c r="SD198" s="2071"/>
      <c r="SE198" s="2071"/>
      <c r="SF198" s="2071"/>
      <c r="SG198" s="2071"/>
      <c r="SH198" s="2071"/>
      <c r="SI198" s="2071"/>
      <c r="SJ198" s="2071"/>
      <c r="SK198" s="2071"/>
      <c r="SL198" s="2071"/>
      <c r="SM198" s="2071"/>
      <c r="SN198" s="2071"/>
      <c r="SO198" s="2071"/>
      <c r="SP198" s="2071"/>
      <c r="SQ198" s="2071"/>
      <c r="SR198" s="2071"/>
      <c r="SS198" s="2071"/>
      <c r="ST198" s="2071"/>
      <c r="SU198" s="2071"/>
      <c r="SV198" s="2071"/>
      <c r="SW198" s="2071"/>
      <c r="SX198" s="2071"/>
      <c r="SY198" s="2071"/>
      <c r="SZ198" s="2071"/>
      <c r="TA198" s="2071"/>
      <c r="TB198" s="2071"/>
      <c r="TC198" s="2071"/>
      <c r="TD198" s="2071"/>
      <c r="TE198" s="2071"/>
      <c r="TF198" s="2071"/>
      <c r="TG198" s="2071"/>
      <c r="TH198" s="2071"/>
      <c r="TI198" s="2071"/>
      <c r="TJ198" s="2071"/>
      <c r="TK198" s="2071"/>
      <c r="TL198" s="2071"/>
      <c r="TM198" s="2071"/>
      <c r="TN198" s="2071"/>
      <c r="TO198" s="2071"/>
      <c r="TP198" s="2071"/>
      <c r="TQ198" s="2071"/>
      <c r="TR198" s="2071"/>
      <c r="TS198" s="2071"/>
      <c r="TT198" s="2071"/>
      <c r="TU198" s="2071"/>
      <c r="TV198" s="2071"/>
      <c r="TW198" s="2071"/>
      <c r="TX198" s="2071"/>
      <c r="TY198" s="2071"/>
      <c r="TZ198" s="2071"/>
      <c r="UA198" s="2071"/>
      <c r="UB198" s="2071"/>
      <c r="UC198" s="2071"/>
      <c r="UD198" s="2071"/>
      <c r="UE198" s="2071"/>
      <c r="UF198" s="2071"/>
      <c r="UG198" s="2071"/>
      <c r="UH198" s="2071"/>
      <c r="UI198" s="2071"/>
      <c r="UJ198" s="2071"/>
      <c r="UK198" s="2071"/>
      <c r="UL198" s="2071"/>
      <c r="UM198" s="2071"/>
      <c r="UN198" s="2071"/>
      <c r="UO198" s="2071"/>
      <c r="UP198" s="2071"/>
      <c r="UQ198" s="2071"/>
      <c r="UR198" s="2071"/>
      <c r="US198" s="2071"/>
      <c r="UT198" s="2071"/>
      <c r="UU198" s="2071"/>
      <c r="UV198" s="2071"/>
      <c r="UW198" s="2071"/>
      <c r="UX198" s="2071"/>
      <c r="UY198" s="2071"/>
      <c r="UZ198" s="2071"/>
      <c r="VA198" s="2071"/>
      <c r="VB198" s="2071"/>
      <c r="VC198" s="2071"/>
      <c r="VD198" s="2071"/>
      <c r="VE198" s="2071"/>
      <c r="VF198" s="2071"/>
      <c r="VG198" s="2071"/>
      <c r="VH198" s="2071"/>
      <c r="VI198" s="2071"/>
      <c r="VJ198" s="2071"/>
      <c r="VK198" s="2071"/>
      <c r="VL198" s="2071"/>
      <c r="VM198" s="2071"/>
      <c r="VN198" s="2071"/>
      <c r="VO198" s="2071"/>
      <c r="VP198" s="2071"/>
      <c r="VQ198" s="2071"/>
      <c r="VR198" s="2071"/>
      <c r="VS198" s="2071"/>
      <c r="VT198" s="2071"/>
      <c r="VU198" s="2071"/>
      <c r="VV198" s="2071"/>
      <c r="VW198" s="2071"/>
      <c r="VX198" s="2071"/>
      <c r="VY198" s="2071"/>
      <c r="VZ198" s="2071"/>
      <c r="WA198" s="2071"/>
      <c r="WB198" s="2071"/>
      <c r="WC198" s="2071"/>
      <c r="WD198" s="2071"/>
      <c r="WE198" s="2071"/>
      <c r="WF198" s="2071"/>
      <c r="WG198" s="2071"/>
      <c r="WH198" s="2071"/>
      <c r="WI198" s="2071"/>
      <c r="WJ198" s="2071"/>
      <c r="WK198" s="2071"/>
      <c r="WL198" s="2071"/>
      <c r="WM198" s="2071"/>
      <c r="WN198" s="2071"/>
      <c r="WO198" s="2071"/>
      <c r="WP198" s="2071"/>
      <c r="WQ198" s="2071"/>
      <c r="WR198" s="2071"/>
      <c r="WS198" s="2071"/>
      <c r="WT198" s="2071"/>
      <c r="WU198" s="2071"/>
      <c r="WV198" s="2071"/>
      <c r="WW198" s="2071"/>
      <c r="WX198" s="2071"/>
      <c r="WY198" s="2071"/>
      <c r="WZ198" s="2071"/>
      <c r="XA198" s="2071"/>
      <c r="XB198" s="2071"/>
      <c r="XC198" s="2071"/>
      <c r="XD198" s="2071"/>
      <c r="XE198" s="2071"/>
      <c r="XF198" s="2071"/>
      <c r="XG198" s="2071"/>
      <c r="XH198" s="2071"/>
      <c r="XI198" s="2071"/>
      <c r="XJ198" s="2071"/>
      <c r="XK198" s="2071"/>
      <c r="XL198" s="2071"/>
      <c r="XM198" s="2071"/>
      <c r="XN198" s="2071"/>
      <c r="XO198" s="2071"/>
      <c r="XP198" s="2071"/>
      <c r="XQ198" s="2071"/>
      <c r="XR198" s="2071"/>
      <c r="XS198" s="2071"/>
      <c r="XT198" s="2071"/>
      <c r="XU198" s="2071"/>
      <c r="XV198" s="2071"/>
      <c r="XW198" s="2071"/>
      <c r="XX198" s="2071"/>
      <c r="XY198" s="2071"/>
      <c r="XZ198" s="2071"/>
      <c r="YA198" s="2071"/>
      <c r="YB198" s="2071"/>
      <c r="YC198" s="2071"/>
      <c r="YD198" s="2071"/>
      <c r="YE198" s="2071"/>
      <c r="YF198" s="2071"/>
      <c r="YG198" s="2071"/>
      <c r="YH198" s="2071"/>
      <c r="YI198" s="2071"/>
      <c r="YJ198" s="2071"/>
      <c r="YK198" s="2071"/>
      <c r="YL198" s="2071"/>
      <c r="YM198" s="2071"/>
      <c r="YN198" s="2071"/>
      <c r="YO198" s="2071"/>
      <c r="YP198" s="2071"/>
      <c r="YQ198" s="2071"/>
      <c r="YR198" s="2071"/>
      <c r="YS198" s="2071"/>
      <c r="YT198" s="2071"/>
      <c r="YU198" s="2071"/>
      <c r="YV198" s="2071"/>
      <c r="YW198" s="2071"/>
      <c r="YX198" s="2071"/>
      <c r="YY198" s="2071"/>
      <c r="YZ198" s="2071"/>
      <c r="ZA198" s="2071"/>
      <c r="ZB198" s="2071"/>
      <c r="ZC198" s="2071"/>
      <c r="ZD198" s="2071"/>
      <c r="ZE198" s="2071"/>
      <c r="ZF198" s="2071"/>
      <c r="ZG198" s="2071"/>
      <c r="ZH198" s="2071"/>
      <c r="ZI198" s="2071"/>
      <c r="ZJ198" s="2071"/>
      <c r="ZK198" s="2071"/>
      <c r="ZL198" s="2071"/>
      <c r="ZM198" s="2071"/>
      <c r="ZN198" s="2071"/>
      <c r="ZO198" s="2071"/>
      <c r="ZP198" s="2071"/>
      <c r="ZQ198" s="2071"/>
      <c r="ZR198" s="2071"/>
      <c r="ZS198" s="2071"/>
      <c r="ZT198" s="2071"/>
      <c r="ZU198" s="2071"/>
      <c r="ZV198" s="2071"/>
      <c r="ZW198" s="2071"/>
      <c r="ZX198" s="2071"/>
      <c r="ZY198" s="2071"/>
      <c r="ZZ198" s="2071"/>
      <c r="AAA198" s="2071"/>
      <c r="AAB198" s="2071"/>
      <c r="AAC198" s="2071"/>
      <c r="AAD198" s="2071"/>
      <c r="AAE198" s="2071"/>
      <c r="AAF198" s="2071"/>
      <c r="AAG198" s="2071"/>
      <c r="AAH198" s="2071"/>
      <c r="AAI198" s="2071"/>
      <c r="AAJ198" s="2071"/>
      <c r="AAK198" s="2071"/>
      <c r="AAL198" s="2071"/>
      <c r="AAM198" s="2071"/>
      <c r="AAN198" s="2071"/>
      <c r="AAO198" s="2071"/>
      <c r="AAP198" s="2071"/>
      <c r="AAQ198" s="2071"/>
      <c r="AAR198" s="2071"/>
      <c r="AAS198" s="2071"/>
      <c r="AAT198" s="2071"/>
      <c r="AAU198" s="2071"/>
      <c r="AAV198" s="2071"/>
      <c r="AAW198" s="2071"/>
      <c r="AAX198" s="2071"/>
      <c r="AAY198" s="2071"/>
      <c r="AAZ198" s="2071"/>
      <c r="ABA198" s="2071"/>
      <c r="ABB198" s="2071"/>
      <c r="ABC198" s="2071"/>
      <c r="ABD198" s="2071"/>
      <c r="ABE198" s="2071"/>
      <c r="ABF198" s="2071"/>
      <c r="ABG198" s="2071"/>
      <c r="ABH198" s="2071"/>
      <c r="ABI198" s="2071"/>
      <c r="ABJ198" s="2071"/>
      <c r="ABK198" s="2071"/>
      <c r="ABL198" s="2071"/>
      <c r="ABM198" s="2071"/>
      <c r="ABN198" s="2071"/>
      <c r="ABO198" s="2071"/>
      <c r="ABP198" s="2071"/>
      <c r="ABQ198" s="2071"/>
      <c r="ABR198" s="2071"/>
      <c r="ABS198" s="2071"/>
      <c r="ABT198" s="2071"/>
      <c r="ABU198" s="2071"/>
      <c r="ABV198" s="2071"/>
      <c r="ABW198" s="2071"/>
      <c r="ABX198" s="2071"/>
      <c r="ABY198" s="2071"/>
      <c r="ABZ198" s="2071"/>
      <c r="ACA198" s="2071"/>
      <c r="ACB198" s="2071"/>
      <c r="ACC198" s="2071"/>
      <c r="ACD198" s="2071"/>
      <c r="ACE198" s="2071"/>
      <c r="ACF198" s="2071"/>
      <c r="ACG198" s="2071"/>
      <c r="ACH198" s="2071"/>
      <c r="ACI198" s="2071"/>
      <c r="ACJ198" s="2071"/>
      <c r="ACK198" s="2071"/>
      <c r="ACL198" s="2071"/>
      <c r="ACM198" s="2071"/>
      <c r="ACN198" s="2071"/>
      <c r="ACO198" s="2071"/>
      <c r="ACP198" s="2071"/>
      <c r="ACQ198" s="2071"/>
      <c r="ACR198" s="2071"/>
      <c r="ACS198" s="2071"/>
      <c r="ACT198" s="2071"/>
      <c r="ACU198" s="2071"/>
      <c r="ACV198" s="2071"/>
      <c r="ACW198" s="2071"/>
      <c r="ACX198" s="2071"/>
      <c r="ACY198" s="2071"/>
      <c r="ACZ198" s="2071"/>
      <c r="ADA198" s="2071"/>
      <c r="ADB198" s="2071"/>
      <c r="ADC198" s="2071"/>
      <c r="ADD198" s="2071"/>
      <c r="ADE198" s="2071"/>
      <c r="ADF198" s="2071"/>
      <c r="ADG198" s="2071"/>
      <c r="ADH198" s="2071"/>
      <c r="ADI198" s="2071"/>
      <c r="ADJ198" s="2071"/>
      <c r="ADK198" s="2071"/>
      <c r="ADL198" s="2071"/>
      <c r="ADM198" s="2071"/>
      <c r="ADN198" s="2071"/>
      <c r="ADO198" s="2071"/>
      <c r="ADP198" s="2071"/>
      <c r="ADQ198" s="2071"/>
      <c r="ADR198" s="2071"/>
      <c r="ADS198" s="2071"/>
      <c r="ADT198" s="2071"/>
      <c r="ADU198" s="2071"/>
      <c r="ADV198" s="2071"/>
      <c r="ADW198" s="2071"/>
      <c r="ADX198" s="2071"/>
      <c r="ADY198" s="2071"/>
      <c r="ADZ198" s="2071"/>
      <c r="AEA198" s="2071"/>
      <c r="AEB198" s="2071"/>
      <c r="AEC198" s="2071"/>
      <c r="AED198" s="2071"/>
      <c r="AEE198" s="2071"/>
      <c r="AEF198" s="2071"/>
      <c r="AEG198" s="2071"/>
      <c r="AEH198" s="2071"/>
      <c r="AEI198" s="2071"/>
      <c r="AEJ198" s="2071"/>
      <c r="AEK198" s="2071"/>
      <c r="AEL198" s="2071"/>
      <c r="AEM198" s="2071"/>
      <c r="AEN198" s="2071"/>
      <c r="AEO198" s="2071"/>
      <c r="AEP198" s="2071"/>
      <c r="AEQ198" s="2071"/>
      <c r="AER198" s="2071"/>
      <c r="AES198" s="2071"/>
      <c r="AET198" s="2071"/>
      <c r="AEU198" s="2071"/>
      <c r="AEV198" s="2071"/>
      <c r="AEW198" s="2071"/>
      <c r="AEX198" s="2071"/>
      <c r="AEY198" s="2071"/>
      <c r="AEZ198" s="2071"/>
      <c r="AFA198" s="2071"/>
      <c r="AFB198" s="2071"/>
      <c r="AFC198" s="2071"/>
      <c r="AFD198" s="2071"/>
      <c r="AFE198" s="2071"/>
      <c r="AFF198" s="2071"/>
      <c r="AFG198" s="2071"/>
      <c r="AFH198" s="2071"/>
      <c r="AFI198" s="2071"/>
      <c r="AFJ198" s="2071"/>
      <c r="AFK198" s="2071"/>
      <c r="AFL198" s="2071"/>
      <c r="AFM198" s="2071"/>
      <c r="AFN198" s="2071"/>
      <c r="AFO198" s="2071"/>
      <c r="AFP198" s="2071"/>
      <c r="AFQ198" s="2071"/>
      <c r="AFR198" s="2071"/>
      <c r="AFS198" s="2071"/>
      <c r="AFT198" s="2071"/>
      <c r="AFU198" s="2071"/>
      <c r="AFV198" s="2071"/>
      <c r="AFW198" s="2071"/>
      <c r="AFX198" s="2071"/>
      <c r="AFY198" s="2071"/>
      <c r="AFZ198" s="2071"/>
      <c r="AGA198" s="2071"/>
      <c r="AGB198" s="2071"/>
      <c r="AGC198" s="2071"/>
      <c r="AGD198" s="2071"/>
      <c r="AGE198" s="2071"/>
      <c r="AGF198" s="2071"/>
      <c r="AGG198" s="2071"/>
      <c r="AGH198" s="2071"/>
      <c r="AGI198" s="2071"/>
      <c r="AGJ198" s="2071"/>
      <c r="AGK198" s="2071"/>
      <c r="AGL198" s="2071"/>
      <c r="AGM198" s="2071"/>
      <c r="AGN198" s="2071"/>
      <c r="AGO198" s="2071"/>
      <c r="AGP198" s="2071"/>
      <c r="AGQ198" s="2071"/>
      <c r="AGR198" s="2071"/>
      <c r="AGS198" s="2071"/>
      <c r="AGT198" s="2071"/>
      <c r="AGU198" s="2071"/>
      <c r="AGV198" s="2071"/>
      <c r="AGW198" s="2071"/>
      <c r="AGX198" s="2071"/>
      <c r="AGY198" s="2071"/>
      <c r="AGZ198" s="2071"/>
      <c r="AHA198" s="2071"/>
      <c r="AHB198" s="2071"/>
      <c r="AHC198" s="2071"/>
      <c r="AHD198" s="2071"/>
      <c r="AHE198" s="2071"/>
      <c r="AHF198" s="2071"/>
      <c r="AHG198" s="2071"/>
      <c r="AHH198" s="2071"/>
      <c r="AHI198" s="2071"/>
      <c r="AHJ198" s="2071"/>
      <c r="AHK198" s="2071"/>
      <c r="AHL198" s="2071"/>
      <c r="AHM198" s="2071"/>
      <c r="AHN198" s="2071"/>
      <c r="AHO198" s="2071"/>
      <c r="AHP198" s="2071"/>
      <c r="AHQ198" s="2071"/>
      <c r="AHR198" s="2071"/>
      <c r="AHS198" s="2071"/>
      <c r="AHT198" s="2071"/>
      <c r="AHU198" s="2071"/>
      <c r="AHV198" s="2071"/>
      <c r="AHW198" s="2071"/>
      <c r="AHX198" s="2071"/>
      <c r="AHY198" s="2071"/>
      <c r="AHZ198" s="2071"/>
      <c r="AIA198" s="2071"/>
      <c r="AIB198" s="2071"/>
      <c r="AIC198" s="2071"/>
      <c r="AID198" s="2071"/>
      <c r="AIE198" s="2071"/>
      <c r="AIF198" s="2071"/>
      <c r="AIG198" s="2071"/>
      <c r="AIH198" s="2071"/>
      <c r="AII198" s="2071"/>
      <c r="AIJ198" s="2071"/>
      <c r="AIK198" s="2071"/>
      <c r="AIL198" s="2071"/>
      <c r="AIM198" s="2071"/>
      <c r="AIN198" s="2071"/>
      <c r="AIO198" s="2071"/>
      <c r="AIP198" s="2071"/>
      <c r="AIQ198" s="2071"/>
      <c r="AIR198" s="2071"/>
      <c r="AIS198" s="2071"/>
      <c r="AIT198" s="2071"/>
      <c r="AIU198" s="2071"/>
      <c r="AIV198" s="2071"/>
      <c r="AIW198" s="2071"/>
      <c r="AIX198" s="2071"/>
      <c r="AIY198" s="2071"/>
      <c r="AIZ198" s="2071"/>
      <c r="AJA198" s="2071"/>
      <c r="AJB198" s="2071"/>
      <c r="AJC198" s="2071"/>
      <c r="AJD198" s="2071"/>
      <c r="AJE198" s="2071"/>
      <c r="AJF198" s="2071"/>
      <c r="AJG198" s="2071"/>
      <c r="AJH198" s="2071"/>
      <c r="AJI198" s="2071"/>
      <c r="AJJ198" s="2071"/>
      <c r="AJK198" s="2071"/>
      <c r="AJL198" s="2071"/>
      <c r="AJM198" s="2071"/>
      <c r="AJN198" s="2071"/>
      <c r="AJO198" s="2071"/>
      <c r="AJP198" s="2071"/>
      <c r="AJQ198" s="2071"/>
      <c r="AJR198" s="2071"/>
      <c r="AJS198" s="2071"/>
      <c r="AJT198" s="2071"/>
      <c r="AJU198" s="2071"/>
      <c r="AJV198" s="2071"/>
      <c r="AJW198" s="2071"/>
      <c r="AJX198" s="2071"/>
      <c r="AJY198" s="2071"/>
      <c r="AJZ198" s="2071"/>
      <c r="AKA198" s="2071"/>
      <c r="AKB198" s="2071"/>
      <c r="AKC198" s="2071"/>
      <c r="AKD198" s="2071"/>
      <c r="AKE198" s="2071"/>
      <c r="AKF198" s="2071"/>
      <c r="AKG198" s="2071"/>
      <c r="AKH198" s="2071"/>
      <c r="AKI198" s="2071"/>
      <c r="AKJ198" s="2071"/>
      <c r="AKK198" s="2071"/>
      <c r="AKL198" s="2071"/>
      <c r="AKM198" s="2071"/>
      <c r="AKN198" s="2071"/>
      <c r="AKO198" s="2071"/>
      <c r="AKP198" s="2071"/>
      <c r="AKQ198" s="2071"/>
      <c r="AKR198" s="2071"/>
      <c r="AKS198" s="2071"/>
      <c r="AKT198" s="2071"/>
      <c r="AKU198" s="2071"/>
      <c r="AKV198" s="2071"/>
      <c r="AKW198" s="2071"/>
      <c r="AKX198" s="2071"/>
      <c r="AKY198" s="2071"/>
      <c r="AKZ198" s="2071"/>
      <c r="ALA198" s="2071"/>
      <c r="ALB198" s="2071"/>
      <c r="ALC198" s="2071"/>
      <c r="ALD198" s="2071"/>
      <c r="ALE198" s="2071"/>
      <c r="ALF198" s="2071"/>
      <c r="ALG198" s="2071"/>
      <c r="ALH198" s="2071"/>
      <c r="ALI198" s="2071"/>
      <c r="ALJ198" s="2071"/>
      <c r="ALK198" s="2071"/>
      <c r="ALL198" s="2071"/>
      <c r="ALM198" s="2071"/>
      <c r="ALN198" s="2071"/>
      <c r="ALO198" s="2071"/>
      <c r="ALP198" s="2071"/>
      <c r="ALQ198" s="2071"/>
      <c r="ALR198" s="2071"/>
      <c r="ALS198" s="2071"/>
      <c r="ALT198" s="2071"/>
      <c r="ALU198" s="2071"/>
      <c r="ALV198" s="2071"/>
      <c r="ALW198" s="2071"/>
      <c r="ALX198" s="2071"/>
      <c r="ALY198" s="2071"/>
      <c r="ALZ198" s="2071"/>
      <c r="AMA198" s="2071"/>
      <c r="AMB198" s="2071"/>
      <c r="AMC198" s="2071"/>
      <c r="AMD198" s="2071"/>
      <c r="AME198" s="2071"/>
      <c r="AMF198" s="2071"/>
      <c r="AMG198" s="2071"/>
      <c r="AMH198" s="2071"/>
      <c r="AMI198" s="2071"/>
      <c r="AMJ198" s="2071"/>
      <c r="AMK198" s="2071"/>
      <c r="AML198" s="2071"/>
      <c r="AMM198" s="2071"/>
      <c r="AMN198" s="2071"/>
      <c r="AMO198" s="2071"/>
      <c r="AMP198" s="2071"/>
      <c r="AMQ198" s="2071"/>
      <c r="AMR198" s="2071"/>
      <c r="AMS198" s="2071"/>
      <c r="AMT198" s="2071"/>
      <c r="AMU198" s="2071"/>
      <c r="AMV198" s="2071"/>
      <c r="AMW198" s="2071"/>
      <c r="AMX198" s="2071"/>
      <c r="AMY198" s="2071"/>
      <c r="AMZ198" s="2071"/>
      <c r="ANA198" s="2071"/>
      <c r="ANB198" s="2071"/>
      <c r="ANC198" s="2071"/>
      <c r="AND198" s="2071"/>
      <c r="ANE198" s="2071"/>
      <c r="ANF198" s="2071"/>
      <c r="ANG198" s="2071"/>
      <c r="ANH198" s="2071"/>
      <c r="ANI198" s="2071"/>
      <c r="ANJ198" s="2071"/>
      <c r="ANK198" s="2071"/>
      <c r="ANL198" s="2071"/>
      <c r="ANM198" s="2071"/>
      <c r="ANN198" s="2071"/>
      <c r="ANO198" s="2071"/>
      <c r="ANP198" s="2071"/>
      <c r="ANQ198" s="2071"/>
      <c r="ANR198" s="2071"/>
      <c r="ANS198" s="2071"/>
      <c r="ANT198" s="2071"/>
      <c r="ANU198" s="2071"/>
      <c r="ANV198" s="2071"/>
      <c r="ANW198" s="2071"/>
      <c r="ANX198" s="2071"/>
      <c r="ANY198" s="2071"/>
      <c r="ANZ198" s="2071"/>
      <c r="AOA198" s="2071"/>
      <c r="AOB198" s="2071"/>
      <c r="AOC198" s="2071"/>
      <c r="AOD198" s="2071"/>
      <c r="AOE198" s="2071"/>
      <c r="AOF198" s="2071"/>
      <c r="AOG198" s="2071"/>
      <c r="AOH198" s="2071"/>
      <c r="AOI198" s="2071"/>
      <c r="AOJ198" s="2071"/>
      <c r="AOK198" s="2071"/>
      <c r="AOL198" s="2071"/>
      <c r="AOM198" s="2071"/>
      <c r="AON198" s="2071"/>
      <c r="AOO198" s="2071"/>
      <c r="AOP198" s="2071"/>
      <c r="AOQ198" s="2071"/>
      <c r="AOR198" s="2071"/>
      <c r="AOS198" s="2071"/>
      <c r="AOT198" s="2071"/>
      <c r="AOU198" s="2071"/>
      <c r="AOV198" s="2071"/>
      <c r="AOW198" s="2071"/>
      <c r="AOX198" s="2071"/>
      <c r="AOY198" s="2071"/>
      <c r="AOZ198" s="2071"/>
      <c r="APA198" s="2071"/>
      <c r="APB198" s="2071"/>
      <c r="APC198" s="2071"/>
      <c r="APD198" s="2071"/>
      <c r="APE198" s="2071"/>
      <c r="APF198" s="2071"/>
      <c r="APG198" s="2071"/>
      <c r="APH198" s="2071"/>
      <c r="API198" s="2071"/>
      <c r="APJ198" s="2071"/>
      <c r="APK198" s="2071"/>
      <c r="APL198" s="2071"/>
      <c r="APM198" s="2071"/>
      <c r="APN198" s="2071"/>
      <c r="APO198" s="2071"/>
      <c r="APP198" s="2071"/>
      <c r="APQ198" s="2071"/>
      <c r="APR198" s="2071"/>
      <c r="APS198" s="2071"/>
      <c r="APT198" s="2071"/>
      <c r="APU198" s="2071"/>
      <c r="APV198" s="2071"/>
      <c r="APW198" s="2071"/>
      <c r="APX198" s="2071"/>
      <c r="APY198" s="2071"/>
      <c r="APZ198" s="2071"/>
      <c r="AQA198" s="2071"/>
      <c r="AQB198" s="2071"/>
      <c r="AQC198" s="2071"/>
      <c r="AQD198" s="2071"/>
      <c r="AQE198" s="2071"/>
      <c r="AQF198" s="2071"/>
      <c r="AQG198" s="2071"/>
      <c r="AQH198" s="2071"/>
      <c r="AQI198" s="2071"/>
      <c r="AQJ198" s="2071"/>
      <c r="AQK198" s="2071"/>
      <c r="AQL198" s="2071"/>
      <c r="AQM198" s="2071"/>
      <c r="AQN198" s="2071"/>
      <c r="AQO198" s="2071"/>
      <c r="AQP198" s="2071"/>
      <c r="AQQ198" s="2071"/>
      <c r="AQR198" s="2071"/>
      <c r="AQS198" s="2071"/>
      <c r="AQT198" s="2071"/>
      <c r="AQU198" s="2071"/>
      <c r="AQV198" s="2071"/>
      <c r="AQW198" s="2071"/>
      <c r="AQX198" s="2071"/>
      <c r="AQY198" s="2071"/>
      <c r="AQZ198" s="2071"/>
      <c r="ARA198" s="2071"/>
      <c r="ARB198" s="2071"/>
      <c r="ARC198" s="2071"/>
      <c r="ARD198" s="2071"/>
      <c r="ARE198" s="2071"/>
      <c r="ARF198" s="2071"/>
      <c r="ARG198" s="2071"/>
      <c r="ARH198" s="2071"/>
      <c r="ARI198" s="2071"/>
      <c r="ARJ198" s="2071"/>
      <c r="ARK198" s="2071"/>
      <c r="ARL198" s="2071"/>
      <c r="ARM198" s="2071"/>
      <c r="ARN198" s="2071"/>
      <c r="ARO198" s="2071"/>
      <c r="ARP198" s="2071"/>
      <c r="ARQ198" s="2071"/>
      <c r="ARR198" s="2071"/>
      <c r="ARS198" s="2071"/>
      <c r="ART198" s="2071"/>
      <c r="ARU198" s="2071"/>
      <c r="ARV198" s="2071"/>
      <c r="ARW198" s="2071"/>
      <c r="ARX198" s="2071"/>
      <c r="ARY198" s="2071"/>
      <c r="ARZ198" s="2071"/>
      <c r="ASA198" s="2071"/>
      <c r="ASB198" s="2071"/>
      <c r="ASC198" s="2071"/>
      <c r="ASD198" s="2071"/>
      <c r="ASE198" s="2071"/>
      <c r="ASF198" s="2071"/>
      <c r="ASG198" s="2071"/>
      <c r="ASH198" s="2071"/>
      <c r="ASI198" s="2071"/>
      <c r="ASJ198" s="2071"/>
      <c r="ASK198" s="2071"/>
      <c r="ASL198" s="2071"/>
      <c r="ASM198" s="2071"/>
      <c r="ASN198" s="2071"/>
      <c r="ASO198" s="2071"/>
      <c r="ASP198" s="2071"/>
      <c r="ASQ198" s="2071"/>
      <c r="ASR198" s="2071"/>
      <c r="ASS198" s="2071"/>
      <c r="AST198" s="2071"/>
      <c r="ASU198" s="2071"/>
      <c r="ASV198" s="2071"/>
      <c r="ASW198" s="2071"/>
      <c r="ASX198" s="2071"/>
      <c r="ASY198" s="2071"/>
      <c r="ASZ198" s="2071"/>
      <c r="ATA198" s="2071"/>
      <c r="ATB198" s="2071"/>
      <c r="ATC198" s="2071"/>
      <c r="ATD198" s="2071"/>
      <c r="ATE198" s="2071"/>
      <c r="ATF198" s="2071"/>
      <c r="ATG198" s="2071"/>
      <c r="ATH198" s="2071"/>
      <c r="ATI198" s="2071"/>
      <c r="ATJ198" s="2071"/>
      <c r="ATK198" s="2071"/>
      <c r="ATL198" s="2071"/>
      <c r="ATM198" s="2071"/>
      <c r="ATN198" s="2071"/>
      <c r="ATO198" s="2071"/>
      <c r="ATP198" s="2071"/>
      <c r="ATQ198" s="2071"/>
      <c r="ATR198" s="2071"/>
      <c r="ATS198" s="2071"/>
      <c r="ATT198" s="2071"/>
      <c r="ATU198" s="2071"/>
      <c r="ATV198" s="2071"/>
      <c r="ATW198" s="2071"/>
      <c r="ATX198" s="2071"/>
      <c r="ATY198" s="2071"/>
      <c r="ATZ198" s="2071"/>
      <c r="AUA198" s="2071"/>
      <c r="AUB198" s="2071"/>
      <c r="AUC198" s="2071"/>
      <c r="AUD198" s="2071"/>
      <c r="AUE198" s="2071"/>
      <c r="AUF198" s="2071"/>
      <c r="AUG198" s="2071"/>
      <c r="AUH198" s="2071"/>
      <c r="AUI198" s="2071"/>
      <c r="AUJ198" s="2071"/>
      <c r="AUK198" s="2071"/>
      <c r="AUL198" s="2071"/>
      <c r="AUM198" s="2071"/>
      <c r="AUN198" s="2071"/>
      <c r="AUO198" s="2071"/>
      <c r="AUP198" s="2071"/>
      <c r="AUQ198" s="2071"/>
      <c r="AUR198" s="2071"/>
      <c r="AUS198" s="2071"/>
      <c r="AUT198" s="2071"/>
      <c r="AUU198" s="2071"/>
      <c r="AUV198" s="2071"/>
      <c r="AUW198" s="2071"/>
      <c r="AUX198" s="2071"/>
      <c r="AUY198" s="2071"/>
      <c r="AUZ198" s="2071"/>
      <c r="AVA198" s="2071"/>
      <c r="AVB198" s="2071"/>
      <c r="AVC198" s="2071"/>
      <c r="AVD198" s="2071"/>
      <c r="AVE198" s="2071"/>
      <c r="AVF198" s="2071"/>
      <c r="AVG198" s="2071"/>
      <c r="AVH198" s="2071"/>
      <c r="AVI198" s="2071"/>
      <c r="AVJ198" s="2071"/>
      <c r="AVK198" s="2071"/>
      <c r="AVL198" s="2071"/>
      <c r="AVM198" s="2071"/>
      <c r="AVN198" s="2071"/>
      <c r="AVO198" s="2071"/>
      <c r="AVP198" s="2071"/>
      <c r="AVQ198" s="2071"/>
      <c r="AVR198" s="2071"/>
      <c r="AVS198" s="2071"/>
      <c r="AVT198" s="2071"/>
      <c r="AVU198" s="2071"/>
      <c r="AVV198" s="2071"/>
      <c r="AVW198" s="2071"/>
      <c r="AVX198" s="2071"/>
      <c r="AVY198" s="2071"/>
      <c r="AVZ198" s="2071"/>
      <c r="AWA198" s="2071"/>
      <c r="AWB198" s="2071"/>
      <c r="AWC198" s="2071"/>
      <c r="AWD198" s="2071"/>
      <c r="AWE198" s="2071"/>
      <c r="AWF198" s="2071"/>
      <c r="AWG198" s="2071"/>
      <c r="AWH198" s="2071"/>
      <c r="AWI198" s="2071"/>
      <c r="AWJ198" s="2071"/>
      <c r="AWK198" s="2071"/>
      <c r="AWL198" s="2071"/>
      <c r="AWM198" s="2071"/>
      <c r="AWN198" s="2071"/>
      <c r="AWO198" s="2071"/>
      <c r="AWP198" s="2071"/>
      <c r="AWQ198" s="2071"/>
      <c r="AWR198" s="2071"/>
      <c r="AWS198" s="2071"/>
      <c r="AWT198" s="2071"/>
      <c r="AWU198" s="2071"/>
      <c r="AWV198" s="2071"/>
      <c r="AWW198" s="2071"/>
      <c r="AWX198" s="2071"/>
      <c r="AWY198" s="2071"/>
      <c r="AWZ198" s="2071"/>
      <c r="AXA198" s="2071"/>
      <c r="AXB198" s="2071"/>
      <c r="AXC198" s="2071"/>
      <c r="AXD198" s="2071"/>
      <c r="AXE198" s="2071"/>
      <c r="AXF198" s="2071"/>
      <c r="AXG198" s="2071"/>
      <c r="AXH198" s="2071"/>
      <c r="AXI198" s="2071"/>
      <c r="AXJ198" s="2071"/>
    </row>
    <row r="199" spans="1:1310" s="2072" customFormat="1" ht="23.25" customHeight="1">
      <c r="A199" s="2073"/>
      <c r="B199" s="4489"/>
      <c r="C199" s="4489"/>
      <c r="D199" s="4489"/>
      <c r="E199" s="4489"/>
      <c r="F199" s="4489"/>
      <c r="G199" s="4489"/>
      <c r="H199" s="4489"/>
      <c r="I199" s="4489"/>
      <c r="J199" s="4489"/>
      <c r="K199" s="4489"/>
      <c r="L199" s="4489"/>
      <c r="M199" s="4489"/>
      <c r="N199" s="4489"/>
      <c r="O199" s="4489"/>
      <c r="P199" s="4489"/>
      <c r="Q199" s="4489"/>
      <c r="R199" s="1838"/>
      <c r="S199" s="1838"/>
      <c r="T199" s="1838"/>
      <c r="U199" s="1838"/>
      <c r="V199" s="1838"/>
      <c r="W199" s="1838"/>
      <c r="X199" s="1838"/>
      <c r="Y199" s="1838"/>
      <c r="Z199" s="1838"/>
      <c r="AA199" s="1838"/>
      <c r="AB199" s="1838"/>
      <c r="AC199" s="1838"/>
      <c r="AD199" s="2070"/>
      <c r="AE199" s="2070"/>
      <c r="AF199" s="2070"/>
      <c r="AG199" s="2070"/>
      <c r="AH199" s="2070"/>
      <c r="AI199" s="2070"/>
      <c r="AJ199" s="2070"/>
      <c r="AK199" s="2070"/>
      <c r="AL199" s="2070"/>
      <c r="AM199" s="2070"/>
      <c r="AN199" s="2070"/>
      <c r="AO199" s="2070"/>
      <c r="AP199" s="2070"/>
      <c r="AQ199" s="2070"/>
      <c r="AR199" s="2070"/>
      <c r="AS199" s="2070"/>
      <c r="AT199" s="2070"/>
      <c r="AU199" s="2070"/>
      <c r="AV199" s="2071"/>
      <c r="AW199" s="2071"/>
      <c r="AX199" s="2071"/>
      <c r="AY199" s="2071"/>
      <c r="AZ199" s="2071"/>
      <c r="BA199" s="2071"/>
      <c r="BB199" s="2071"/>
      <c r="BC199" s="2071"/>
      <c r="BD199" s="2071"/>
      <c r="BE199" s="2071"/>
      <c r="BF199" s="2071"/>
      <c r="BG199" s="2071"/>
      <c r="BH199" s="2071"/>
      <c r="BI199" s="2071"/>
      <c r="BJ199" s="2071"/>
      <c r="BK199" s="2071"/>
      <c r="BL199" s="2071"/>
      <c r="BM199" s="2071"/>
      <c r="BN199" s="2071"/>
      <c r="BO199" s="2071"/>
      <c r="BP199" s="2071"/>
      <c r="BQ199" s="2071"/>
      <c r="BR199" s="2071"/>
      <c r="BS199" s="2071"/>
      <c r="BT199" s="2071"/>
      <c r="BU199" s="2071"/>
      <c r="BV199" s="2071"/>
      <c r="BW199" s="2071"/>
      <c r="BX199" s="2071"/>
      <c r="BY199" s="2071"/>
      <c r="BZ199" s="2071"/>
      <c r="CA199" s="2071"/>
      <c r="CB199" s="2071"/>
      <c r="CC199" s="2071"/>
      <c r="CD199" s="2071"/>
      <c r="CE199" s="2071"/>
      <c r="CF199" s="2071"/>
      <c r="CG199" s="2071"/>
      <c r="CH199" s="2071"/>
      <c r="CI199" s="2071"/>
      <c r="CJ199" s="2071"/>
      <c r="CK199" s="2071"/>
      <c r="CL199" s="2071"/>
      <c r="CM199" s="2071"/>
      <c r="CN199" s="2071"/>
      <c r="CO199" s="2071"/>
      <c r="CP199" s="2071"/>
      <c r="CQ199" s="2071"/>
      <c r="CR199" s="2071"/>
      <c r="CS199" s="2071"/>
      <c r="CT199" s="2071"/>
      <c r="CU199" s="2071"/>
      <c r="CV199" s="2071"/>
      <c r="CW199" s="2071"/>
      <c r="CX199" s="2071"/>
      <c r="CY199" s="2071"/>
      <c r="CZ199" s="2071"/>
      <c r="DA199" s="2071"/>
      <c r="DB199" s="2071"/>
      <c r="DC199" s="2071"/>
      <c r="DD199" s="2071"/>
      <c r="DE199" s="2071"/>
      <c r="DF199" s="2071"/>
      <c r="DG199" s="2071"/>
      <c r="DH199" s="2071"/>
      <c r="DI199" s="2071"/>
      <c r="DJ199" s="2071"/>
      <c r="DK199" s="2071"/>
      <c r="DL199" s="2071"/>
      <c r="DM199" s="2071"/>
      <c r="DN199" s="2071"/>
      <c r="DO199" s="2071"/>
      <c r="DP199" s="2071"/>
      <c r="DQ199" s="2071"/>
      <c r="DR199" s="2071"/>
      <c r="DS199" s="2071"/>
      <c r="DT199" s="2071"/>
      <c r="DU199" s="2071"/>
      <c r="DV199" s="2071"/>
      <c r="DW199" s="2071"/>
      <c r="DX199" s="2071"/>
      <c r="DY199" s="2071"/>
      <c r="DZ199" s="2071"/>
      <c r="EA199" s="2071"/>
      <c r="EB199" s="2071"/>
      <c r="EC199" s="2071"/>
      <c r="ED199" s="2071"/>
      <c r="EE199" s="2071"/>
      <c r="EF199" s="2071"/>
      <c r="EG199" s="2071"/>
      <c r="EH199" s="2071"/>
      <c r="EI199" s="2071"/>
      <c r="EJ199" s="2071"/>
      <c r="EK199" s="2071"/>
      <c r="EL199" s="2071"/>
      <c r="EM199" s="2071"/>
      <c r="EN199" s="2071"/>
      <c r="EO199" s="2071"/>
      <c r="EP199" s="2071"/>
      <c r="EQ199" s="2071"/>
      <c r="ER199" s="2071"/>
      <c r="ES199" s="2071"/>
      <c r="ET199" s="2071"/>
      <c r="EU199" s="2071"/>
      <c r="EV199" s="2071"/>
      <c r="EW199" s="2071"/>
      <c r="EX199" s="2071"/>
      <c r="EY199" s="2071"/>
      <c r="EZ199" s="2071"/>
      <c r="FA199" s="2071"/>
      <c r="FB199" s="2071"/>
      <c r="FC199" s="2071"/>
      <c r="FD199" s="2071"/>
      <c r="FE199" s="2071"/>
      <c r="FF199" s="2071"/>
      <c r="FG199" s="2071"/>
      <c r="FH199" s="2071"/>
      <c r="FI199" s="2071"/>
      <c r="FJ199" s="2071"/>
      <c r="FK199" s="2071"/>
      <c r="FL199" s="2071"/>
      <c r="FM199" s="2071"/>
      <c r="FN199" s="2071"/>
      <c r="FO199" s="2071"/>
      <c r="FP199" s="2071"/>
      <c r="FQ199" s="2071"/>
      <c r="FR199" s="2071"/>
      <c r="FS199" s="2071"/>
      <c r="FT199" s="2071"/>
      <c r="FU199" s="2071"/>
      <c r="FV199" s="2071"/>
      <c r="FW199" s="2071"/>
      <c r="FX199" s="2071"/>
      <c r="FY199" s="2071"/>
      <c r="FZ199" s="2071"/>
      <c r="GA199" s="2071"/>
      <c r="GB199" s="2071"/>
      <c r="GC199" s="2071"/>
      <c r="GD199" s="2071"/>
      <c r="GE199" s="2071"/>
      <c r="GF199" s="2071"/>
      <c r="GG199" s="2071"/>
      <c r="GH199" s="2071"/>
      <c r="GI199" s="2071"/>
      <c r="GJ199" s="2071"/>
      <c r="GK199" s="2071"/>
      <c r="GL199" s="2071"/>
      <c r="GM199" s="2071"/>
      <c r="GN199" s="2071"/>
      <c r="GO199" s="2071"/>
      <c r="GP199" s="2071"/>
      <c r="GQ199" s="2071"/>
      <c r="GR199" s="2071"/>
      <c r="GS199" s="2071"/>
      <c r="GT199" s="2071"/>
      <c r="GU199" s="2071"/>
      <c r="GV199" s="2071"/>
      <c r="GW199" s="2071"/>
      <c r="GX199" s="2071"/>
      <c r="GY199" s="2071"/>
      <c r="GZ199" s="2071"/>
      <c r="HA199" s="2071"/>
      <c r="HB199" s="2071"/>
      <c r="HC199" s="2071"/>
      <c r="HD199" s="2071"/>
      <c r="HE199" s="2071"/>
      <c r="HF199" s="2071"/>
      <c r="HG199" s="2071"/>
      <c r="HH199" s="2071"/>
      <c r="HI199" s="2071"/>
      <c r="HJ199" s="2071"/>
      <c r="HK199" s="2071"/>
      <c r="HL199" s="2071"/>
      <c r="HM199" s="2071"/>
      <c r="HN199" s="2071"/>
      <c r="HO199" s="2071"/>
      <c r="HP199" s="2071"/>
      <c r="HQ199" s="2071"/>
      <c r="HR199" s="2071"/>
      <c r="HS199" s="2071"/>
      <c r="HT199" s="2071"/>
      <c r="HU199" s="2071"/>
      <c r="HV199" s="2071"/>
      <c r="HW199" s="2071"/>
      <c r="HX199" s="2071"/>
      <c r="HY199" s="2071"/>
      <c r="HZ199" s="2071"/>
      <c r="IA199" s="2071"/>
      <c r="IB199" s="2071"/>
      <c r="IC199" s="2071"/>
      <c r="ID199" s="2071"/>
      <c r="IE199" s="2071"/>
      <c r="IF199" s="2071"/>
      <c r="IG199" s="2071"/>
      <c r="IH199" s="2071"/>
      <c r="II199" s="2071"/>
      <c r="IJ199" s="2071"/>
      <c r="IK199" s="2071"/>
      <c r="IL199" s="2071"/>
      <c r="IM199" s="2071"/>
      <c r="IN199" s="2071"/>
      <c r="IO199" s="2071"/>
      <c r="IP199" s="2071"/>
      <c r="IQ199" s="2071"/>
      <c r="IR199" s="2071"/>
      <c r="IS199" s="2071"/>
      <c r="IT199" s="2071"/>
      <c r="IU199" s="2071"/>
      <c r="IV199" s="2071"/>
      <c r="IW199" s="2071"/>
      <c r="IX199" s="2071"/>
      <c r="IY199" s="2071"/>
      <c r="IZ199" s="2071"/>
      <c r="JA199" s="2071"/>
      <c r="JB199" s="2071"/>
      <c r="JC199" s="2071"/>
      <c r="JD199" s="2071"/>
      <c r="JE199" s="2071"/>
      <c r="JF199" s="2071"/>
      <c r="JG199" s="2071"/>
      <c r="JH199" s="2071"/>
      <c r="JI199" s="2071"/>
      <c r="JJ199" s="2071"/>
      <c r="JK199" s="2071"/>
      <c r="JL199" s="2071"/>
      <c r="JM199" s="2071"/>
      <c r="JN199" s="2071"/>
      <c r="JO199" s="2071"/>
      <c r="JP199" s="2071"/>
      <c r="JQ199" s="2071"/>
      <c r="JR199" s="2071"/>
      <c r="JS199" s="2071"/>
      <c r="JT199" s="2071"/>
      <c r="JU199" s="2071"/>
      <c r="JV199" s="2071"/>
      <c r="JW199" s="2071"/>
      <c r="JX199" s="2071"/>
      <c r="JY199" s="2071"/>
      <c r="JZ199" s="2071"/>
      <c r="KA199" s="2071"/>
      <c r="KB199" s="2071"/>
      <c r="KC199" s="2071"/>
      <c r="KD199" s="2071"/>
      <c r="KE199" s="2071"/>
      <c r="KF199" s="2071"/>
      <c r="KG199" s="2071"/>
      <c r="KH199" s="2071"/>
      <c r="KI199" s="2071"/>
      <c r="KJ199" s="2071"/>
      <c r="KK199" s="2071"/>
      <c r="KL199" s="2071"/>
      <c r="KM199" s="2071"/>
      <c r="KN199" s="2071"/>
      <c r="KO199" s="2071"/>
      <c r="KP199" s="2071"/>
      <c r="KQ199" s="2071"/>
      <c r="KR199" s="2071"/>
      <c r="KS199" s="2071"/>
      <c r="KT199" s="2071"/>
      <c r="KU199" s="2071"/>
      <c r="KV199" s="2071"/>
      <c r="KW199" s="2071"/>
      <c r="KX199" s="2071"/>
      <c r="KY199" s="2071"/>
      <c r="KZ199" s="2071"/>
      <c r="LA199" s="2071"/>
      <c r="LB199" s="2071"/>
      <c r="LC199" s="2071"/>
      <c r="LD199" s="2071"/>
      <c r="LE199" s="2071"/>
      <c r="LF199" s="2071"/>
      <c r="LG199" s="2071"/>
      <c r="LH199" s="2071"/>
      <c r="LI199" s="2071"/>
      <c r="LJ199" s="2071"/>
      <c r="LK199" s="2071"/>
      <c r="LL199" s="2071"/>
      <c r="LM199" s="2071"/>
      <c r="LN199" s="2071"/>
      <c r="LO199" s="2071"/>
      <c r="LP199" s="2071"/>
      <c r="LQ199" s="2071"/>
      <c r="LR199" s="2071"/>
      <c r="LS199" s="2071"/>
      <c r="LT199" s="2071"/>
      <c r="LU199" s="2071"/>
      <c r="LV199" s="2071"/>
      <c r="LW199" s="2071"/>
      <c r="LX199" s="2071"/>
      <c r="LY199" s="2071"/>
      <c r="LZ199" s="2071"/>
      <c r="MA199" s="2071"/>
      <c r="MB199" s="2071"/>
      <c r="MC199" s="2071"/>
      <c r="MD199" s="2071"/>
      <c r="ME199" s="2071"/>
      <c r="MF199" s="2071"/>
      <c r="MG199" s="2071"/>
      <c r="MH199" s="2071"/>
      <c r="MI199" s="2071"/>
      <c r="MJ199" s="2071"/>
      <c r="MK199" s="2071"/>
      <c r="ML199" s="2071"/>
      <c r="MM199" s="2071"/>
      <c r="MN199" s="2071"/>
      <c r="MO199" s="2071"/>
      <c r="MP199" s="2071"/>
      <c r="MQ199" s="2071"/>
      <c r="MR199" s="2071"/>
      <c r="MS199" s="2071"/>
      <c r="MT199" s="2071"/>
      <c r="MU199" s="2071"/>
      <c r="MV199" s="2071"/>
      <c r="MW199" s="2071"/>
      <c r="MX199" s="2071"/>
      <c r="MY199" s="2071"/>
      <c r="MZ199" s="2071"/>
      <c r="NA199" s="2071"/>
      <c r="NB199" s="2071"/>
      <c r="NC199" s="2071"/>
      <c r="ND199" s="2071"/>
      <c r="NE199" s="2071"/>
      <c r="NF199" s="2071"/>
      <c r="NG199" s="2071"/>
      <c r="NH199" s="2071"/>
      <c r="NI199" s="2071"/>
      <c r="NJ199" s="2071"/>
      <c r="NK199" s="2071"/>
      <c r="NL199" s="2071"/>
      <c r="NM199" s="2071"/>
      <c r="NN199" s="2071"/>
      <c r="NO199" s="2071"/>
      <c r="NP199" s="2071"/>
      <c r="NQ199" s="2071"/>
      <c r="NR199" s="2071"/>
      <c r="NS199" s="2071"/>
      <c r="NT199" s="2071"/>
      <c r="NU199" s="2071"/>
      <c r="NV199" s="2071"/>
      <c r="NW199" s="2071"/>
      <c r="NX199" s="2071"/>
      <c r="NY199" s="2071"/>
      <c r="NZ199" s="2071"/>
      <c r="OA199" s="2071"/>
      <c r="OB199" s="2071"/>
      <c r="OC199" s="2071"/>
      <c r="OD199" s="2071"/>
      <c r="OE199" s="2071"/>
      <c r="OF199" s="2071"/>
      <c r="OG199" s="2071"/>
      <c r="OH199" s="2071"/>
      <c r="OI199" s="2071"/>
      <c r="OJ199" s="2071"/>
      <c r="OK199" s="2071"/>
      <c r="OL199" s="2071"/>
      <c r="OM199" s="2071"/>
      <c r="ON199" s="2071"/>
      <c r="OO199" s="2071"/>
      <c r="OP199" s="2071"/>
      <c r="OQ199" s="2071"/>
      <c r="OR199" s="2071"/>
      <c r="OS199" s="2071"/>
      <c r="OT199" s="2071"/>
      <c r="OU199" s="2071"/>
      <c r="OV199" s="2071"/>
      <c r="OW199" s="2071"/>
      <c r="OX199" s="2071"/>
      <c r="OY199" s="2071"/>
      <c r="OZ199" s="2071"/>
      <c r="PA199" s="2071"/>
      <c r="PB199" s="2071"/>
      <c r="PC199" s="2071"/>
      <c r="PD199" s="2071"/>
      <c r="PE199" s="2071"/>
      <c r="PF199" s="2071"/>
      <c r="PG199" s="2071"/>
      <c r="PH199" s="2071"/>
      <c r="PI199" s="2071"/>
      <c r="PJ199" s="2071"/>
      <c r="PK199" s="2071"/>
      <c r="PL199" s="2071"/>
      <c r="PM199" s="2071"/>
      <c r="PN199" s="2071"/>
      <c r="PO199" s="2071"/>
      <c r="PP199" s="2071"/>
      <c r="PQ199" s="2071"/>
      <c r="PR199" s="2071"/>
      <c r="PS199" s="2071"/>
      <c r="PT199" s="2071"/>
      <c r="PU199" s="2071"/>
      <c r="PV199" s="2071"/>
      <c r="PW199" s="2071"/>
      <c r="PX199" s="2071"/>
      <c r="PY199" s="2071"/>
      <c r="PZ199" s="2071"/>
      <c r="QA199" s="2071"/>
      <c r="QB199" s="2071"/>
      <c r="QC199" s="2071"/>
      <c r="QD199" s="2071"/>
      <c r="QE199" s="2071"/>
      <c r="QF199" s="2071"/>
      <c r="QG199" s="2071"/>
      <c r="QH199" s="2071"/>
      <c r="QI199" s="2071"/>
      <c r="QJ199" s="2071"/>
      <c r="QK199" s="2071"/>
      <c r="QL199" s="2071"/>
      <c r="QM199" s="2071"/>
      <c r="QN199" s="2071"/>
      <c r="QO199" s="2071"/>
      <c r="QP199" s="2071"/>
      <c r="QQ199" s="2071"/>
      <c r="QR199" s="2071"/>
      <c r="QS199" s="2071"/>
      <c r="QT199" s="2071"/>
      <c r="QU199" s="2071"/>
      <c r="QV199" s="2071"/>
      <c r="QW199" s="2071"/>
      <c r="QX199" s="2071"/>
      <c r="QY199" s="2071"/>
      <c r="QZ199" s="2071"/>
      <c r="RA199" s="2071"/>
      <c r="RB199" s="2071"/>
      <c r="RC199" s="2071"/>
      <c r="RD199" s="2071"/>
      <c r="RE199" s="2071"/>
      <c r="RF199" s="2071"/>
      <c r="RG199" s="2071"/>
      <c r="RH199" s="2071"/>
      <c r="RI199" s="2071"/>
      <c r="RJ199" s="2071"/>
      <c r="RK199" s="2071"/>
      <c r="RL199" s="2071"/>
      <c r="RM199" s="2071"/>
      <c r="RN199" s="2071"/>
      <c r="RO199" s="2071"/>
      <c r="RP199" s="2071"/>
      <c r="RQ199" s="2071"/>
      <c r="RR199" s="2071"/>
      <c r="RS199" s="2071"/>
      <c r="RT199" s="2071"/>
      <c r="RU199" s="2071"/>
      <c r="RV199" s="2071"/>
      <c r="RW199" s="2071"/>
      <c r="RX199" s="2071"/>
      <c r="RY199" s="2071"/>
      <c r="RZ199" s="2071"/>
      <c r="SA199" s="2071"/>
      <c r="SB199" s="2071"/>
      <c r="SC199" s="2071"/>
      <c r="SD199" s="2071"/>
      <c r="SE199" s="2071"/>
      <c r="SF199" s="2071"/>
      <c r="SG199" s="2071"/>
      <c r="SH199" s="2071"/>
      <c r="SI199" s="2071"/>
      <c r="SJ199" s="2071"/>
      <c r="SK199" s="2071"/>
      <c r="SL199" s="2071"/>
      <c r="SM199" s="2071"/>
      <c r="SN199" s="2071"/>
      <c r="SO199" s="2071"/>
      <c r="SP199" s="2071"/>
      <c r="SQ199" s="2071"/>
      <c r="SR199" s="2071"/>
      <c r="SS199" s="2071"/>
      <c r="ST199" s="2071"/>
      <c r="SU199" s="2071"/>
      <c r="SV199" s="2071"/>
      <c r="SW199" s="2071"/>
      <c r="SX199" s="2071"/>
      <c r="SY199" s="2071"/>
      <c r="SZ199" s="2071"/>
      <c r="TA199" s="2071"/>
      <c r="TB199" s="2071"/>
      <c r="TC199" s="2071"/>
      <c r="TD199" s="2071"/>
      <c r="TE199" s="2071"/>
      <c r="TF199" s="2071"/>
      <c r="TG199" s="2071"/>
      <c r="TH199" s="2071"/>
      <c r="TI199" s="2071"/>
      <c r="TJ199" s="2071"/>
      <c r="TK199" s="2071"/>
      <c r="TL199" s="2071"/>
      <c r="TM199" s="2071"/>
      <c r="TN199" s="2071"/>
      <c r="TO199" s="2071"/>
      <c r="TP199" s="2071"/>
      <c r="TQ199" s="2071"/>
      <c r="TR199" s="2071"/>
      <c r="TS199" s="2071"/>
      <c r="TT199" s="2071"/>
      <c r="TU199" s="2071"/>
      <c r="TV199" s="2071"/>
      <c r="TW199" s="2071"/>
      <c r="TX199" s="2071"/>
      <c r="TY199" s="2071"/>
      <c r="TZ199" s="2071"/>
      <c r="UA199" s="2071"/>
      <c r="UB199" s="2071"/>
      <c r="UC199" s="2071"/>
      <c r="UD199" s="2071"/>
      <c r="UE199" s="2071"/>
      <c r="UF199" s="2071"/>
      <c r="UG199" s="2071"/>
      <c r="UH199" s="2071"/>
      <c r="UI199" s="2071"/>
      <c r="UJ199" s="2071"/>
      <c r="UK199" s="2071"/>
      <c r="UL199" s="2071"/>
      <c r="UM199" s="2071"/>
      <c r="UN199" s="2071"/>
      <c r="UO199" s="2071"/>
      <c r="UP199" s="2071"/>
      <c r="UQ199" s="2071"/>
      <c r="UR199" s="2071"/>
      <c r="US199" s="2071"/>
      <c r="UT199" s="2071"/>
      <c r="UU199" s="2071"/>
      <c r="UV199" s="2071"/>
      <c r="UW199" s="2071"/>
      <c r="UX199" s="2071"/>
      <c r="UY199" s="2071"/>
      <c r="UZ199" s="2071"/>
      <c r="VA199" s="2071"/>
      <c r="VB199" s="2071"/>
      <c r="VC199" s="2071"/>
      <c r="VD199" s="2071"/>
      <c r="VE199" s="2071"/>
      <c r="VF199" s="2071"/>
      <c r="VG199" s="2071"/>
      <c r="VH199" s="2071"/>
      <c r="VI199" s="2071"/>
      <c r="VJ199" s="2071"/>
      <c r="VK199" s="2071"/>
      <c r="VL199" s="2071"/>
      <c r="VM199" s="2071"/>
      <c r="VN199" s="2071"/>
      <c r="VO199" s="2071"/>
      <c r="VP199" s="2071"/>
      <c r="VQ199" s="2071"/>
      <c r="VR199" s="2071"/>
      <c r="VS199" s="2071"/>
      <c r="VT199" s="2071"/>
      <c r="VU199" s="2071"/>
      <c r="VV199" s="2071"/>
      <c r="VW199" s="2071"/>
      <c r="VX199" s="2071"/>
      <c r="VY199" s="2071"/>
      <c r="VZ199" s="2071"/>
      <c r="WA199" s="2071"/>
      <c r="WB199" s="2071"/>
      <c r="WC199" s="2071"/>
      <c r="WD199" s="2071"/>
      <c r="WE199" s="2071"/>
      <c r="WF199" s="2071"/>
      <c r="WG199" s="2071"/>
      <c r="WH199" s="2071"/>
      <c r="WI199" s="2071"/>
      <c r="WJ199" s="2071"/>
      <c r="WK199" s="2071"/>
      <c r="WL199" s="2071"/>
      <c r="WM199" s="2071"/>
      <c r="WN199" s="2071"/>
      <c r="WO199" s="2071"/>
      <c r="WP199" s="2071"/>
      <c r="WQ199" s="2071"/>
      <c r="WR199" s="2071"/>
      <c r="WS199" s="2071"/>
      <c r="WT199" s="2071"/>
      <c r="WU199" s="2071"/>
      <c r="WV199" s="2071"/>
      <c r="WW199" s="2071"/>
      <c r="WX199" s="2071"/>
      <c r="WY199" s="2071"/>
      <c r="WZ199" s="2071"/>
      <c r="XA199" s="2071"/>
      <c r="XB199" s="2071"/>
      <c r="XC199" s="2071"/>
      <c r="XD199" s="2071"/>
      <c r="XE199" s="2071"/>
      <c r="XF199" s="2071"/>
      <c r="XG199" s="2071"/>
      <c r="XH199" s="2071"/>
      <c r="XI199" s="2071"/>
      <c r="XJ199" s="2071"/>
      <c r="XK199" s="2071"/>
      <c r="XL199" s="2071"/>
      <c r="XM199" s="2071"/>
      <c r="XN199" s="2071"/>
      <c r="XO199" s="2071"/>
      <c r="XP199" s="2071"/>
      <c r="XQ199" s="2071"/>
      <c r="XR199" s="2071"/>
      <c r="XS199" s="2071"/>
      <c r="XT199" s="2071"/>
      <c r="XU199" s="2071"/>
      <c r="XV199" s="2071"/>
      <c r="XW199" s="2071"/>
      <c r="XX199" s="2071"/>
      <c r="XY199" s="2071"/>
      <c r="XZ199" s="2071"/>
      <c r="YA199" s="2071"/>
      <c r="YB199" s="2071"/>
      <c r="YC199" s="2071"/>
      <c r="YD199" s="2071"/>
      <c r="YE199" s="2071"/>
      <c r="YF199" s="2071"/>
      <c r="YG199" s="2071"/>
      <c r="YH199" s="2071"/>
      <c r="YI199" s="2071"/>
      <c r="YJ199" s="2071"/>
      <c r="YK199" s="2071"/>
      <c r="YL199" s="2071"/>
      <c r="YM199" s="2071"/>
      <c r="YN199" s="2071"/>
      <c r="YO199" s="2071"/>
      <c r="YP199" s="2071"/>
      <c r="YQ199" s="2071"/>
      <c r="YR199" s="2071"/>
      <c r="YS199" s="2071"/>
      <c r="YT199" s="2071"/>
      <c r="YU199" s="2071"/>
      <c r="YV199" s="2071"/>
      <c r="YW199" s="2071"/>
      <c r="YX199" s="2071"/>
      <c r="YY199" s="2071"/>
      <c r="YZ199" s="2071"/>
      <c r="ZA199" s="2071"/>
      <c r="ZB199" s="2071"/>
      <c r="ZC199" s="2071"/>
      <c r="ZD199" s="2071"/>
      <c r="ZE199" s="2071"/>
      <c r="ZF199" s="2071"/>
      <c r="ZG199" s="2071"/>
      <c r="ZH199" s="2071"/>
      <c r="ZI199" s="2071"/>
      <c r="ZJ199" s="2071"/>
      <c r="ZK199" s="2071"/>
      <c r="ZL199" s="2071"/>
      <c r="ZM199" s="2071"/>
      <c r="ZN199" s="2071"/>
      <c r="ZO199" s="2071"/>
      <c r="ZP199" s="2071"/>
      <c r="ZQ199" s="2071"/>
      <c r="ZR199" s="2071"/>
      <c r="ZS199" s="2071"/>
      <c r="ZT199" s="2071"/>
      <c r="ZU199" s="2071"/>
      <c r="ZV199" s="2071"/>
      <c r="ZW199" s="2071"/>
      <c r="ZX199" s="2071"/>
      <c r="ZY199" s="2071"/>
      <c r="ZZ199" s="2071"/>
      <c r="AAA199" s="2071"/>
      <c r="AAB199" s="2071"/>
      <c r="AAC199" s="2071"/>
      <c r="AAD199" s="2071"/>
      <c r="AAE199" s="2071"/>
      <c r="AAF199" s="2071"/>
      <c r="AAG199" s="2071"/>
      <c r="AAH199" s="2071"/>
      <c r="AAI199" s="2071"/>
      <c r="AAJ199" s="2071"/>
      <c r="AAK199" s="2071"/>
      <c r="AAL199" s="2071"/>
      <c r="AAM199" s="2071"/>
      <c r="AAN199" s="2071"/>
      <c r="AAO199" s="2071"/>
      <c r="AAP199" s="2071"/>
      <c r="AAQ199" s="2071"/>
      <c r="AAR199" s="2071"/>
      <c r="AAS199" s="2071"/>
      <c r="AAT199" s="2071"/>
      <c r="AAU199" s="2071"/>
      <c r="AAV199" s="2071"/>
      <c r="AAW199" s="2071"/>
      <c r="AAX199" s="2071"/>
      <c r="AAY199" s="2071"/>
      <c r="AAZ199" s="2071"/>
      <c r="ABA199" s="2071"/>
      <c r="ABB199" s="2071"/>
      <c r="ABC199" s="2071"/>
      <c r="ABD199" s="2071"/>
      <c r="ABE199" s="2071"/>
      <c r="ABF199" s="2071"/>
      <c r="ABG199" s="2071"/>
      <c r="ABH199" s="2071"/>
      <c r="ABI199" s="2071"/>
      <c r="ABJ199" s="2071"/>
      <c r="ABK199" s="2071"/>
      <c r="ABL199" s="2071"/>
      <c r="ABM199" s="2071"/>
      <c r="ABN199" s="2071"/>
      <c r="ABO199" s="2071"/>
      <c r="ABP199" s="2071"/>
      <c r="ABQ199" s="2071"/>
      <c r="ABR199" s="2071"/>
      <c r="ABS199" s="2071"/>
      <c r="ABT199" s="2071"/>
      <c r="ABU199" s="2071"/>
      <c r="ABV199" s="2071"/>
      <c r="ABW199" s="2071"/>
      <c r="ABX199" s="2071"/>
      <c r="ABY199" s="2071"/>
      <c r="ABZ199" s="2071"/>
      <c r="ACA199" s="2071"/>
      <c r="ACB199" s="2071"/>
      <c r="ACC199" s="2071"/>
      <c r="ACD199" s="2071"/>
      <c r="ACE199" s="2071"/>
      <c r="ACF199" s="2071"/>
      <c r="ACG199" s="2071"/>
      <c r="ACH199" s="2071"/>
      <c r="ACI199" s="2071"/>
      <c r="ACJ199" s="2071"/>
      <c r="ACK199" s="2071"/>
      <c r="ACL199" s="2071"/>
      <c r="ACM199" s="2071"/>
      <c r="ACN199" s="2071"/>
      <c r="ACO199" s="2071"/>
      <c r="ACP199" s="2071"/>
      <c r="ACQ199" s="2071"/>
      <c r="ACR199" s="2071"/>
      <c r="ACS199" s="2071"/>
      <c r="ACT199" s="2071"/>
      <c r="ACU199" s="2071"/>
      <c r="ACV199" s="2071"/>
      <c r="ACW199" s="2071"/>
      <c r="ACX199" s="2071"/>
      <c r="ACY199" s="2071"/>
      <c r="ACZ199" s="2071"/>
      <c r="ADA199" s="2071"/>
      <c r="ADB199" s="2071"/>
      <c r="ADC199" s="2071"/>
      <c r="ADD199" s="2071"/>
      <c r="ADE199" s="2071"/>
      <c r="ADF199" s="2071"/>
      <c r="ADG199" s="2071"/>
      <c r="ADH199" s="2071"/>
      <c r="ADI199" s="2071"/>
      <c r="ADJ199" s="2071"/>
      <c r="ADK199" s="2071"/>
      <c r="ADL199" s="2071"/>
      <c r="ADM199" s="2071"/>
      <c r="ADN199" s="2071"/>
      <c r="ADO199" s="2071"/>
      <c r="ADP199" s="2071"/>
      <c r="ADQ199" s="2071"/>
      <c r="ADR199" s="2071"/>
      <c r="ADS199" s="2071"/>
      <c r="ADT199" s="2071"/>
      <c r="ADU199" s="2071"/>
      <c r="ADV199" s="2071"/>
      <c r="ADW199" s="2071"/>
      <c r="ADX199" s="2071"/>
      <c r="ADY199" s="2071"/>
      <c r="ADZ199" s="2071"/>
      <c r="AEA199" s="2071"/>
      <c r="AEB199" s="2071"/>
      <c r="AEC199" s="2071"/>
      <c r="AED199" s="2071"/>
      <c r="AEE199" s="2071"/>
      <c r="AEF199" s="2071"/>
      <c r="AEG199" s="2071"/>
      <c r="AEH199" s="2071"/>
      <c r="AEI199" s="2071"/>
      <c r="AEJ199" s="2071"/>
      <c r="AEK199" s="2071"/>
      <c r="AEL199" s="2071"/>
      <c r="AEM199" s="2071"/>
      <c r="AEN199" s="2071"/>
      <c r="AEO199" s="2071"/>
      <c r="AEP199" s="2071"/>
      <c r="AEQ199" s="2071"/>
      <c r="AER199" s="2071"/>
      <c r="AES199" s="2071"/>
      <c r="AET199" s="2071"/>
      <c r="AEU199" s="2071"/>
      <c r="AEV199" s="2071"/>
      <c r="AEW199" s="2071"/>
      <c r="AEX199" s="2071"/>
      <c r="AEY199" s="2071"/>
      <c r="AEZ199" s="2071"/>
      <c r="AFA199" s="2071"/>
      <c r="AFB199" s="2071"/>
      <c r="AFC199" s="2071"/>
      <c r="AFD199" s="2071"/>
      <c r="AFE199" s="2071"/>
      <c r="AFF199" s="2071"/>
      <c r="AFG199" s="2071"/>
      <c r="AFH199" s="2071"/>
      <c r="AFI199" s="2071"/>
      <c r="AFJ199" s="2071"/>
      <c r="AFK199" s="2071"/>
      <c r="AFL199" s="2071"/>
      <c r="AFM199" s="2071"/>
      <c r="AFN199" s="2071"/>
      <c r="AFO199" s="2071"/>
      <c r="AFP199" s="2071"/>
      <c r="AFQ199" s="2071"/>
      <c r="AFR199" s="2071"/>
      <c r="AFS199" s="2071"/>
      <c r="AFT199" s="2071"/>
      <c r="AFU199" s="2071"/>
      <c r="AFV199" s="2071"/>
      <c r="AFW199" s="2071"/>
      <c r="AFX199" s="2071"/>
      <c r="AFY199" s="2071"/>
      <c r="AFZ199" s="2071"/>
      <c r="AGA199" s="2071"/>
      <c r="AGB199" s="2071"/>
      <c r="AGC199" s="2071"/>
      <c r="AGD199" s="2071"/>
      <c r="AGE199" s="2071"/>
      <c r="AGF199" s="2071"/>
      <c r="AGG199" s="2071"/>
      <c r="AGH199" s="2071"/>
      <c r="AGI199" s="2071"/>
      <c r="AGJ199" s="2071"/>
      <c r="AGK199" s="2071"/>
      <c r="AGL199" s="2071"/>
      <c r="AGM199" s="2071"/>
      <c r="AGN199" s="2071"/>
      <c r="AGO199" s="2071"/>
      <c r="AGP199" s="2071"/>
      <c r="AGQ199" s="2071"/>
      <c r="AGR199" s="2071"/>
      <c r="AGS199" s="2071"/>
      <c r="AGT199" s="2071"/>
      <c r="AGU199" s="2071"/>
      <c r="AGV199" s="2071"/>
      <c r="AGW199" s="2071"/>
      <c r="AGX199" s="2071"/>
      <c r="AGY199" s="2071"/>
      <c r="AGZ199" s="2071"/>
      <c r="AHA199" s="2071"/>
      <c r="AHB199" s="2071"/>
      <c r="AHC199" s="2071"/>
      <c r="AHD199" s="2071"/>
      <c r="AHE199" s="2071"/>
      <c r="AHF199" s="2071"/>
      <c r="AHG199" s="2071"/>
      <c r="AHH199" s="2071"/>
      <c r="AHI199" s="2071"/>
      <c r="AHJ199" s="2071"/>
      <c r="AHK199" s="2071"/>
      <c r="AHL199" s="2071"/>
      <c r="AHM199" s="2071"/>
      <c r="AHN199" s="2071"/>
      <c r="AHO199" s="2071"/>
      <c r="AHP199" s="2071"/>
      <c r="AHQ199" s="2071"/>
      <c r="AHR199" s="2071"/>
      <c r="AHS199" s="2071"/>
      <c r="AHT199" s="2071"/>
      <c r="AHU199" s="2071"/>
      <c r="AHV199" s="2071"/>
      <c r="AHW199" s="2071"/>
      <c r="AHX199" s="2071"/>
      <c r="AHY199" s="2071"/>
      <c r="AHZ199" s="2071"/>
      <c r="AIA199" s="2071"/>
      <c r="AIB199" s="2071"/>
      <c r="AIC199" s="2071"/>
      <c r="AID199" s="2071"/>
      <c r="AIE199" s="2071"/>
      <c r="AIF199" s="2071"/>
      <c r="AIG199" s="2071"/>
      <c r="AIH199" s="2071"/>
      <c r="AII199" s="2071"/>
      <c r="AIJ199" s="2071"/>
      <c r="AIK199" s="2071"/>
      <c r="AIL199" s="2071"/>
      <c r="AIM199" s="2071"/>
      <c r="AIN199" s="2071"/>
      <c r="AIO199" s="2071"/>
      <c r="AIP199" s="2071"/>
      <c r="AIQ199" s="2071"/>
      <c r="AIR199" s="2071"/>
      <c r="AIS199" s="2071"/>
      <c r="AIT199" s="2071"/>
      <c r="AIU199" s="2071"/>
      <c r="AIV199" s="2071"/>
      <c r="AIW199" s="2071"/>
      <c r="AIX199" s="2071"/>
      <c r="AIY199" s="2071"/>
      <c r="AIZ199" s="2071"/>
      <c r="AJA199" s="2071"/>
      <c r="AJB199" s="2071"/>
      <c r="AJC199" s="2071"/>
      <c r="AJD199" s="2071"/>
      <c r="AJE199" s="2071"/>
      <c r="AJF199" s="2071"/>
      <c r="AJG199" s="2071"/>
      <c r="AJH199" s="2071"/>
      <c r="AJI199" s="2071"/>
      <c r="AJJ199" s="2071"/>
      <c r="AJK199" s="2071"/>
      <c r="AJL199" s="2071"/>
      <c r="AJM199" s="2071"/>
      <c r="AJN199" s="2071"/>
      <c r="AJO199" s="2071"/>
      <c r="AJP199" s="2071"/>
      <c r="AJQ199" s="2071"/>
      <c r="AJR199" s="2071"/>
      <c r="AJS199" s="2071"/>
      <c r="AJT199" s="2071"/>
      <c r="AJU199" s="2071"/>
      <c r="AJV199" s="2071"/>
      <c r="AJW199" s="2071"/>
      <c r="AJX199" s="2071"/>
      <c r="AJY199" s="2071"/>
      <c r="AJZ199" s="2071"/>
      <c r="AKA199" s="2071"/>
      <c r="AKB199" s="2071"/>
      <c r="AKC199" s="2071"/>
      <c r="AKD199" s="2071"/>
      <c r="AKE199" s="2071"/>
      <c r="AKF199" s="2071"/>
      <c r="AKG199" s="2071"/>
      <c r="AKH199" s="2071"/>
      <c r="AKI199" s="2071"/>
      <c r="AKJ199" s="2071"/>
      <c r="AKK199" s="2071"/>
      <c r="AKL199" s="2071"/>
      <c r="AKM199" s="2071"/>
      <c r="AKN199" s="2071"/>
      <c r="AKO199" s="2071"/>
      <c r="AKP199" s="2071"/>
      <c r="AKQ199" s="2071"/>
      <c r="AKR199" s="2071"/>
      <c r="AKS199" s="2071"/>
      <c r="AKT199" s="2071"/>
      <c r="AKU199" s="2071"/>
      <c r="AKV199" s="2071"/>
      <c r="AKW199" s="2071"/>
      <c r="AKX199" s="2071"/>
      <c r="AKY199" s="2071"/>
      <c r="AKZ199" s="2071"/>
      <c r="ALA199" s="2071"/>
      <c r="ALB199" s="2071"/>
      <c r="ALC199" s="2071"/>
      <c r="ALD199" s="2071"/>
      <c r="ALE199" s="2071"/>
      <c r="ALF199" s="2071"/>
      <c r="ALG199" s="2071"/>
      <c r="ALH199" s="2071"/>
      <c r="ALI199" s="2071"/>
      <c r="ALJ199" s="2071"/>
      <c r="ALK199" s="2071"/>
      <c r="ALL199" s="2071"/>
      <c r="ALM199" s="2071"/>
      <c r="ALN199" s="2071"/>
      <c r="ALO199" s="2071"/>
      <c r="ALP199" s="2071"/>
      <c r="ALQ199" s="2071"/>
      <c r="ALR199" s="2071"/>
      <c r="ALS199" s="2071"/>
      <c r="ALT199" s="2071"/>
      <c r="ALU199" s="2071"/>
      <c r="ALV199" s="2071"/>
      <c r="ALW199" s="2071"/>
      <c r="ALX199" s="2071"/>
      <c r="ALY199" s="2071"/>
      <c r="ALZ199" s="2071"/>
      <c r="AMA199" s="2071"/>
      <c r="AMB199" s="2071"/>
      <c r="AMC199" s="2071"/>
      <c r="AMD199" s="2071"/>
      <c r="AME199" s="2071"/>
      <c r="AMF199" s="2071"/>
      <c r="AMG199" s="2071"/>
      <c r="AMH199" s="2071"/>
      <c r="AMI199" s="2071"/>
      <c r="AMJ199" s="2071"/>
      <c r="AMK199" s="2071"/>
      <c r="AML199" s="2071"/>
      <c r="AMM199" s="2071"/>
      <c r="AMN199" s="2071"/>
      <c r="AMO199" s="2071"/>
      <c r="AMP199" s="2071"/>
      <c r="AMQ199" s="2071"/>
      <c r="AMR199" s="2071"/>
      <c r="AMS199" s="2071"/>
      <c r="AMT199" s="2071"/>
      <c r="AMU199" s="2071"/>
      <c r="AMV199" s="2071"/>
      <c r="AMW199" s="2071"/>
      <c r="AMX199" s="2071"/>
      <c r="AMY199" s="2071"/>
      <c r="AMZ199" s="2071"/>
      <c r="ANA199" s="2071"/>
      <c r="ANB199" s="2071"/>
      <c r="ANC199" s="2071"/>
      <c r="AND199" s="2071"/>
      <c r="ANE199" s="2071"/>
      <c r="ANF199" s="2071"/>
      <c r="ANG199" s="2071"/>
      <c r="ANH199" s="2071"/>
      <c r="ANI199" s="2071"/>
      <c r="ANJ199" s="2071"/>
      <c r="ANK199" s="2071"/>
      <c r="ANL199" s="2071"/>
      <c r="ANM199" s="2071"/>
      <c r="ANN199" s="2071"/>
      <c r="ANO199" s="2071"/>
      <c r="ANP199" s="2071"/>
      <c r="ANQ199" s="2071"/>
      <c r="ANR199" s="2071"/>
      <c r="ANS199" s="2071"/>
      <c r="ANT199" s="2071"/>
      <c r="ANU199" s="2071"/>
      <c r="ANV199" s="2071"/>
      <c r="ANW199" s="2071"/>
      <c r="ANX199" s="2071"/>
      <c r="ANY199" s="2071"/>
      <c r="ANZ199" s="2071"/>
      <c r="AOA199" s="2071"/>
      <c r="AOB199" s="2071"/>
      <c r="AOC199" s="2071"/>
      <c r="AOD199" s="2071"/>
      <c r="AOE199" s="2071"/>
      <c r="AOF199" s="2071"/>
      <c r="AOG199" s="2071"/>
      <c r="AOH199" s="2071"/>
      <c r="AOI199" s="2071"/>
      <c r="AOJ199" s="2071"/>
      <c r="AOK199" s="2071"/>
      <c r="AOL199" s="2071"/>
      <c r="AOM199" s="2071"/>
      <c r="AON199" s="2071"/>
      <c r="AOO199" s="2071"/>
      <c r="AOP199" s="2071"/>
      <c r="AOQ199" s="2071"/>
      <c r="AOR199" s="2071"/>
      <c r="AOS199" s="2071"/>
      <c r="AOT199" s="2071"/>
      <c r="AOU199" s="2071"/>
      <c r="AOV199" s="2071"/>
      <c r="AOW199" s="2071"/>
      <c r="AOX199" s="2071"/>
      <c r="AOY199" s="2071"/>
      <c r="AOZ199" s="2071"/>
      <c r="APA199" s="2071"/>
      <c r="APB199" s="2071"/>
      <c r="APC199" s="2071"/>
      <c r="APD199" s="2071"/>
      <c r="APE199" s="2071"/>
      <c r="APF199" s="2071"/>
      <c r="APG199" s="2071"/>
      <c r="APH199" s="2071"/>
      <c r="API199" s="2071"/>
      <c r="APJ199" s="2071"/>
      <c r="APK199" s="2071"/>
      <c r="APL199" s="2071"/>
      <c r="APM199" s="2071"/>
      <c r="APN199" s="2071"/>
      <c r="APO199" s="2071"/>
      <c r="APP199" s="2071"/>
      <c r="APQ199" s="2071"/>
      <c r="APR199" s="2071"/>
      <c r="APS199" s="2071"/>
      <c r="APT199" s="2071"/>
      <c r="APU199" s="2071"/>
      <c r="APV199" s="2071"/>
      <c r="APW199" s="2071"/>
      <c r="APX199" s="2071"/>
      <c r="APY199" s="2071"/>
      <c r="APZ199" s="2071"/>
      <c r="AQA199" s="2071"/>
      <c r="AQB199" s="2071"/>
      <c r="AQC199" s="2071"/>
      <c r="AQD199" s="2071"/>
      <c r="AQE199" s="2071"/>
      <c r="AQF199" s="2071"/>
      <c r="AQG199" s="2071"/>
      <c r="AQH199" s="2071"/>
      <c r="AQI199" s="2071"/>
      <c r="AQJ199" s="2071"/>
      <c r="AQK199" s="2071"/>
      <c r="AQL199" s="2071"/>
      <c r="AQM199" s="2071"/>
      <c r="AQN199" s="2071"/>
      <c r="AQO199" s="2071"/>
      <c r="AQP199" s="2071"/>
      <c r="AQQ199" s="2071"/>
      <c r="AQR199" s="2071"/>
      <c r="AQS199" s="2071"/>
      <c r="AQT199" s="2071"/>
      <c r="AQU199" s="2071"/>
      <c r="AQV199" s="2071"/>
      <c r="AQW199" s="2071"/>
      <c r="AQX199" s="2071"/>
      <c r="AQY199" s="2071"/>
      <c r="AQZ199" s="2071"/>
      <c r="ARA199" s="2071"/>
      <c r="ARB199" s="2071"/>
      <c r="ARC199" s="2071"/>
      <c r="ARD199" s="2071"/>
      <c r="ARE199" s="2071"/>
      <c r="ARF199" s="2071"/>
      <c r="ARG199" s="2071"/>
      <c r="ARH199" s="2071"/>
      <c r="ARI199" s="2071"/>
      <c r="ARJ199" s="2071"/>
      <c r="ARK199" s="2071"/>
      <c r="ARL199" s="2071"/>
      <c r="ARM199" s="2071"/>
      <c r="ARN199" s="2071"/>
      <c r="ARO199" s="2071"/>
      <c r="ARP199" s="2071"/>
      <c r="ARQ199" s="2071"/>
      <c r="ARR199" s="2071"/>
      <c r="ARS199" s="2071"/>
      <c r="ART199" s="2071"/>
      <c r="ARU199" s="2071"/>
      <c r="ARV199" s="2071"/>
      <c r="ARW199" s="2071"/>
      <c r="ARX199" s="2071"/>
      <c r="ARY199" s="2071"/>
      <c r="ARZ199" s="2071"/>
      <c r="ASA199" s="2071"/>
      <c r="ASB199" s="2071"/>
      <c r="ASC199" s="2071"/>
      <c r="ASD199" s="2071"/>
      <c r="ASE199" s="2071"/>
      <c r="ASF199" s="2071"/>
      <c r="ASG199" s="2071"/>
      <c r="ASH199" s="2071"/>
      <c r="ASI199" s="2071"/>
      <c r="ASJ199" s="2071"/>
      <c r="ASK199" s="2071"/>
      <c r="ASL199" s="2071"/>
      <c r="ASM199" s="2071"/>
      <c r="ASN199" s="2071"/>
      <c r="ASO199" s="2071"/>
      <c r="ASP199" s="2071"/>
      <c r="ASQ199" s="2071"/>
      <c r="ASR199" s="2071"/>
      <c r="ASS199" s="2071"/>
      <c r="AST199" s="2071"/>
      <c r="ASU199" s="2071"/>
      <c r="ASV199" s="2071"/>
      <c r="ASW199" s="2071"/>
      <c r="ASX199" s="2071"/>
      <c r="ASY199" s="2071"/>
      <c r="ASZ199" s="2071"/>
      <c r="ATA199" s="2071"/>
      <c r="ATB199" s="2071"/>
      <c r="ATC199" s="2071"/>
      <c r="ATD199" s="2071"/>
      <c r="ATE199" s="2071"/>
      <c r="ATF199" s="2071"/>
      <c r="ATG199" s="2071"/>
      <c r="ATH199" s="2071"/>
      <c r="ATI199" s="2071"/>
      <c r="ATJ199" s="2071"/>
      <c r="ATK199" s="2071"/>
      <c r="ATL199" s="2071"/>
      <c r="ATM199" s="2071"/>
      <c r="ATN199" s="2071"/>
      <c r="ATO199" s="2071"/>
      <c r="ATP199" s="2071"/>
      <c r="ATQ199" s="2071"/>
      <c r="ATR199" s="2071"/>
      <c r="ATS199" s="2071"/>
      <c r="ATT199" s="2071"/>
      <c r="ATU199" s="2071"/>
      <c r="ATV199" s="2071"/>
      <c r="ATW199" s="2071"/>
      <c r="ATX199" s="2071"/>
      <c r="ATY199" s="2071"/>
      <c r="ATZ199" s="2071"/>
      <c r="AUA199" s="2071"/>
      <c r="AUB199" s="2071"/>
      <c r="AUC199" s="2071"/>
      <c r="AUD199" s="2071"/>
      <c r="AUE199" s="2071"/>
      <c r="AUF199" s="2071"/>
      <c r="AUG199" s="2071"/>
      <c r="AUH199" s="2071"/>
      <c r="AUI199" s="2071"/>
      <c r="AUJ199" s="2071"/>
      <c r="AUK199" s="2071"/>
      <c r="AUL199" s="2071"/>
      <c r="AUM199" s="2071"/>
      <c r="AUN199" s="2071"/>
      <c r="AUO199" s="2071"/>
      <c r="AUP199" s="2071"/>
      <c r="AUQ199" s="2071"/>
      <c r="AUR199" s="2071"/>
      <c r="AUS199" s="2071"/>
      <c r="AUT199" s="2071"/>
      <c r="AUU199" s="2071"/>
      <c r="AUV199" s="2071"/>
      <c r="AUW199" s="2071"/>
      <c r="AUX199" s="2071"/>
      <c r="AUY199" s="2071"/>
      <c r="AUZ199" s="2071"/>
      <c r="AVA199" s="2071"/>
      <c r="AVB199" s="2071"/>
      <c r="AVC199" s="2071"/>
      <c r="AVD199" s="2071"/>
      <c r="AVE199" s="2071"/>
      <c r="AVF199" s="2071"/>
      <c r="AVG199" s="2071"/>
      <c r="AVH199" s="2071"/>
      <c r="AVI199" s="2071"/>
      <c r="AVJ199" s="2071"/>
      <c r="AVK199" s="2071"/>
      <c r="AVL199" s="2071"/>
      <c r="AVM199" s="2071"/>
      <c r="AVN199" s="2071"/>
      <c r="AVO199" s="2071"/>
      <c r="AVP199" s="2071"/>
      <c r="AVQ199" s="2071"/>
      <c r="AVR199" s="2071"/>
      <c r="AVS199" s="2071"/>
      <c r="AVT199" s="2071"/>
      <c r="AVU199" s="2071"/>
      <c r="AVV199" s="2071"/>
      <c r="AVW199" s="2071"/>
      <c r="AVX199" s="2071"/>
      <c r="AVY199" s="2071"/>
      <c r="AVZ199" s="2071"/>
      <c r="AWA199" s="2071"/>
      <c r="AWB199" s="2071"/>
      <c r="AWC199" s="2071"/>
      <c r="AWD199" s="2071"/>
      <c r="AWE199" s="2071"/>
      <c r="AWF199" s="2071"/>
      <c r="AWG199" s="2071"/>
      <c r="AWH199" s="2071"/>
      <c r="AWI199" s="2071"/>
      <c r="AWJ199" s="2071"/>
      <c r="AWK199" s="2071"/>
      <c r="AWL199" s="2071"/>
      <c r="AWM199" s="2071"/>
      <c r="AWN199" s="2071"/>
      <c r="AWO199" s="2071"/>
      <c r="AWP199" s="2071"/>
      <c r="AWQ199" s="2071"/>
      <c r="AWR199" s="2071"/>
      <c r="AWS199" s="2071"/>
      <c r="AWT199" s="2071"/>
      <c r="AWU199" s="2071"/>
      <c r="AWV199" s="2071"/>
      <c r="AWW199" s="2071"/>
      <c r="AWX199" s="2071"/>
      <c r="AWY199" s="2071"/>
      <c r="AWZ199" s="2071"/>
      <c r="AXA199" s="2071"/>
      <c r="AXB199" s="2071"/>
      <c r="AXC199" s="2071"/>
      <c r="AXD199" s="2071"/>
      <c r="AXE199" s="2071"/>
      <c r="AXF199" s="2071"/>
      <c r="AXG199" s="2071"/>
      <c r="AXH199" s="2071"/>
      <c r="AXI199" s="2071"/>
      <c r="AXJ199" s="2071"/>
    </row>
    <row r="200" spans="1:1310" s="2072" customFormat="1" ht="23.25" customHeight="1">
      <c r="A200" s="2073"/>
      <c r="B200" s="4490" t="s">
        <v>861</v>
      </c>
      <c r="C200" s="4490"/>
      <c r="D200" s="4490"/>
      <c r="E200" s="4490"/>
      <c r="F200" s="4490"/>
      <c r="G200" s="4490"/>
      <c r="H200" s="4490"/>
      <c r="I200" s="4490"/>
      <c r="J200" s="4490"/>
      <c r="K200" s="4490"/>
      <c r="L200" s="4490"/>
      <c r="M200" s="4490"/>
      <c r="N200" s="4490"/>
      <c r="O200" s="4490"/>
      <c r="P200" s="4490"/>
      <c r="Q200" s="4490"/>
      <c r="R200" s="1838"/>
      <c r="S200" s="1838"/>
      <c r="T200" s="1838"/>
      <c r="U200" s="1838"/>
      <c r="V200" s="1838"/>
      <c r="W200" s="1838"/>
      <c r="X200" s="1838"/>
      <c r="Y200" s="1838"/>
      <c r="Z200" s="1838"/>
      <c r="AA200" s="1838"/>
      <c r="AB200" s="1838"/>
      <c r="AC200" s="1838"/>
      <c r="AD200" s="2070"/>
      <c r="AE200" s="2070"/>
      <c r="AF200" s="2070"/>
      <c r="AG200" s="2070"/>
      <c r="AH200" s="2070"/>
      <c r="AI200" s="2070"/>
      <c r="AJ200" s="2070"/>
      <c r="AK200" s="2070"/>
      <c r="AL200" s="2070"/>
      <c r="AM200" s="2070"/>
      <c r="AN200" s="2070"/>
      <c r="AO200" s="2070"/>
      <c r="AP200" s="2070"/>
      <c r="AQ200" s="2070"/>
      <c r="AR200" s="2070"/>
      <c r="AS200" s="2070"/>
      <c r="AT200" s="2070"/>
      <c r="AU200" s="2070"/>
      <c r="AV200" s="2071"/>
      <c r="AW200" s="2071"/>
      <c r="AX200" s="2071"/>
      <c r="AY200" s="2071"/>
      <c r="AZ200" s="2071"/>
      <c r="BA200" s="2071"/>
      <c r="BB200" s="2071"/>
      <c r="BC200" s="2071"/>
      <c r="BD200" s="2071"/>
      <c r="BE200" s="2071"/>
      <c r="BF200" s="2071"/>
      <c r="BG200" s="2071"/>
      <c r="BH200" s="2071"/>
      <c r="BI200" s="2071"/>
      <c r="BJ200" s="2071"/>
      <c r="BK200" s="2071"/>
      <c r="BL200" s="2071"/>
      <c r="BM200" s="2071"/>
      <c r="BN200" s="2071"/>
      <c r="BO200" s="2071"/>
      <c r="BP200" s="2071"/>
      <c r="BQ200" s="2071"/>
      <c r="BR200" s="2071"/>
      <c r="BS200" s="2071"/>
      <c r="BT200" s="2071"/>
      <c r="BU200" s="2071"/>
      <c r="BV200" s="2071"/>
      <c r="BW200" s="2071"/>
      <c r="BX200" s="2071"/>
      <c r="BY200" s="2071"/>
      <c r="BZ200" s="2071"/>
      <c r="CA200" s="2071"/>
      <c r="CB200" s="2071"/>
      <c r="CC200" s="2071"/>
      <c r="CD200" s="2071"/>
      <c r="CE200" s="2071"/>
      <c r="CF200" s="2071"/>
      <c r="CG200" s="2071"/>
      <c r="CH200" s="2071"/>
      <c r="CI200" s="2071"/>
      <c r="CJ200" s="2071"/>
      <c r="CK200" s="2071"/>
      <c r="CL200" s="2071"/>
      <c r="CM200" s="2071"/>
      <c r="CN200" s="2071"/>
      <c r="CO200" s="2071"/>
      <c r="CP200" s="2071"/>
      <c r="CQ200" s="2071"/>
      <c r="CR200" s="2071"/>
      <c r="CS200" s="2071"/>
      <c r="CT200" s="2071"/>
      <c r="CU200" s="2071"/>
      <c r="CV200" s="2071"/>
      <c r="CW200" s="2071"/>
      <c r="CX200" s="2071"/>
      <c r="CY200" s="2071"/>
      <c r="CZ200" s="2071"/>
      <c r="DA200" s="2071"/>
      <c r="DB200" s="2071"/>
      <c r="DC200" s="2071"/>
      <c r="DD200" s="2071"/>
      <c r="DE200" s="2071"/>
      <c r="DF200" s="2071"/>
      <c r="DG200" s="2071"/>
      <c r="DH200" s="2071"/>
      <c r="DI200" s="2071"/>
      <c r="DJ200" s="2071"/>
      <c r="DK200" s="2071"/>
      <c r="DL200" s="2071"/>
      <c r="DM200" s="2071"/>
      <c r="DN200" s="2071"/>
      <c r="DO200" s="2071"/>
      <c r="DP200" s="2071"/>
      <c r="DQ200" s="2071"/>
      <c r="DR200" s="2071"/>
      <c r="DS200" s="2071"/>
      <c r="DT200" s="2071"/>
      <c r="DU200" s="2071"/>
      <c r="DV200" s="2071"/>
      <c r="DW200" s="2071"/>
      <c r="DX200" s="2071"/>
      <c r="DY200" s="2071"/>
      <c r="DZ200" s="2071"/>
      <c r="EA200" s="2071"/>
      <c r="EB200" s="2071"/>
      <c r="EC200" s="2071"/>
      <c r="ED200" s="2071"/>
      <c r="EE200" s="2071"/>
      <c r="EF200" s="2071"/>
      <c r="EG200" s="2071"/>
      <c r="EH200" s="2071"/>
      <c r="EI200" s="2071"/>
      <c r="EJ200" s="2071"/>
      <c r="EK200" s="2071"/>
      <c r="EL200" s="2071"/>
      <c r="EM200" s="2071"/>
      <c r="EN200" s="2071"/>
      <c r="EO200" s="2071"/>
      <c r="EP200" s="2071"/>
      <c r="EQ200" s="2071"/>
      <c r="ER200" s="2071"/>
      <c r="ES200" s="2071"/>
      <c r="ET200" s="2071"/>
      <c r="EU200" s="2071"/>
      <c r="EV200" s="2071"/>
      <c r="EW200" s="2071"/>
      <c r="EX200" s="2071"/>
      <c r="EY200" s="2071"/>
      <c r="EZ200" s="2071"/>
      <c r="FA200" s="2071"/>
      <c r="FB200" s="2071"/>
      <c r="FC200" s="2071"/>
      <c r="FD200" s="2071"/>
      <c r="FE200" s="2071"/>
      <c r="FF200" s="2071"/>
      <c r="FG200" s="2071"/>
      <c r="FH200" s="2071"/>
      <c r="FI200" s="2071"/>
      <c r="FJ200" s="2071"/>
      <c r="FK200" s="2071"/>
      <c r="FL200" s="2071"/>
      <c r="FM200" s="2071"/>
      <c r="FN200" s="2071"/>
      <c r="FO200" s="2071"/>
      <c r="FP200" s="2071"/>
      <c r="FQ200" s="2071"/>
      <c r="FR200" s="2071"/>
      <c r="FS200" s="2071"/>
      <c r="FT200" s="2071"/>
      <c r="FU200" s="2071"/>
      <c r="FV200" s="2071"/>
      <c r="FW200" s="2071"/>
      <c r="FX200" s="2071"/>
      <c r="FY200" s="2071"/>
      <c r="FZ200" s="2071"/>
      <c r="GA200" s="2071"/>
      <c r="GB200" s="2071"/>
      <c r="GC200" s="2071"/>
      <c r="GD200" s="2071"/>
      <c r="GE200" s="2071"/>
      <c r="GF200" s="2071"/>
      <c r="GG200" s="2071"/>
      <c r="GH200" s="2071"/>
      <c r="GI200" s="2071"/>
      <c r="GJ200" s="2071"/>
      <c r="GK200" s="2071"/>
      <c r="GL200" s="2071"/>
      <c r="GM200" s="2071"/>
      <c r="GN200" s="2071"/>
      <c r="GO200" s="2071"/>
      <c r="GP200" s="2071"/>
      <c r="GQ200" s="2071"/>
      <c r="GR200" s="2071"/>
      <c r="GS200" s="2071"/>
      <c r="GT200" s="2071"/>
      <c r="GU200" s="2071"/>
      <c r="GV200" s="2071"/>
      <c r="GW200" s="2071"/>
      <c r="GX200" s="2071"/>
      <c r="GY200" s="2071"/>
      <c r="GZ200" s="2071"/>
      <c r="HA200" s="2071"/>
      <c r="HB200" s="2071"/>
      <c r="HC200" s="2071"/>
      <c r="HD200" s="2071"/>
      <c r="HE200" s="2071"/>
      <c r="HF200" s="2071"/>
      <c r="HG200" s="2071"/>
      <c r="HH200" s="2071"/>
      <c r="HI200" s="2071"/>
      <c r="HJ200" s="2071"/>
      <c r="HK200" s="2071"/>
      <c r="HL200" s="2071"/>
      <c r="HM200" s="2071"/>
      <c r="HN200" s="2071"/>
      <c r="HO200" s="2071"/>
      <c r="HP200" s="2071"/>
      <c r="HQ200" s="2071"/>
      <c r="HR200" s="2071"/>
      <c r="HS200" s="2071"/>
      <c r="HT200" s="2071"/>
      <c r="HU200" s="2071"/>
      <c r="HV200" s="2071"/>
      <c r="HW200" s="2071"/>
      <c r="HX200" s="2071"/>
      <c r="HY200" s="2071"/>
      <c r="HZ200" s="2071"/>
      <c r="IA200" s="2071"/>
      <c r="IB200" s="2071"/>
      <c r="IC200" s="2071"/>
      <c r="ID200" s="2071"/>
      <c r="IE200" s="2071"/>
      <c r="IF200" s="2071"/>
      <c r="IG200" s="2071"/>
      <c r="IH200" s="2071"/>
      <c r="II200" s="2071"/>
      <c r="IJ200" s="2071"/>
      <c r="IK200" s="2071"/>
      <c r="IL200" s="2071"/>
      <c r="IM200" s="2071"/>
      <c r="IN200" s="2071"/>
      <c r="IO200" s="2071"/>
      <c r="IP200" s="2071"/>
      <c r="IQ200" s="2071"/>
      <c r="IR200" s="2071"/>
      <c r="IS200" s="2071"/>
      <c r="IT200" s="2071"/>
      <c r="IU200" s="2071"/>
      <c r="IV200" s="2071"/>
      <c r="IW200" s="2071"/>
      <c r="IX200" s="2071"/>
      <c r="IY200" s="2071"/>
      <c r="IZ200" s="2071"/>
      <c r="JA200" s="2071"/>
      <c r="JB200" s="2071"/>
      <c r="JC200" s="2071"/>
      <c r="JD200" s="2071"/>
      <c r="JE200" s="2071"/>
      <c r="JF200" s="2071"/>
      <c r="JG200" s="2071"/>
      <c r="JH200" s="2071"/>
      <c r="JI200" s="2071"/>
      <c r="JJ200" s="2071"/>
      <c r="JK200" s="2071"/>
      <c r="JL200" s="2071"/>
      <c r="JM200" s="2071"/>
      <c r="JN200" s="2071"/>
      <c r="JO200" s="2071"/>
      <c r="JP200" s="2071"/>
      <c r="JQ200" s="2071"/>
      <c r="JR200" s="2071"/>
      <c r="JS200" s="2071"/>
      <c r="JT200" s="2071"/>
      <c r="JU200" s="2071"/>
      <c r="JV200" s="2071"/>
      <c r="JW200" s="2071"/>
      <c r="JX200" s="2071"/>
      <c r="JY200" s="2071"/>
      <c r="JZ200" s="2071"/>
      <c r="KA200" s="2071"/>
      <c r="KB200" s="2071"/>
      <c r="KC200" s="2071"/>
      <c r="KD200" s="2071"/>
      <c r="KE200" s="2071"/>
      <c r="KF200" s="2071"/>
      <c r="KG200" s="2071"/>
      <c r="KH200" s="2071"/>
      <c r="KI200" s="2071"/>
      <c r="KJ200" s="2071"/>
      <c r="KK200" s="2071"/>
      <c r="KL200" s="2071"/>
      <c r="KM200" s="2071"/>
      <c r="KN200" s="2071"/>
      <c r="KO200" s="2071"/>
      <c r="KP200" s="2071"/>
      <c r="KQ200" s="2071"/>
      <c r="KR200" s="2071"/>
      <c r="KS200" s="2071"/>
      <c r="KT200" s="2071"/>
      <c r="KU200" s="2071"/>
      <c r="KV200" s="2071"/>
      <c r="KW200" s="2071"/>
      <c r="KX200" s="2071"/>
      <c r="KY200" s="2071"/>
      <c r="KZ200" s="2071"/>
      <c r="LA200" s="2071"/>
      <c r="LB200" s="2071"/>
      <c r="LC200" s="2071"/>
      <c r="LD200" s="2071"/>
      <c r="LE200" s="2071"/>
      <c r="LF200" s="2071"/>
      <c r="LG200" s="2071"/>
      <c r="LH200" s="2071"/>
      <c r="LI200" s="2071"/>
      <c r="LJ200" s="2071"/>
      <c r="LK200" s="2071"/>
      <c r="LL200" s="2071"/>
      <c r="LM200" s="2071"/>
      <c r="LN200" s="2071"/>
      <c r="LO200" s="2071"/>
      <c r="LP200" s="2071"/>
      <c r="LQ200" s="2071"/>
      <c r="LR200" s="2071"/>
      <c r="LS200" s="2071"/>
      <c r="LT200" s="2071"/>
      <c r="LU200" s="2071"/>
      <c r="LV200" s="2071"/>
      <c r="LW200" s="2071"/>
      <c r="LX200" s="2071"/>
      <c r="LY200" s="2071"/>
      <c r="LZ200" s="2071"/>
      <c r="MA200" s="2071"/>
      <c r="MB200" s="2071"/>
      <c r="MC200" s="2071"/>
      <c r="MD200" s="2071"/>
      <c r="ME200" s="2071"/>
      <c r="MF200" s="2071"/>
      <c r="MG200" s="2071"/>
      <c r="MH200" s="2071"/>
      <c r="MI200" s="2071"/>
      <c r="MJ200" s="2071"/>
      <c r="MK200" s="2071"/>
      <c r="ML200" s="2071"/>
      <c r="MM200" s="2071"/>
      <c r="MN200" s="2071"/>
      <c r="MO200" s="2071"/>
      <c r="MP200" s="2071"/>
      <c r="MQ200" s="2071"/>
      <c r="MR200" s="2071"/>
      <c r="MS200" s="2071"/>
      <c r="MT200" s="2071"/>
      <c r="MU200" s="2071"/>
      <c r="MV200" s="2071"/>
      <c r="MW200" s="2071"/>
      <c r="MX200" s="2071"/>
      <c r="MY200" s="2071"/>
      <c r="MZ200" s="2071"/>
      <c r="NA200" s="2071"/>
      <c r="NB200" s="2071"/>
      <c r="NC200" s="2071"/>
      <c r="ND200" s="2071"/>
      <c r="NE200" s="2071"/>
      <c r="NF200" s="2071"/>
      <c r="NG200" s="2071"/>
      <c r="NH200" s="2071"/>
      <c r="NI200" s="2071"/>
      <c r="NJ200" s="2071"/>
      <c r="NK200" s="2071"/>
      <c r="NL200" s="2071"/>
      <c r="NM200" s="2071"/>
      <c r="NN200" s="2071"/>
      <c r="NO200" s="2071"/>
      <c r="NP200" s="2071"/>
      <c r="NQ200" s="2071"/>
      <c r="NR200" s="2071"/>
      <c r="NS200" s="2071"/>
      <c r="NT200" s="2071"/>
      <c r="NU200" s="2071"/>
      <c r="NV200" s="2071"/>
      <c r="NW200" s="2071"/>
      <c r="NX200" s="2071"/>
      <c r="NY200" s="2071"/>
      <c r="NZ200" s="2071"/>
      <c r="OA200" s="2071"/>
      <c r="OB200" s="2071"/>
      <c r="OC200" s="2071"/>
      <c r="OD200" s="2071"/>
      <c r="OE200" s="2071"/>
      <c r="OF200" s="2071"/>
      <c r="OG200" s="2071"/>
      <c r="OH200" s="2071"/>
      <c r="OI200" s="2071"/>
      <c r="OJ200" s="2071"/>
      <c r="OK200" s="2071"/>
      <c r="OL200" s="2071"/>
      <c r="OM200" s="2071"/>
      <c r="ON200" s="2071"/>
      <c r="OO200" s="2071"/>
      <c r="OP200" s="2071"/>
      <c r="OQ200" s="2071"/>
      <c r="OR200" s="2071"/>
      <c r="OS200" s="2071"/>
      <c r="OT200" s="2071"/>
      <c r="OU200" s="2071"/>
      <c r="OV200" s="2071"/>
      <c r="OW200" s="2071"/>
      <c r="OX200" s="2071"/>
      <c r="OY200" s="2071"/>
      <c r="OZ200" s="2071"/>
      <c r="PA200" s="2071"/>
      <c r="PB200" s="2071"/>
      <c r="PC200" s="2071"/>
      <c r="PD200" s="2071"/>
      <c r="PE200" s="2071"/>
      <c r="PF200" s="2071"/>
      <c r="PG200" s="2071"/>
      <c r="PH200" s="2071"/>
      <c r="PI200" s="2071"/>
      <c r="PJ200" s="2071"/>
      <c r="PK200" s="2071"/>
      <c r="PL200" s="2071"/>
      <c r="PM200" s="2071"/>
      <c r="PN200" s="2071"/>
      <c r="PO200" s="2071"/>
      <c r="PP200" s="2071"/>
      <c r="PQ200" s="2071"/>
      <c r="PR200" s="2071"/>
      <c r="PS200" s="2071"/>
      <c r="PT200" s="2071"/>
      <c r="PU200" s="2071"/>
      <c r="PV200" s="2071"/>
      <c r="PW200" s="2071"/>
      <c r="PX200" s="2071"/>
      <c r="PY200" s="2071"/>
      <c r="PZ200" s="2071"/>
      <c r="QA200" s="2071"/>
      <c r="QB200" s="2071"/>
      <c r="QC200" s="2071"/>
      <c r="QD200" s="2071"/>
      <c r="QE200" s="2071"/>
      <c r="QF200" s="2071"/>
      <c r="QG200" s="2071"/>
      <c r="QH200" s="2071"/>
      <c r="QI200" s="2071"/>
      <c r="QJ200" s="2071"/>
      <c r="QK200" s="2071"/>
      <c r="QL200" s="2071"/>
      <c r="QM200" s="2071"/>
      <c r="QN200" s="2071"/>
      <c r="QO200" s="2071"/>
      <c r="QP200" s="2071"/>
      <c r="QQ200" s="2071"/>
      <c r="QR200" s="2071"/>
      <c r="QS200" s="2071"/>
      <c r="QT200" s="2071"/>
      <c r="QU200" s="2071"/>
      <c r="QV200" s="2071"/>
      <c r="QW200" s="2071"/>
      <c r="QX200" s="2071"/>
      <c r="QY200" s="2071"/>
      <c r="QZ200" s="2071"/>
      <c r="RA200" s="2071"/>
      <c r="RB200" s="2071"/>
      <c r="RC200" s="2071"/>
      <c r="RD200" s="2071"/>
      <c r="RE200" s="2071"/>
      <c r="RF200" s="2071"/>
      <c r="RG200" s="2071"/>
      <c r="RH200" s="2071"/>
      <c r="RI200" s="2071"/>
      <c r="RJ200" s="2071"/>
      <c r="RK200" s="2071"/>
      <c r="RL200" s="2071"/>
      <c r="RM200" s="2071"/>
      <c r="RN200" s="2071"/>
      <c r="RO200" s="2071"/>
      <c r="RP200" s="2071"/>
      <c r="RQ200" s="2071"/>
      <c r="RR200" s="2071"/>
      <c r="RS200" s="2071"/>
      <c r="RT200" s="2071"/>
      <c r="RU200" s="2071"/>
      <c r="RV200" s="2071"/>
      <c r="RW200" s="2071"/>
      <c r="RX200" s="2071"/>
      <c r="RY200" s="2071"/>
      <c r="RZ200" s="2071"/>
      <c r="SA200" s="2071"/>
      <c r="SB200" s="2071"/>
      <c r="SC200" s="2071"/>
      <c r="SD200" s="2071"/>
      <c r="SE200" s="2071"/>
      <c r="SF200" s="2071"/>
      <c r="SG200" s="2071"/>
      <c r="SH200" s="2071"/>
      <c r="SI200" s="2071"/>
      <c r="SJ200" s="2071"/>
      <c r="SK200" s="2071"/>
      <c r="SL200" s="2071"/>
      <c r="SM200" s="2071"/>
      <c r="SN200" s="2071"/>
      <c r="SO200" s="2071"/>
      <c r="SP200" s="2071"/>
      <c r="SQ200" s="2071"/>
      <c r="SR200" s="2071"/>
      <c r="SS200" s="2071"/>
      <c r="ST200" s="2071"/>
      <c r="SU200" s="2071"/>
      <c r="SV200" s="2071"/>
      <c r="SW200" s="2071"/>
      <c r="SX200" s="2071"/>
      <c r="SY200" s="2071"/>
      <c r="SZ200" s="2071"/>
      <c r="TA200" s="2071"/>
      <c r="TB200" s="2071"/>
      <c r="TC200" s="2071"/>
      <c r="TD200" s="2071"/>
      <c r="TE200" s="2071"/>
      <c r="TF200" s="2071"/>
      <c r="TG200" s="2071"/>
      <c r="TH200" s="2071"/>
      <c r="TI200" s="2071"/>
      <c r="TJ200" s="2071"/>
      <c r="TK200" s="2071"/>
      <c r="TL200" s="2071"/>
      <c r="TM200" s="2071"/>
      <c r="TN200" s="2071"/>
      <c r="TO200" s="2071"/>
      <c r="TP200" s="2071"/>
      <c r="TQ200" s="2071"/>
      <c r="TR200" s="2071"/>
      <c r="TS200" s="2071"/>
      <c r="TT200" s="2071"/>
      <c r="TU200" s="2071"/>
      <c r="TV200" s="2071"/>
      <c r="TW200" s="2071"/>
      <c r="TX200" s="2071"/>
      <c r="TY200" s="2071"/>
      <c r="TZ200" s="2071"/>
      <c r="UA200" s="2071"/>
      <c r="UB200" s="2071"/>
      <c r="UC200" s="2071"/>
      <c r="UD200" s="2071"/>
      <c r="UE200" s="2071"/>
      <c r="UF200" s="2071"/>
      <c r="UG200" s="2071"/>
      <c r="UH200" s="2071"/>
      <c r="UI200" s="2071"/>
      <c r="UJ200" s="2071"/>
      <c r="UK200" s="2071"/>
      <c r="UL200" s="2071"/>
      <c r="UM200" s="2071"/>
      <c r="UN200" s="2071"/>
      <c r="UO200" s="2071"/>
      <c r="UP200" s="2071"/>
      <c r="UQ200" s="2071"/>
      <c r="UR200" s="2071"/>
      <c r="US200" s="2071"/>
      <c r="UT200" s="2071"/>
      <c r="UU200" s="2071"/>
      <c r="UV200" s="2071"/>
      <c r="UW200" s="2071"/>
      <c r="UX200" s="2071"/>
      <c r="UY200" s="2071"/>
      <c r="UZ200" s="2071"/>
      <c r="VA200" s="2071"/>
      <c r="VB200" s="2071"/>
      <c r="VC200" s="2071"/>
      <c r="VD200" s="2071"/>
      <c r="VE200" s="2071"/>
      <c r="VF200" s="2071"/>
      <c r="VG200" s="2071"/>
      <c r="VH200" s="2071"/>
      <c r="VI200" s="2071"/>
      <c r="VJ200" s="2071"/>
      <c r="VK200" s="2071"/>
      <c r="VL200" s="2071"/>
      <c r="VM200" s="2071"/>
      <c r="VN200" s="2071"/>
      <c r="VO200" s="2071"/>
      <c r="VP200" s="2071"/>
      <c r="VQ200" s="2071"/>
      <c r="VR200" s="2071"/>
      <c r="VS200" s="2071"/>
      <c r="VT200" s="2071"/>
      <c r="VU200" s="2071"/>
      <c r="VV200" s="2071"/>
      <c r="VW200" s="2071"/>
      <c r="VX200" s="2071"/>
      <c r="VY200" s="2071"/>
      <c r="VZ200" s="2071"/>
      <c r="WA200" s="2071"/>
      <c r="WB200" s="2071"/>
      <c r="WC200" s="2071"/>
      <c r="WD200" s="2071"/>
      <c r="WE200" s="2071"/>
      <c r="WF200" s="2071"/>
      <c r="WG200" s="2071"/>
      <c r="WH200" s="2071"/>
      <c r="WI200" s="2071"/>
      <c r="WJ200" s="2071"/>
      <c r="WK200" s="2071"/>
      <c r="WL200" s="2071"/>
      <c r="WM200" s="2071"/>
      <c r="WN200" s="2071"/>
      <c r="WO200" s="2071"/>
      <c r="WP200" s="2071"/>
      <c r="WQ200" s="2071"/>
      <c r="WR200" s="2071"/>
      <c r="WS200" s="2071"/>
      <c r="WT200" s="2071"/>
      <c r="WU200" s="2071"/>
      <c r="WV200" s="2071"/>
      <c r="WW200" s="2071"/>
      <c r="WX200" s="2071"/>
      <c r="WY200" s="2071"/>
      <c r="WZ200" s="2071"/>
      <c r="XA200" s="2071"/>
      <c r="XB200" s="2071"/>
      <c r="XC200" s="2071"/>
      <c r="XD200" s="2071"/>
      <c r="XE200" s="2071"/>
      <c r="XF200" s="2071"/>
      <c r="XG200" s="2071"/>
      <c r="XH200" s="2071"/>
      <c r="XI200" s="2071"/>
      <c r="XJ200" s="2071"/>
      <c r="XK200" s="2071"/>
      <c r="XL200" s="2071"/>
      <c r="XM200" s="2071"/>
      <c r="XN200" s="2071"/>
      <c r="XO200" s="2071"/>
      <c r="XP200" s="2071"/>
      <c r="XQ200" s="2071"/>
      <c r="XR200" s="2071"/>
      <c r="XS200" s="2071"/>
      <c r="XT200" s="2071"/>
      <c r="XU200" s="2071"/>
      <c r="XV200" s="2071"/>
      <c r="XW200" s="2071"/>
      <c r="XX200" s="2071"/>
      <c r="XY200" s="2071"/>
      <c r="XZ200" s="2071"/>
      <c r="YA200" s="2071"/>
      <c r="YB200" s="2071"/>
      <c r="YC200" s="2071"/>
      <c r="YD200" s="2071"/>
      <c r="YE200" s="2071"/>
      <c r="YF200" s="2071"/>
      <c r="YG200" s="2071"/>
      <c r="YH200" s="2071"/>
      <c r="YI200" s="2071"/>
      <c r="YJ200" s="2071"/>
      <c r="YK200" s="2071"/>
      <c r="YL200" s="2071"/>
      <c r="YM200" s="2071"/>
      <c r="YN200" s="2071"/>
      <c r="YO200" s="2071"/>
      <c r="YP200" s="2071"/>
      <c r="YQ200" s="2071"/>
      <c r="YR200" s="2071"/>
      <c r="YS200" s="2071"/>
      <c r="YT200" s="2071"/>
      <c r="YU200" s="2071"/>
      <c r="YV200" s="2071"/>
      <c r="YW200" s="2071"/>
      <c r="YX200" s="2071"/>
      <c r="YY200" s="2071"/>
      <c r="YZ200" s="2071"/>
      <c r="ZA200" s="2071"/>
      <c r="ZB200" s="2071"/>
      <c r="ZC200" s="2071"/>
      <c r="ZD200" s="2071"/>
      <c r="ZE200" s="2071"/>
      <c r="ZF200" s="2071"/>
      <c r="ZG200" s="2071"/>
      <c r="ZH200" s="2071"/>
      <c r="ZI200" s="2071"/>
      <c r="ZJ200" s="2071"/>
      <c r="ZK200" s="2071"/>
      <c r="ZL200" s="2071"/>
      <c r="ZM200" s="2071"/>
      <c r="ZN200" s="2071"/>
      <c r="ZO200" s="2071"/>
      <c r="ZP200" s="2071"/>
      <c r="ZQ200" s="2071"/>
      <c r="ZR200" s="2071"/>
      <c r="ZS200" s="2071"/>
      <c r="ZT200" s="2071"/>
      <c r="ZU200" s="2071"/>
      <c r="ZV200" s="2071"/>
      <c r="ZW200" s="2071"/>
      <c r="ZX200" s="2071"/>
      <c r="ZY200" s="2071"/>
      <c r="ZZ200" s="2071"/>
      <c r="AAA200" s="2071"/>
      <c r="AAB200" s="2071"/>
      <c r="AAC200" s="2071"/>
      <c r="AAD200" s="2071"/>
      <c r="AAE200" s="2071"/>
      <c r="AAF200" s="2071"/>
      <c r="AAG200" s="2071"/>
      <c r="AAH200" s="2071"/>
      <c r="AAI200" s="2071"/>
      <c r="AAJ200" s="2071"/>
      <c r="AAK200" s="2071"/>
      <c r="AAL200" s="2071"/>
      <c r="AAM200" s="2071"/>
      <c r="AAN200" s="2071"/>
      <c r="AAO200" s="2071"/>
      <c r="AAP200" s="2071"/>
      <c r="AAQ200" s="2071"/>
      <c r="AAR200" s="2071"/>
      <c r="AAS200" s="2071"/>
      <c r="AAT200" s="2071"/>
      <c r="AAU200" s="2071"/>
      <c r="AAV200" s="2071"/>
      <c r="AAW200" s="2071"/>
      <c r="AAX200" s="2071"/>
      <c r="AAY200" s="2071"/>
      <c r="AAZ200" s="2071"/>
      <c r="ABA200" s="2071"/>
      <c r="ABB200" s="2071"/>
      <c r="ABC200" s="2071"/>
      <c r="ABD200" s="2071"/>
      <c r="ABE200" s="2071"/>
      <c r="ABF200" s="2071"/>
      <c r="ABG200" s="2071"/>
      <c r="ABH200" s="2071"/>
      <c r="ABI200" s="2071"/>
      <c r="ABJ200" s="2071"/>
      <c r="ABK200" s="2071"/>
      <c r="ABL200" s="2071"/>
      <c r="ABM200" s="2071"/>
      <c r="ABN200" s="2071"/>
      <c r="ABO200" s="2071"/>
      <c r="ABP200" s="2071"/>
      <c r="ABQ200" s="2071"/>
      <c r="ABR200" s="2071"/>
      <c r="ABS200" s="2071"/>
      <c r="ABT200" s="2071"/>
      <c r="ABU200" s="2071"/>
      <c r="ABV200" s="2071"/>
      <c r="ABW200" s="2071"/>
      <c r="ABX200" s="2071"/>
      <c r="ABY200" s="2071"/>
      <c r="ABZ200" s="2071"/>
      <c r="ACA200" s="2071"/>
      <c r="ACB200" s="2071"/>
      <c r="ACC200" s="2071"/>
      <c r="ACD200" s="2071"/>
      <c r="ACE200" s="2071"/>
      <c r="ACF200" s="2071"/>
      <c r="ACG200" s="2071"/>
      <c r="ACH200" s="2071"/>
      <c r="ACI200" s="2071"/>
      <c r="ACJ200" s="2071"/>
      <c r="ACK200" s="2071"/>
      <c r="ACL200" s="2071"/>
      <c r="ACM200" s="2071"/>
      <c r="ACN200" s="2071"/>
      <c r="ACO200" s="2071"/>
      <c r="ACP200" s="2071"/>
      <c r="ACQ200" s="2071"/>
      <c r="ACR200" s="2071"/>
      <c r="ACS200" s="2071"/>
      <c r="ACT200" s="2071"/>
      <c r="ACU200" s="2071"/>
      <c r="ACV200" s="2071"/>
      <c r="ACW200" s="2071"/>
      <c r="ACX200" s="2071"/>
      <c r="ACY200" s="2071"/>
      <c r="ACZ200" s="2071"/>
      <c r="ADA200" s="2071"/>
      <c r="ADB200" s="2071"/>
      <c r="ADC200" s="2071"/>
      <c r="ADD200" s="2071"/>
      <c r="ADE200" s="2071"/>
      <c r="ADF200" s="2071"/>
      <c r="ADG200" s="2071"/>
      <c r="ADH200" s="2071"/>
      <c r="ADI200" s="2071"/>
      <c r="ADJ200" s="2071"/>
      <c r="ADK200" s="2071"/>
      <c r="ADL200" s="2071"/>
      <c r="ADM200" s="2071"/>
      <c r="ADN200" s="2071"/>
      <c r="ADO200" s="2071"/>
      <c r="ADP200" s="2071"/>
      <c r="ADQ200" s="2071"/>
      <c r="ADR200" s="2071"/>
      <c r="ADS200" s="2071"/>
      <c r="ADT200" s="2071"/>
      <c r="ADU200" s="2071"/>
      <c r="ADV200" s="2071"/>
      <c r="ADW200" s="2071"/>
      <c r="ADX200" s="2071"/>
      <c r="ADY200" s="2071"/>
      <c r="ADZ200" s="2071"/>
      <c r="AEA200" s="2071"/>
      <c r="AEB200" s="2071"/>
      <c r="AEC200" s="2071"/>
      <c r="AED200" s="2071"/>
      <c r="AEE200" s="2071"/>
      <c r="AEF200" s="2071"/>
      <c r="AEG200" s="2071"/>
      <c r="AEH200" s="2071"/>
      <c r="AEI200" s="2071"/>
      <c r="AEJ200" s="2071"/>
      <c r="AEK200" s="2071"/>
      <c r="AEL200" s="2071"/>
      <c r="AEM200" s="2071"/>
      <c r="AEN200" s="2071"/>
      <c r="AEO200" s="2071"/>
      <c r="AEP200" s="2071"/>
      <c r="AEQ200" s="2071"/>
      <c r="AER200" s="2071"/>
      <c r="AES200" s="2071"/>
      <c r="AET200" s="2071"/>
      <c r="AEU200" s="2071"/>
      <c r="AEV200" s="2071"/>
      <c r="AEW200" s="2071"/>
      <c r="AEX200" s="2071"/>
      <c r="AEY200" s="2071"/>
      <c r="AEZ200" s="2071"/>
      <c r="AFA200" s="2071"/>
      <c r="AFB200" s="2071"/>
      <c r="AFC200" s="2071"/>
      <c r="AFD200" s="2071"/>
      <c r="AFE200" s="2071"/>
      <c r="AFF200" s="2071"/>
      <c r="AFG200" s="2071"/>
      <c r="AFH200" s="2071"/>
      <c r="AFI200" s="2071"/>
      <c r="AFJ200" s="2071"/>
      <c r="AFK200" s="2071"/>
      <c r="AFL200" s="2071"/>
      <c r="AFM200" s="2071"/>
      <c r="AFN200" s="2071"/>
      <c r="AFO200" s="2071"/>
      <c r="AFP200" s="2071"/>
      <c r="AFQ200" s="2071"/>
      <c r="AFR200" s="2071"/>
      <c r="AFS200" s="2071"/>
      <c r="AFT200" s="2071"/>
      <c r="AFU200" s="2071"/>
      <c r="AFV200" s="2071"/>
      <c r="AFW200" s="2071"/>
      <c r="AFX200" s="2071"/>
      <c r="AFY200" s="2071"/>
      <c r="AFZ200" s="2071"/>
      <c r="AGA200" s="2071"/>
      <c r="AGB200" s="2071"/>
      <c r="AGC200" s="2071"/>
      <c r="AGD200" s="2071"/>
      <c r="AGE200" s="2071"/>
      <c r="AGF200" s="2071"/>
      <c r="AGG200" s="2071"/>
      <c r="AGH200" s="2071"/>
      <c r="AGI200" s="2071"/>
      <c r="AGJ200" s="2071"/>
      <c r="AGK200" s="2071"/>
      <c r="AGL200" s="2071"/>
      <c r="AGM200" s="2071"/>
      <c r="AGN200" s="2071"/>
      <c r="AGO200" s="2071"/>
      <c r="AGP200" s="2071"/>
      <c r="AGQ200" s="2071"/>
      <c r="AGR200" s="2071"/>
      <c r="AGS200" s="2071"/>
      <c r="AGT200" s="2071"/>
      <c r="AGU200" s="2071"/>
      <c r="AGV200" s="2071"/>
      <c r="AGW200" s="2071"/>
      <c r="AGX200" s="2071"/>
      <c r="AGY200" s="2071"/>
      <c r="AGZ200" s="2071"/>
      <c r="AHA200" s="2071"/>
      <c r="AHB200" s="2071"/>
      <c r="AHC200" s="2071"/>
      <c r="AHD200" s="2071"/>
      <c r="AHE200" s="2071"/>
      <c r="AHF200" s="2071"/>
      <c r="AHG200" s="2071"/>
      <c r="AHH200" s="2071"/>
      <c r="AHI200" s="2071"/>
      <c r="AHJ200" s="2071"/>
      <c r="AHK200" s="2071"/>
      <c r="AHL200" s="2071"/>
      <c r="AHM200" s="2071"/>
      <c r="AHN200" s="2071"/>
      <c r="AHO200" s="2071"/>
      <c r="AHP200" s="2071"/>
      <c r="AHQ200" s="2071"/>
      <c r="AHR200" s="2071"/>
      <c r="AHS200" s="2071"/>
      <c r="AHT200" s="2071"/>
      <c r="AHU200" s="2071"/>
      <c r="AHV200" s="2071"/>
      <c r="AHW200" s="2071"/>
      <c r="AHX200" s="2071"/>
      <c r="AHY200" s="2071"/>
      <c r="AHZ200" s="2071"/>
      <c r="AIA200" s="2071"/>
      <c r="AIB200" s="2071"/>
      <c r="AIC200" s="2071"/>
      <c r="AID200" s="2071"/>
      <c r="AIE200" s="2071"/>
      <c r="AIF200" s="2071"/>
      <c r="AIG200" s="2071"/>
      <c r="AIH200" s="2071"/>
      <c r="AII200" s="2071"/>
      <c r="AIJ200" s="2071"/>
      <c r="AIK200" s="2071"/>
      <c r="AIL200" s="2071"/>
      <c r="AIM200" s="2071"/>
      <c r="AIN200" s="2071"/>
      <c r="AIO200" s="2071"/>
      <c r="AIP200" s="2071"/>
      <c r="AIQ200" s="2071"/>
      <c r="AIR200" s="2071"/>
      <c r="AIS200" s="2071"/>
      <c r="AIT200" s="2071"/>
      <c r="AIU200" s="2071"/>
      <c r="AIV200" s="2071"/>
      <c r="AIW200" s="2071"/>
      <c r="AIX200" s="2071"/>
      <c r="AIY200" s="2071"/>
      <c r="AIZ200" s="2071"/>
      <c r="AJA200" s="2071"/>
      <c r="AJB200" s="2071"/>
      <c r="AJC200" s="2071"/>
      <c r="AJD200" s="2071"/>
      <c r="AJE200" s="2071"/>
      <c r="AJF200" s="2071"/>
      <c r="AJG200" s="2071"/>
      <c r="AJH200" s="2071"/>
      <c r="AJI200" s="2071"/>
      <c r="AJJ200" s="2071"/>
      <c r="AJK200" s="2071"/>
      <c r="AJL200" s="2071"/>
      <c r="AJM200" s="2071"/>
      <c r="AJN200" s="2071"/>
      <c r="AJO200" s="2071"/>
      <c r="AJP200" s="2071"/>
      <c r="AJQ200" s="2071"/>
      <c r="AJR200" s="2071"/>
      <c r="AJS200" s="2071"/>
      <c r="AJT200" s="2071"/>
      <c r="AJU200" s="2071"/>
      <c r="AJV200" s="2071"/>
      <c r="AJW200" s="2071"/>
      <c r="AJX200" s="2071"/>
      <c r="AJY200" s="2071"/>
      <c r="AJZ200" s="2071"/>
      <c r="AKA200" s="2071"/>
      <c r="AKB200" s="2071"/>
      <c r="AKC200" s="2071"/>
      <c r="AKD200" s="2071"/>
      <c r="AKE200" s="2071"/>
      <c r="AKF200" s="2071"/>
      <c r="AKG200" s="2071"/>
      <c r="AKH200" s="2071"/>
      <c r="AKI200" s="2071"/>
      <c r="AKJ200" s="2071"/>
      <c r="AKK200" s="2071"/>
      <c r="AKL200" s="2071"/>
      <c r="AKM200" s="2071"/>
      <c r="AKN200" s="2071"/>
      <c r="AKO200" s="2071"/>
      <c r="AKP200" s="2071"/>
      <c r="AKQ200" s="2071"/>
      <c r="AKR200" s="2071"/>
      <c r="AKS200" s="2071"/>
      <c r="AKT200" s="2071"/>
      <c r="AKU200" s="2071"/>
      <c r="AKV200" s="2071"/>
      <c r="AKW200" s="2071"/>
      <c r="AKX200" s="2071"/>
      <c r="AKY200" s="2071"/>
      <c r="AKZ200" s="2071"/>
      <c r="ALA200" s="2071"/>
      <c r="ALB200" s="2071"/>
      <c r="ALC200" s="2071"/>
      <c r="ALD200" s="2071"/>
      <c r="ALE200" s="2071"/>
      <c r="ALF200" s="2071"/>
      <c r="ALG200" s="2071"/>
      <c r="ALH200" s="2071"/>
      <c r="ALI200" s="2071"/>
      <c r="ALJ200" s="2071"/>
      <c r="ALK200" s="2071"/>
      <c r="ALL200" s="2071"/>
      <c r="ALM200" s="2071"/>
      <c r="ALN200" s="2071"/>
      <c r="ALO200" s="2071"/>
      <c r="ALP200" s="2071"/>
      <c r="ALQ200" s="2071"/>
      <c r="ALR200" s="2071"/>
      <c r="ALS200" s="2071"/>
      <c r="ALT200" s="2071"/>
      <c r="ALU200" s="2071"/>
      <c r="ALV200" s="2071"/>
      <c r="ALW200" s="2071"/>
      <c r="ALX200" s="2071"/>
      <c r="ALY200" s="2071"/>
      <c r="ALZ200" s="2071"/>
      <c r="AMA200" s="2071"/>
      <c r="AMB200" s="2071"/>
      <c r="AMC200" s="2071"/>
      <c r="AMD200" s="2071"/>
      <c r="AME200" s="2071"/>
      <c r="AMF200" s="2071"/>
      <c r="AMG200" s="2071"/>
      <c r="AMH200" s="2071"/>
      <c r="AMI200" s="2071"/>
      <c r="AMJ200" s="2071"/>
      <c r="AMK200" s="2071"/>
      <c r="AML200" s="2071"/>
      <c r="AMM200" s="2071"/>
      <c r="AMN200" s="2071"/>
      <c r="AMO200" s="2071"/>
      <c r="AMP200" s="2071"/>
      <c r="AMQ200" s="2071"/>
      <c r="AMR200" s="2071"/>
      <c r="AMS200" s="2071"/>
      <c r="AMT200" s="2071"/>
      <c r="AMU200" s="2071"/>
      <c r="AMV200" s="2071"/>
      <c r="AMW200" s="2071"/>
      <c r="AMX200" s="2071"/>
      <c r="AMY200" s="2071"/>
      <c r="AMZ200" s="2071"/>
      <c r="ANA200" s="2071"/>
      <c r="ANB200" s="2071"/>
      <c r="ANC200" s="2071"/>
      <c r="AND200" s="2071"/>
      <c r="ANE200" s="2071"/>
      <c r="ANF200" s="2071"/>
      <c r="ANG200" s="2071"/>
      <c r="ANH200" s="2071"/>
      <c r="ANI200" s="2071"/>
      <c r="ANJ200" s="2071"/>
      <c r="ANK200" s="2071"/>
      <c r="ANL200" s="2071"/>
      <c r="ANM200" s="2071"/>
      <c r="ANN200" s="2071"/>
      <c r="ANO200" s="2071"/>
      <c r="ANP200" s="2071"/>
      <c r="ANQ200" s="2071"/>
      <c r="ANR200" s="2071"/>
      <c r="ANS200" s="2071"/>
      <c r="ANT200" s="2071"/>
      <c r="ANU200" s="2071"/>
      <c r="ANV200" s="2071"/>
      <c r="ANW200" s="2071"/>
      <c r="ANX200" s="2071"/>
      <c r="ANY200" s="2071"/>
      <c r="ANZ200" s="2071"/>
      <c r="AOA200" s="2071"/>
      <c r="AOB200" s="2071"/>
      <c r="AOC200" s="2071"/>
      <c r="AOD200" s="2071"/>
      <c r="AOE200" s="2071"/>
      <c r="AOF200" s="2071"/>
      <c r="AOG200" s="2071"/>
      <c r="AOH200" s="2071"/>
      <c r="AOI200" s="2071"/>
      <c r="AOJ200" s="2071"/>
      <c r="AOK200" s="2071"/>
      <c r="AOL200" s="2071"/>
      <c r="AOM200" s="2071"/>
      <c r="AON200" s="2071"/>
      <c r="AOO200" s="2071"/>
      <c r="AOP200" s="2071"/>
      <c r="AOQ200" s="2071"/>
      <c r="AOR200" s="2071"/>
      <c r="AOS200" s="2071"/>
      <c r="AOT200" s="2071"/>
      <c r="AOU200" s="2071"/>
      <c r="AOV200" s="2071"/>
      <c r="AOW200" s="2071"/>
      <c r="AOX200" s="2071"/>
      <c r="AOY200" s="2071"/>
      <c r="AOZ200" s="2071"/>
      <c r="APA200" s="2071"/>
      <c r="APB200" s="2071"/>
      <c r="APC200" s="2071"/>
      <c r="APD200" s="2071"/>
      <c r="APE200" s="2071"/>
      <c r="APF200" s="2071"/>
      <c r="APG200" s="2071"/>
      <c r="APH200" s="2071"/>
      <c r="API200" s="2071"/>
      <c r="APJ200" s="2071"/>
      <c r="APK200" s="2071"/>
      <c r="APL200" s="2071"/>
      <c r="APM200" s="2071"/>
      <c r="APN200" s="2071"/>
      <c r="APO200" s="2071"/>
      <c r="APP200" s="2071"/>
      <c r="APQ200" s="2071"/>
      <c r="APR200" s="2071"/>
      <c r="APS200" s="2071"/>
      <c r="APT200" s="2071"/>
      <c r="APU200" s="2071"/>
      <c r="APV200" s="2071"/>
      <c r="APW200" s="2071"/>
      <c r="APX200" s="2071"/>
      <c r="APY200" s="2071"/>
      <c r="APZ200" s="2071"/>
      <c r="AQA200" s="2071"/>
      <c r="AQB200" s="2071"/>
      <c r="AQC200" s="2071"/>
      <c r="AQD200" s="2071"/>
      <c r="AQE200" s="2071"/>
      <c r="AQF200" s="2071"/>
      <c r="AQG200" s="2071"/>
      <c r="AQH200" s="2071"/>
      <c r="AQI200" s="2071"/>
      <c r="AQJ200" s="2071"/>
      <c r="AQK200" s="2071"/>
      <c r="AQL200" s="2071"/>
      <c r="AQM200" s="2071"/>
      <c r="AQN200" s="2071"/>
      <c r="AQO200" s="2071"/>
      <c r="AQP200" s="2071"/>
      <c r="AQQ200" s="2071"/>
      <c r="AQR200" s="2071"/>
      <c r="AQS200" s="2071"/>
      <c r="AQT200" s="2071"/>
      <c r="AQU200" s="2071"/>
      <c r="AQV200" s="2071"/>
      <c r="AQW200" s="2071"/>
      <c r="AQX200" s="2071"/>
      <c r="AQY200" s="2071"/>
      <c r="AQZ200" s="2071"/>
      <c r="ARA200" s="2071"/>
      <c r="ARB200" s="2071"/>
      <c r="ARC200" s="2071"/>
      <c r="ARD200" s="2071"/>
      <c r="ARE200" s="2071"/>
      <c r="ARF200" s="2071"/>
      <c r="ARG200" s="2071"/>
      <c r="ARH200" s="2071"/>
      <c r="ARI200" s="2071"/>
      <c r="ARJ200" s="2071"/>
      <c r="ARK200" s="2071"/>
      <c r="ARL200" s="2071"/>
      <c r="ARM200" s="2071"/>
      <c r="ARN200" s="2071"/>
      <c r="ARO200" s="2071"/>
      <c r="ARP200" s="2071"/>
      <c r="ARQ200" s="2071"/>
      <c r="ARR200" s="2071"/>
      <c r="ARS200" s="2071"/>
      <c r="ART200" s="2071"/>
      <c r="ARU200" s="2071"/>
      <c r="ARV200" s="2071"/>
      <c r="ARW200" s="2071"/>
      <c r="ARX200" s="2071"/>
      <c r="ARY200" s="2071"/>
      <c r="ARZ200" s="2071"/>
      <c r="ASA200" s="2071"/>
      <c r="ASB200" s="2071"/>
      <c r="ASC200" s="2071"/>
      <c r="ASD200" s="2071"/>
      <c r="ASE200" s="2071"/>
      <c r="ASF200" s="2071"/>
      <c r="ASG200" s="2071"/>
      <c r="ASH200" s="2071"/>
      <c r="ASI200" s="2071"/>
      <c r="ASJ200" s="2071"/>
      <c r="ASK200" s="2071"/>
      <c r="ASL200" s="2071"/>
      <c r="ASM200" s="2071"/>
      <c r="ASN200" s="2071"/>
      <c r="ASO200" s="2071"/>
      <c r="ASP200" s="2071"/>
      <c r="ASQ200" s="2071"/>
      <c r="ASR200" s="2071"/>
      <c r="ASS200" s="2071"/>
      <c r="AST200" s="2071"/>
      <c r="ASU200" s="2071"/>
      <c r="ASV200" s="2071"/>
      <c r="ASW200" s="2071"/>
      <c r="ASX200" s="2071"/>
      <c r="ASY200" s="2071"/>
      <c r="ASZ200" s="2071"/>
      <c r="ATA200" s="2071"/>
      <c r="ATB200" s="2071"/>
      <c r="ATC200" s="2071"/>
      <c r="ATD200" s="2071"/>
      <c r="ATE200" s="2071"/>
      <c r="ATF200" s="2071"/>
      <c r="ATG200" s="2071"/>
      <c r="ATH200" s="2071"/>
      <c r="ATI200" s="2071"/>
      <c r="ATJ200" s="2071"/>
      <c r="ATK200" s="2071"/>
      <c r="ATL200" s="2071"/>
      <c r="ATM200" s="2071"/>
      <c r="ATN200" s="2071"/>
      <c r="ATO200" s="2071"/>
      <c r="ATP200" s="2071"/>
      <c r="ATQ200" s="2071"/>
      <c r="ATR200" s="2071"/>
      <c r="ATS200" s="2071"/>
      <c r="ATT200" s="2071"/>
      <c r="ATU200" s="2071"/>
      <c r="ATV200" s="2071"/>
      <c r="ATW200" s="2071"/>
      <c r="ATX200" s="2071"/>
      <c r="ATY200" s="2071"/>
      <c r="ATZ200" s="2071"/>
      <c r="AUA200" s="2071"/>
      <c r="AUB200" s="2071"/>
      <c r="AUC200" s="2071"/>
      <c r="AUD200" s="2071"/>
      <c r="AUE200" s="2071"/>
      <c r="AUF200" s="2071"/>
      <c r="AUG200" s="2071"/>
      <c r="AUH200" s="2071"/>
      <c r="AUI200" s="2071"/>
      <c r="AUJ200" s="2071"/>
      <c r="AUK200" s="2071"/>
      <c r="AUL200" s="2071"/>
      <c r="AUM200" s="2071"/>
      <c r="AUN200" s="2071"/>
      <c r="AUO200" s="2071"/>
      <c r="AUP200" s="2071"/>
      <c r="AUQ200" s="2071"/>
      <c r="AUR200" s="2071"/>
      <c r="AUS200" s="2071"/>
      <c r="AUT200" s="2071"/>
      <c r="AUU200" s="2071"/>
      <c r="AUV200" s="2071"/>
      <c r="AUW200" s="2071"/>
      <c r="AUX200" s="2071"/>
      <c r="AUY200" s="2071"/>
      <c r="AUZ200" s="2071"/>
      <c r="AVA200" s="2071"/>
      <c r="AVB200" s="2071"/>
      <c r="AVC200" s="2071"/>
      <c r="AVD200" s="2071"/>
      <c r="AVE200" s="2071"/>
      <c r="AVF200" s="2071"/>
      <c r="AVG200" s="2071"/>
      <c r="AVH200" s="2071"/>
      <c r="AVI200" s="2071"/>
      <c r="AVJ200" s="2071"/>
      <c r="AVK200" s="2071"/>
      <c r="AVL200" s="2071"/>
      <c r="AVM200" s="2071"/>
      <c r="AVN200" s="2071"/>
      <c r="AVO200" s="2071"/>
      <c r="AVP200" s="2071"/>
      <c r="AVQ200" s="2071"/>
      <c r="AVR200" s="2071"/>
      <c r="AVS200" s="2071"/>
      <c r="AVT200" s="2071"/>
      <c r="AVU200" s="2071"/>
      <c r="AVV200" s="2071"/>
      <c r="AVW200" s="2071"/>
      <c r="AVX200" s="2071"/>
      <c r="AVY200" s="2071"/>
      <c r="AVZ200" s="2071"/>
      <c r="AWA200" s="2071"/>
      <c r="AWB200" s="2071"/>
      <c r="AWC200" s="2071"/>
      <c r="AWD200" s="2071"/>
      <c r="AWE200" s="2071"/>
      <c r="AWF200" s="2071"/>
      <c r="AWG200" s="2071"/>
      <c r="AWH200" s="2071"/>
      <c r="AWI200" s="2071"/>
      <c r="AWJ200" s="2071"/>
      <c r="AWK200" s="2071"/>
      <c r="AWL200" s="2071"/>
      <c r="AWM200" s="2071"/>
      <c r="AWN200" s="2071"/>
      <c r="AWO200" s="2071"/>
      <c r="AWP200" s="2071"/>
      <c r="AWQ200" s="2071"/>
      <c r="AWR200" s="2071"/>
      <c r="AWS200" s="2071"/>
      <c r="AWT200" s="2071"/>
      <c r="AWU200" s="2071"/>
      <c r="AWV200" s="2071"/>
      <c r="AWW200" s="2071"/>
      <c r="AWX200" s="2071"/>
      <c r="AWY200" s="2071"/>
      <c r="AWZ200" s="2071"/>
      <c r="AXA200" s="2071"/>
      <c r="AXB200" s="2071"/>
      <c r="AXC200" s="2071"/>
      <c r="AXD200" s="2071"/>
      <c r="AXE200" s="2071"/>
      <c r="AXF200" s="2071"/>
      <c r="AXG200" s="2071"/>
      <c r="AXH200" s="2071"/>
      <c r="AXI200" s="2071"/>
      <c r="AXJ200" s="2071"/>
    </row>
    <row r="201" spans="1:1310" s="2072" customFormat="1" ht="23.25" customHeight="1">
      <c r="A201" s="2073"/>
      <c r="B201" s="4484" t="s">
        <v>862</v>
      </c>
      <c r="C201" s="4484"/>
      <c r="D201" s="4484"/>
      <c r="E201" s="4484"/>
      <c r="F201" s="2074"/>
      <c r="G201" s="4484" t="s">
        <v>863</v>
      </c>
      <c r="H201" s="4484"/>
      <c r="I201" s="4484"/>
      <c r="J201" s="2074"/>
      <c r="K201" s="4484" t="s">
        <v>864</v>
      </c>
      <c r="L201" s="4484"/>
      <c r="M201" s="4484"/>
      <c r="N201" s="2074"/>
      <c r="O201" s="4484" t="s">
        <v>865</v>
      </c>
      <c r="P201" s="4484"/>
      <c r="Q201" s="2074"/>
      <c r="R201" s="1838"/>
      <c r="S201" s="1838"/>
      <c r="T201" s="1838"/>
      <c r="U201" s="1838"/>
      <c r="V201" s="1838"/>
      <c r="W201" s="1838"/>
      <c r="X201" s="1838"/>
      <c r="Y201" s="1838"/>
      <c r="Z201" s="1838"/>
      <c r="AA201" s="1838"/>
      <c r="AB201" s="1838"/>
      <c r="AC201" s="1838"/>
      <c r="AD201" s="2070"/>
      <c r="AE201" s="2070"/>
      <c r="AF201" s="2070"/>
      <c r="AG201" s="2070"/>
      <c r="AH201" s="2070"/>
      <c r="AI201" s="2070"/>
      <c r="AJ201" s="2070"/>
      <c r="AK201" s="2070"/>
      <c r="AL201" s="2070"/>
      <c r="AM201" s="2070"/>
      <c r="AN201" s="2070"/>
      <c r="AO201" s="2070"/>
      <c r="AP201" s="2070"/>
      <c r="AQ201" s="2070"/>
      <c r="AR201" s="2070"/>
      <c r="AS201" s="2070"/>
      <c r="AT201" s="2070"/>
      <c r="AU201" s="2070"/>
      <c r="AV201" s="2071"/>
      <c r="AW201" s="2071"/>
      <c r="AX201" s="2071"/>
      <c r="AY201" s="2071"/>
      <c r="AZ201" s="2071"/>
      <c r="BA201" s="2071"/>
      <c r="BB201" s="2071"/>
      <c r="BC201" s="2071"/>
      <c r="BD201" s="2071"/>
      <c r="BE201" s="2071"/>
      <c r="BF201" s="2071"/>
      <c r="BG201" s="2071"/>
      <c r="BH201" s="2071"/>
      <c r="BI201" s="2071"/>
      <c r="BJ201" s="2071"/>
      <c r="BK201" s="2071"/>
      <c r="BL201" s="2071"/>
      <c r="BM201" s="2071"/>
      <c r="BN201" s="2071"/>
      <c r="BO201" s="2071"/>
      <c r="BP201" s="2071"/>
      <c r="BQ201" s="2071"/>
      <c r="BR201" s="2071"/>
      <c r="BS201" s="2071"/>
      <c r="BT201" s="2071"/>
      <c r="BU201" s="2071"/>
      <c r="BV201" s="2071"/>
      <c r="BW201" s="2071"/>
      <c r="BX201" s="2071"/>
      <c r="BY201" s="2071"/>
      <c r="BZ201" s="2071"/>
      <c r="CA201" s="2071"/>
      <c r="CB201" s="2071"/>
      <c r="CC201" s="2071"/>
      <c r="CD201" s="2071"/>
      <c r="CE201" s="2071"/>
      <c r="CF201" s="2071"/>
      <c r="CG201" s="2071"/>
      <c r="CH201" s="2071"/>
      <c r="CI201" s="2071"/>
      <c r="CJ201" s="2071"/>
      <c r="CK201" s="2071"/>
      <c r="CL201" s="2071"/>
      <c r="CM201" s="2071"/>
      <c r="CN201" s="2071"/>
      <c r="CO201" s="2071"/>
      <c r="CP201" s="2071"/>
      <c r="CQ201" s="2071"/>
      <c r="CR201" s="2071"/>
      <c r="CS201" s="2071"/>
      <c r="CT201" s="2071"/>
      <c r="CU201" s="2071"/>
      <c r="CV201" s="2071"/>
      <c r="CW201" s="2071"/>
      <c r="CX201" s="2071"/>
      <c r="CY201" s="2071"/>
      <c r="CZ201" s="2071"/>
      <c r="DA201" s="2071"/>
      <c r="DB201" s="2071"/>
      <c r="DC201" s="2071"/>
      <c r="DD201" s="2071"/>
      <c r="DE201" s="2071"/>
      <c r="DF201" s="2071"/>
      <c r="DG201" s="2071"/>
      <c r="DH201" s="2071"/>
      <c r="DI201" s="2071"/>
      <c r="DJ201" s="2071"/>
      <c r="DK201" s="2071"/>
      <c r="DL201" s="2071"/>
      <c r="DM201" s="2071"/>
      <c r="DN201" s="2071"/>
      <c r="DO201" s="2071"/>
      <c r="DP201" s="2071"/>
      <c r="DQ201" s="2071"/>
      <c r="DR201" s="2071"/>
      <c r="DS201" s="2071"/>
      <c r="DT201" s="2071"/>
      <c r="DU201" s="2071"/>
      <c r="DV201" s="2071"/>
      <c r="DW201" s="2071"/>
      <c r="DX201" s="2071"/>
      <c r="DY201" s="2071"/>
      <c r="DZ201" s="2071"/>
      <c r="EA201" s="2071"/>
      <c r="EB201" s="2071"/>
      <c r="EC201" s="2071"/>
      <c r="ED201" s="2071"/>
      <c r="EE201" s="2071"/>
      <c r="EF201" s="2071"/>
      <c r="EG201" s="2071"/>
      <c r="EH201" s="2071"/>
      <c r="EI201" s="2071"/>
      <c r="EJ201" s="2071"/>
      <c r="EK201" s="2071"/>
      <c r="EL201" s="2071"/>
      <c r="EM201" s="2071"/>
      <c r="EN201" s="2071"/>
      <c r="EO201" s="2071"/>
      <c r="EP201" s="2071"/>
      <c r="EQ201" s="2071"/>
      <c r="ER201" s="2071"/>
      <c r="ES201" s="2071"/>
      <c r="ET201" s="2071"/>
      <c r="EU201" s="2071"/>
      <c r="EV201" s="2071"/>
      <c r="EW201" s="2071"/>
      <c r="EX201" s="2071"/>
      <c r="EY201" s="2071"/>
      <c r="EZ201" s="2071"/>
      <c r="FA201" s="2071"/>
      <c r="FB201" s="2071"/>
      <c r="FC201" s="2071"/>
      <c r="FD201" s="2071"/>
      <c r="FE201" s="2071"/>
      <c r="FF201" s="2071"/>
      <c r="FG201" s="2071"/>
      <c r="FH201" s="2071"/>
      <c r="FI201" s="2071"/>
      <c r="FJ201" s="2071"/>
      <c r="FK201" s="2071"/>
      <c r="FL201" s="2071"/>
      <c r="FM201" s="2071"/>
      <c r="FN201" s="2071"/>
      <c r="FO201" s="2071"/>
      <c r="FP201" s="2071"/>
      <c r="FQ201" s="2071"/>
      <c r="FR201" s="2071"/>
      <c r="FS201" s="2071"/>
      <c r="FT201" s="2071"/>
      <c r="FU201" s="2071"/>
      <c r="FV201" s="2071"/>
      <c r="FW201" s="2071"/>
      <c r="FX201" s="2071"/>
      <c r="FY201" s="2071"/>
      <c r="FZ201" s="2071"/>
      <c r="GA201" s="2071"/>
      <c r="GB201" s="2071"/>
      <c r="GC201" s="2071"/>
      <c r="GD201" s="2071"/>
      <c r="GE201" s="2071"/>
      <c r="GF201" s="2071"/>
      <c r="GG201" s="2071"/>
      <c r="GH201" s="2071"/>
      <c r="GI201" s="2071"/>
      <c r="GJ201" s="2071"/>
      <c r="GK201" s="2071"/>
      <c r="GL201" s="2071"/>
      <c r="GM201" s="2071"/>
      <c r="GN201" s="2071"/>
      <c r="GO201" s="2071"/>
      <c r="GP201" s="2071"/>
      <c r="GQ201" s="2071"/>
      <c r="GR201" s="2071"/>
      <c r="GS201" s="2071"/>
      <c r="GT201" s="2071"/>
      <c r="GU201" s="2071"/>
      <c r="GV201" s="2071"/>
      <c r="GW201" s="2071"/>
      <c r="GX201" s="2071"/>
      <c r="GY201" s="2071"/>
      <c r="GZ201" s="2071"/>
      <c r="HA201" s="2071"/>
      <c r="HB201" s="2071"/>
      <c r="HC201" s="2071"/>
      <c r="HD201" s="2071"/>
      <c r="HE201" s="2071"/>
      <c r="HF201" s="2071"/>
      <c r="HG201" s="2071"/>
      <c r="HH201" s="2071"/>
      <c r="HI201" s="2071"/>
      <c r="HJ201" s="2071"/>
      <c r="HK201" s="2071"/>
      <c r="HL201" s="2071"/>
      <c r="HM201" s="2071"/>
      <c r="HN201" s="2071"/>
      <c r="HO201" s="2071"/>
      <c r="HP201" s="2071"/>
      <c r="HQ201" s="2071"/>
      <c r="HR201" s="2071"/>
      <c r="HS201" s="2071"/>
      <c r="HT201" s="2071"/>
      <c r="HU201" s="2071"/>
      <c r="HV201" s="2071"/>
      <c r="HW201" s="2071"/>
      <c r="HX201" s="2071"/>
      <c r="HY201" s="2071"/>
      <c r="HZ201" s="2071"/>
      <c r="IA201" s="2071"/>
      <c r="IB201" s="2071"/>
      <c r="IC201" s="2071"/>
      <c r="ID201" s="2071"/>
      <c r="IE201" s="2071"/>
      <c r="IF201" s="2071"/>
      <c r="IG201" s="2071"/>
      <c r="IH201" s="2071"/>
      <c r="II201" s="2071"/>
      <c r="IJ201" s="2071"/>
      <c r="IK201" s="2071"/>
      <c r="IL201" s="2071"/>
      <c r="IM201" s="2071"/>
      <c r="IN201" s="2071"/>
      <c r="IO201" s="2071"/>
      <c r="IP201" s="2071"/>
      <c r="IQ201" s="2071"/>
      <c r="IR201" s="2071"/>
      <c r="IS201" s="2071"/>
      <c r="IT201" s="2071"/>
      <c r="IU201" s="2071"/>
      <c r="IV201" s="2071"/>
      <c r="IW201" s="2071"/>
      <c r="IX201" s="2071"/>
      <c r="IY201" s="2071"/>
      <c r="IZ201" s="2071"/>
      <c r="JA201" s="2071"/>
      <c r="JB201" s="2071"/>
      <c r="JC201" s="2071"/>
      <c r="JD201" s="2071"/>
      <c r="JE201" s="2071"/>
      <c r="JF201" s="2071"/>
      <c r="JG201" s="2071"/>
      <c r="JH201" s="2071"/>
      <c r="JI201" s="2071"/>
      <c r="JJ201" s="2071"/>
      <c r="JK201" s="2071"/>
      <c r="JL201" s="2071"/>
      <c r="JM201" s="2071"/>
      <c r="JN201" s="2071"/>
      <c r="JO201" s="2071"/>
      <c r="JP201" s="2071"/>
      <c r="JQ201" s="2071"/>
      <c r="JR201" s="2071"/>
      <c r="JS201" s="2071"/>
      <c r="JT201" s="2071"/>
      <c r="JU201" s="2071"/>
      <c r="JV201" s="2071"/>
      <c r="JW201" s="2071"/>
      <c r="JX201" s="2071"/>
      <c r="JY201" s="2071"/>
      <c r="JZ201" s="2071"/>
      <c r="KA201" s="2071"/>
      <c r="KB201" s="2071"/>
      <c r="KC201" s="2071"/>
      <c r="KD201" s="2071"/>
      <c r="KE201" s="2071"/>
      <c r="KF201" s="2071"/>
      <c r="KG201" s="2071"/>
      <c r="KH201" s="2071"/>
      <c r="KI201" s="2071"/>
      <c r="KJ201" s="2071"/>
      <c r="KK201" s="2071"/>
      <c r="KL201" s="2071"/>
      <c r="KM201" s="2071"/>
      <c r="KN201" s="2071"/>
      <c r="KO201" s="2071"/>
      <c r="KP201" s="2071"/>
      <c r="KQ201" s="2071"/>
      <c r="KR201" s="2071"/>
      <c r="KS201" s="2071"/>
      <c r="KT201" s="2071"/>
      <c r="KU201" s="2071"/>
      <c r="KV201" s="2071"/>
      <c r="KW201" s="2071"/>
      <c r="KX201" s="2071"/>
      <c r="KY201" s="2071"/>
      <c r="KZ201" s="2071"/>
      <c r="LA201" s="2071"/>
      <c r="LB201" s="2071"/>
      <c r="LC201" s="2071"/>
      <c r="LD201" s="2071"/>
      <c r="LE201" s="2071"/>
      <c r="LF201" s="2071"/>
      <c r="LG201" s="2071"/>
      <c r="LH201" s="2071"/>
      <c r="LI201" s="2071"/>
      <c r="LJ201" s="2071"/>
      <c r="LK201" s="2071"/>
      <c r="LL201" s="2071"/>
      <c r="LM201" s="2071"/>
      <c r="LN201" s="2071"/>
      <c r="LO201" s="2071"/>
      <c r="LP201" s="2071"/>
      <c r="LQ201" s="2071"/>
      <c r="LR201" s="2071"/>
      <c r="LS201" s="2071"/>
      <c r="LT201" s="2071"/>
      <c r="LU201" s="2071"/>
      <c r="LV201" s="2071"/>
      <c r="LW201" s="2071"/>
      <c r="LX201" s="2071"/>
      <c r="LY201" s="2071"/>
      <c r="LZ201" s="2071"/>
      <c r="MA201" s="2071"/>
      <c r="MB201" s="2071"/>
      <c r="MC201" s="2071"/>
      <c r="MD201" s="2071"/>
      <c r="ME201" s="2071"/>
      <c r="MF201" s="2071"/>
      <c r="MG201" s="2071"/>
      <c r="MH201" s="2071"/>
      <c r="MI201" s="2071"/>
      <c r="MJ201" s="2071"/>
      <c r="MK201" s="2071"/>
      <c r="ML201" s="2071"/>
      <c r="MM201" s="2071"/>
      <c r="MN201" s="2071"/>
      <c r="MO201" s="2071"/>
      <c r="MP201" s="2071"/>
      <c r="MQ201" s="2071"/>
      <c r="MR201" s="2071"/>
      <c r="MS201" s="2071"/>
      <c r="MT201" s="2071"/>
      <c r="MU201" s="2071"/>
      <c r="MV201" s="2071"/>
      <c r="MW201" s="2071"/>
      <c r="MX201" s="2071"/>
      <c r="MY201" s="2071"/>
      <c r="MZ201" s="2071"/>
      <c r="NA201" s="2071"/>
      <c r="NB201" s="2071"/>
      <c r="NC201" s="2071"/>
      <c r="ND201" s="2071"/>
      <c r="NE201" s="2071"/>
      <c r="NF201" s="2071"/>
      <c r="NG201" s="2071"/>
      <c r="NH201" s="2071"/>
      <c r="NI201" s="2071"/>
      <c r="NJ201" s="2071"/>
      <c r="NK201" s="2071"/>
      <c r="NL201" s="2071"/>
      <c r="NM201" s="2071"/>
      <c r="NN201" s="2071"/>
      <c r="NO201" s="2071"/>
      <c r="NP201" s="2071"/>
      <c r="NQ201" s="2071"/>
      <c r="NR201" s="2071"/>
      <c r="NS201" s="2071"/>
      <c r="NT201" s="2071"/>
      <c r="NU201" s="2071"/>
      <c r="NV201" s="2071"/>
      <c r="NW201" s="2071"/>
      <c r="NX201" s="2071"/>
      <c r="NY201" s="2071"/>
      <c r="NZ201" s="2071"/>
      <c r="OA201" s="2071"/>
      <c r="OB201" s="2071"/>
      <c r="OC201" s="2071"/>
      <c r="OD201" s="2071"/>
      <c r="OE201" s="2071"/>
      <c r="OF201" s="2071"/>
      <c r="OG201" s="2071"/>
      <c r="OH201" s="2071"/>
      <c r="OI201" s="2071"/>
      <c r="OJ201" s="2071"/>
      <c r="OK201" s="2071"/>
      <c r="OL201" s="2071"/>
      <c r="OM201" s="2071"/>
      <c r="ON201" s="2071"/>
      <c r="OO201" s="2071"/>
      <c r="OP201" s="2071"/>
      <c r="OQ201" s="2071"/>
      <c r="OR201" s="2071"/>
      <c r="OS201" s="2071"/>
      <c r="OT201" s="2071"/>
      <c r="OU201" s="2071"/>
      <c r="OV201" s="2071"/>
      <c r="OW201" s="2071"/>
      <c r="OX201" s="2071"/>
      <c r="OY201" s="2071"/>
      <c r="OZ201" s="2071"/>
      <c r="PA201" s="2071"/>
      <c r="PB201" s="2071"/>
      <c r="PC201" s="2071"/>
      <c r="PD201" s="2071"/>
      <c r="PE201" s="2071"/>
      <c r="PF201" s="2071"/>
      <c r="PG201" s="2071"/>
      <c r="PH201" s="2071"/>
      <c r="PI201" s="2071"/>
      <c r="PJ201" s="2071"/>
      <c r="PK201" s="2071"/>
      <c r="PL201" s="2071"/>
      <c r="PM201" s="2071"/>
      <c r="PN201" s="2071"/>
      <c r="PO201" s="2071"/>
      <c r="PP201" s="2071"/>
      <c r="PQ201" s="2071"/>
      <c r="PR201" s="2071"/>
      <c r="PS201" s="2071"/>
      <c r="PT201" s="2071"/>
      <c r="PU201" s="2071"/>
      <c r="PV201" s="2071"/>
      <c r="PW201" s="2071"/>
      <c r="PX201" s="2071"/>
      <c r="PY201" s="2071"/>
      <c r="PZ201" s="2071"/>
      <c r="QA201" s="2071"/>
      <c r="QB201" s="2071"/>
      <c r="QC201" s="2071"/>
      <c r="QD201" s="2071"/>
      <c r="QE201" s="2071"/>
      <c r="QF201" s="2071"/>
      <c r="QG201" s="2071"/>
      <c r="QH201" s="2071"/>
      <c r="QI201" s="2071"/>
      <c r="QJ201" s="2071"/>
      <c r="QK201" s="2071"/>
      <c r="QL201" s="2071"/>
      <c r="QM201" s="2071"/>
      <c r="QN201" s="2071"/>
      <c r="QO201" s="2071"/>
      <c r="QP201" s="2071"/>
      <c r="QQ201" s="2071"/>
      <c r="QR201" s="2071"/>
      <c r="QS201" s="2071"/>
      <c r="QT201" s="2071"/>
      <c r="QU201" s="2071"/>
      <c r="QV201" s="2071"/>
      <c r="QW201" s="2071"/>
      <c r="QX201" s="2071"/>
      <c r="QY201" s="2071"/>
      <c r="QZ201" s="2071"/>
      <c r="RA201" s="2071"/>
      <c r="RB201" s="2071"/>
      <c r="RC201" s="2071"/>
      <c r="RD201" s="2071"/>
      <c r="RE201" s="2071"/>
      <c r="RF201" s="2071"/>
      <c r="RG201" s="2071"/>
      <c r="RH201" s="2071"/>
      <c r="RI201" s="2071"/>
      <c r="RJ201" s="2071"/>
      <c r="RK201" s="2071"/>
      <c r="RL201" s="2071"/>
      <c r="RM201" s="2071"/>
      <c r="RN201" s="2071"/>
      <c r="RO201" s="2071"/>
      <c r="RP201" s="2071"/>
      <c r="RQ201" s="2071"/>
      <c r="RR201" s="2071"/>
      <c r="RS201" s="2071"/>
      <c r="RT201" s="2071"/>
      <c r="RU201" s="2071"/>
      <c r="RV201" s="2071"/>
      <c r="RW201" s="2071"/>
      <c r="RX201" s="2071"/>
      <c r="RY201" s="2071"/>
      <c r="RZ201" s="2071"/>
      <c r="SA201" s="2071"/>
      <c r="SB201" s="2071"/>
      <c r="SC201" s="2071"/>
      <c r="SD201" s="2071"/>
      <c r="SE201" s="2071"/>
      <c r="SF201" s="2071"/>
      <c r="SG201" s="2071"/>
      <c r="SH201" s="2071"/>
      <c r="SI201" s="2071"/>
      <c r="SJ201" s="2071"/>
      <c r="SK201" s="2071"/>
      <c r="SL201" s="2071"/>
      <c r="SM201" s="2071"/>
      <c r="SN201" s="2071"/>
      <c r="SO201" s="2071"/>
      <c r="SP201" s="2071"/>
      <c r="SQ201" s="2071"/>
      <c r="SR201" s="2071"/>
      <c r="SS201" s="2071"/>
      <c r="ST201" s="2071"/>
      <c r="SU201" s="2071"/>
      <c r="SV201" s="2071"/>
      <c r="SW201" s="2071"/>
      <c r="SX201" s="2071"/>
      <c r="SY201" s="2071"/>
      <c r="SZ201" s="2071"/>
      <c r="TA201" s="2071"/>
      <c r="TB201" s="2071"/>
      <c r="TC201" s="2071"/>
      <c r="TD201" s="2071"/>
      <c r="TE201" s="2071"/>
      <c r="TF201" s="2071"/>
      <c r="TG201" s="2071"/>
      <c r="TH201" s="2071"/>
      <c r="TI201" s="2071"/>
      <c r="TJ201" s="2071"/>
      <c r="TK201" s="2071"/>
      <c r="TL201" s="2071"/>
      <c r="TM201" s="2071"/>
      <c r="TN201" s="2071"/>
      <c r="TO201" s="2071"/>
      <c r="TP201" s="2071"/>
      <c r="TQ201" s="2071"/>
      <c r="TR201" s="2071"/>
      <c r="TS201" s="2071"/>
      <c r="TT201" s="2071"/>
      <c r="TU201" s="2071"/>
      <c r="TV201" s="2071"/>
      <c r="TW201" s="2071"/>
      <c r="TX201" s="2071"/>
      <c r="TY201" s="2071"/>
      <c r="TZ201" s="2071"/>
      <c r="UA201" s="2071"/>
      <c r="UB201" s="2071"/>
      <c r="UC201" s="2071"/>
      <c r="UD201" s="2071"/>
      <c r="UE201" s="2071"/>
      <c r="UF201" s="2071"/>
      <c r="UG201" s="2071"/>
      <c r="UH201" s="2071"/>
      <c r="UI201" s="2071"/>
      <c r="UJ201" s="2071"/>
      <c r="UK201" s="2071"/>
      <c r="UL201" s="2071"/>
      <c r="UM201" s="2071"/>
      <c r="UN201" s="2071"/>
      <c r="UO201" s="2071"/>
      <c r="UP201" s="2071"/>
      <c r="UQ201" s="2071"/>
      <c r="UR201" s="2071"/>
      <c r="US201" s="2071"/>
      <c r="UT201" s="2071"/>
      <c r="UU201" s="2071"/>
      <c r="UV201" s="2071"/>
      <c r="UW201" s="2071"/>
      <c r="UX201" s="2071"/>
      <c r="UY201" s="2071"/>
      <c r="UZ201" s="2071"/>
      <c r="VA201" s="2071"/>
      <c r="VB201" s="2071"/>
      <c r="VC201" s="2071"/>
      <c r="VD201" s="2071"/>
      <c r="VE201" s="2071"/>
      <c r="VF201" s="2071"/>
      <c r="VG201" s="2071"/>
      <c r="VH201" s="2071"/>
      <c r="VI201" s="2071"/>
      <c r="VJ201" s="2071"/>
      <c r="VK201" s="2071"/>
      <c r="VL201" s="2071"/>
      <c r="VM201" s="2071"/>
      <c r="VN201" s="2071"/>
      <c r="VO201" s="2071"/>
      <c r="VP201" s="2071"/>
      <c r="VQ201" s="2071"/>
      <c r="VR201" s="2071"/>
      <c r="VS201" s="2071"/>
      <c r="VT201" s="2071"/>
      <c r="VU201" s="2071"/>
      <c r="VV201" s="2071"/>
      <c r="VW201" s="2071"/>
      <c r="VX201" s="2071"/>
      <c r="VY201" s="2071"/>
      <c r="VZ201" s="2071"/>
      <c r="WA201" s="2071"/>
      <c r="WB201" s="2071"/>
      <c r="WC201" s="2071"/>
      <c r="WD201" s="2071"/>
      <c r="WE201" s="2071"/>
      <c r="WF201" s="2071"/>
      <c r="WG201" s="2071"/>
      <c r="WH201" s="2071"/>
      <c r="WI201" s="2071"/>
      <c r="WJ201" s="2071"/>
      <c r="WK201" s="2071"/>
      <c r="WL201" s="2071"/>
      <c r="WM201" s="2071"/>
      <c r="WN201" s="2071"/>
      <c r="WO201" s="2071"/>
      <c r="WP201" s="2071"/>
      <c r="WQ201" s="2071"/>
      <c r="WR201" s="2071"/>
      <c r="WS201" s="2071"/>
      <c r="WT201" s="2071"/>
      <c r="WU201" s="2071"/>
      <c r="WV201" s="2071"/>
      <c r="WW201" s="2071"/>
      <c r="WX201" s="2071"/>
      <c r="WY201" s="2071"/>
      <c r="WZ201" s="2071"/>
      <c r="XA201" s="2071"/>
      <c r="XB201" s="2071"/>
      <c r="XC201" s="2071"/>
      <c r="XD201" s="2071"/>
      <c r="XE201" s="2071"/>
      <c r="XF201" s="2071"/>
      <c r="XG201" s="2071"/>
      <c r="XH201" s="2071"/>
      <c r="XI201" s="2071"/>
      <c r="XJ201" s="2071"/>
      <c r="XK201" s="2071"/>
      <c r="XL201" s="2071"/>
      <c r="XM201" s="2071"/>
      <c r="XN201" s="2071"/>
      <c r="XO201" s="2071"/>
      <c r="XP201" s="2071"/>
      <c r="XQ201" s="2071"/>
      <c r="XR201" s="2071"/>
      <c r="XS201" s="2071"/>
      <c r="XT201" s="2071"/>
      <c r="XU201" s="2071"/>
      <c r="XV201" s="2071"/>
      <c r="XW201" s="2071"/>
      <c r="XX201" s="2071"/>
      <c r="XY201" s="2071"/>
      <c r="XZ201" s="2071"/>
      <c r="YA201" s="2071"/>
      <c r="YB201" s="2071"/>
      <c r="YC201" s="2071"/>
      <c r="YD201" s="2071"/>
      <c r="YE201" s="2071"/>
      <c r="YF201" s="2071"/>
      <c r="YG201" s="2071"/>
      <c r="YH201" s="2071"/>
      <c r="YI201" s="2071"/>
      <c r="YJ201" s="2071"/>
      <c r="YK201" s="2071"/>
      <c r="YL201" s="2071"/>
      <c r="YM201" s="2071"/>
      <c r="YN201" s="2071"/>
      <c r="YO201" s="2071"/>
      <c r="YP201" s="2071"/>
      <c r="YQ201" s="2071"/>
      <c r="YR201" s="2071"/>
      <c r="YS201" s="2071"/>
      <c r="YT201" s="2071"/>
      <c r="YU201" s="2071"/>
      <c r="YV201" s="2071"/>
      <c r="YW201" s="2071"/>
      <c r="YX201" s="2071"/>
      <c r="YY201" s="2071"/>
      <c r="YZ201" s="2071"/>
      <c r="ZA201" s="2071"/>
      <c r="ZB201" s="2071"/>
      <c r="ZC201" s="2071"/>
      <c r="ZD201" s="2071"/>
      <c r="ZE201" s="2071"/>
      <c r="ZF201" s="2071"/>
      <c r="ZG201" s="2071"/>
      <c r="ZH201" s="2071"/>
      <c r="ZI201" s="2071"/>
      <c r="ZJ201" s="2071"/>
      <c r="ZK201" s="2071"/>
      <c r="ZL201" s="2071"/>
      <c r="ZM201" s="2071"/>
      <c r="ZN201" s="2071"/>
      <c r="ZO201" s="2071"/>
      <c r="ZP201" s="2071"/>
      <c r="ZQ201" s="2071"/>
      <c r="ZR201" s="2071"/>
      <c r="ZS201" s="2071"/>
      <c r="ZT201" s="2071"/>
      <c r="ZU201" s="2071"/>
      <c r="ZV201" s="2071"/>
      <c r="ZW201" s="2071"/>
      <c r="ZX201" s="2071"/>
      <c r="ZY201" s="2071"/>
      <c r="ZZ201" s="2071"/>
      <c r="AAA201" s="2071"/>
      <c r="AAB201" s="2071"/>
      <c r="AAC201" s="2071"/>
      <c r="AAD201" s="2071"/>
      <c r="AAE201" s="2071"/>
      <c r="AAF201" s="2071"/>
      <c r="AAG201" s="2071"/>
      <c r="AAH201" s="2071"/>
      <c r="AAI201" s="2071"/>
      <c r="AAJ201" s="2071"/>
      <c r="AAK201" s="2071"/>
      <c r="AAL201" s="2071"/>
      <c r="AAM201" s="2071"/>
      <c r="AAN201" s="2071"/>
      <c r="AAO201" s="2071"/>
      <c r="AAP201" s="2071"/>
      <c r="AAQ201" s="2071"/>
      <c r="AAR201" s="2071"/>
      <c r="AAS201" s="2071"/>
      <c r="AAT201" s="2071"/>
      <c r="AAU201" s="2071"/>
      <c r="AAV201" s="2071"/>
      <c r="AAW201" s="2071"/>
      <c r="AAX201" s="2071"/>
      <c r="AAY201" s="2071"/>
      <c r="AAZ201" s="2071"/>
      <c r="ABA201" s="2071"/>
      <c r="ABB201" s="2071"/>
      <c r="ABC201" s="2071"/>
      <c r="ABD201" s="2071"/>
      <c r="ABE201" s="2071"/>
      <c r="ABF201" s="2071"/>
      <c r="ABG201" s="2071"/>
      <c r="ABH201" s="2071"/>
      <c r="ABI201" s="2071"/>
      <c r="ABJ201" s="2071"/>
      <c r="ABK201" s="2071"/>
      <c r="ABL201" s="2071"/>
      <c r="ABM201" s="2071"/>
      <c r="ABN201" s="2071"/>
      <c r="ABO201" s="2071"/>
      <c r="ABP201" s="2071"/>
      <c r="ABQ201" s="2071"/>
      <c r="ABR201" s="2071"/>
      <c r="ABS201" s="2071"/>
      <c r="ABT201" s="2071"/>
      <c r="ABU201" s="2071"/>
      <c r="ABV201" s="2071"/>
      <c r="ABW201" s="2071"/>
      <c r="ABX201" s="2071"/>
      <c r="ABY201" s="2071"/>
      <c r="ABZ201" s="2071"/>
      <c r="ACA201" s="2071"/>
      <c r="ACB201" s="2071"/>
      <c r="ACC201" s="2071"/>
      <c r="ACD201" s="2071"/>
      <c r="ACE201" s="2071"/>
      <c r="ACF201" s="2071"/>
      <c r="ACG201" s="2071"/>
      <c r="ACH201" s="2071"/>
      <c r="ACI201" s="2071"/>
      <c r="ACJ201" s="2071"/>
      <c r="ACK201" s="2071"/>
      <c r="ACL201" s="2071"/>
      <c r="ACM201" s="2071"/>
      <c r="ACN201" s="2071"/>
      <c r="ACO201" s="2071"/>
      <c r="ACP201" s="2071"/>
      <c r="ACQ201" s="2071"/>
      <c r="ACR201" s="2071"/>
      <c r="ACS201" s="2071"/>
      <c r="ACT201" s="2071"/>
      <c r="ACU201" s="2071"/>
      <c r="ACV201" s="2071"/>
      <c r="ACW201" s="2071"/>
      <c r="ACX201" s="2071"/>
      <c r="ACY201" s="2071"/>
      <c r="ACZ201" s="2071"/>
      <c r="ADA201" s="2071"/>
      <c r="ADB201" s="2071"/>
      <c r="ADC201" s="2071"/>
      <c r="ADD201" s="2071"/>
      <c r="ADE201" s="2071"/>
      <c r="ADF201" s="2071"/>
      <c r="ADG201" s="2071"/>
      <c r="ADH201" s="2071"/>
      <c r="ADI201" s="2071"/>
      <c r="ADJ201" s="2071"/>
      <c r="ADK201" s="2071"/>
      <c r="ADL201" s="2071"/>
      <c r="ADM201" s="2071"/>
      <c r="ADN201" s="2071"/>
      <c r="ADO201" s="2071"/>
      <c r="ADP201" s="2071"/>
      <c r="ADQ201" s="2071"/>
      <c r="ADR201" s="2071"/>
      <c r="ADS201" s="2071"/>
      <c r="ADT201" s="2071"/>
      <c r="ADU201" s="2071"/>
      <c r="ADV201" s="2071"/>
      <c r="ADW201" s="2071"/>
      <c r="ADX201" s="2071"/>
      <c r="ADY201" s="2071"/>
      <c r="ADZ201" s="2071"/>
      <c r="AEA201" s="2071"/>
      <c r="AEB201" s="2071"/>
      <c r="AEC201" s="2071"/>
      <c r="AED201" s="2071"/>
      <c r="AEE201" s="2071"/>
      <c r="AEF201" s="2071"/>
      <c r="AEG201" s="2071"/>
      <c r="AEH201" s="2071"/>
      <c r="AEI201" s="2071"/>
      <c r="AEJ201" s="2071"/>
      <c r="AEK201" s="2071"/>
      <c r="AEL201" s="2071"/>
      <c r="AEM201" s="2071"/>
      <c r="AEN201" s="2071"/>
      <c r="AEO201" s="2071"/>
      <c r="AEP201" s="2071"/>
      <c r="AEQ201" s="2071"/>
      <c r="AER201" s="2071"/>
      <c r="AES201" s="2071"/>
      <c r="AET201" s="2071"/>
      <c r="AEU201" s="2071"/>
      <c r="AEV201" s="2071"/>
      <c r="AEW201" s="2071"/>
      <c r="AEX201" s="2071"/>
      <c r="AEY201" s="2071"/>
      <c r="AEZ201" s="2071"/>
      <c r="AFA201" s="2071"/>
      <c r="AFB201" s="2071"/>
      <c r="AFC201" s="2071"/>
      <c r="AFD201" s="2071"/>
      <c r="AFE201" s="2071"/>
      <c r="AFF201" s="2071"/>
      <c r="AFG201" s="2071"/>
      <c r="AFH201" s="2071"/>
      <c r="AFI201" s="2071"/>
      <c r="AFJ201" s="2071"/>
      <c r="AFK201" s="2071"/>
      <c r="AFL201" s="2071"/>
      <c r="AFM201" s="2071"/>
      <c r="AFN201" s="2071"/>
      <c r="AFO201" s="2071"/>
      <c r="AFP201" s="2071"/>
      <c r="AFQ201" s="2071"/>
      <c r="AFR201" s="2071"/>
      <c r="AFS201" s="2071"/>
      <c r="AFT201" s="2071"/>
      <c r="AFU201" s="2071"/>
      <c r="AFV201" s="2071"/>
      <c r="AFW201" s="2071"/>
      <c r="AFX201" s="2071"/>
      <c r="AFY201" s="2071"/>
      <c r="AFZ201" s="2071"/>
      <c r="AGA201" s="2071"/>
      <c r="AGB201" s="2071"/>
      <c r="AGC201" s="2071"/>
      <c r="AGD201" s="2071"/>
      <c r="AGE201" s="2071"/>
      <c r="AGF201" s="2071"/>
      <c r="AGG201" s="2071"/>
      <c r="AGH201" s="2071"/>
      <c r="AGI201" s="2071"/>
      <c r="AGJ201" s="2071"/>
      <c r="AGK201" s="2071"/>
      <c r="AGL201" s="2071"/>
      <c r="AGM201" s="2071"/>
      <c r="AGN201" s="2071"/>
      <c r="AGO201" s="2071"/>
      <c r="AGP201" s="2071"/>
      <c r="AGQ201" s="2071"/>
      <c r="AGR201" s="2071"/>
      <c r="AGS201" s="2071"/>
      <c r="AGT201" s="2071"/>
      <c r="AGU201" s="2071"/>
      <c r="AGV201" s="2071"/>
      <c r="AGW201" s="2071"/>
      <c r="AGX201" s="2071"/>
      <c r="AGY201" s="2071"/>
      <c r="AGZ201" s="2071"/>
      <c r="AHA201" s="2071"/>
      <c r="AHB201" s="2071"/>
      <c r="AHC201" s="2071"/>
      <c r="AHD201" s="2071"/>
      <c r="AHE201" s="2071"/>
      <c r="AHF201" s="2071"/>
      <c r="AHG201" s="2071"/>
      <c r="AHH201" s="2071"/>
      <c r="AHI201" s="2071"/>
      <c r="AHJ201" s="2071"/>
      <c r="AHK201" s="2071"/>
      <c r="AHL201" s="2071"/>
      <c r="AHM201" s="2071"/>
      <c r="AHN201" s="2071"/>
      <c r="AHO201" s="2071"/>
      <c r="AHP201" s="2071"/>
      <c r="AHQ201" s="2071"/>
      <c r="AHR201" s="2071"/>
      <c r="AHS201" s="2071"/>
      <c r="AHT201" s="2071"/>
      <c r="AHU201" s="2071"/>
      <c r="AHV201" s="2071"/>
      <c r="AHW201" s="2071"/>
      <c r="AHX201" s="2071"/>
      <c r="AHY201" s="2071"/>
      <c r="AHZ201" s="2071"/>
      <c r="AIA201" s="2071"/>
      <c r="AIB201" s="2071"/>
      <c r="AIC201" s="2071"/>
      <c r="AID201" s="2071"/>
      <c r="AIE201" s="2071"/>
      <c r="AIF201" s="2071"/>
      <c r="AIG201" s="2071"/>
      <c r="AIH201" s="2071"/>
      <c r="AII201" s="2071"/>
      <c r="AIJ201" s="2071"/>
      <c r="AIK201" s="2071"/>
      <c r="AIL201" s="2071"/>
      <c r="AIM201" s="2071"/>
      <c r="AIN201" s="2071"/>
      <c r="AIO201" s="2071"/>
      <c r="AIP201" s="2071"/>
      <c r="AIQ201" s="2071"/>
      <c r="AIR201" s="2071"/>
      <c r="AIS201" s="2071"/>
      <c r="AIT201" s="2071"/>
      <c r="AIU201" s="2071"/>
      <c r="AIV201" s="2071"/>
      <c r="AIW201" s="2071"/>
      <c r="AIX201" s="2071"/>
      <c r="AIY201" s="2071"/>
      <c r="AIZ201" s="2071"/>
      <c r="AJA201" s="2071"/>
      <c r="AJB201" s="2071"/>
      <c r="AJC201" s="2071"/>
      <c r="AJD201" s="2071"/>
      <c r="AJE201" s="2071"/>
      <c r="AJF201" s="2071"/>
      <c r="AJG201" s="2071"/>
      <c r="AJH201" s="2071"/>
      <c r="AJI201" s="2071"/>
      <c r="AJJ201" s="2071"/>
      <c r="AJK201" s="2071"/>
      <c r="AJL201" s="2071"/>
      <c r="AJM201" s="2071"/>
      <c r="AJN201" s="2071"/>
      <c r="AJO201" s="2071"/>
      <c r="AJP201" s="2071"/>
      <c r="AJQ201" s="2071"/>
      <c r="AJR201" s="2071"/>
      <c r="AJS201" s="2071"/>
      <c r="AJT201" s="2071"/>
      <c r="AJU201" s="2071"/>
      <c r="AJV201" s="2071"/>
      <c r="AJW201" s="2071"/>
      <c r="AJX201" s="2071"/>
      <c r="AJY201" s="2071"/>
      <c r="AJZ201" s="2071"/>
      <c r="AKA201" s="2071"/>
      <c r="AKB201" s="2071"/>
      <c r="AKC201" s="2071"/>
      <c r="AKD201" s="2071"/>
      <c r="AKE201" s="2071"/>
      <c r="AKF201" s="2071"/>
      <c r="AKG201" s="2071"/>
      <c r="AKH201" s="2071"/>
      <c r="AKI201" s="2071"/>
      <c r="AKJ201" s="2071"/>
      <c r="AKK201" s="2071"/>
      <c r="AKL201" s="2071"/>
      <c r="AKM201" s="2071"/>
      <c r="AKN201" s="2071"/>
      <c r="AKO201" s="2071"/>
      <c r="AKP201" s="2071"/>
      <c r="AKQ201" s="2071"/>
      <c r="AKR201" s="2071"/>
      <c r="AKS201" s="2071"/>
      <c r="AKT201" s="2071"/>
      <c r="AKU201" s="2071"/>
      <c r="AKV201" s="2071"/>
      <c r="AKW201" s="2071"/>
      <c r="AKX201" s="2071"/>
      <c r="AKY201" s="2071"/>
      <c r="AKZ201" s="2071"/>
      <c r="ALA201" s="2071"/>
      <c r="ALB201" s="2071"/>
      <c r="ALC201" s="2071"/>
      <c r="ALD201" s="2071"/>
      <c r="ALE201" s="2071"/>
      <c r="ALF201" s="2071"/>
      <c r="ALG201" s="2071"/>
      <c r="ALH201" s="2071"/>
      <c r="ALI201" s="2071"/>
      <c r="ALJ201" s="2071"/>
      <c r="ALK201" s="2071"/>
      <c r="ALL201" s="2071"/>
      <c r="ALM201" s="2071"/>
      <c r="ALN201" s="2071"/>
      <c r="ALO201" s="2071"/>
      <c r="ALP201" s="2071"/>
      <c r="ALQ201" s="2071"/>
      <c r="ALR201" s="2071"/>
      <c r="ALS201" s="2071"/>
      <c r="ALT201" s="2071"/>
      <c r="ALU201" s="2071"/>
      <c r="ALV201" s="2071"/>
      <c r="ALW201" s="2071"/>
      <c r="ALX201" s="2071"/>
      <c r="ALY201" s="2071"/>
      <c r="ALZ201" s="2071"/>
      <c r="AMA201" s="2071"/>
      <c r="AMB201" s="2071"/>
      <c r="AMC201" s="2071"/>
      <c r="AMD201" s="2071"/>
      <c r="AME201" s="2071"/>
      <c r="AMF201" s="2071"/>
      <c r="AMG201" s="2071"/>
      <c r="AMH201" s="2071"/>
      <c r="AMI201" s="2071"/>
      <c r="AMJ201" s="2071"/>
      <c r="AMK201" s="2071"/>
      <c r="AML201" s="2071"/>
      <c r="AMM201" s="2071"/>
      <c r="AMN201" s="2071"/>
      <c r="AMO201" s="2071"/>
      <c r="AMP201" s="2071"/>
      <c r="AMQ201" s="2071"/>
      <c r="AMR201" s="2071"/>
      <c r="AMS201" s="2071"/>
      <c r="AMT201" s="2071"/>
      <c r="AMU201" s="2071"/>
      <c r="AMV201" s="2071"/>
      <c r="AMW201" s="2071"/>
      <c r="AMX201" s="2071"/>
      <c r="AMY201" s="2071"/>
      <c r="AMZ201" s="2071"/>
      <c r="ANA201" s="2071"/>
      <c r="ANB201" s="2071"/>
      <c r="ANC201" s="2071"/>
      <c r="AND201" s="2071"/>
      <c r="ANE201" s="2071"/>
      <c r="ANF201" s="2071"/>
      <c r="ANG201" s="2071"/>
      <c r="ANH201" s="2071"/>
      <c r="ANI201" s="2071"/>
      <c r="ANJ201" s="2071"/>
      <c r="ANK201" s="2071"/>
      <c r="ANL201" s="2071"/>
      <c r="ANM201" s="2071"/>
      <c r="ANN201" s="2071"/>
      <c r="ANO201" s="2071"/>
      <c r="ANP201" s="2071"/>
      <c r="ANQ201" s="2071"/>
      <c r="ANR201" s="2071"/>
      <c r="ANS201" s="2071"/>
      <c r="ANT201" s="2071"/>
      <c r="ANU201" s="2071"/>
      <c r="ANV201" s="2071"/>
      <c r="ANW201" s="2071"/>
      <c r="ANX201" s="2071"/>
      <c r="ANY201" s="2071"/>
      <c r="ANZ201" s="2071"/>
      <c r="AOA201" s="2071"/>
      <c r="AOB201" s="2071"/>
      <c r="AOC201" s="2071"/>
      <c r="AOD201" s="2071"/>
      <c r="AOE201" s="2071"/>
      <c r="AOF201" s="2071"/>
      <c r="AOG201" s="2071"/>
      <c r="AOH201" s="2071"/>
      <c r="AOI201" s="2071"/>
      <c r="AOJ201" s="2071"/>
      <c r="AOK201" s="2071"/>
      <c r="AOL201" s="2071"/>
      <c r="AOM201" s="2071"/>
      <c r="AON201" s="2071"/>
      <c r="AOO201" s="2071"/>
      <c r="AOP201" s="2071"/>
      <c r="AOQ201" s="2071"/>
      <c r="AOR201" s="2071"/>
      <c r="AOS201" s="2071"/>
      <c r="AOT201" s="2071"/>
      <c r="AOU201" s="2071"/>
      <c r="AOV201" s="2071"/>
      <c r="AOW201" s="2071"/>
      <c r="AOX201" s="2071"/>
      <c r="AOY201" s="2071"/>
      <c r="AOZ201" s="2071"/>
      <c r="APA201" s="2071"/>
      <c r="APB201" s="2071"/>
      <c r="APC201" s="2071"/>
      <c r="APD201" s="2071"/>
      <c r="APE201" s="2071"/>
      <c r="APF201" s="2071"/>
      <c r="APG201" s="2071"/>
      <c r="APH201" s="2071"/>
      <c r="API201" s="2071"/>
      <c r="APJ201" s="2071"/>
      <c r="APK201" s="2071"/>
      <c r="APL201" s="2071"/>
      <c r="APM201" s="2071"/>
      <c r="APN201" s="2071"/>
      <c r="APO201" s="2071"/>
      <c r="APP201" s="2071"/>
      <c r="APQ201" s="2071"/>
      <c r="APR201" s="2071"/>
      <c r="APS201" s="2071"/>
      <c r="APT201" s="2071"/>
      <c r="APU201" s="2071"/>
      <c r="APV201" s="2071"/>
      <c r="APW201" s="2071"/>
      <c r="APX201" s="2071"/>
      <c r="APY201" s="2071"/>
      <c r="APZ201" s="2071"/>
      <c r="AQA201" s="2071"/>
      <c r="AQB201" s="2071"/>
      <c r="AQC201" s="2071"/>
      <c r="AQD201" s="2071"/>
      <c r="AQE201" s="2071"/>
      <c r="AQF201" s="2071"/>
      <c r="AQG201" s="2071"/>
      <c r="AQH201" s="2071"/>
      <c r="AQI201" s="2071"/>
      <c r="AQJ201" s="2071"/>
      <c r="AQK201" s="2071"/>
      <c r="AQL201" s="2071"/>
      <c r="AQM201" s="2071"/>
      <c r="AQN201" s="2071"/>
      <c r="AQO201" s="2071"/>
      <c r="AQP201" s="2071"/>
      <c r="AQQ201" s="2071"/>
      <c r="AQR201" s="2071"/>
      <c r="AQS201" s="2071"/>
      <c r="AQT201" s="2071"/>
      <c r="AQU201" s="2071"/>
      <c r="AQV201" s="2071"/>
      <c r="AQW201" s="2071"/>
      <c r="AQX201" s="2071"/>
      <c r="AQY201" s="2071"/>
      <c r="AQZ201" s="2071"/>
      <c r="ARA201" s="2071"/>
      <c r="ARB201" s="2071"/>
      <c r="ARC201" s="2071"/>
      <c r="ARD201" s="2071"/>
      <c r="ARE201" s="2071"/>
      <c r="ARF201" s="2071"/>
      <c r="ARG201" s="2071"/>
      <c r="ARH201" s="2071"/>
      <c r="ARI201" s="2071"/>
      <c r="ARJ201" s="2071"/>
      <c r="ARK201" s="2071"/>
      <c r="ARL201" s="2071"/>
      <c r="ARM201" s="2071"/>
      <c r="ARN201" s="2071"/>
      <c r="ARO201" s="2071"/>
      <c r="ARP201" s="2071"/>
      <c r="ARQ201" s="2071"/>
      <c r="ARR201" s="2071"/>
      <c r="ARS201" s="2071"/>
      <c r="ART201" s="2071"/>
      <c r="ARU201" s="2071"/>
      <c r="ARV201" s="2071"/>
      <c r="ARW201" s="2071"/>
      <c r="ARX201" s="2071"/>
      <c r="ARY201" s="2071"/>
      <c r="ARZ201" s="2071"/>
      <c r="ASA201" s="2071"/>
      <c r="ASB201" s="2071"/>
      <c r="ASC201" s="2071"/>
      <c r="ASD201" s="2071"/>
      <c r="ASE201" s="2071"/>
      <c r="ASF201" s="2071"/>
      <c r="ASG201" s="2071"/>
      <c r="ASH201" s="2071"/>
      <c r="ASI201" s="2071"/>
      <c r="ASJ201" s="2071"/>
      <c r="ASK201" s="2071"/>
      <c r="ASL201" s="2071"/>
      <c r="ASM201" s="2071"/>
      <c r="ASN201" s="2071"/>
      <c r="ASO201" s="2071"/>
      <c r="ASP201" s="2071"/>
      <c r="ASQ201" s="2071"/>
      <c r="ASR201" s="2071"/>
      <c r="ASS201" s="2071"/>
      <c r="AST201" s="2071"/>
      <c r="ASU201" s="2071"/>
      <c r="ASV201" s="2071"/>
      <c r="ASW201" s="2071"/>
      <c r="ASX201" s="2071"/>
      <c r="ASY201" s="2071"/>
      <c r="ASZ201" s="2071"/>
      <c r="ATA201" s="2071"/>
      <c r="ATB201" s="2071"/>
      <c r="ATC201" s="2071"/>
      <c r="ATD201" s="2071"/>
      <c r="ATE201" s="2071"/>
      <c r="ATF201" s="2071"/>
      <c r="ATG201" s="2071"/>
      <c r="ATH201" s="2071"/>
      <c r="ATI201" s="2071"/>
      <c r="ATJ201" s="2071"/>
      <c r="ATK201" s="2071"/>
      <c r="ATL201" s="2071"/>
      <c r="ATM201" s="2071"/>
      <c r="ATN201" s="2071"/>
      <c r="ATO201" s="2071"/>
      <c r="ATP201" s="2071"/>
      <c r="ATQ201" s="2071"/>
      <c r="ATR201" s="2071"/>
      <c r="ATS201" s="2071"/>
      <c r="ATT201" s="2071"/>
      <c r="ATU201" s="2071"/>
      <c r="ATV201" s="2071"/>
      <c r="ATW201" s="2071"/>
      <c r="ATX201" s="2071"/>
      <c r="ATY201" s="2071"/>
      <c r="ATZ201" s="2071"/>
      <c r="AUA201" s="2071"/>
      <c r="AUB201" s="2071"/>
      <c r="AUC201" s="2071"/>
      <c r="AUD201" s="2071"/>
      <c r="AUE201" s="2071"/>
      <c r="AUF201" s="2071"/>
      <c r="AUG201" s="2071"/>
      <c r="AUH201" s="2071"/>
      <c r="AUI201" s="2071"/>
      <c r="AUJ201" s="2071"/>
      <c r="AUK201" s="2071"/>
      <c r="AUL201" s="2071"/>
      <c r="AUM201" s="2071"/>
      <c r="AUN201" s="2071"/>
      <c r="AUO201" s="2071"/>
      <c r="AUP201" s="2071"/>
      <c r="AUQ201" s="2071"/>
      <c r="AUR201" s="2071"/>
      <c r="AUS201" s="2071"/>
      <c r="AUT201" s="2071"/>
      <c r="AUU201" s="2071"/>
      <c r="AUV201" s="2071"/>
      <c r="AUW201" s="2071"/>
      <c r="AUX201" s="2071"/>
      <c r="AUY201" s="2071"/>
      <c r="AUZ201" s="2071"/>
      <c r="AVA201" s="2071"/>
      <c r="AVB201" s="2071"/>
      <c r="AVC201" s="2071"/>
      <c r="AVD201" s="2071"/>
      <c r="AVE201" s="2071"/>
      <c r="AVF201" s="2071"/>
      <c r="AVG201" s="2071"/>
      <c r="AVH201" s="2071"/>
      <c r="AVI201" s="2071"/>
      <c r="AVJ201" s="2071"/>
      <c r="AVK201" s="2071"/>
      <c r="AVL201" s="2071"/>
      <c r="AVM201" s="2071"/>
      <c r="AVN201" s="2071"/>
      <c r="AVO201" s="2071"/>
      <c r="AVP201" s="2071"/>
      <c r="AVQ201" s="2071"/>
      <c r="AVR201" s="2071"/>
      <c r="AVS201" s="2071"/>
      <c r="AVT201" s="2071"/>
      <c r="AVU201" s="2071"/>
      <c r="AVV201" s="2071"/>
      <c r="AVW201" s="2071"/>
      <c r="AVX201" s="2071"/>
      <c r="AVY201" s="2071"/>
      <c r="AVZ201" s="2071"/>
      <c r="AWA201" s="2071"/>
      <c r="AWB201" s="2071"/>
      <c r="AWC201" s="2071"/>
      <c r="AWD201" s="2071"/>
      <c r="AWE201" s="2071"/>
      <c r="AWF201" s="2071"/>
      <c r="AWG201" s="2071"/>
      <c r="AWH201" s="2071"/>
      <c r="AWI201" s="2071"/>
      <c r="AWJ201" s="2071"/>
      <c r="AWK201" s="2071"/>
      <c r="AWL201" s="2071"/>
      <c r="AWM201" s="2071"/>
      <c r="AWN201" s="2071"/>
      <c r="AWO201" s="2071"/>
      <c r="AWP201" s="2071"/>
      <c r="AWQ201" s="2071"/>
      <c r="AWR201" s="2071"/>
      <c r="AWS201" s="2071"/>
      <c r="AWT201" s="2071"/>
      <c r="AWU201" s="2071"/>
      <c r="AWV201" s="2071"/>
      <c r="AWW201" s="2071"/>
      <c r="AWX201" s="2071"/>
      <c r="AWY201" s="2071"/>
      <c r="AWZ201" s="2071"/>
      <c r="AXA201" s="2071"/>
      <c r="AXB201" s="2071"/>
      <c r="AXC201" s="2071"/>
      <c r="AXD201" s="2071"/>
      <c r="AXE201" s="2071"/>
      <c r="AXF201" s="2071"/>
      <c r="AXG201" s="2071"/>
      <c r="AXH201" s="2071"/>
      <c r="AXI201" s="2071"/>
      <c r="AXJ201" s="2071"/>
    </row>
    <row r="202" spans="1:1310" s="2072" customFormat="1" ht="23.25" customHeight="1">
      <c r="A202" s="2073"/>
      <c r="B202" s="4484" t="s">
        <v>866</v>
      </c>
      <c r="C202" s="4484"/>
      <c r="D202" s="4484"/>
      <c r="E202" s="4484"/>
      <c r="F202" s="2075"/>
      <c r="G202" s="4484" t="s">
        <v>867</v>
      </c>
      <c r="H202" s="4484"/>
      <c r="I202" s="4484"/>
      <c r="J202" s="2075"/>
      <c r="K202" s="4484" t="s">
        <v>868</v>
      </c>
      <c r="L202" s="4484"/>
      <c r="M202" s="4484"/>
      <c r="N202" s="2075"/>
      <c r="O202" s="4484" t="s">
        <v>869</v>
      </c>
      <c r="P202" s="4484"/>
      <c r="Q202" s="2075"/>
      <c r="R202" s="1838"/>
      <c r="S202" s="1838"/>
      <c r="T202" s="1838"/>
      <c r="U202" s="1838"/>
      <c r="V202" s="1838"/>
      <c r="W202" s="1838"/>
      <c r="X202" s="1838"/>
      <c r="Y202" s="1838"/>
      <c r="Z202" s="1838"/>
      <c r="AA202" s="1838"/>
      <c r="AB202" s="1838"/>
      <c r="AC202" s="1838"/>
      <c r="AD202" s="2070"/>
      <c r="AE202" s="2070"/>
      <c r="AF202" s="2070"/>
      <c r="AG202" s="2070"/>
      <c r="AH202" s="2070"/>
      <c r="AI202" s="2070"/>
      <c r="AJ202" s="2070"/>
      <c r="AK202" s="2070"/>
      <c r="AL202" s="2070"/>
      <c r="AM202" s="2070"/>
      <c r="AN202" s="2070"/>
      <c r="AO202" s="2070"/>
      <c r="AP202" s="2070"/>
      <c r="AQ202" s="2070"/>
      <c r="AR202" s="2070"/>
      <c r="AS202" s="2070"/>
      <c r="AT202" s="2070"/>
      <c r="AU202" s="2070"/>
      <c r="AV202" s="2071"/>
      <c r="AW202" s="2071"/>
      <c r="AX202" s="2071"/>
      <c r="AY202" s="2071"/>
      <c r="AZ202" s="2071"/>
      <c r="BA202" s="2071"/>
      <c r="BB202" s="2071"/>
      <c r="BC202" s="2071"/>
      <c r="BD202" s="2071"/>
      <c r="BE202" s="2071"/>
      <c r="BF202" s="2071"/>
      <c r="BG202" s="2071"/>
      <c r="BH202" s="2071"/>
      <c r="BI202" s="2071"/>
      <c r="BJ202" s="2071"/>
      <c r="BK202" s="2071"/>
      <c r="BL202" s="2071"/>
      <c r="BM202" s="2071"/>
      <c r="BN202" s="2071"/>
      <c r="BO202" s="2071"/>
      <c r="BP202" s="2071"/>
      <c r="BQ202" s="2071"/>
      <c r="BR202" s="2071"/>
      <c r="BS202" s="2071"/>
      <c r="BT202" s="2071"/>
      <c r="BU202" s="2071"/>
      <c r="BV202" s="2071"/>
      <c r="BW202" s="2071"/>
      <c r="BX202" s="2071"/>
      <c r="BY202" s="2071"/>
      <c r="BZ202" s="2071"/>
      <c r="CA202" s="2071"/>
      <c r="CB202" s="2071"/>
      <c r="CC202" s="2071"/>
      <c r="CD202" s="2071"/>
      <c r="CE202" s="2071"/>
      <c r="CF202" s="2071"/>
      <c r="CG202" s="2071"/>
      <c r="CH202" s="2071"/>
      <c r="CI202" s="2071"/>
      <c r="CJ202" s="2071"/>
      <c r="CK202" s="2071"/>
      <c r="CL202" s="2071"/>
      <c r="CM202" s="2071"/>
      <c r="CN202" s="2071"/>
      <c r="CO202" s="2071"/>
      <c r="CP202" s="2071"/>
      <c r="CQ202" s="2071"/>
      <c r="CR202" s="2071"/>
      <c r="CS202" s="2071"/>
      <c r="CT202" s="2071"/>
      <c r="CU202" s="2071"/>
      <c r="CV202" s="2071"/>
      <c r="CW202" s="2071"/>
      <c r="CX202" s="2071"/>
      <c r="CY202" s="2071"/>
      <c r="CZ202" s="2071"/>
      <c r="DA202" s="2071"/>
      <c r="DB202" s="2071"/>
      <c r="DC202" s="2071"/>
      <c r="DD202" s="2071"/>
      <c r="DE202" s="2071"/>
      <c r="DF202" s="2071"/>
      <c r="DG202" s="2071"/>
      <c r="DH202" s="2071"/>
      <c r="DI202" s="2071"/>
      <c r="DJ202" s="2071"/>
      <c r="DK202" s="2071"/>
      <c r="DL202" s="2071"/>
      <c r="DM202" s="2071"/>
      <c r="DN202" s="2071"/>
      <c r="DO202" s="2071"/>
      <c r="DP202" s="2071"/>
      <c r="DQ202" s="2071"/>
      <c r="DR202" s="2071"/>
      <c r="DS202" s="2071"/>
      <c r="DT202" s="2071"/>
      <c r="DU202" s="2071"/>
      <c r="DV202" s="2071"/>
      <c r="DW202" s="2071"/>
      <c r="DX202" s="2071"/>
      <c r="DY202" s="2071"/>
      <c r="DZ202" s="2071"/>
      <c r="EA202" s="2071"/>
      <c r="EB202" s="2071"/>
      <c r="EC202" s="2071"/>
      <c r="ED202" s="2071"/>
      <c r="EE202" s="2071"/>
      <c r="EF202" s="2071"/>
      <c r="EG202" s="2071"/>
      <c r="EH202" s="2071"/>
      <c r="EI202" s="2071"/>
      <c r="EJ202" s="2071"/>
      <c r="EK202" s="2071"/>
      <c r="EL202" s="2071"/>
      <c r="EM202" s="2071"/>
      <c r="EN202" s="2071"/>
      <c r="EO202" s="2071"/>
      <c r="EP202" s="2071"/>
      <c r="EQ202" s="2071"/>
      <c r="ER202" s="2071"/>
      <c r="ES202" s="2071"/>
      <c r="ET202" s="2071"/>
      <c r="EU202" s="2071"/>
      <c r="EV202" s="2071"/>
      <c r="EW202" s="2071"/>
      <c r="EX202" s="2071"/>
      <c r="EY202" s="2071"/>
      <c r="EZ202" s="2071"/>
      <c r="FA202" s="2071"/>
      <c r="FB202" s="2071"/>
      <c r="FC202" s="2071"/>
      <c r="FD202" s="2071"/>
      <c r="FE202" s="2071"/>
      <c r="FF202" s="2071"/>
      <c r="FG202" s="2071"/>
      <c r="FH202" s="2071"/>
      <c r="FI202" s="2071"/>
      <c r="FJ202" s="2071"/>
      <c r="FK202" s="2071"/>
      <c r="FL202" s="2071"/>
      <c r="FM202" s="2071"/>
      <c r="FN202" s="2071"/>
      <c r="FO202" s="2071"/>
      <c r="FP202" s="2071"/>
      <c r="FQ202" s="2071"/>
      <c r="FR202" s="2071"/>
      <c r="FS202" s="2071"/>
      <c r="FT202" s="2071"/>
      <c r="FU202" s="2071"/>
      <c r="FV202" s="2071"/>
      <c r="FW202" s="2071"/>
      <c r="FX202" s="2071"/>
      <c r="FY202" s="2071"/>
      <c r="FZ202" s="2071"/>
      <c r="GA202" s="2071"/>
      <c r="GB202" s="2071"/>
      <c r="GC202" s="2071"/>
      <c r="GD202" s="2071"/>
      <c r="GE202" s="2071"/>
      <c r="GF202" s="2071"/>
      <c r="GG202" s="2071"/>
      <c r="GH202" s="2071"/>
      <c r="GI202" s="2071"/>
      <c r="GJ202" s="2071"/>
      <c r="GK202" s="2071"/>
      <c r="GL202" s="2071"/>
      <c r="GM202" s="2071"/>
      <c r="GN202" s="2071"/>
      <c r="GO202" s="2071"/>
      <c r="GP202" s="2071"/>
      <c r="GQ202" s="2071"/>
      <c r="GR202" s="2071"/>
      <c r="GS202" s="2071"/>
      <c r="GT202" s="2071"/>
      <c r="GU202" s="2071"/>
      <c r="GV202" s="2071"/>
      <c r="GW202" s="2071"/>
      <c r="GX202" s="2071"/>
      <c r="GY202" s="2071"/>
      <c r="GZ202" s="2071"/>
      <c r="HA202" s="2071"/>
      <c r="HB202" s="2071"/>
      <c r="HC202" s="2071"/>
      <c r="HD202" s="2071"/>
      <c r="HE202" s="2071"/>
      <c r="HF202" s="2071"/>
      <c r="HG202" s="2071"/>
      <c r="HH202" s="2071"/>
      <c r="HI202" s="2071"/>
      <c r="HJ202" s="2071"/>
      <c r="HK202" s="2071"/>
      <c r="HL202" s="2071"/>
      <c r="HM202" s="2071"/>
      <c r="HN202" s="2071"/>
      <c r="HO202" s="2071"/>
      <c r="HP202" s="2071"/>
      <c r="HQ202" s="2071"/>
      <c r="HR202" s="2071"/>
      <c r="HS202" s="2071"/>
      <c r="HT202" s="2071"/>
      <c r="HU202" s="2071"/>
      <c r="HV202" s="2071"/>
      <c r="HW202" s="2071"/>
      <c r="HX202" s="2071"/>
      <c r="HY202" s="2071"/>
      <c r="HZ202" s="2071"/>
      <c r="IA202" s="2071"/>
      <c r="IB202" s="2071"/>
      <c r="IC202" s="2071"/>
      <c r="ID202" s="2071"/>
      <c r="IE202" s="2071"/>
      <c r="IF202" s="2071"/>
      <c r="IG202" s="2071"/>
      <c r="IH202" s="2071"/>
      <c r="II202" s="2071"/>
      <c r="IJ202" s="2071"/>
      <c r="IK202" s="2071"/>
      <c r="IL202" s="2071"/>
      <c r="IM202" s="2071"/>
      <c r="IN202" s="2071"/>
      <c r="IO202" s="2071"/>
      <c r="IP202" s="2071"/>
      <c r="IQ202" s="2071"/>
      <c r="IR202" s="2071"/>
      <c r="IS202" s="2071"/>
      <c r="IT202" s="2071"/>
      <c r="IU202" s="2071"/>
      <c r="IV202" s="2071"/>
      <c r="IW202" s="2071"/>
      <c r="IX202" s="2071"/>
      <c r="IY202" s="2071"/>
      <c r="IZ202" s="2071"/>
      <c r="JA202" s="2071"/>
      <c r="JB202" s="2071"/>
      <c r="JC202" s="2071"/>
      <c r="JD202" s="2071"/>
      <c r="JE202" s="2071"/>
      <c r="JF202" s="2071"/>
      <c r="JG202" s="2071"/>
      <c r="JH202" s="2071"/>
      <c r="JI202" s="2071"/>
      <c r="JJ202" s="2071"/>
      <c r="JK202" s="2071"/>
      <c r="JL202" s="2071"/>
      <c r="JM202" s="2071"/>
      <c r="JN202" s="2071"/>
      <c r="JO202" s="2071"/>
      <c r="JP202" s="2071"/>
      <c r="JQ202" s="2071"/>
      <c r="JR202" s="2071"/>
      <c r="JS202" s="2071"/>
      <c r="JT202" s="2071"/>
      <c r="JU202" s="2071"/>
      <c r="JV202" s="2071"/>
      <c r="JW202" s="2071"/>
      <c r="JX202" s="2071"/>
      <c r="JY202" s="2071"/>
      <c r="JZ202" s="2071"/>
      <c r="KA202" s="2071"/>
      <c r="KB202" s="2071"/>
      <c r="KC202" s="2071"/>
      <c r="KD202" s="2071"/>
      <c r="KE202" s="2071"/>
      <c r="KF202" s="2071"/>
      <c r="KG202" s="2071"/>
      <c r="KH202" s="2071"/>
      <c r="KI202" s="2071"/>
      <c r="KJ202" s="2071"/>
      <c r="KK202" s="2071"/>
      <c r="KL202" s="2071"/>
      <c r="KM202" s="2071"/>
      <c r="KN202" s="2071"/>
      <c r="KO202" s="2071"/>
      <c r="KP202" s="2071"/>
      <c r="KQ202" s="2071"/>
      <c r="KR202" s="2071"/>
      <c r="KS202" s="2071"/>
      <c r="KT202" s="2071"/>
      <c r="KU202" s="2071"/>
      <c r="KV202" s="2071"/>
      <c r="KW202" s="2071"/>
      <c r="KX202" s="2071"/>
      <c r="KY202" s="2071"/>
      <c r="KZ202" s="2071"/>
      <c r="LA202" s="2071"/>
      <c r="LB202" s="2071"/>
      <c r="LC202" s="2071"/>
      <c r="LD202" s="2071"/>
      <c r="LE202" s="2071"/>
      <c r="LF202" s="2071"/>
      <c r="LG202" s="2071"/>
      <c r="LH202" s="2071"/>
      <c r="LI202" s="2071"/>
      <c r="LJ202" s="2071"/>
      <c r="LK202" s="2071"/>
      <c r="LL202" s="2071"/>
      <c r="LM202" s="2071"/>
      <c r="LN202" s="2071"/>
      <c r="LO202" s="2071"/>
      <c r="LP202" s="2071"/>
      <c r="LQ202" s="2071"/>
      <c r="LR202" s="2071"/>
      <c r="LS202" s="2071"/>
      <c r="LT202" s="2071"/>
      <c r="LU202" s="2071"/>
      <c r="LV202" s="2071"/>
      <c r="LW202" s="2071"/>
      <c r="LX202" s="2071"/>
      <c r="LY202" s="2071"/>
      <c r="LZ202" s="2071"/>
      <c r="MA202" s="2071"/>
      <c r="MB202" s="2071"/>
      <c r="MC202" s="2071"/>
      <c r="MD202" s="2071"/>
      <c r="ME202" s="2071"/>
      <c r="MF202" s="2071"/>
      <c r="MG202" s="2071"/>
      <c r="MH202" s="2071"/>
      <c r="MI202" s="2071"/>
      <c r="MJ202" s="2071"/>
      <c r="MK202" s="2071"/>
      <c r="ML202" s="2071"/>
      <c r="MM202" s="2071"/>
      <c r="MN202" s="2071"/>
      <c r="MO202" s="2071"/>
      <c r="MP202" s="2071"/>
      <c r="MQ202" s="2071"/>
      <c r="MR202" s="2071"/>
      <c r="MS202" s="2071"/>
      <c r="MT202" s="2071"/>
      <c r="MU202" s="2071"/>
      <c r="MV202" s="2071"/>
      <c r="MW202" s="2071"/>
      <c r="MX202" s="2071"/>
      <c r="MY202" s="2071"/>
      <c r="MZ202" s="2071"/>
      <c r="NA202" s="2071"/>
      <c r="NB202" s="2071"/>
      <c r="NC202" s="2071"/>
      <c r="ND202" s="2071"/>
      <c r="NE202" s="2071"/>
      <c r="NF202" s="2071"/>
      <c r="NG202" s="2071"/>
      <c r="NH202" s="2071"/>
      <c r="NI202" s="2071"/>
      <c r="NJ202" s="2071"/>
      <c r="NK202" s="2071"/>
      <c r="NL202" s="2071"/>
      <c r="NM202" s="2071"/>
      <c r="NN202" s="2071"/>
      <c r="NO202" s="2071"/>
      <c r="NP202" s="2071"/>
      <c r="NQ202" s="2071"/>
      <c r="NR202" s="2071"/>
      <c r="NS202" s="2071"/>
      <c r="NT202" s="2071"/>
      <c r="NU202" s="2071"/>
      <c r="NV202" s="2071"/>
      <c r="NW202" s="2071"/>
      <c r="NX202" s="2071"/>
      <c r="NY202" s="2071"/>
      <c r="NZ202" s="2071"/>
      <c r="OA202" s="2071"/>
      <c r="OB202" s="2071"/>
      <c r="OC202" s="2071"/>
      <c r="OD202" s="2071"/>
      <c r="OE202" s="2071"/>
      <c r="OF202" s="2071"/>
      <c r="OG202" s="2071"/>
      <c r="OH202" s="2071"/>
      <c r="OI202" s="2071"/>
      <c r="OJ202" s="2071"/>
      <c r="OK202" s="2071"/>
      <c r="OL202" s="2071"/>
      <c r="OM202" s="2071"/>
      <c r="ON202" s="2071"/>
      <c r="OO202" s="2071"/>
      <c r="OP202" s="2071"/>
      <c r="OQ202" s="2071"/>
      <c r="OR202" s="2071"/>
      <c r="OS202" s="2071"/>
      <c r="OT202" s="2071"/>
      <c r="OU202" s="2071"/>
      <c r="OV202" s="2071"/>
      <c r="OW202" s="2071"/>
      <c r="OX202" s="2071"/>
      <c r="OY202" s="2071"/>
      <c r="OZ202" s="2071"/>
      <c r="PA202" s="2071"/>
      <c r="PB202" s="2071"/>
      <c r="PC202" s="2071"/>
      <c r="PD202" s="2071"/>
      <c r="PE202" s="2071"/>
      <c r="PF202" s="2071"/>
      <c r="PG202" s="2071"/>
      <c r="PH202" s="2071"/>
      <c r="PI202" s="2071"/>
      <c r="PJ202" s="2071"/>
      <c r="PK202" s="2071"/>
      <c r="PL202" s="2071"/>
      <c r="PM202" s="2071"/>
      <c r="PN202" s="2071"/>
      <c r="PO202" s="2071"/>
      <c r="PP202" s="2071"/>
      <c r="PQ202" s="2071"/>
      <c r="PR202" s="2071"/>
      <c r="PS202" s="2071"/>
      <c r="PT202" s="2071"/>
      <c r="PU202" s="2071"/>
      <c r="PV202" s="2071"/>
      <c r="PW202" s="2071"/>
      <c r="PX202" s="2071"/>
      <c r="PY202" s="2071"/>
      <c r="PZ202" s="2071"/>
      <c r="QA202" s="2071"/>
      <c r="QB202" s="2071"/>
      <c r="QC202" s="2071"/>
      <c r="QD202" s="2071"/>
      <c r="QE202" s="2071"/>
      <c r="QF202" s="2071"/>
      <c r="QG202" s="2071"/>
      <c r="QH202" s="2071"/>
      <c r="QI202" s="2071"/>
      <c r="QJ202" s="2071"/>
      <c r="QK202" s="2071"/>
      <c r="QL202" s="2071"/>
      <c r="QM202" s="2071"/>
      <c r="QN202" s="2071"/>
      <c r="QO202" s="2071"/>
      <c r="QP202" s="2071"/>
      <c r="QQ202" s="2071"/>
      <c r="QR202" s="2071"/>
      <c r="QS202" s="2071"/>
      <c r="QT202" s="2071"/>
      <c r="QU202" s="2071"/>
      <c r="QV202" s="2071"/>
      <c r="QW202" s="2071"/>
      <c r="QX202" s="2071"/>
      <c r="QY202" s="2071"/>
      <c r="QZ202" s="2071"/>
      <c r="RA202" s="2071"/>
      <c r="RB202" s="2071"/>
      <c r="RC202" s="2071"/>
      <c r="RD202" s="2071"/>
      <c r="RE202" s="2071"/>
      <c r="RF202" s="2071"/>
      <c r="RG202" s="2071"/>
      <c r="RH202" s="2071"/>
      <c r="RI202" s="2071"/>
      <c r="RJ202" s="2071"/>
      <c r="RK202" s="2071"/>
      <c r="RL202" s="2071"/>
      <c r="RM202" s="2071"/>
      <c r="RN202" s="2071"/>
      <c r="RO202" s="2071"/>
      <c r="RP202" s="2071"/>
      <c r="RQ202" s="2071"/>
      <c r="RR202" s="2071"/>
      <c r="RS202" s="2071"/>
      <c r="RT202" s="2071"/>
      <c r="RU202" s="2071"/>
      <c r="RV202" s="2071"/>
      <c r="RW202" s="2071"/>
      <c r="RX202" s="2071"/>
      <c r="RY202" s="2071"/>
      <c r="RZ202" s="2071"/>
      <c r="SA202" s="2071"/>
      <c r="SB202" s="2071"/>
      <c r="SC202" s="2071"/>
      <c r="SD202" s="2071"/>
      <c r="SE202" s="2071"/>
      <c r="SF202" s="2071"/>
      <c r="SG202" s="2071"/>
      <c r="SH202" s="2071"/>
      <c r="SI202" s="2071"/>
      <c r="SJ202" s="2071"/>
      <c r="SK202" s="2071"/>
      <c r="SL202" s="2071"/>
      <c r="SM202" s="2071"/>
      <c r="SN202" s="2071"/>
      <c r="SO202" s="2071"/>
      <c r="SP202" s="2071"/>
      <c r="SQ202" s="2071"/>
      <c r="SR202" s="2071"/>
      <c r="SS202" s="2071"/>
      <c r="ST202" s="2071"/>
      <c r="SU202" s="2071"/>
      <c r="SV202" s="2071"/>
      <c r="SW202" s="2071"/>
      <c r="SX202" s="2071"/>
      <c r="SY202" s="2071"/>
      <c r="SZ202" s="2071"/>
      <c r="TA202" s="2071"/>
      <c r="TB202" s="2071"/>
      <c r="TC202" s="2071"/>
      <c r="TD202" s="2071"/>
      <c r="TE202" s="2071"/>
      <c r="TF202" s="2071"/>
      <c r="TG202" s="2071"/>
      <c r="TH202" s="2071"/>
      <c r="TI202" s="2071"/>
      <c r="TJ202" s="2071"/>
      <c r="TK202" s="2071"/>
      <c r="TL202" s="2071"/>
      <c r="TM202" s="2071"/>
      <c r="TN202" s="2071"/>
      <c r="TO202" s="2071"/>
      <c r="TP202" s="2071"/>
      <c r="TQ202" s="2071"/>
      <c r="TR202" s="2071"/>
      <c r="TS202" s="2071"/>
      <c r="TT202" s="2071"/>
      <c r="TU202" s="2071"/>
      <c r="TV202" s="2071"/>
      <c r="TW202" s="2071"/>
      <c r="TX202" s="2071"/>
      <c r="TY202" s="2071"/>
      <c r="TZ202" s="2071"/>
      <c r="UA202" s="2071"/>
      <c r="UB202" s="2071"/>
      <c r="UC202" s="2071"/>
      <c r="UD202" s="2071"/>
      <c r="UE202" s="2071"/>
      <c r="UF202" s="2071"/>
      <c r="UG202" s="2071"/>
      <c r="UH202" s="2071"/>
      <c r="UI202" s="2071"/>
      <c r="UJ202" s="2071"/>
      <c r="UK202" s="2071"/>
      <c r="UL202" s="2071"/>
      <c r="UM202" s="2071"/>
      <c r="UN202" s="2071"/>
      <c r="UO202" s="2071"/>
      <c r="UP202" s="2071"/>
      <c r="UQ202" s="2071"/>
      <c r="UR202" s="2071"/>
      <c r="US202" s="2071"/>
      <c r="UT202" s="2071"/>
      <c r="UU202" s="2071"/>
      <c r="UV202" s="2071"/>
      <c r="UW202" s="2071"/>
      <c r="UX202" s="2071"/>
      <c r="UY202" s="2071"/>
      <c r="UZ202" s="2071"/>
      <c r="VA202" s="2071"/>
      <c r="VB202" s="2071"/>
      <c r="VC202" s="2071"/>
      <c r="VD202" s="2071"/>
      <c r="VE202" s="2071"/>
      <c r="VF202" s="2071"/>
      <c r="VG202" s="2071"/>
      <c r="VH202" s="2071"/>
      <c r="VI202" s="2071"/>
      <c r="VJ202" s="2071"/>
      <c r="VK202" s="2071"/>
      <c r="VL202" s="2071"/>
      <c r="VM202" s="2071"/>
      <c r="VN202" s="2071"/>
      <c r="VO202" s="2071"/>
      <c r="VP202" s="2071"/>
      <c r="VQ202" s="2071"/>
      <c r="VR202" s="2071"/>
      <c r="VS202" s="2071"/>
      <c r="VT202" s="2071"/>
      <c r="VU202" s="2071"/>
      <c r="VV202" s="2071"/>
      <c r="VW202" s="2071"/>
      <c r="VX202" s="2071"/>
      <c r="VY202" s="2071"/>
      <c r="VZ202" s="2071"/>
      <c r="WA202" s="2071"/>
      <c r="WB202" s="2071"/>
      <c r="WC202" s="2071"/>
      <c r="WD202" s="2071"/>
      <c r="WE202" s="2071"/>
      <c r="WF202" s="2071"/>
      <c r="WG202" s="2071"/>
      <c r="WH202" s="2071"/>
      <c r="WI202" s="2071"/>
      <c r="WJ202" s="2071"/>
      <c r="WK202" s="2071"/>
      <c r="WL202" s="2071"/>
      <c r="WM202" s="2071"/>
      <c r="WN202" s="2071"/>
      <c r="WO202" s="2071"/>
      <c r="WP202" s="2071"/>
      <c r="WQ202" s="2071"/>
      <c r="WR202" s="2071"/>
      <c r="WS202" s="2071"/>
      <c r="WT202" s="2071"/>
      <c r="WU202" s="2071"/>
      <c r="WV202" s="2071"/>
      <c r="WW202" s="2071"/>
      <c r="WX202" s="2071"/>
      <c r="WY202" s="2071"/>
      <c r="WZ202" s="2071"/>
      <c r="XA202" s="2071"/>
      <c r="XB202" s="2071"/>
      <c r="XC202" s="2071"/>
      <c r="XD202" s="2071"/>
      <c r="XE202" s="2071"/>
      <c r="XF202" s="2071"/>
      <c r="XG202" s="2071"/>
      <c r="XH202" s="2071"/>
      <c r="XI202" s="2071"/>
      <c r="XJ202" s="2071"/>
      <c r="XK202" s="2071"/>
      <c r="XL202" s="2071"/>
      <c r="XM202" s="2071"/>
      <c r="XN202" s="2071"/>
      <c r="XO202" s="2071"/>
      <c r="XP202" s="2071"/>
      <c r="XQ202" s="2071"/>
      <c r="XR202" s="2071"/>
      <c r="XS202" s="2071"/>
      <c r="XT202" s="2071"/>
      <c r="XU202" s="2071"/>
      <c r="XV202" s="2071"/>
      <c r="XW202" s="2071"/>
      <c r="XX202" s="2071"/>
      <c r="XY202" s="2071"/>
      <c r="XZ202" s="2071"/>
      <c r="YA202" s="2071"/>
      <c r="YB202" s="2071"/>
      <c r="YC202" s="2071"/>
      <c r="YD202" s="2071"/>
      <c r="YE202" s="2071"/>
      <c r="YF202" s="2071"/>
      <c r="YG202" s="2071"/>
      <c r="YH202" s="2071"/>
      <c r="YI202" s="2071"/>
      <c r="YJ202" s="2071"/>
      <c r="YK202" s="2071"/>
      <c r="YL202" s="2071"/>
      <c r="YM202" s="2071"/>
      <c r="YN202" s="2071"/>
      <c r="YO202" s="2071"/>
      <c r="YP202" s="2071"/>
      <c r="YQ202" s="2071"/>
      <c r="YR202" s="2071"/>
      <c r="YS202" s="2071"/>
      <c r="YT202" s="2071"/>
      <c r="YU202" s="2071"/>
      <c r="YV202" s="2071"/>
      <c r="YW202" s="2071"/>
      <c r="YX202" s="2071"/>
      <c r="YY202" s="2071"/>
      <c r="YZ202" s="2071"/>
      <c r="ZA202" s="2071"/>
      <c r="ZB202" s="2071"/>
      <c r="ZC202" s="2071"/>
      <c r="ZD202" s="2071"/>
      <c r="ZE202" s="2071"/>
      <c r="ZF202" s="2071"/>
      <c r="ZG202" s="2071"/>
      <c r="ZH202" s="2071"/>
      <c r="ZI202" s="2071"/>
      <c r="ZJ202" s="2071"/>
      <c r="ZK202" s="2071"/>
      <c r="ZL202" s="2071"/>
      <c r="ZM202" s="2071"/>
      <c r="ZN202" s="2071"/>
      <c r="ZO202" s="2071"/>
      <c r="ZP202" s="2071"/>
      <c r="ZQ202" s="2071"/>
      <c r="ZR202" s="2071"/>
      <c r="ZS202" s="2071"/>
      <c r="ZT202" s="2071"/>
      <c r="ZU202" s="2071"/>
      <c r="ZV202" s="2071"/>
      <c r="ZW202" s="2071"/>
      <c r="ZX202" s="2071"/>
      <c r="ZY202" s="2071"/>
      <c r="ZZ202" s="2071"/>
      <c r="AAA202" s="2071"/>
      <c r="AAB202" s="2071"/>
      <c r="AAC202" s="2071"/>
      <c r="AAD202" s="2071"/>
      <c r="AAE202" s="2071"/>
      <c r="AAF202" s="2071"/>
      <c r="AAG202" s="2071"/>
      <c r="AAH202" s="2071"/>
      <c r="AAI202" s="2071"/>
      <c r="AAJ202" s="2071"/>
      <c r="AAK202" s="2071"/>
      <c r="AAL202" s="2071"/>
      <c r="AAM202" s="2071"/>
      <c r="AAN202" s="2071"/>
      <c r="AAO202" s="2071"/>
      <c r="AAP202" s="2071"/>
      <c r="AAQ202" s="2071"/>
      <c r="AAR202" s="2071"/>
      <c r="AAS202" s="2071"/>
      <c r="AAT202" s="2071"/>
      <c r="AAU202" s="2071"/>
      <c r="AAV202" s="2071"/>
      <c r="AAW202" s="2071"/>
      <c r="AAX202" s="2071"/>
      <c r="AAY202" s="2071"/>
      <c r="AAZ202" s="2071"/>
      <c r="ABA202" s="2071"/>
      <c r="ABB202" s="2071"/>
      <c r="ABC202" s="2071"/>
      <c r="ABD202" s="2071"/>
      <c r="ABE202" s="2071"/>
      <c r="ABF202" s="2071"/>
      <c r="ABG202" s="2071"/>
      <c r="ABH202" s="2071"/>
      <c r="ABI202" s="2071"/>
      <c r="ABJ202" s="2071"/>
      <c r="ABK202" s="2071"/>
      <c r="ABL202" s="2071"/>
      <c r="ABM202" s="2071"/>
      <c r="ABN202" s="2071"/>
      <c r="ABO202" s="2071"/>
      <c r="ABP202" s="2071"/>
      <c r="ABQ202" s="2071"/>
      <c r="ABR202" s="2071"/>
      <c r="ABS202" s="2071"/>
      <c r="ABT202" s="2071"/>
      <c r="ABU202" s="2071"/>
      <c r="ABV202" s="2071"/>
      <c r="ABW202" s="2071"/>
      <c r="ABX202" s="2071"/>
      <c r="ABY202" s="2071"/>
      <c r="ABZ202" s="2071"/>
      <c r="ACA202" s="2071"/>
      <c r="ACB202" s="2071"/>
      <c r="ACC202" s="2071"/>
      <c r="ACD202" s="2071"/>
      <c r="ACE202" s="2071"/>
      <c r="ACF202" s="2071"/>
      <c r="ACG202" s="2071"/>
      <c r="ACH202" s="2071"/>
      <c r="ACI202" s="2071"/>
      <c r="ACJ202" s="2071"/>
      <c r="ACK202" s="2071"/>
      <c r="ACL202" s="2071"/>
      <c r="ACM202" s="2071"/>
      <c r="ACN202" s="2071"/>
      <c r="ACO202" s="2071"/>
      <c r="ACP202" s="2071"/>
      <c r="ACQ202" s="2071"/>
      <c r="ACR202" s="2071"/>
      <c r="ACS202" s="2071"/>
      <c r="ACT202" s="2071"/>
      <c r="ACU202" s="2071"/>
      <c r="ACV202" s="2071"/>
      <c r="ACW202" s="2071"/>
      <c r="ACX202" s="2071"/>
      <c r="ACY202" s="2071"/>
      <c r="ACZ202" s="2071"/>
      <c r="ADA202" s="2071"/>
      <c r="ADB202" s="2071"/>
      <c r="ADC202" s="2071"/>
      <c r="ADD202" s="2071"/>
      <c r="ADE202" s="2071"/>
      <c r="ADF202" s="2071"/>
      <c r="ADG202" s="2071"/>
      <c r="ADH202" s="2071"/>
      <c r="ADI202" s="2071"/>
      <c r="ADJ202" s="2071"/>
      <c r="ADK202" s="2071"/>
      <c r="ADL202" s="2071"/>
      <c r="ADM202" s="2071"/>
      <c r="ADN202" s="2071"/>
      <c r="ADO202" s="2071"/>
      <c r="ADP202" s="2071"/>
      <c r="ADQ202" s="2071"/>
      <c r="ADR202" s="2071"/>
      <c r="ADS202" s="2071"/>
      <c r="ADT202" s="2071"/>
      <c r="ADU202" s="2071"/>
      <c r="ADV202" s="2071"/>
      <c r="ADW202" s="2071"/>
      <c r="ADX202" s="2071"/>
      <c r="ADY202" s="2071"/>
      <c r="ADZ202" s="2071"/>
      <c r="AEA202" s="2071"/>
      <c r="AEB202" s="2071"/>
      <c r="AEC202" s="2071"/>
      <c r="AED202" s="2071"/>
      <c r="AEE202" s="2071"/>
      <c r="AEF202" s="2071"/>
      <c r="AEG202" s="2071"/>
      <c r="AEH202" s="2071"/>
      <c r="AEI202" s="2071"/>
      <c r="AEJ202" s="2071"/>
      <c r="AEK202" s="2071"/>
      <c r="AEL202" s="2071"/>
      <c r="AEM202" s="2071"/>
      <c r="AEN202" s="2071"/>
      <c r="AEO202" s="2071"/>
      <c r="AEP202" s="2071"/>
      <c r="AEQ202" s="2071"/>
      <c r="AER202" s="2071"/>
      <c r="AES202" s="2071"/>
      <c r="AET202" s="2071"/>
      <c r="AEU202" s="2071"/>
      <c r="AEV202" s="2071"/>
      <c r="AEW202" s="2071"/>
      <c r="AEX202" s="2071"/>
      <c r="AEY202" s="2071"/>
      <c r="AEZ202" s="2071"/>
      <c r="AFA202" s="2071"/>
      <c r="AFB202" s="2071"/>
      <c r="AFC202" s="2071"/>
      <c r="AFD202" s="2071"/>
      <c r="AFE202" s="2071"/>
      <c r="AFF202" s="2071"/>
      <c r="AFG202" s="2071"/>
      <c r="AFH202" s="2071"/>
      <c r="AFI202" s="2071"/>
      <c r="AFJ202" s="2071"/>
      <c r="AFK202" s="2071"/>
      <c r="AFL202" s="2071"/>
      <c r="AFM202" s="2071"/>
      <c r="AFN202" s="2071"/>
      <c r="AFO202" s="2071"/>
      <c r="AFP202" s="2071"/>
      <c r="AFQ202" s="2071"/>
      <c r="AFR202" s="2071"/>
      <c r="AFS202" s="2071"/>
      <c r="AFT202" s="2071"/>
      <c r="AFU202" s="2071"/>
      <c r="AFV202" s="2071"/>
      <c r="AFW202" s="2071"/>
      <c r="AFX202" s="2071"/>
      <c r="AFY202" s="2071"/>
      <c r="AFZ202" s="2071"/>
      <c r="AGA202" s="2071"/>
      <c r="AGB202" s="2071"/>
      <c r="AGC202" s="2071"/>
      <c r="AGD202" s="2071"/>
      <c r="AGE202" s="2071"/>
      <c r="AGF202" s="2071"/>
      <c r="AGG202" s="2071"/>
      <c r="AGH202" s="2071"/>
      <c r="AGI202" s="2071"/>
      <c r="AGJ202" s="2071"/>
      <c r="AGK202" s="2071"/>
      <c r="AGL202" s="2071"/>
      <c r="AGM202" s="2071"/>
      <c r="AGN202" s="2071"/>
      <c r="AGO202" s="2071"/>
      <c r="AGP202" s="2071"/>
      <c r="AGQ202" s="2071"/>
      <c r="AGR202" s="2071"/>
      <c r="AGS202" s="2071"/>
      <c r="AGT202" s="2071"/>
      <c r="AGU202" s="2071"/>
      <c r="AGV202" s="2071"/>
      <c r="AGW202" s="2071"/>
      <c r="AGX202" s="2071"/>
      <c r="AGY202" s="2071"/>
      <c r="AGZ202" s="2071"/>
      <c r="AHA202" s="2071"/>
      <c r="AHB202" s="2071"/>
      <c r="AHC202" s="2071"/>
      <c r="AHD202" s="2071"/>
      <c r="AHE202" s="2071"/>
      <c r="AHF202" s="2071"/>
      <c r="AHG202" s="2071"/>
      <c r="AHH202" s="2071"/>
      <c r="AHI202" s="2071"/>
      <c r="AHJ202" s="2071"/>
      <c r="AHK202" s="2071"/>
      <c r="AHL202" s="2071"/>
      <c r="AHM202" s="2071"/>
      <c r="AHN202" s="2071"/>
      <c r="AHO202" s="2071"/>
      <c r="AHP202" s="2071"/>
      <c r="AHQ202" s="2071"/>
      <c r="AHR202" s="2071"/>
      <c r="AHS202" s="2071"/>
      <c r="AHT202" s="2071"/>
      <c r="AHU202" s="2071"/>
      <c r="AHV202" s="2071"/>
      <c r="AHW202" s="2071"/>
      <c r="AHX202" s="2071"/>
      <c r="AHY202" s="2071"/>
      <c r="AHZ202" s="2071"/>
      <c r="AIA202" s="2071"/>
      <c r="AIB202" s="2071"/>
      <c r="AIC202" s="2071"/>
      <c r="AID202" s="2071"/>
      <c r="AIE202" s="2071"/>
      <c r="AIF202" s="2071"/>
      <c r="AIG202" s="2071"/>
      <c r="AIH202" s="2071"/>
      <c r="AII202" s="2071"/>
      <c r="AIJ202" s="2071"/>
      <c r="AIK202" s="2071"/>
      <c r="AIL202" s="2071"/>
      <c r="AIM202" s="2071"/>
      <c r="AIN202" s="2071"/>
      <c r="AIO202" s="2071"/>
      <c r="AIP202" s="2071"/>
      <c r="AIQ202" s="2071"/>
      <c r="AIR202" s="2071"/>
      <c r="AIS202" s="2071"/>
      <c r="AIT202" s="2071"/>
      <c r="AIU202" s="2071"/>
      <c r="AIV202" s="2071"/>
      <c r="AIW202" s="2071"/>
      <c r="AIX202" s="2071"/>
      <c r="AIY202" s="2071"/>
      <c r="AIZ202" s="2071"/>
      <c r="AJA202" s="2071"/>
      <c r="AJB202" s="2071"/>
      <c r="AJC202" s="2071"/>
      <c r="AJD202" s="2071"/>
      <c r="AJE202" s="2071"/>
      <c r="AJF202" s="2071"/>
      <c r="AJG202" s="2071"/>
      <c r="AJH202" s="2071"/>
      <c r="AJI202" s="2071"/>
      <c r="AJJ202" s="2071"/>
      <c r="AJK202" s="2071"/>
      <c r="AJL202" s="2071"/>
      <c r="AJM202" s="2071"/>
      <c r="AJN202" s="2071"/>
      <c r="AJO202" s="2071"/>
      <c r="AJP202" s="2071"/>
      <c r="AJQ202" s="2071"/>
      <c r="AJR202" s="2071"/>
      <c r="AJS202" s="2071"/>
      <c r="AJT202" s="2071"/>
      <c r="AJU202" s="2071"/>
      <c r="AJV202" s="2071"/>
      <c r="AJW202" s="2071"/>
      <c r="AJX202" s="2071"/>
      <c r="AJY202" s="2071"/>
      <c r="AJZ202" s="2071"/>
      <c r="AKA202" s="2071"/>
      <c r="AKB202" s="2071"/>
      <c r="AKC202" s="2071"/>
      <c r="AKD202" s="2071"/>
      <c r="AKE202" s="2071"/>
      <c r="AKF202" s="2071"/>
      <c r="AKG202" s="2071"/>
      <c r="AKH202" s="2071"/>
      <c r="AKI202" s="2071"/>
      <c r="AKJ202" s="2071"/>
      <c r="AKK202" s="2071"/>
      <c r="AKL202" s="2071"/>
      <c r="AKM202" s="2071"/>
      <c r="AKN202" s="2071"/>
      <c r="AKO202" s="2071"/>
      <c r="AKP202" s="2071"/>
      <c r="AKQ202" s="2071"/>
      <c r="AKR202" s="2071"/>
      <c r="AKS202" s="2071"/>
      <c r="AKT202" s="2071"/>
      <c r="AKU202" s="2071"/>
      <c r="AKV202" s="2071"/>
      <c r="AKW202" s="2071"/>
      <c r="AKX202" s="2071"/>
      <c r="AKY202" s="2071"/>
      <c r="AKZ202" s="2071"/>
      <c r="ALA202" s="2071"/>
      <c r="ALB202" s="2071"/>
      <c r="ALC202" s="2071"/>
      <c r="ALD202" s="2071"/>
      <c r="ALE202" s="2071"/>
      <c r="ALF202" s="2071"/>
      <c r="ALG202" s="2071"/>
      <c r="ALH202" s="2071"/>
      <c r="ALI202" s="2071"/>
      <c r="ALJ202" s="2071"/>
      <c r="ALK202" s="2071"/>
      <c r="ALL202" s="2071"/>
      <c r="ALM202" s="2071"/>
      <c r="ALN202" s="2071"/>
      <c r="ALO202" s="2071"/>
      <c r="ALP202" s="2071"/>
      <c r="ALQ202" s="2071"/>
      <c r="ALR202" s="2071"/>
      <c r="ALS202" s="2071"/>
      <c r="ALT202" s="2071"/>
      <c r="ALU202" s="2071"/>
      <c r="ALV202" s="2071"/>
      <c r="ALW202" s="2071"/>
      <c r="ALX202" s="2071"/>
      <c r="ALY202" s="2071"/>
      <c r="ALZ202" s="2071"/>
      <c r="AMA202" s="2071"/>
      <c r="AMB202" s="2071"/>
      <c r="AMC202" s="2071"/>
      <c r="AMD202" s="2071"/>
      <c r="AME202" s="2071"/>
      <c r="AMF202" s="2071"/>
      <c r="AMG202" s="2071"/>
      <c r="AMH202" s="2071"/>
      <c r="AMI202" s="2071"/>
      <c r="AMJ202" s="2071"/>
      <c r="AMK202" s="2071"/>
      <c r="AML202" s="2071"/>
      <c r="AMM202" s="2071"/>
      <c r="AMN202" s="2071"/>
      <c r="AMO202" s="2071"/>
      <c r="AMP202" s="2071"/>
      <c r="AMQ202" s="2071"/>
      <c r="AMR202" s="2071"/>
      <c r="AMS202" s="2071"/>
      <c r="AMT202" s="2071"/>
      <c r="AMU202" s="2071"/>
      <c r="AMV202" s="2071"/>
      <c r="AMW202" s="2071"/>
      <c r="AMX202" s="2071"/>
      <c r="AMY202" s="2071"/>
      <c r="AMZ202" s="2071"/>
      <c r="ANA202" s="2071"/>
      <c r="ANB202" s="2071"/>
      <c r="ANC202" s="2071"/>
      <c r="AND202" s="2071"/>
      <c r="ANE202" s="2071"/>
      <c r="ANF202" s="2071"/>
      <c r="ANG202" s="2071"/>
      <c r="ANH202" s="2071"/>
      <c r="ANI202" s="2071"/>
      <c r="ANJ202" s="2071"/>
      <c r="ANK202" s="2071"/>
      <c r="ANL202" s="2071"/>
      <c r="ANM202" s="2071"/>
      <c r="ANN202" s="2071"/>
      <c r="ANO202" s="2071"/>
      <c r="ANP202" s="2071"/>
      <c r="ANQ202" s="2071"/>
      <c r="ANR202" s="2071"/>
      <c r="ANS202" s="2071"/>
      <c r="ANT202" s="2071"/>
      <c r="ANU202" s="2071"/>
      <c r="ANV202" s="2071"/>
      <c r="ANW202" s="2071"/>
      <c r="ANX202" s="2071"/>
      <c r="ANY202" s="2071"/>
      <c r="ANZ202" s="2071"/>
      <c r="AOA202" s="2071"/>
      <c r="AOB202" s="2071"/>
      <c r="AOC202" s="2071"/>
      <c r="AOD202" s="2071"/>
      <c r="AOE202" s="2071"/>
      <c r="AOF202" s="2071"/>
      <c r="AOG202" s="2071"/>
      <c r="AOH202" s="2071"/>
      <c r="AOI202" s="2071"/>
      <c r="AOJ202" s="2071"/>
      <c r="AOK202" s="2071"/>
      <c r="AOL202" s="2071"/>
      <c r="AOM202" s="2071"/>
      <c r="AON202" s="2071"/>
      <c r="AOO202" s="2071"/>
      <c r="AOP202" s="2071"/>
      <c r="AOQ202" s="2071"/>
      <c r="AOR202" s="2071"/>
      <c r="AOS202" s="2071"/>
      <c r="AOT202" s="2071"/>
      <c r="AOU202" s="2071"/>
      <c r="AOV202" s="2071"/>
      <c r="AOW202" s="2071"/>
      <c r="AOX202" s="2071"/>
      <c r="AOY202" s="2071"/>
      <c r="AOZ202" s="2071"/>
      <c r="APA202" s="2071"/>
      <c r="APB202" s="2071"/>
      <c r="APC202" s="2071"/>
      <c r="APD202" s="2071"/>
      <c r="APE202" s="2071"/>
      <c r="APF202" s="2071"/>
      <c r="APG202" s="2071"/>
      <c r="APH202" s="2071"/>
      <c r="API202" s="2071"/>
      <c r="APJ202" s="2071"/>
      <c r="APK202" s="2071"/>
      <c r="APL202" s="2071"/>
      <c r="APM202" s="2071"/>
      <c r="APN202" s="2071"/>
      <c r="APO202" s="2071"/>
      <c r="APP202" s="2071"/>
      <c r="APQ202" s="2071"/>
      <c r="APR202" s="2071"/>
      <c r="APS202" s="2071"/>
      <c r="APT202" s="2071"/>
      <c r="APU202" s="2071"/>
      <c r="APV202" s="2071"/>
      <c r="APW202" s="2071"/>
      <c r="APX202" s="2071"/>
      <c r="APY202" s="2071"/>
      <c r="APZ202" s="2071"/>
      <c r="AQA202" s="2071"/>
      <c r="AQB202" s="2071"/>
      <c r="AQC202" s="2071"/>
      <c r="AQD202" s="2071"/>
      <c r="AQE202" s="2071"/>
      <c r="AQF202" s="2071"/>
      <c r="AQG202" s="2071"/>
      <c r="AQH202" s="2071"/>
      <c r="AQI202" s="2071"/>
      <c r="AQJ202" s="2071"/>
      <c r="AQK202" s="2071"/>
      <c r="AQL202" s="2071"/>
      <c r="AQM202" s="2071"/>
      <c r="AQN202" s="2071"/>
      <c r="AQO202" s="2071"/>
      <c r="AQP202" s="2071"/>
      <c r="AQQ202" s="2071"/>
      <c r="AQR202" s="2071"/>
      <c r="AQS202" s="2071"/>
      <c r="AQT202" s="2071"/>
      <c r="AQU202" s="2071"/>
      <c r="AQV202" s="2071"/>
      <c r="AQW202" s="2071"/>
      <c r="AQX202" s="2071"/>
      <c r="AQY202" s="2071"/>
      <c r="AQZ202" s="2071"/>
      <c r="ARA202" s="2071"/>
      <c r="ARB202" s="2071"/>
      <c r="ARC202" s="2071"/>
      <c r="ARD202" s="2071"/>
      <c r="ARE202" s="2071"/>
      <c r="ARF202" s="2071"/>
      <c r="ARG202" s="2071"/>
      <c r="ARH202" s="2071"/>
      <c r="ARI202" s="2071"/>
      <c r="ARJ202" s="2071"/>
      <c r="ARK202" s="2071"/>
      <c r="ARL202" s="2071"/>
      <c r="ARM202" s="2071"/>
      <c r="ARN202" s="2071"/>
      <c r="ARO202" s="2071"/>
      <c r="ARP202" s="2071"/>
      <c r="ARQ202" s="2071"/>
      <c r="ARR202" s="2071"/>
      <c r="ARS202" s="2071"/>
      <c r="ART202" s="2071"/>
      <c r="ARU202" s="2071"/>
      <c r="ARV202" s="2071"/>
      <c r="ARW202" s="2071"/>
      <c r="ARX202" s="2071"/>
      <c r="ARY202" s="2071"/>
      <c r="ARZ202" s="2071"/>
      <c r="ASA202" s="2071"/>
      <c r="ASB202" s="2071"/>
      <c r="ASC202" s="2071"/>
      <c r="ASD202" s="2071"/>
      <c r="ASE202" s="2071"/>
      <c r="ASF202" s="2071"/>
      <c r="ASG202" s="2071"/>
      <c r="ASH202" s="2071"/>
      <c r="ASI202" s="2071"/>
      <c r="ASJ202" s="2071"/>
      <c r="ASK202" s="2071"/>
      <c r="ASL202" s="2071"/>
      <c r="ASM202" s="2071"/>
      <c r="ASN202" s="2071"/>
      <c r="ASO202" s="2071"/>
      <c r="ASP202" s="2071"/>
      <c r="ASQ202" s="2071"/>
      <c r="ASR202" s="2071"/>
      <c r="ASS202" s="2071"/>
      <c r="AST202" s="2071"/>
      <c r="ASU202" s="2071"/>
      <c r="ASV202" s="2071"/>
      <c r="ASW202" s="2071"/>
      <c r="ASX202" s="2071"/>
      <c r="ASY202" s="2071"/>
      <c r="ASZ202" s="2071"/>
      <c r="ATA202" s="2071"/>
      <c r="ATB202" s="2071"/>
      <c r="ATC202" s="2071"/>
      <c r="ATD202" s="2071"/>
      <c r="ATE202" s="2071"/>
      <c r="ATF202" s="2071"/>
      <c r="ATG202" s="2071"/>
      <c r="ATH202" s="2071"/>
      <c r="ATI202" s="2071"/>
      <c r="ATJ202" s="2071"/>
      <c r="ATK202" s="2071"/>
      <c r="ATL202" s="2071"/>
      <c r="ATM202" s="2071"/>
      <c r="ATN202" s="2071"/>
      <c r="ATO202" s="2071"/>
      <c r="ATP202" s="2071"/>
      <c r="ATQ202" s="2071"/>
      <c r="ATR202" s="2071"/>
      <c r="ATS202" s="2071"/>
      <c r="ATT202" s="2071"/>
      <c r="ATU202" s="2071"/>
      <c r="ATV202" s="2071"/>
      <c r="ATW202" s="2071"/>
      <c r="ATX202" s="2071"/>
      <c r="ATY202" s="2071"/>
      <c r="ATZ202" s="2071"/>
      <c r="AUA202" s="2071"/>
      <c r="AUB202" s="2071"/>
      <c r="AUC202" s="2071"/>
      <c r="AUD202" s="2071"/>
      <c r="AUE202" s="2071"/>
      <c r="AUF202" s="2071"/>
      <c r="AUG202" s="2071"/>
      <c r="AUH202" s="2071"/>
      <c r="AUI202" s="2071"/>
      <c r="AUJ202" s="2071"/>
      <c r="AUK202" s="2071"/>
      <c r="AUL202" s="2071"/>
      <c r="AUM202" s="2071"/>
      <c r="AUN202" s="2071"/>
      <c r="AUO202" s="2071"/>
      <c r="AUP202" s="2071"/>
      <c r="AUQ202" s="2071"/>
      <c r="AUR202" s="2071"/>
      <c r="AUS202" s="2071"/>
      <c r="AUT202" s="2071"/>
      <c r="AUU202" s="2071"/>
      <c r="AUV202" s="2071"/>
      <c r="AUW202" s="2071"/>
      <c r="AUX202" s="2071"/>
      <c r="AUY202" s="2071"/>
      <c r="AUZ202" s="2071"/>
      <c r="AVA202" s="2071"/>
      <c r="AVB202" s="2071"/>
      <c r="AVC202" s="2071"/>
      <c r="AVD202" s="2071"/>
      <c r="AVE202" s="2071"/>
      <c r="AVF202" s="2071"/>
      <c r="AVG202" s="2071"/>
      <c r="AVH202" s="2071"/>
      <c r="AVI202" s="2071"/>
      <c r="AVJ202" s="2071"/>
      <c r="AVK202" s="2071"/>
      <c r="AVL202" s="2071"/>
      <c r="AVM202" s="2071"/>
      <c r="AVN202" s="2071"/>
      <c r="AVO202" s="2071"/>
      <c r="AVP202" s="2071"/>
      <c r="AVQ202" s="2071"/>
      <c r="AVR202" s="2071"/>
      <c r="AVS202" s="2071"/>
      <c r="AVT202" s="2071"/>
      <c r="AVU202" s="2071"/>
      <c r="AVV202" s="2071"/>
      <c r="AVW202" s="2071"/>
      <c r="AVX202" s="2071"/>
      <c r="AVY202" s="2071"/>
      <c r="AVZ202" s="2071"/>
      <c r="AWA202" s="2071"/>
      <c r="AWB202" s="2071"/>
      <c r="AWC202" s="2071"/>
      <c r="AWD202" s="2071"/>
      <c r="AWE202" s="2071"/>
      <c r="AWF202" s="2071"/>
      <c r="AWG202" s="2071"/>
      <c r="AWH202" s="2071"/>
      <c r="AWI202" s="2071"/>
      <c r="AWJ202" s="2071"/>
      <c r="AWK202" s="2071"/>
      <c r="AWL202" s="2071"/>
      <c r="AWM202" s="2071"/>
      <c r="AWN202" s="2071"/>
      <c r="AWO202" s="2071"/>
      <c r="AWP202" s="2071"/>
      <c r="AWQ202" s="2071"/>
      <c r="AWR202" s="2071"/>
      <c r="AWS202" s="2071"/>
      <c r="AWT202" s="2071"/>
      <c r="AWU202" s="2071"/>
      <c r="AWV202" s="2071"/>
      <c r="AWW202" s="2071"/>
      <c r="AWX202" s="2071"/>
      <c r="AWY202" s="2071"/>
      <c r="AWZ202" s="2071"/>
      <c r="AXA202" s="2071"/>
      <c r="AXB202" s="2071"/>
      <c r="AXC202" s="2071"/>
      <c r="AXD202" s="2071"/>
      <c r="AXE202" s="2071"/>
      <c r="AXF202" s="2071"/>
      <c r="AXG202" s="2071"/>
      <c r="AXH202" s="2071"/>
      <c r="AXI202" s="2071"/>
      <c r="AXJ202" s="2071"/>
    </row>
    <row r="203" spans="1:1310" s="2072" customFormat="1" ht="23.25" customHeight="1">
      <c r="A203" s="2073"/>
      <c r="B203" s="4484" t="s">
        <v>870</v>
      </c>
      <c r="C203" s="4484"/>
      <c r="D203" s="4484"/>
      <c r="E203" s="4484"/>
      <c r="F203" s="2075"/>
      <c r="G203" s="4484" t="s">
        <v>871</v>
      </c>
      <c r="H203" s="4484"/>
      <c r="I203" s="4484"/>
      <c r="J203" s="2075"/>
      <c r="K203" s="4484" t="s">
        <v>872</v>
      </c>
      <c r="L203" s="4484"/>
      <c r="M203" s="4484"/>
      <c r="N203" s="2075"/>
      <c r="O203" s="4484" t="s">
        <v>873</v>
      </c>
      <c r="P203" s="4484"/>
      <c r="Q203" s="2075"/>
      <c r="R203" s="1838"/>
      <c r="S203" s="1838"/>
      <c r="T203" s="1838"/>
      <c r="U203" s="1838"/>
      <c r="V203" s="1838"/>
      <c r="W203" s="1838"/>
      <c r="X203" s="1838"/>
      <c r="Y203" s="1838"/>
      <c r="Z203" s="1838"/>
      <c r="AA203" s="1838"/>
      <c r="AB203" s="1838"/>
      <c r="AC203" s="1838"/>
      <c r="AD203" s="2070"/>
      <c r="AE203" s="2070"/>
      <c r="AF203" s="2070"/>
      <c r="AG203" s="2070"/>
      <c r="AH203" s="2070"/>
      <c r="AI203" s="2070"/>
      <c r="AJ203" s="2070"/>
      <c r="AK203" s="2070"/>
      <c r="AL203" s="2070"/>
      <c r="AM203" s="2070"/>
      <c r="AN203" s="2070"/>
      <c r="AO203" s="2070"/>
      <c r="AP203" s="2070"/>
      <c r="AQ203" s="2070"/>
      <c r="AR203" s="2070"/>
      <c r="AS203" s="2070"/>
      <c r="AT203" s="2070"/>
      <c r="AU203" s="2070"/>
      <c r="AV203" s="2071"/>
      <c r="AW203" s="2071"/>
      <c r="AX203" s="2071"/>
      <c r="AY203" s="2071"/>
      <c r="AZ203" s="2071"/>
      <c r="BA203" s="2071"/>
      <c r="BB203" s="2071"/>
      <c r="BC203" s="2071"/>
      <c r="BD203" s="2071"/>
      <c r="BE203" s="2071"/>
      <c r="BF203" s="2071"/>
      <c r="BG203" s="2071"/>
      <c r="BH203" s="2071"/>
      <c r="BI203" s="2071"/>
      <c r="BJ203" s="2071"/>
      <c r="BK203" s="2071"/>
      <c r="BL203" s="2071"/>
      <c r="BM203" s="2071"/>
      <c r="BN203" s="2071"/>
      <c r="BO203" s="2071"/>
      <c r="BP203" s="2071"/>
      <c r="BQ203" s="2071"/>
      <c r="BR203" s="2071"/>
      <c r="BS203" s="2071"/>
      <c r="BT203" s="2071"/>
      <c r="BU203" s="2071"/>
      <c r="BV203" s="2071"/>
      <c r="BW203" s="2071"/>
      <c r="BX203" s="2071"/>
      <c r="BY203" s="2071"/>
      <c r="BZ203" s="2071"/>
      <c r="CA203" s="2071"/>
      <c r="CB203" s="2071"/>
      <c r="CC203" s="2071"/>
      <c r="CD203" s="2071"/>
      <c r="CE203" s="2071"/>
      <c r="CF203" s="2071"/>
      <c r="CG203" s="2071"/>
      <c r="CH203" s="2071"/>
      <c r="CI203" s="2071"/>
      <c r="CJ203" s="2071"/>
      <c r="CK203" s="2071"/>
      <c r="CL203" s="2071"/>
      <c r="CM203" s="2071"/>
      <c r="CN203" s="2071"/>
      <c r="CO203" s="2071"/>
      <c r="CP203" s="2071"/>
      <c r="CQ203" s="2071"/>
      <c r="CR203" s="2071"/>
      <c r="CS203" s="2071"/>
      <c r="CT203" s="2071"/>
      <c r="CU203" s="2071"/>
      <c r="CV203" s="2071"/>
      <c r="CW203" s="2071"/>
      <c r="CX203" s="2071"/>
      <c r="CY203" s="2071"/>
      <c r="CZ203" s="2071"/>
      <c r="DA203" s="2071"/>
      <c r="DB203" s="2071"/>
      <c r="DC203" s="2071"/>
      <c r="DD203" s="2071"/>
      <c r="DE203" s="2071"/>
      <c r="DF203" s="2071"/>
      <c r="DG203" s="2071"/>
      <c r="DH203" s="2071"/>
      <c r="DI203" s="2071"/>
      <c r="DJ203" s="2071"/>
      <c r="DK203" s="2071"/>
      <c r="DL203" s="2071"/>
      <c r="DM203" s="2071"/>
      <c r="DN203" s="2071"/>
      <c r="DO203" s="2071"/>
      <c r="DP203" s="2071"/>
      <c r="DQ203" s="2071"/>
      <c r="DR203" s="2071"/>
      <c r="DS203" s="2071"/>
      <c r="DT203" s="2071"/>
      <c r="DU203" s="2071"/>
      <c r="DV203" s="2071"/>
      <c r="DW203" s="2071"/>
      <c r="DX203" s="2071"/>
      <c r="DY203" s="2071"/>
      <c r="DZ203" s="2071"/>
      <c r="EA203" s="2071"/>
      <c r="EB203" s="2071"/>
      <c r="EC203" s="2071"/>
      <c r="ED203" s="2071"/>
      <c r="EE203" s="2071"/>
      <c r="EF203" s="2071"/>
      <c r="EG203" s="2071"/>
      <c r="EH203" s="2071"/>
      <c r="EI203" s="2071"/>
      <c r="EJ203" s="2071"/>
      <c r="EK203" s="2071"/>
      <c r="EL203" s="2071"/>
      <c r="EM203" s="2071"/>
      <c r="EN203" s="2071"/>
      <c r="EO203" s="2071"/>
      <c r="EP203" s="2071"/>
      <c r="EQ203" s="2071"/>
      <c r="ER203" s="2071"/>
      <c r="ES203" s="2071"/>
      <c r="ET203" s="2071"/>
      <c r="EU203" s="2071"/>
      <c r="EV203" s="2071"/>
      <c r="EW203" s="2071"/>
      <c r="EX203" s="2071"/>
      <c r="EY203" s="2071"/>
      <c r="EZ203" s="2071"/>
      <c r="FA203" s="2071"/>
      <c r="FB203" s="2071"/>
      <c r="FC203" s="2071"/>
      <c r="FD203" s="2071"/>
      <c r="FE203" s="2071"/>
      <c r="FF203" s="2071"/>
      <c r="FG203" s="2071"/>
      <c r="FH203" s="2071"/>
      <c r="FI203" s="2071"/>
      <c r="FJ203" s="2071"/>
      <c r="FK203" s="2071"/>
      <c r="FL203" s="2071"/>
      <c r="FM203" s="2071"/>
      <c r="FN203" s="2071"/>
      <c r="FO203" s="2071"/>
      <c r="FP203" s="2071"/>
      <c r="FQ203" s="2071"/>
      <c r="FR203" s="2071"/>
      <c r="FS203" s="2071"/>
      <c r="FT203" s="2071"/>
      <c r="FU203" s="2071"/>
      <c r="FV203" s="2071"/>
      <c r="FW203" s="2071"/>
      <c r="FX203" s="2071"/>
      <c r="FY203" s="2071"/>
      <c r="FZ203" s="2071"/>
      <c r="GA203" s="2071"/>
      <c r="GB203" s="2071"/>
      <c r="GC203" s="2071"/>
      <c r="GD203" s="2071"/>
      <c r="GE203" s="2071"/>
      <c r="GF203" s="2071"/>
      <c r="GG203" s="2071"/>
      <c r="GH203" s="2071"/>
      <c r="GI203" s="2071"/>
      <c r="GJ203" s="2071"/>
      <c r="GK203" s="2071"/>
      <c r="GL203" s="2071"/>
      <c r="GM203" s="2071"/>
      <c r="GN203" s="2071"/>
      <c r="GO203" s="2071"/>
      <c r="GP203" s="2071"/>
      <c r="GQ203" s="2071"/>
      <c r="GR203" s="2071"/>
      <c r="GS203" s="2071"/>
      <c r="GT203" s="2071"/>
      <c r="GU203" s="2071"/>
      <c r="GV203" s="2071"/>
      <c r="GW203" s="2071"/>
      <c r="GX203" s="2071"/>
      <c r="GY203" s="2071"/>
      <c r="GZ203" s="2071"/>
      <c r="HA203" s="2071"/>
      <c r="HB203" s="2071"/>
      <c r="HC203" s="2071"/>
      <c r="HD203" s="2071"/>
      <c r="HE203" s="2071"/>
      <c r="HF203" s="2071"/>
      <c r="HG203" s="2071"/>
      <c r="HH203" s="2071"/>
      <c r="HI203" s="2071"/>
      <c r="HJ203" s="2071"/>
      <c r="HK203" s="2071"/>
      <c r="HL203" s="2071"/>
      <c r="HM203" s="2071"/>
      <c r="HN203" s="2071"/>
      <c r="HO203" s="2071"/>
      <c r="HP203" s="2071"/>
      <c r="HQ203" s="2071"/>
      <c r="HR203" s="2071"/>
      <c r="HS203" s="2071"/>
      <c r="HT203" s="2071"/>
      <c r="HU203" s="2071"/>
      <c r="HV203" s="2071"/>
      <c r="HW203" s="2071"/>
      <c r="HX203" s="2071"/>
      <c r="HY203" s="2071"/>
      <c r="HZ203" s="2071"/>
      <c r="IA203" s="2071"/>
      <c r="IB203" s="2071"/>
      <c r="IC203" s="2071"/>
      <c r="ID203" s="2071"/>
      <c r="IE203" s="2071"/>
      <c r="IF203" s="2071"/>
      <c r="IG203" s="2071"/>
      <c r="IH203" s="2071"/>
      <c r="II203" s="2071"/>
      <c r="IJ203" s="2071"/>
      <c r="IK203" s="2071"/>
      <c r="IL203" s="2071"/>
      <c r="IM203" s="2071"/>
      <c r="IN203" s="2071"/>
      <c r="IO203" s="2071"/>
      <c r="IP203" s="2071"/>
      <c r="IQ203" s="2071"/>
      <c r="IR203" s="2071"/>
      <c r="IS203" s="2071"/>
      <c r="IT203" s="2071"/>
      <c r="IU203" s="2071"/>
      <c r="IV203" s="2071"/>
      <c r="IW203" s="2071"/>
      <c r="IX203" s="2071"/>
      <c r="IY203" s="2071"/>
      <c r="IZ203" s="2071"/>
      <c r="JA203" s="2071"/>
      <c r="JB203" s="2071"/>
      <c r="JC203" s="2071"/>
      <c r="JD203" s="2071"/>
      <c r="JE203" s="2071"/>
      <c r="JF203" s="2071"/>
      <c r="JG203" s="2071"/>
      <c r="JH203" s="2071"/>
      <c r="JI203" s="2071"/>
      <c r="JJ203" s="2071"/>
      <c r="JK203" s="2071"/>
      <c r="JL203" s="2071"/>
      <c r="JM203" s="2071"/>
      <c r="JN203" s="2071"/>
      <c r="JO203" s="2071"/>
      <c r="JP203" s="2071"/>
      <c r="JQ203" s="2071"/>
      <c r="JR203" s="2071"/>
      <c r="JS203" s="2071"/>
      <c r="JT203" s="2071"/>
      <c r="JU203" s="2071"/>
      <c r="JV203" s="2071"/>
      <c r="JW203" s="2071"/>
      <c r="JX203" s="2071"/>
      <c r="JY203" s="2071"/>
      <c r="JZ203" s="2071"/>
      <c r="KA203" s="2071"/>
      <c r="KB203" s="2071"/>
      <c r="KC203" s="2071"/>
      <c r="KD203" s="2071"/>
      <c r="KE203" s="2071"/>
      <c r="KF203" s="2071"/>
      <c r="KG203" s="2071"/>
      <c r="KH203" s="2071"/>
      <c r="KI203" s="2071"/>
      <c r="KJ203" s="2071"/>
      <c r="KK203" s="2071"/>
      <c r="KL203" s="2071"/>
      <c r="KM203" s="2071"/>
      <c r="KN203" s="2071"/>
      <c r="KO203" s="2071"/>
      <c r="KP203" s="2071"/>
      <c r="KQ203" s="2071"/>
      <c r="KR203" s="2071"/>
      <c r="KS203" s="2071"/>
      <c r="KT203" s="2071"/>
      <c r="KU203" s="2071"/>
      <c r="KV203" s="2071"/>
      <c r="KW203" s="2071"/>
      <c r="KX203" s="2071"/>
      <c r="KY203" s="2071"/>
      <c r="KZ203" s="2071"/>
      <c r="LA203" s="2071"/>
      <c r="LB203" s="2071"/>
      <c r="LC203" s="2071"/>
      <c r="LD203" s="2071"/>
      <c r="LE203" s="2071"/>
      <c r="LF203" s="2071"/>
      <c r="LG203" s="2071"/>
      <c r="LH203" s="2071"/>
      <c r="LI203" s="2071"/>
      <c r="LJ203" s="2071"/>
      <c r="LK203" s="2071"/>
      <c r="LL203" s="2071"/>
      <c r="LM203" s="2071"/>
      <c r="LN203" s="2071"/>
      <c r="LO203" s="2071"/>
      <c r="LP203" s="2071"/>
      <c r="LQ203" s="2071"/>
      <c r="LR203" s="2071"/>
      <c r="LS203" s="2071"/>
      <c r="LT203" s="2071"/>
      <c r="LU203" s="2071"/>
      <c r="LV203" s="2071"/>
      <c r="LW203" s="2071"/>
      <c r="LX203" s="2071"/>
      <c r="LY203" s="2071"/>
      <c r="LZ203" s="2071"/>
      <c r="MA203" s="2071"/>
      <c r="MB203" s="2071"/>
      <c r="MC203" s="2071"/>
      <c r="MD203" s="2071"/>
      <c r="ME203" s="2071"/>
      <c r="MF203" s="2071"/>
      <c r="MG203" s="2071"/>
      <c r="MH203" s="2071"/>
      <c r="MI203" s="2071"/>
      <c r="MJ203" s="2071"/>
      <c r="MK203" s="2071"/>
      <c r="ML203" s="2071"/>
      <c r="MM203" s="2071"/>
      <c r="MN203" s="2071"/>
      <c r="MO203" s="2071"/>
      <c r="MP203" s="2071"/>
      <c r="MQ203" s="2071"/>
      <c r="MR203" s="2071"/>
      <c r="MS203" s="2071"/>
      <c r="MT203" s="2071"/>
      <c r="MU203" s="2071"/>
      <c r="MV203" s="2071"/>
      <c r="MW203" s="2071"/>
      <c r="MX203" s="2071"/>
      <c r="MY203" s="2071"/>
      <c r="MZ203" s="2071"/>
      <c r="NA203" s="2071"/>
      <c r="NB203" s="2071"/>
      <c r="NC203" s="2071"/>
      <c r="ND203" s="2071"/>
      <c r="NE203" s="2071"/>
      <c r="NF203" s="2071"/>
      <c r="NG203" s="2071"/>
      <c r="NH203" s="2071"/>
      <c r="NI203" s="2071"/>
      <c r="NJ203" s="2071"/>
      <c r="NK203" s="2071"/>
      <c r="NL203" s="2071"/>
      <c r="NM203" s="2071"/>
      <c r="NN203" s="2071"/>
      <c r="NO203" s="2071"/>
      <c r="NP203" s="2071"/>
      <c r="NQ203" s="2071"/>
      <c r="NR203" s="2071"/>
      <c r="NS203" s="2071"/>
      <c r="NT203" s="2071"/>
      <c r="NU203" s="2071"/>
      <c r="NV203" s="2071"/>
      <c r="NW203" s="2071"/>
      <c r="NX203" s="2071"/>
      <c r="NY203" s="2071"/>
      <c r="NZ203" s="2071"/>
      <c r="OA203" s="2071"/>
      <c r="OB203" s="2071"/>
      <c r="OC203" s="2071"/>
      <c r="OD203" s="2071"/>
      <c r="OE203" s="2071"/>
      <c r="OF203" s="2071"/>
      <c r="OG203" s="2071"/>
      <c r="OH203" s="2071"/>
      <c r="OI203" s="2071"/>
      <c r="OJ203" s="2071"/>
      <c r="OK203" s="2071"/>
      <c r="OL203" s="2071"/>
      <c r="OM203" s="2071"/>
      <c r="ON203" s="2071"/>
      <c r="OO203" s="2071"/>
      <c r="OP203" s="2071"/>
      <c r="OQ203" s="2071"/>
      <c r="OR203" s="2071"/>
      <c r="OS203" s="2071"/>
      <c r="OT203" s="2071"/>
      <c r="OU203" s="2071"/>
      <c r="OV203" s="2071"/>
      <c r="OW203" s="2071"/>
      <c r="OX203" s="2071"/>
      <c r="OY203" s="2071"/>
      <c r="OZ203" s="2071"/>
      <c r="PA203" s="2071"/>
      <c r="PB203" s="2071"/>
      <c r="PC203" s="2071"/>
      <c r="PD203" s="2071"/>
      <c r="PE203" s="2071"/>
      <c r="PF203" s="2071"/>
      <c r="PG203" s="2071"/>
      <c r="PH203" s="2071"/>
      <c r="PI203" s="2071"/>
      <c r="PJ203" s="2071"/>
      <c r="PK203" s="2071"/>
      <c r="PL203" s="2071"/>
      <c r="PM203" s="2071"/>
      <c r="PN203" s="2071"/>
      <c r="PO203" s="2071"/>
      <c r="PP203" s="2071"/>
      <c r="PQ203" s="2071"/>
      <c r="PR203" s="2071"/>
      <c r="PS203" s="2071"/>
      <c r="PT203" s="2071"/>
      <c r="PU203" s="2071"/>
      <c r="PV203" s="2071"/>
      <c r="PW203" s="2071"/>
      <c r="PX203" s="2071"/>
      <c r="PY203" s="2071"/>
      <c r="PZ203" s="2071"/>
      <c r="QA203" s="2071"/>
      <c r="QB203" s="2071"/>
      <c r="QC203" s="2071"/>
      <c r="QD203" s="2071"/>
      <c r="QE203" s="2071"/>
      <c r="QF203" s="2071"/>
      <c r="QG203" s="2071"/>
      <c r="QH203" s="2071"/>
      <c r="QI203" s="2071"/>
      <c r="QJ203" s="2071"/>
      <c r="QK203" s="2071"/>
      <c r="QL203" s="2071"/>
      <c r="QM203" s="2071"/>
      <c r="QN203" s="2071"/>
      <c r="QO203" s="2071"/>
      <c r="QP203" s="2071"/>
      <c r="QQ203" s="2071"/>
      <c r="QR203" s="2071"/>
      <c r="QS203" s="2071"/>
      <c r="QT203" s="2071"/>
      <c r="QU203" s="2071"/>
      <c r="QV203" s="2071"/>
      <c r="QW203" s="2071"/>
      <c r="QX203" s="2071"/>
      <c r="QY203" s="2071"/>
      <c r="QZ203" s="2071"/>
      <c r="RA203" s="2071"/>
      <c r="RB203" s="2071"/>
      <c r="RC203" s="2071"/>
      <c r="RD203" s="2071"/>
      <c r="RE203" s="2071"/>
      <c r="RF203" s="2071"/>
      <c r="RG203" s="2071"/>
      <c r="RH203" s="2071"/>
      <c r="RI203" s="2071"/>
      <c r="RJ203" s="2071"/>
      <c r="RK203" s="2071"/>
      <c r="RL203" s="2071"/>
      <c r="RM203" s="2071"/>
      <c r="RN203" s="2071"/>
      <c r="RO203" s="2071"/>
      <c r="RP203" s="2071"/>
      <c r="RQ203" s="2071"/>
      <c r="RR203" s="2071"/>
      <c r="RS203" s="2071"/>
      <c r="RT203" s="2071"/>
      <c r="RU203" s="2071"/>
      <c r="RV203" s="2071"/>
      <c r="RW203" s="2071"/>
      <c r="RX203" s="2071"/>
      <c r="RY203" s="2071"/>
      <c r="RZ203" s="2071"/>
      <c r="SA203" s="2071"/>
      <c r="SB203" s="2071"/>
      <c r="SC203" s="2071"/>
      <c r="SD203" s="2071"/>
      <c r="SE203" s="2071"/>
      <c r="SF203" s="2071"/>
      <c r="SG203" s="2071"/>
      <c r="SH203" s="2071"/>
      <c r="SI203" s="2071"/>
      <c r="SJ203" s="2071"/>
      <c r="SK203" s="2071"/>
      <c r="SL203" s="2071"/>
      <c r="SM203" s="2071"/>
      <c r="SN203" s="2071"/>
      <c r="SO203" s="2071"/>
      <c r="SP203" s="2071"/>
      <c r="SQ203" s="2071"/>
      <c r="SR203" s="2071"/>
      <c r="SS203" s="2071"/>
      <c r="ST203" s="2071"/>
      <c r="SU203" s="2071"/>
      <c r="SV203" s="2071"/>
      <c r="SW203" s="2071"/>
      <c r="SX203" s="2071"/>
      <c r="SY203" s="2071"/>
      <c r="SZ203" s="2071"/>
      <c r="TA203" s="2071"/>
      <c r="TB203" s="2071"/>
      <c r="TC203" s="2071"/>
      <c r="TD203" s="2071"/>
      <c r="TE203" s="2071"/>
      <c r="TF203" s="2071"/>
      <c r="TG203" s="2071"/>
      <c r="TH203" s="2071"/>
      <c r="TI203" s="2071"/>
      <c r="TJ203" s="2071"/>
      <c r="TK203" s="2071"/>
      <c r="TL203" s="2071"/>
      <c r="TM203" s="2071"/>
      <c r="TN203" s="2071"/>
      <c r="TO203" s="2071"/>
      <c r="TP203" s="2071"/>
      <c r="TQ203" s="2071"/>
      <c r="TR203" s="2071"/>
      <c r="TS203" s="2071"/>
      <c r="TT203" s="2071"/>
      <c r="TU203" s="2071"/>
      <c r="TV203" s="2071"/>
      <c r="TW203" s="2071"/>
      <c r="TX203" s="2071"/>
      <c r="TY203" s="2071"/>
      <c r="TZ203" s="2071"/>
      <c r="UA203" s="2071"/>
      <c r="UB203" s="2071"/>
      <c r="UC203" s="2071"/>
      <c r="UD203" s="2071"/>
      <c r="UE203" s="2071"/>
      <c r="UF203" s="2071"/>
      <c r="UG203" s="2071"/>
      <c r="UH203" s="2071"/>
      <c r="UI203" s="2071"/>
      <c r="UJ203" s="2071"/>
      <c r="UK203" s="2071"/>
      <c r="UL203" s="2071"/>
      <c r="UM203" s="2071"/>
      <c r="UN203" s="2071"/>
      <c r="UO203" s="2071"/>
      <c r="UP203" s="2071"/>
      <c r="UQ203" s="2071"/>
      <c r="UR203" s="2071"/>
      <c r="US203" s="2071"/>
      <c r="UT203" s="2071"/>
      <c r="UU203" s="2071"/>
      <c r="UV203" s="2071"/>
      <c r="UW203" s="2071"/>
      <c r="UX203" s="2071"/>
      <c r="UY203" s="2071"/>
      <c r="UZ203" s="2071"/>
      <c r="VA203" s="2071"/>
      <c r="VB203" s="2071"/>
      <c r="VC203" s="2071"/>
      <c r="VD203" s="2071"/>
      <c r="VE203" s="2071"/>
      <c r="VF203" s="2071"/>
      <c r="VG203" s="2071"/>
      <c r="VH203" s="2071"/>
      <c r="VI203" s="2071"/>
      <c r="VJ203" s="2071"/>
      <c r="VK203" s="2071"/>
      <c r="VL203" s="2071"/>
      <c r="VM203" s="2071"/>
      <c r="VN203" s="2071"/>
      <c r="VO203" s="2071"/>
      <c r="VP203" s="2071"/>
      <c r="VQ203" s="2071"/>
      <c r="VR203" s="2071"/>
      <c r="VS203" s="2071"/>
      <c r="VT203" s="2071"/>
      <c r="VU203" s="2071"/>
      <c r="VV203" s="2071"/>
      <c r="VW203" s="2071"/>
      <c r="VX203" s="2071"/>
      <c r="VY203" s="2071"/>
      <c r="VZ203" s="2071"/>
      <c r="WA203" s="2071"/>
      <c r="WB203" s="2071"/>
      <c r="WC203" s="2071"/>
      <c r="WD203" s="2071"/>
      <c r="WE203" s="2071"/>
      <c r="WF203" s="2071"/>
      <c r="WG203" s="2071"/>
      <c r="WH203" s="2071"/>
      <c r="WI203" s="2071"/>
      <c r="WJ203" s="2071"/>
      <c r="WK203" s="2071"/>
      <c r="WL203" s="2071"/>
      <c r="WM203" s="2071"/>
      <c r="WN203" s="2071"/>
      <c r="WO203" s="2071"/>
      <c r="WP203" s="2071"/>
      <c r="WQ203" s="2071"/>
      <c r="WR203" s="2071"/>
      <c r="WS203" s="2071"/>
      <c r="WT203" s="2071"/>
      <c r="WU203" s="2071"/>
      <c r="WV203" s="2071"/>
      <c r="WW203" s="2071"/>
      <c r="WX203" s="2071"/>
      <c r="WY203" s="2071"/>
      <c r="WZ203" s="2071"/>
      <c r="XA203" s="2071"/>
      <c r="XB203" s="2071"/>
      <c r="XC203" s="2071"/>
      <c r="XD203" s="2071"/>
      <c r="XE203" s="2071"/>
      <c r="XF203" s="2071"/>
      <c r="XG203" s="2071"/>
      <c r="XH203" s="2071"/>
      <c r="XI203" s="2071"/>
      <c r="XJ203" s="2071"/>
      <c r="XK203" s="2071"/>
      <c r="XL203" s="2071"/>
      <c r="XM203" s="2071"/>
      <c r="XN203" s="2071"/>
      <c r="XO203" s="2071"/>
      <c r="XP203" s="2071"/>
      <c r="XQ203" s="2071"/>
      <c r="XR203" s="2071"/>
      <c r="XS203" s="2071"/>
      <c r="XT203" s="2071"/>
      <c r="XU203" s="2071"/>
      <c r="XV203" s="2071"/>
      <c r="XW203" s="2071"/>
      <c r="XX203" s="2071"/>
      <c r="XY203" s="2071"/>
      <c r="XZ203" s="2071"/>
      <c r="YA203" s="2071"/>
      <c r="YB203" s="2071"/>
      <c r="YC203" s="2071"/>
      <c r="YD203" s="2071"/>
      <c r="YE203" s="2071"/>
      <c r="YF203" s="2071"/>
      <c r="YG203" s="2071"/>
      <c r="YH203" s="2071"/>
      <c r="YI203" s="2071"/>
      <c r="YJ203" s="2071"/>
      <c r="YK203" s="2071"/>
      <c r="YL203" s="2071"/>
      <c r="YM203" s="2071"/>
      <c r="YN203" s="2071"/>
      <c r="YO203" s="2071"/>
      <c r="YP203" s="2071"/>
      <c r="YQ203" s="2071"/>
      <c r="YR203" s="2071"/>
      <c r="YS203" s="2071"/>
      <c r="YT203" s="2071"/>
      <c r="YU203" s="2071"/>
      <c r="YV203" s="2071"/>
      <c r="YW203" s="2071"/>
      <c r="YX203" s="2071"/>
      <c r="YY203" s="2071"/>
      <c r="YZ203" s="2071"/>
      <c r="ZA203" s="2071"/>
      <c r="ZB203" s="2071"/>
      <c r="ZC203" s="2071"/>
      <c r="ZD203" s="2071"/>
      <c r="ZE203" s="2071"/>
      <c r="ZF203" s="2071"/>
      <c r="ZG203" s="2071"/>
      <c r="ZH203" s="2071"/>
      <c r="ZI203" s="2071"/>
      <c r="ZJ203" s="2071"/>
      <c r="ZK203" s="2071"/>
      <c r="ZL203" s="2071"/>
      <c r="ZM203" s="2071"/>
      <c r="ZN203" s="2071"/>
      <c r="ZO203" s="2071"/>
      <c r="ZP203" s="2071"/>
      <c r="ZQ203" s="2071"/>
      <c r="ZR203" s="2071"/>
      <c r="ZS203" s="2071"/>
      <c r="ZT203" s="2071"/>
      <c r="ZU203" s="2071"/>
      <c r="ZV203" s="2071"/>
      <c r="ZW203" s="2071"/>
      <c r="ZX203" s="2071"/>
      <c r="ZY203" s="2071"/>
      <c r="ZZ203" s="2071"/>
      <c r="AAA203" s="2071"/>
      <c r="AAB203" s="2071"/>
      <c r="AAC203" s="2071"/>
      <c r="AAD203" s="2071"/>
      <c r="AAE203" s="2071"/>
      <c r="AAF203" s="2071"/>
      <c r="AAG203" s="2071"/>
      <c r="AAH203" s="2071"/>
      <c r="AAI203" s="2071"/>
      <c r="AAJ203" s="2071"/>
      <c r="AAK203" s="2071"/>
      <c r="AAL203" s="2071"/>
      <c r="AAM203" s="2071"/>
      <c r="AAN203" s="2071"/>
      <c r="AAO203" s="2071"/>
      <c r="AAP203" s="2071"/>
      <c r="AAQ203" s="2071"/>
      <c r="AAR203" s="2071"/>
      <c r="AAS203" s="2071"/>
      <c r="AAT203" s="2071"/>
      <c r="AAU203" s="2071"/>
      <c r="AAV203" s="2071"/>
      <c r="AAW203" s="2071"/>
      <c r="AAX203" s="2071"/>
      <c r="AAY203" s="2071"/>
      <c r="AAZ203" s="2071"/>
      <c r="ABA203" s="2071"/>
      <c r="ABB203" s="2071"/>
      <c r="ABC203" s="2071"/>
      <c r="ABD203" s="2071"/>
      <c r="ABE203" s="2071"/>
      <c r="ABF203" s="2071"/>
      <c r="ABG203" s="2071"/>
      <c r="ABH203" s="2071"/>
      <c r="ABI203" s="2071"/>
      <c r="ABJ203" s="2071"/>
      <c r="ABK203" s="2071"/>
      <c r="ABL203" s="2071"/>
      <c r="ABM203" s="2071"/>
      <c r="ABN203" s="2071"/>
      <c r="ABO203" s="2071"/>
      <c r="ABP203" s="2071"/>
      <c r="ABQ203" s="2071"/>
      <c r="ABR203" s="2071"/>
      <c r="ABS203" s="2071"/>
      <c r="ABT203" s="2071"/>
      <c r="ABU203" s="2071"/>
      <c r="ABV203" s="2071"/>
      <c r="ABW203" s="2071"/>
      <c r="ABX203" s="2071"/>
      <c r="ABY203" s="2071"/>
      <c r="ABZ203" s="2071"/>
      <c r="ACA203" s="2071"/>
      <c r="ACB203" s="2071"/>
      <c r="ACC203" s="2071"/>
      <c r="ACD203" s="2071"/>
      <c r="ACE203" s="2071"/>
      <c r="ACF203" s="2071"/>
      <c r="ACG203" s="2071"/>
      <c r="ACH203" s="2071"/>
      <c r="ACI203" s="2071"/>
      <c r="ACJ203" s="2071"/>
      <c r="ACK203" s="2071"/>
      <c r="ACL203" s="2071"/>
      <c r="ACM203" s="2071"/>
      <c r="ACN203" s="2071"/>
      <c r="ACO203" s="2071"/>
      <c r="ACP203" s="2071"/>
      <c r="ACQ203" s="2071"/>
      <c r="ACR203" s="2071"/>
      <c r="ACS203" s="2071"/>
      <c r="ACT203" s="2071"/>
      <c r="ACU203" s="2071"/>
      <c r="ACV203" s="2071"/>
      <c r="ACW203" s="2071"/>
      <c r="ACX203" s="2071"/>
      <c r="ACY203" s="2071"/>
      <c r="ACZ203" s="2071"/>
      <c r="ADA203" s="2071"/>
      <c r="ADB203" s="2071"/>
      <c r="ADC203" s="2071"/>
      <c r="ADD203" s="2071"/>
      <c r="ADE203" s="2071"/>
      <c r="ADF203" s="2071"/>
      <c r="ADG203" s="2071"/>
      <c r="ADH203" s="2071"/>
      <c r="ADI203" s="2071"/>
      <c r="ADJ203" s="2071"/>
      <c r="ADK203" s="2071"/>
      <c r="ADL203" s="2071"/>
      <c r="ADM203" s="2071"/>
      <c r="ADN203" s="2071"/>
      <c r="ADO203" s="2071"/>
      <c r="ADP203" s="2071"/>
      <c r="ADQ203" s="2071"/>
      <c r="ADR203" s="2071"/>
      <c r="ADS203" s="2071"/>
      <c r="ADT203" s="2071"/>
      <c r="ADU203" s="2071"/>
      <c r="ADV203" s="2071"/>
      <c r="ADW203" s="2071"/>
      <c r="ADX203" s="2071"/>
      <c r="ADY203" s="2071"/>
      <c r="ADZ203" s="2071"/>
      <c r="AEA203" s="2071"/>
      <c r="AEB203" s="2071"/>
      <c r="AEC203" s="2071"/>
      <c r="AED203" s="2071"/>
      <c r="AEE203" s="2071"/>
      <c r="AEF203" s="2071"/>
      <c r="AEG203" s="2071"/>
      <c r="AEH203" s="2071"/>
      <c r="AEI203" s="2071"/>
      <c r="AEJ203" s="2071"/>
      <c r="AEK203" s="2071"/>
      <c r="AEL203" s="2071"/>
      <c r="AEM203" s="2071"/>
      <c r="AEN203" s="2071"/>
      <c r="AEO203" s="2071"/>
      <c r="AEP203" s="2071"/>
      <c r="AEQ203" s="2071"/>
      <c r="AER203" s="2071"/>
      <c r="AES203" s="2071"/>
      <c r="AET203" s="2071"/>
      <c r="AEU203" s="2071"/>
      <c r="AEV203" s="2071"/>
      <c r="AEW203" s="2071"/>
      <c r="AEX203" s="2071"/>
      <c r="AEY203" s="2071"/>
      <c r="AEZ203" s="2071"/>
      <c r="AFA203" s="2071"/>
      <c r="AFB203" s="2071"/>
      <c r="AFC203" s="2071"/>
      <c r="AFD203" s="2071"/>
      <c r="AFE203" s="2071"/>
      <c r="AFF203" s="2071"/>
      <c r="AFG203" s="2071"/>
      <c r="AFH203" s="2071"/>
      <c r="AFI203" s="2071"/>
      <c r="AFJ203" s="2071"/>
      <c r="AFK203" s="2071"/>
      <c r="AFL203" s="2071"/>
      <c r="AFM203" s="2071"/>
      <c r="AFN203" s="2071"/>
      <c r="AFO203" s="2071"/>
      <c r="AFP203" s="2071"/>
      <c r="AFQ203" s="2071"/>
      <c r="AFR203" s="2071"/>
      <c r="AFS203" s="2071"/>
      <c r="AFT203" s="2071"/>
      <c r="AFU203" s="2071"/>
      <c r="AFV203" s="2071"/>
      <c r="AFW203" s="2071"/>
      <c r="AFX203" s="2071"/>
      <c r="AFY203" s="2071"/>
      <c r="AFZ203" s="2071"/>
      <c r="AGA203" s="2071"/>
      <c r="AGB203" s="2071"/>
      <c r="AGC203" s="2071"/>
      <c r="AGD203" s="2071"/>
      <c r="AGE203" s="2071"/>
      <c r="AGF203" s="2071"/>
      <c r="AGG203" s="2071"/>
      <c r="AGH203" s="2071"/>
      <c r="AGI203" s="2071"/>
      <c r="AGJ203" s="2071"/>
      <c r="AGK203" s="2071"/>
      <c r="AGL203" s="2071"/>
      <c r="AGM203" s="2071"/>
      <c r="AGN203" s="2071"/>
      <c r="AGO203" s="2071"/>
      <c r="AGP203" s="2071"/>
      <c r="AGQ203" s="2071"/>
      <c r="AGR203" s="2071"/>
      <c r="AGS203" s="2071"/>
      <c r="AGT203" s="2071"/>
      <c r="AGU203" s="2071"/>
      <c r="AGV203" s="2071"/>
      <c r="AGW203" s="2071"/>
      <c r="AGX203" s="2071"/>
      <c r="AGY203" s="2071"/>
      <c r="AGZ203" s="2071"/>
      <c r="AHA203" s="2071"/>
      <c r="AHB203" s="2071"/>
      <c r="AHC203" s="2071"/>
      <c r="AHD203" s="2071"/>
      <c r="AHE203" s="2071"/>
      <c r="AHF203" s="2071"/>
      <c r="AHG203" s="2071"/>
      <c r="AHH203" s="2071"/>
      <c r="AHI203" s="2071"/>
      <c r="AHJ203" s="2071"/>
      <c r="AHK203" s="2071"/>
      <c r="AHL203" s="2071"/>
      <c r="AHM203" s="2071"/>
      <c r="AHN203" s="2071"/>
      <c r="AHO203" s="2071"/>
      <c r="AHP203" s="2071"/>
      <c r="AHQ203" s="2071"/>
      <c r="AHR203" s="2071"/>
      <c r="AHS203" s="2071"/>
      <c r="AHT203" s="2071"/>
      <c r="AHU203" s="2071"/>
      <c r="AHV203" s="2071"/>
      <c r="AHW203" s="2071"/>
      <c r="AHX203" s="2071"/>
      <c r="AHY203" s="2071"/>
      <c r="AHZ203" s="2071"/>
      <c r="AIA203" s="2071"/>
      <c r="AIB203" s="2071"/>
      <c r="AIC203" s="2071"/>
      <c r="AID203" s="2071"/>
      <c r="AIE203" s="2071"/>
      <c r="AIF203" s="2071"/>
      <c r="AIG203" s="2071"/>
      <c r="AIH203" s="2071"/>
      <c r="AII203" s="2071"/>
      <c r="AIJ203" s="2071"/>
      <c r="AIK203" s="2071"/>
      <c r="AIL203" s="2071"/>
      <c r="AIM203" s="2071"/>
      <c r="AIN203" s="2071"/>
      <c r="AIO203" s="2071"/>
      <c r="AIP203" s="2071"/>
      <c r="AIQ203" s="2071"/>
      <c r="AIR203" s="2071"/>
      <c r="AIS203" s="2071"/>
      <c r="AIT203" s="2071"/>
      <c r="AIU203" s="2071"/>
      <c r="AIV203" s="2071"/>
      <c r="AIW203" s="2071"/>
      <c r="AIX203" s="2071"/>
      <c r="AIY203" s="2071"/>
      <c r="AIZ203" s="2071"/>
      <c r="AJA203" s="2071"/>
      <c r="AJB203" s="2071"/>
      <c r="AJC203" s="2071"/>
      <c r="AJD203" s="2071"/>
      <c r="AJE203" s="2071"/>
      <c r="AJF203" s="2071"/>
      <c r="AJG203" s="2071"/>
      <c r="AJH203" s="2071"/>
      <c r="AJI203" s="2071"/>
      <c r="AJJ203" s="2071"/>
      <c r="AJK203" s="2071"/>
      <c r="AJL203" s="2071"/>
      <c r="AJM203" s="2071"/>
      <c r="AJN203" s="2071"/>
      <c r="AJO203" s="2071"/>
      <c r="AJP203" s="2071"/>
      <c r="AJQ203" s="2071"/>
      <c r="AJR203" s="2071"/>
      <c r="AJS203" s="2071"/>
      <c r="AJT203" s="2071"/>
      <c r="AJU203" s="2071"/>
      <c r="AJV203" s="2071"/>
      <c r="AJW203" s="2071"/>
      <c r="AJX203" s="2071"/>
      <c r="AJY203" s="2071"/>
      <c r="AJZ203" s="2071"/>
      <c r="AKA203" s="2071"/>
      <c r="AKB203" s="2071"/>
      <c r="AKC203" s="2071"/>
      <c r="AKD203" s="2071"/>
      <c r="AKE203" s="2071"/>
      <c r="AKF203" s="2071"/>
      <c r="AKG203" s="2071"/>
      <c r="AKH203" s="2071"/>
      <c r="AKI203" s="2071"/>
      <c r="AKJ203" s="2071"/>
      <c r="AKK203" s="2071"/>
      <c r="AKL203" s="2071"/>
      <c r="AKM203" s="2071"/>
      <c r="AKN203" s="2071"/>
      <c r="AKO203" s="2071"/>
      <c r="AKP203" s="2071"/>
      <c r="AKQ203" s="2071"/>
      <c r="AKR203" s="2071"/>
      <c r="AKS203" s="2071"/>
      <c r="AKT203" s="2071"/>
      <c r="AKU203" s="2071"/>
      <c r="AKV203" s="2071"/>
      <c r="AKW203" s="2071"/>
      <c r="AKX203" s="2071"/>
      <c r="AKY203" s="2071"/>
      <c r="AKZ203" s="2071"/>
      <c r="ALA203" s="2071"/>
      <c r="ALB203" s="2071"/>
      <c r="ALC203" s="2071"/>
      <c r="ALD203" s="2071"/>
      <c r="ALE203" s="2071"/>
      <c r="ALF203" s="2071"/>
      <c r="ALG203" s="2071"/>
      <c r="ALH203" s="2071"/>
      <c r="ALI203" s="2071"/>
      <c r="ALJ203" s="2071"/>
      <c r="ALK203" s="2071"/>
      <c r="ALL203" s="2071"/>
      <c r="ALM203" s="2071"/>
      <c r="ALN203" s="2071"/>
      <c r="ALO203" s="2071"/>
      <c r="ALP203" s="2071"/>
      <c r="ALQ203" s="2071"/>
      <c r="ALR203" s="2071"/>
      <c r="ALS203" s="2071"/>
      <c r="ALT203" s="2071"/>
      <c r="ALU203" s="2071"/>
      <c r="ALV203" s="2071"/>
      <c r="ALW203" s="2071"/>
      <c r="ALX203" s="2071"/>
      <c r="ALY203" s="2071"/>
      <c r="ALZ203" s="2071"/>
      <c r="AMA203" s="2071"/>
      <c r="AMB203" s="2071"/>
      <c r="AMC203" s="2071"/>
      <c r="AMD203" s="2071"/>
      <c r="AME203" s="2071"/>
      <c r="AMF203" s="2071"/>
      <c r="AMG203" s="2071"/>
      <c r="AMH203" s="2071"/>
      <c r="AMI203" s="2071"/>
      <c r="AMJ203" s="2071"/>
      <c r="AMK203" s="2071"/>
      <c r="AML203" s="2071"/>
      <c r="AMM203" s="2071"/>
      <c r="AMN203" s="2071"/>
      <c r="AMO203" s="2071"/>
      <c r="AMP203" s="2071"/>
      <c r="AMQ203" s="2071"/>
      <c r="AMR203" s="2071"/>
      <c r="AMS203" s="2071"/>
      <c r="AMT203" s="2071"/>
      <c r="AMU203" s="2071"/>
      <c r="AMV203" s="2071"/>
      <c r="AMW203" s="2071"/>
      <c r="AMX203" s="2071"/>
      <c r="AMY203" s="2071"/>
      <c r="AMZ203" s="2071"/>
      <c r="ANA203" s="2071"/>
      <c r="ANB203" s="2071"/>
      <c r="ANC203" s="2071"/>
      <c r="AND203" s="2071"/>
      <c r="ANE203" s="2071"/>
      <c r="ANF203" s="2071"/>
      <c r="ANG203" s="2071"/>
      <c r="ANH203" s="2071"/>
      <c r="ANI203" s="2071"/>
      <c r="ANJ203" s="2071"/>
      <c r="ANK203" s="2071"/>
      <c r="ANL203" s="2071"/>
      <c r="ANM203" s="2071"/>
      <c r="ANN203" s="2071"/>
      <c r="ANO203" s="2071"/>
      <c r="ANP203" s="2071"/>
      <c r="ANQ203" s="2071"/>
      <c r="ANR203" s="2071"/>
      <c r="ANS203" s="2071"/>
      <c r="ANT203" s="2071"/>
      <c r="ANU203" s="2071"/>
      <c r="ANV203" s="2071"/>
      <c r="ANW203" s="2071"/>
      <c r="ANX203" s="2071"/>
      <c r="ANY203" s="2071"/>
      <c r="ANZ203" s="2071"/>
      <c r="AOA203" s="2071"/>
      <c r="AOB203" s="2071"/>
      <c r="AOC203" s="2071"/>
      <c r="AOD203" s="2071"/>
      <c r="AOE203" s="2071"/>
      <c r="AOF203" s="2071"/>
      <c r="AOG203" s="2071"/>
      <c r="AOH203" s="2071"/>
      <c r="AOI203" s="2071"/>
      <c r="AOJ203" s="2071"/>
      <c r="AOK203" s="2071"/>
      <c r="AOL203" s="2071"/>
      <c r="AOM203" s="2071"/>
      <c r="AON203" s="2071"/>
      <c r="AOO203" s="2071"/>
      <c r="AOP203" s="2071"/>
      <c r="AOQ203" s="2071"/>
      <c r="AOR203" s="2071"/>
      <c r="AOS203" s="2071"/>
      <c r="AOT203" s="2071"/>
      <c r="AOU203" s="2071"/>
      <c r="AOV203" s="2071"/>
      <c r="AOW203" s="2071"/>
      <c r="AOX203" s="2071"/>
      <c r="AOY203" s="2071"/>
      <c r="AOZ203" s="2071"/>
      <c r="APA203" s="2071"/>
      <c r="APB203" s="2071"/>
      <c r="APC203" s="2071"/>
      <c r="APD203" s="2071"/>
      <c r="APE203" s="2071"/>
      <c r="APF203" s="2071"/>
      <c r="APG203" s="2071"/>
      <c r="APH203" s="2071"/>
      <c r="API203" s="2071"/>
      <c r="APJ203" s="2071"/>
      <c r="APK203" s="2071"/>
      <c r="APL203" s="2071"/>
      <c r="APM203" s="2071"/>
      <c r="APN203" s="2071"/>
      <c r="APO203" s="2071"/>
      <c r="APP203" s="2071"/>
      <c r="APQ203" s="2071"/>
      <c r="APR203" s="2071"/>
      <c r="APS203" s="2071"/>
      <c r="APT203" s="2071"/>
      <c r="APU203" s="2071"/>
      <c r="APV203" s="2071"/>
      <c r="APW203" s="2071"/>
      <c r="APX203" s="2071"/>
      <c r="APY203" s="2071"/>
      <c r="APZ203" s="2071"/>
      <c r="AQA203" s="2071"/>
      <c r="AQB203" s="2071"/>
      <c r="AQC203" s="2071"/>
      <c r="AQD203" s="2071"/>
      <c r="AQE203" s="2071"/>
      <c r="AQF203" s="2071"/>
      <c r="AQG203" s="2071"/>
      <c r="AQH203" s="2071"/>
      <c r="AQI203" s="2071"/>
      <c r="AQJ203" s="2071"/>
      <c r="AQK203" s="2071"/>
      <c r="AQL203" s="2071"/>
      <c r="AQM203" s="2071"/>
      <c r="AQN203" s="2071"/>
      <c r="AQO203" s="2071"/>
      <c r="AQP203" s="2071"/>
      <c r="AQQ203" s="2071"/>
      <c r="AQR203" s="2071"/>
      <c r="AQS203" s="2071"/>
      <c r="AQT203" s="2071"/>
      <c r="AQU203" s="2071"/>
      <c r="AQV203" s="2071"/>
      <c r="AQW203" s="2071"/>
      <c r="AQX203" s="2071"/>
      <c r="AQY203" s="2071"/>
      <c r="AQZ203" s="2071"/>
      <c r="ARA203" s="2071"/>
      <c r="ARB203" s="2071"/>
      <c r="ARC203" s="2071"/>
      <c r="ARD203" s="2071"/>
      <c r="ARE203" s="2071"/>
      <c r="ARF203" s="2071"/>
      <c r="ARG203" s="2071"/>
      <c r="ARH203" s="2071"/>
      <c r="ARI203" s="2071"/>
      <c r="ARJ203" s="2071"/>
      <c r="ARK203" s="2071"/>
      <c r="ARL203" s="2071"/>
      <c r="ARM203" s="2071"/>
      <c r="ARN203" s="2071"/>
      <c r="ARO203" s="2071"/>
      <c r="ARP203" s="2071"/>
      <c r="ARQ203" s="2071"/>
      <c r="ARR203" s="2071"/>
      <c r="ARS203" s="2071"/>
      <c r="ART203" s="2071"/>
      <c r="ARU203" s="2071"/>
      <c r="ARV203" s="2071"/>
      <c r="ARW203" s="2071"/>
      <c r="ARX203" s="2071"/>
      <c r="ARY203" s="2071"/>
      <c r="ARZ203" s="2071"/>
      <c r="ASA203" s="2071"/>
      <c r="ASB203" s="2071"/>
      <c r="ASC203" s="2071"/>
      <c r="ASD203" s="2071"/>
      <c r="ASE203" s="2071"/>
      <c r="ASF203" s="2071"/>
      <c r="ASG203" s="2071"/>
      <c r="ASH203" s="2071"/>
      <c r="ASI203" s="2071"/>
      <c r="ASJ203" s="2071"/>
      <c r="ASK203" s="2071"/>
      <c r="ASL203" s="2071"/>
      <c r="ASM203" s="2071"/>
      <c r="ASN203" s="2071"/>
      <c r="ASO203" s="2071"/>
      <c r="ASP203" s="2071"/>
      <c r="ASQ203" s="2071"/>
      <c r="ASR203" s="2071"/>
      <c r="ASS203" s="2071"/>
      <c r="AST203" s="2071"/>
      <c r="ASU203" s="2071"/>
      <c r="ASV203" s="2071"/>
      <c r="ASW203" s="2071"/>
      <c r="ASX203" s="2071"/>
      <c r="ASY203" s="2071"/>
      <c r="ASZ203" s="2071"/>
      <c r="ATA203" s="2071"/>
      <c r="ATB203" s="2071"/>
      <c r="ATC203" s="2071"/>
      <c r="ATD203" s="2071"/>
      <c r="ATE203" s="2071"/>
      <c r="ATF203" s="2071"/>
      <c r="ATG203" s="2071"/>
      <c r="ATH203" s="2071"/>
      <c r="ATI203" s="2071"/>
      <c r="ATJ203" s="2071"/>
      <c r="ATK203" s="2071"/>
      <c r="ATL203" s="2071"/>
      <c r="ATM203" s="2071"/>
      <c r="ATN203" s="2071"/>
      <c r="ATO203" s="2071"/>
      <c r="ATP203" s="2071"/>
      <c r="ATQ203" s="2071"/>
      <c r="ATR203" s="2071"/>
      <c r="ATS203" s="2071"/>
      <c r="ATT203" s="2071"/>
      <c r="ATU203" s="2071"/>
      <c r="ATV203" s="2071"/>
      <c r="ATW203" s="2071"/>
      <c r="ATX203" s="2071"/>
      <c r="ATY203" s="2071"/>
      <c r="ATZ203" s="2071"/>
      <c r="AUA203" s="2071"/>
      <c r="AUB203" s="2071"/>
      <c r="AUC203" s="2071"/>
      <c r="AUD203" s="2071"/>
      <c r="AUE203" s="2071"/>
      <c r="AUF203" s="2071"/>
      <c r="AUG203" s="2071"/>
      <c r="AUH203" s="2071"/>
      <c r="AUI203" s="2071"/>
      <c r="AUJ203" s="2071"/>
      <c r="AUK203" s="2071"/>
      <c r="AUL203" s="2071"/>
      <c r="AUM203" s="2071"/>
      <c r="AUN203" s="2071"/>
      <c r="AUO203" s="2071"/>
      <c r="AUP203" s="2071"/>
      <c r="AUQ203" s="2071"/>
      <c r="AUR203" s="2071"/>
      <c r="AUS203" s="2071"/>
      <c r="AUT203" s="2071"/>
      <c r="AUU203" s="2071"/>
      <c r="AUV203" s="2071"/>
      <c r="AUW203" s="2071"/>
      <c r="AUX203" s="2071"/>
      <c r="AUY203" s="2071"/>
      <c r="AUZ203" s="2071"/>
      <c r="AVA203" s="2071"/>
      <c r="AVB203" s="2071"/>
      <c r="AVC203" s="2071"/>
      <c r="AVD203" s="2071"/>
      <c r="AVE203" s="2071"/>
      <c r="AVF203" s="2071"/>
      <c r="AVG203" s="2071"/>
      <c r="AVH203" s="2071"/>
      <c r="AVI203" s="2071"/>
      <c r="AVJ203" s="2071"/>
      <c r="AVK203" s="2071"/>
      <c r="AVL203" s="2071"/>
      <c r="AVM203" s="2071"/>
      <c r="AVN203" s="2071"/>
      <c r="AVO203" s="2071"/>
      <c r="AVP203" s="2071"/>
      <c r="AVQ203" s="2071"/>
      <c r="AVR203" s="2071"/>
      <c r="AVS203" s="2071"/>
      <c r="AVT203" s="2071"/>
      <c r="AVU203" s="2071"/>
      <c r="AVV203" s="2071"/>
      <c r="AVW203" s="2071"/>
      <c r="AVX203" s="2071"/>
      <c r="AVY203" s="2071"/>
      <c r="AVZ203" s="2071"/>
      <c r="AWA203" s="2071"/>
      <c r="AWB203" s="2071"/>
      <c r="AWC203" s="2071"/>
      <c r="AWD203" s="2071"/>
      <c r="AWE203" s="2071"/>
      <c r="AWF203" s="2071"/>
      <c r="AWG203" s="2071"/>
      <c r="AWH203" s="2071"/>
      <c r="AWI203" s="2071"/>
      <c r="AWJ203" s="2071"/>
      <c r="AWK203" s="2071"/>
      <c r="AWL203" s="2071"/>
      <c r="AWM203" s="2071"/>
      <c r="AWN203" s="2071"/>
      <c r="AWO203" s="2071"/>
      <c r="AWP203" s="2071"/>
      <c r="AWQ203" s="2071"/>
      <c r="AWR203" s="2071"/>
      <c r="AWS203" s="2071"/>
      <c r="AWT203" s="2071"/>
      <c r="AWU203" s="2071"/>
      <c r="AWV203" s="2071"/>
      <c r="AWW203" s="2071"/>
      <c r="AWX203" s="2071"/>
      <c r="AWY203" s="2071"/>
      <c r="AWZ203" s="2071"/>
      <c r="AXA203" s="2071"/>
      <c r="AXB203" s="2071"/>
      <c r="AXC203" s="2071"/>
      <c r="AXD203" s="2071"/>
      <c r="AXE203" s="2071"/>
      <c r="AXF203" s="2071"/>
      <c r="AXG203" s="2071"/>
      <c r="AXH203" s="2071"/>
      <c r="AXI203" s="2071"/>
      <c r="AXJ203" s="2071"/>
    </row>
    <row r="204" spans="1:1310" s="2072" customFormat="1" ht="23.25" customHeight="1">
      <c r="A204" s="2073"/>
      <c r="B204" s="4484" t="s">
        <v>874</v>
      </c>
      <c r="C204" s="4484"/>
      <c r="D204" s="4484"/>
      <c r="E204" s="4484"/>
      <c r="F204" s="2075"/>
      <c r="G204" s="4484" t="s">
        <v>875</v>
      </c>
      <c r="H204" s="4484"/>
      <c r="I204" s="4484"/>
      <c r="J204" s="2075"/>
      <c r="K204" s="4487" t="s">
        <v>876</v>
      </c>
      <c r="L204" s="4487"/>
      <c r="M204" s="4487"/>
      <c r="N204" s="2075"/>
      <c r="O204" s="4484" t="s">
        <v>877</v>
      </c>
      <c r="P204" s="4484"/>
      <c r="Q204" s="2075"/>
      <c r="R204" s="1838"/>
      <c r="S204" s="1838"/>
      <c r="T204" s="1838"/>
      <c r="U204" s="1838"/>
      <c r="V204" s="1838"/>
      <c r="W204" s="1838"/>
      <c r="X204" s="1838"/>
      <c r="Y204" s="1838"/>
      <c r="Z204" s="1838"/>
      <c r="AA204" s="1838"/>
      <c r="AB204" s="1838"/>
      <c r="AC204" s="1838"/>
      <c r="AD204" s="2070"/>
      <c r="AE204" s="2070"/>
      <c r="AF204" s="2070"/>
      <c r="AG204" s="2070"/>
      <c r="AH204" s="2070"/>
      <c r="AI204" s="2070"/>
      <c r="AJ204" s="2070"/>
      <c r="AK204" s="2070"/>
      <c r="AL204" s="2070"/>
      <c r="AM204" s="2070"/>
      <c r="AN204" s="2070"/>
      <c r="AO204" s="2070"/>
      <c r="AP204" s="2070"/>
      <c r="AQ204" s="2070"/>
      <c r="AR204" s="2070"/>
      <c r="AS204" s="2070"/>
      <c r="AT204" s="2070"/>
      <c r="AU204" s="2070"/>
      <c r="AV204" s="2071"/>
      <c r="AW204" s="2071"/>
      <c r="AX204" s="2071"/>
      <c r="AY204" s="2071"/>
      <c r="AZ204" s="2071"/>
      <c r="BA204" s="2071"/>
      <c r="BB204" s="2071"/>
      <c r="BC204" s="2071"/>
      <c r="BD204" s="2071"/>
      <c r="BE204" s="2071"/>
      <c r="BF204" s="2071"/>
      <c r="BG204" s="2071"/>
      <c r="BH204" s="2071"/>
      <c r="BI204" s="2071"/>
      <c r="BJ204" s="2071"/>
      <c r="BK204" s="2071"/>
      <c r="BL204" s="2071"/>
      <c r="BM204" s="2071"/>
      <c r="BN204" s="2071"/>
      <c r="BO204" s="2071"/>
      <c r="BP204" s="2071"/>
      <c r="BQ204" s="2071"/>
      <c r="BR204" s="2071"/>
      <c r="BS204" s="2071"/>
      <c r="BT204" s="2071"/>
      <c r="BU204" s="2071"/>
      <c r="BV204" s="2071"/>
      <c r="BW204" s="2071"/>
      <c r="BX204" s="2071"/>
      <c r="BY204" s="2071"/>
      <c r="BZ204" s="2071"/>
      <c r="CA204" s="2071"/>
      <c r="CB204" s="2071"/>
      <c r="CC204" s="2071"/>
      <c r="CD204" s="2071"/>
      <c r="CE204" s="2071"/>
      <c r="CF204" s="2071"/>
      <c r="CG204" s="2071"/>
      <c r="CH204" s="2071"/>
      <c r="CI204" s="2071"/>
      <c r="CJ204" s="2071"/>
      <c r="CK204" s="2071"/>
      <c r="CL204" s="2071"/>
      <c r="CM204" s="2071"/>
      <c r="CN204" s="2071"/>
      <c r="CO204" s="2071"/>
      <c r="CP204" s="2071"/>
      <c r="CQ204" s="2071"/>
      <c r="CR204" s="2071"/>
      <c r="CS204" s="2071"/>
      <c r="CT204" s="2071"/>
      <c r="CU204" s="2071"/>
      <c r="CV204" s="2071"/>
      <c r="CW204" s="2071"/>
      <c r="CX204" s="2071"/>
      <c r="CY204" s="2071"/>
      <c r="CZ204" s="2071"/>
      <c r="DA204" s="2071"/>
      <c r="DB204" s="2071"/>
      <c r="DC204" s="2071"/>
      <c r="DD204" s="2071"/>
      <c r="DE204" s="2071"/>
      <c r="DF204" s="2071"/>
      <c r="DG204" s="2071"/>
      <c r="DH204" s="2071"/>
      <c r="DI204" s="2071"/>
      <c r="DJ204" s="2071"/>
      <c r="DK204" s="2071"/>
      <c r="DL204" s="2071"/>
      <c r="DM204" s="2071"/>
      <c r="DN204" s="2071"/>
      <c r="DO204" s="2071"/>
      <c r="DP204" s="2071"/>
      <c r="DQ204" s="2071"/>
      <c r="DR204" s="2071"/>
      <c r="DS204" s="2071"/>
      <c r="DT204" s="2071"/>
      <c r="DU204" s="2071"/>
      <c r="DV204" s="2071"/>
      <c r="DW204" s="2071"/>
      <c r="DX204" s="2071"/>
      <c r="DY204" s="2071"/>
      <c r="DZ204" s="2071"/>
      <c r="EA204" s="2071"/>
      <c r="EB204" s="2071"/>
      <c r="EC204" s="2071"/>
      <c r="ED204" s="2071"/>
      <c r="EE204" s="2071"/>
      <c r="EF204" s="2071"/>
      <c r="EG204" s="2071"/>
      <c r="EH204" s="2071"/>
      <c r="EI204" s="2071"/>
      <c r="EJ204" s="2071"/>
      <c r="EK204" s="2071"/>
      <c r="EL204" s="2071"/>
      <c r="EM204" s="2071"/>
      <c r="EN204" s="2071"/>
      <c r="EO204" s="2071"/>
      <c r="EP204" s="2071"/>
      <c r="EQ204" s="2071"/>
      <c r="ER204" s="2071"/>
      <c r="ES204" s="2071"/>
      <c r="ET204" s="2071"/>
      <c r="EU204" s="2071"/>
      <c r="EV204" s="2071"/>
      <c r="EW204" s="2071"/>
      <c r="EX204" s="2071"/>
      <c r="EY204" s="2071"/>
      <c r="EZ204" s="2071"/>
      <c r="FA204" s="2071"/>
      <c r="FB204" s="2071"/>
      <c r="FC204" s="2071"/>
      <c r="FD204" s="2071"/>
      <c r="FE204" s="2071"/>
      <c r="FF204" s="2071"/>
      <c r="FG204" s="2071"/>
      <c r="FH204" s="2071"/>
      <c r="FI204" s="2071"/>
      <c r="FJ204" s="2071"/>
      <c r="FK204" s="2071"/>
      <c r="FL204" s="2071"/>
      <c r="FM204" s="2071"/>
      <c r="FN204" s="2071"/>
      <c r="FO204" s="2071"/>
      <c r="FP204" s="2071"/>
      <c r="FQ204" s="2071"/>
      <c r="FR204" s="2071"/>
      <c r="FS204" s="2071"/>
      <c r="FT204" s="2071"/>
      <c r="FU204" s="2071"/>
      <c r="FV204" s="2071"/>
      <c r="FW204" s="2071"/>
      <c r="FX204" s="2071"/>
      <c r="FY204" s="2071"/>
      <c r="FZ204" s="2071"/>
      <c r="GA204" s="2071"/>
      <c r="GB204" s="2071"/>
      <c r="GC204" s="2071"/>
      <c r="GD204" s="2071"/>
      <c r="GE204" s="2071"/>
      <c r="GF204" s="2071"/>
      <c r="GG204" s="2071"/>
      <c r="GH204" s="2071"/>
      <c r="GI204" s="2071"/>
      <c r="GJ204" s="2071"/>
      <c r="GK204" s="2071"/>
      <c r="GL204" s="2071"/>
      <c r="GM204" s="2071"/>
      <c r="GN204" s="2071"/>
      <c r="GO204" s="2071"/>
      <c r="GP204" s="2071"/>
      <c r="GQ204" s="2071"/>
      <c r="GR204" s="2071"/>
      <c r="GS204" s="2071"/>
      <c r="GT204" s="2071"/>
      <c r="GU204" s="2071"/>
      <c r="GV204" s="2071"/>
      <c r="GW204" s="2071"/>
      <c r="GX204" s="2071"/>
      <c r="GY204" s="2071"/>
      <c r="GZ204" s="2071"/>
      <c r="HA204" s="2071"/>
      <c r="HB204" s="2071"/>
      <c r="HC204" s="2071"/>
      <c r="HD204" s="2071"/>
      <c r="HE204" s="2071"/>
      <c r="HF204" s="2071"/>
      <c r="HG204" s="2071"/>
      <c r="HH204" s="2071"/>
      <c r="HI204" s="2071"/>
      <c r="HJ204" s="2071"/>
      <c r="HK204" s="2071"/>
      <c r="HL204" s="2071"/>
      <c r="HM204" s="2071"/>
      <c r="HN204" s="2071"/>
      <c r="HO204" s="2071"/>
      <c r="HP204" s="2071"/>
      <c r="HQ204" s="2071"/>
      <c r="HR204" s="2071"/>
      <c r="HS204" s="2071"/>
      <c r="HT204" s="2071"/>
      <c r="HU204" s="2071"/>
      <c r="HV204" s="2071"/>
      <c r="HW204" s="2071"/>
      <c r="HX204" s="2071"/>
      <c r="HY204" s="2071"/>
      <c r="HZ204" s="2071"/>
      <c r="IA204" s="2071"/>
      <c r="IB204" s="2071"/>
      <c r="IC204" s="2071"/>
      <c r="ID204" s="2071"/>
      <c r="IE204" s="2071"/>
      <c r="IF204" s="2071"/>
      <c r="IG204" s="2071"/>
      <c r="IH204" s="2071"/>
      <c r="II204" s="2071"/>
      <c r="IJ204" s="2071"/>
      <c r="IK204" s="2071"/>
      <c r="IL204" s="2071"/>
      <c r="IM204" s="2071"/>
      <c r="IN204" s="2071"/>
      <c r="IO204" s="2071"/>
      <c r="IP204" s="2071"/>
      <c r="IQ204" s="2071"/>
      <c r="IR204" s="2071"/>
      <c r="IS204" s="2071"/>
      <c r="IT204" s="2071"/>
      <c r="IU204" s="2071"/>
      <c r="IV204" s="2071"/>
      <c r="IW204" s="2071"/>
      <c r="IX204" s="2071"/>
      <c r="IY204" s="2071"/>
      <c r="IZ204" s="2071"/>
      <c r="JA204" s="2071"/>
      <c r="JB204" s="2071"/>
      <c r="JC204" s="2071"/>
      <c r="JD204" s="2071"/>
      <c r="JE204" s="2071"/>
      <c r="JF204" s="2071"/>
      <c r="JG204" s="2071"/>
      <c r="JH204" s="2071"/>
      <c r="JI204" s="2071"/>
      <c r="JJ204" s="2071"/>
      <c r="JK204" s="2071"/>
      <c r="JL204" s="2071"/>
      <c r="JM204" s="2071"/>
      <c r="JN204" s="2071"/>
      <c r="JO204" s="2071"/>
      <c r="JP204" s="2071"/>
      <c r="JQ204" s="2071"/>
      <c r="JR204" s="2071"/>
      <c r="JS204" s="2071"/>
      <c r="JT204" s="2071"/>
      <c r="JU204" s="2071"/>
      <c r="JV204" s="2071"/>
      <c r="JW204" s="2071"/>
      <c r="JX204" s="2071"/>
      <c r="JY204" s="2071"/>
      <c r="JZ204" s="2071"/>
      <c r="KA204" s="2071"/>
      <c r="KB204" s="2071"/>
      <c r="KC204" s="2071"/>
      <c r="KD204" s="2071"/>
      <c r="KE204" s="2071"/>
      <c r="KF204" s="2071"/>
      <c r="KG204" s="2071"/>
      <c r="KH204" s="2071"/>
      <c r="KI204" s="2071"/>
      <c r="KJ204" s="2071"/>
      <c r="KK204" s="2071"/>
      <c r="KL204" s="2071"/>
      <c r="KM204" s="2071"/>
      <c r="KN204" s="2071"/>
      <c r="KO204" s="2071"/>
      <c r="KP204" s="2071"/>
      <c r="KQ204" s="2071"/>
      <c r="KR204" s="2071"/>
      <c r="KS204" s="2071"/>
      <c r="KT204" s="2071"/>
      <c r="KU204" s="2071"/>
      <c r="KV204" s="2071"/>
      <c r="KW204" s="2071"/>
      <c r="KX204" s="2071"/>
      <c r="KY204" s="2071"/>
      <c r="KZ204" s="2071"/>
      <c r="LA204" s="2071"/>
      <c r="LB204" s="2071"/>
      <c r="LC204" s="2071"/>
      <c r="LD204" s="2071"/>
      <c r="LE204" s="2071"/>
      <c r="LF204" s="2071"/>
      <c r="LG204" s="2071"/>
      <c r="LH204" s="2071"/>
      <c r="LI204" s="2071"/>
      <c r="LJ204" s="2071"/>
      <c r="LK204" s="2071"/>
      <c r="LL204" s="2071"/>
      <c r="LM204" s="2071"/>
      <c r="LN204" s="2071"/>
      <c r="LO204" s="2071"/>
      <c r="LP204" s="2071"/>
      <c r="LQ204" s="2071"/>
      <c r="LR204" s="2071"/>
      <c r="LS204" s="2071"/>
      <c r="LT204" s="2071"/>
      <c r="LU204" s="2071"/>
      <c r="LV204" s="2071"/>
      <c r="LW204" s="2071"/>
      <c r="LX204" s="2071"/>
      <c r="LY204" s="2071"/>
      <c r="LZ204" s="2071"/>
      <c r="MA204" s="2071"/>
      <c r="MB204" s="2071"/>
      <c r="MC204" s="2071"/>
      <c r="MD204" s="2071"/>
      <c r="ME204" s="2071"/>
      <c r="MF204" s="2071"/>
      <c r="MG204" s="2071"/>
      <c r="MH204" s="2071"/>
      <c r="MI204" s="2071"/>
      <c r="MJ204" s="2071"/>
      <c r="MK204" s="2071"/>
      <c r="ML204" s="2071"/>
      <c r="MM204" s="2071"/>
      <c r="MN204" s="2071"/>
      <c r="MO204" s="2071"/>
      <c r="MP204" s="2071"/>
      <c r="MQ204" s="2071"/>
      <c r="MR204" s="2071"/>
      <c r="MS204" s="2071"/>
      <c r="MT204" s="2071"/>
      <c r="MU204" s="2071"/>
      <c r="MV204" s="2071"/>
      <c r="MW204" s="2071"/>
      <c r="MX204" s="2071"/>
      <c r="MY204" s="2071"/>
      <c r="MZ204" s="2071"/>
      <c r="NA204" s="2071"/>
      <c r="NB204" s="2071"/>
      <c r="NC204" s="2071"/>
      <c r="ND204" s="2071"/>
      <c r="NE204" s="2071"/>
      <c r="NF204" s="2071"/>
      <c r="NG204" s="2071"/>
      <c r="NH204" s="2071"/>
      <c r="NI204" s="2071"/>
      <c r="NJ204" s="2071"/>
      <c r="NK204" s="2071"/>
      <c r="NL204" s="2071"/>
      <c r="NM204" s="2071"/>
      <c r="NN204" s="2071"/>
      <c r="NO204" s="2071"/>
      <c r="NP204" s="2071"/>
      <c r="NQ204" s="2071"/>
      <c r="NR204" s="2071"/>
      <c r="NS204" s="2071"/>
      <c r="NT204" s="2071"/>
      <c r="NU204" s="2071"/>
      <c r="NV204" s="2071"/>
      <c r="NW204" s="2071"/>
      <c r="NX204" s="2071"/>
      <c r="NY204" s="2071"/>
      <c r="NZ204" s="2071"/>
      <c r="OA204" s="2071"/>
      <c r="OB204" s="2071"/>
      <c r="OC204" s="2071"/>
      <c r="OD204" s="2071"/>
      <c r="OE204" s="2071"/>
      <c r="OF204" s="2071"/>
      <c r="OG204" s="2071"/>
      <c r="OH204" s="2071"/>
      <c r="OI204" s="2071"/>
      <c r="OJ204" s="2071"/>
      <c r="OK204" s="2071"/>
      <c r="OL204" s="2071"/>
      <c r="OM204" s="2071"/>
      <c r="ON204" s="2071"/>
      <c r="OO204" s="2071"/>
      <c r="OP204" s="2071"/>
      <c r="OQ204" s="2071"/>
      <c r="OR204" s="2071"/>
      <c r="OS204" s="2071"/>
      <c r="OT204" s="2071"/>
      <c r="OU204" s="2071"/>
      <c r="OV204" s="2071"/>
      <c r="OW204" s="2071"/>
      <c r="OX204" s="2071"/>
      <c r="OY204" s="2071"/>
      <c r="OZ204" s="2071"/>
      <c r="PA204" s="2071"/>
      <c r="PB204" s="2071"/>
      <c r="PC204" s="2071"/>
      <c r="PD204" s="2071"/>
      <c r="PE204" s="2071"/>
      <c r="PF204" s="2071"/>
      <c r="PG204" s="2071"/>
      <c r="PH204" s="2071"/>
      <c r="PI204" s="2071"/>
      <c r="PJ204" s="2071"/>
      <c r="PK204" s="2071"/>
      <c r="PL204" s="2071"/>
      <c r="PM204" s="2071"/>
      <c r="PN204" s="2071"/>
      <c r="PO204" s="2071"/>
      <c r="PP204" s="2071"/>
      <c r="PQ204" s="2071"/>
      <c r="PR204" s="2071"/>
      <c r="PS204" s="2071"/>
      <c r="PT204" s="2071"/>
      <c r="PU204" s="2071"/>
      <c r="PV204" s="2071"/>
      <c r="PW204" s="2071"/>
      <c r="PX204" s="2071"/>
      <c r="PY204" s="2071"/>
      <c r="PZ204" s="2071"/>
      <c r="QA204" s="2071"/>
      <c r="QB204" s="2071"/>
      <c r="QC204" s="2071"/>
      <c r="QD204" s="2071"/>
      <c r="QE204" s="2071"/>
      <c r="QF204" s="2071"/>
      <c r="QG204" s="2071"/>
      <c r="QH204" s="2071"/>
      <c r="QI204" s="2071"/>
      <c r="QJ204" s="2071"/>
      <c r="QK204" s="2071"/>
      <c r="QL204" s="2071"/>
      <c r="QM204" s="2071"/>
      <c r="QN204" s="2071"/>
      <c r="QO204" s="2071"/>
      <c r="QP204" s="2071"/>
      <c r="QQ204" s="2071"/>
      <c r="QR204" s="2071"/>
      <c r="QS204" s="2071"/>
      <c r="QT204" s="2071"/>
      <c r="QU204" s="2071"/>
      <c r="QV204" s="2071"/>
      <c r="QW204" s="2071"/>
      <c r="QX204" s="2071"/>
      <c r="QY204" s="2071"/>
      <c r="QZ204" s="2071"/>
      <c r="RA204" s="2071"/>
      <c r="RB204" s="2071"/>
      <c r="RC204" s="2071"/>
      <c r="RD204" s="2071"/>
      <c r="RE204" s="2071"/>
      <c r="RF204" s="2071"/>
      <c r="RG204" s="2071"/>
      <c r="RH204" s="2071"/>
      <c r="RI204" s="2071"/>
      <c r="RJ204" s="2071"/>
      <c r="RK204" s="2071"/>
      <c r="RL204" s="2071"/>
      <c r="RM204" s="2071"/>
      <c r="RN204" s="2071"/>
      <c r="RO204" s="2071"/>
      <c r="RP204" s="2071"/>
      <c r="RQ204" s="2071"/>
      <c r="RR204" s="2071"/>
      <c r="RS204" s="2071"/>
      <c r="RT204" s="2071"/>
      <c r="RU204" s="2071"/>
      <c r="RV204" s="2071"/>
      <c r="RW204" s="2071"/>
      <c r="RX204" s="2071"/>
      <c r="RY204" s="2071"/>
      <c r="RZ204" s="2071"/>
      <c r="SA204" s="2071"/>
      <c r="SB204" s="2071"/>
      <c r="SC204" s="2071"/>
      <c r="SD204" s="2071"/>
      <c r="SE204" s="2071"/>
      <c r="SF204" s="2071"/>
      <c r="SG204" s="2071"/>
      <c r="SH204" s="2071"/>
      <c r="SI204" s="2071"/>
      <c r="SJ204" s="2071"/>
      <c r="SK204" s="2071"/>
      <c r="SL204" s="2071"/>
      <c r="SM204" s="2071"/>
      <c r="SN204" s="2071"/>
      <c r="SO204" s="2071"/>
      <c r="SP204" s="2071"/>
      <c r="SQ204" s="2071"/>
      <c r="SR204" s="2071"/>
      <c r="SS204" s="2071"/>
      <c r="ST204" s="2071"/>
      <c r="SU204" s="2071"/>
      <c r="SV204" s="2071"/>
      <c r="SW204" s="2071"/>
      <c r="SX204" s="2071"/>
      <c r="SY204" s="2071"/>
      <c r="SZ204" s="2071"/>
      <c r="TA204" s="2071"/>
      <c r="TB204" s="2071"/>
      <c r="TC204" s="2071"/>
      <c r="TD204" s="2071"/>
      <c r="TE204" s="2071"/>
      <c r="TF204" s="2071"/>
      <c r="TG204" s="2071"/>
      <c r="TH204" s="2071"/>
      <c r="TI204" s="2071"/>
      <c r="TJ204" s="2071"/>
      <c r="TK204" s="2071"/>
      <c r="TL204" s="2071"/>
      <c r="TM204" s="2071"/>
      <c r="TN204" s="2071"/>
      <c r="TO204" s="2071"/>
      <c r="TP204" s="2071"/>
      <c r="TQ204" s="2071"/>
      <c r="TR204" s="2071"/>
      <c r="TS204" s="2071"/>
      <c r="TT204" s="2071"/>
      <c r="TU204" s="2071"/>
      <c r="TV204" s="2071"/>
      <c r="TW204" s="2071"/>
      <c r="TX204" s="2071"/>
      <c r="TY204" s="2071"/>
      <c r="TZ204" s="2071"/>
      <c r="UA204" s="2071"/>
      <c r="UB204" s="2071"/>
      <c r="UC204" s="2071"/>
      <c r="UD204" s="2071"/>
      <c r="UE204" s="2071"/>
      <c r="UF204" s="2071"/>
      <c r="UG204" s="2071"/>
      <c r="UH204" s="2071"/>
      <c r="UI204" s="2071"/>
      <c r="UJ204" s="2071"/>
      <c r="UK204" s="2071"/>
      <c r="UL204" s="2071"/>
      <c r="UM204" s="2071"/>
      <c r="UN204" s="2071"/>
      <c r="UO204" s="2071"/>
      <c r="UP204" s="2071"/>
      <c r="UQ204" s="2071"/>
      <c r="UR204" s="2071"/>
      <c r="US204" s="2071"/>
      <c r="UT204" s="2071"/>
      <c r="UU204" s="2071"/>
      <c r="UV204" s="2071"/>
      <c r="UW204" s="2071"/>
      <c r="UX204" s="2071"/>
      <c r="UY204" s="2071"/>
      <c r="UZ204" s="2071"/>
      <c r="VA204" s="2071"/>
      <c r="VB204" s="2071"/>
      <c r="VC204" s="2071"/>
      <c r="VD204" s="2071"/>
      <c r="VE204" s="2071"/>
      <c r="VF204" s="2071"/>
      <c r="VG204" s="2071"/>
      <c r="VH204" s="2071"/>
      <c r="VI204" s="2071"/>
      <c r="VJ204" s="2071"/>
      <c r="VK204" s="2071"/>
      <c r="VL204" s="2071"/>
      <c r="VM204" s="2071"/>
      <c r="VN204" s="2071"/>
      <c r="VO204" s="2071"/>
      <c r="VP204" s="2071"/>
      <c r="VQ204" s="2071"/>
      <c r="VR204" s="2071"/>
      <c r="VS204" s="2071"/>
      <c r="VT204" s="2071"/>
      <c r="VU204" s="2071"/>
      <c r="VV204" s="2071"/>
      <c r="VW204" s="2071"/>
      <c r="VX204" s="2071"/>
      <c r="VY204" s="2071"/>
      <c r="VZ204" s="2071"/>
      <c r="WA204" s="2071"/>
      <c r="WB204" s="2071"/>
      <c r="WC204" s="2071"/>
      <c r="WD204" s="2071"/>
      <c r="WE204" s="2071"/>
      <c r="WF204" s="2071"/>
      <c r="WG204" s="2071"/>
      <c r="WH204" s="2071"/>
      <c r="WI204" s="2071"/>
      <c r="WJ204" s="2071"/>
      <c r="WK204" s="2071"/>
      <c r="WL204" s="2071"/>
      <c r="WM204" s="2071"/>
      <c r="WN204" s="2071"/>
      <c r="WO204" s="2071"/>
      <c r="WP204" s="2071"/>
      <c r="WQ204" s="2071"/>
      <c r="WR204" s="2071"/>
      <c r="WS204" s="2071"/>
      <c r="WT204" s="2071"/>
      <c r="WU204" s="2071"/>
      <c r="WV204" s="2071"/>
      <c r="WW204" s="2071"/>
      <c r="WX204" s="2071"/>
      <c r="WY204" s="2071"/>
      <c r="WZ204" s="2071"/>
      <c r="XA204" s="2071"/>
      <c r="XB204" s="2071"/>
      <c r="XC204" s="2071"/>
      <c r="XD204" s="2071"/>
      <c r="XE204" s="2071"/>
      <c r="XF204" s="2071"/>
      <c r="XG204" s="2071"/>
      <c r="XH204" s="2071"/>
      <c r="XI204" s="2071"/>
      <c r="XJ204" s="2071"/>
      <c r="XK204" s="2071"/>
      <c r="XL204" s="2071"/>
      <c r="XM204" s="2071"/>
      <c r="XN204" s="2071"/>
      <c r="XO204" s="2071"/>
      <c r="XP204" s="2071"/>
      <c r="XQ204" s="2071"/>
      <c r="XR204" s="2071"/>
      <c r="XS204" s="2071"/>
      <c r="XT204" s="2071"/>
      <c r="XU204" s="2071"/>
      <c r="XV204" s="2071"/>
      <c r="XW204" s="2071"/>
      <c r="XX204" s="2071"/>
      <c r="XY204" s="2071"/>
      <c r="XZ204" s="2071"/>
      <c r="YA204" s="2071"/>
      <c r="YB204" s="2071"/>
      <c r="YC204" s="2071"/>
      <c r="YD204" s="2071"/>
      <c r="YE204" s="2071"/>
      <c r="YF204" s="2071"/>
      <c r="YG204" s="2071"/>
      <c r="YH204" s="2071"/>
      <c r="YI204" s="2071"/>
      <c r="YJ204" s="2071"/>
      <c r="YK204" s="2071"/>
      <c r="YL204" s="2071"/>
      <c r="YM204" s="2071"/>
      <c r="YN204" s="2071"/>
      <c r="YO204" s="2071"/>
      <c r="YP204" s="2071"/>
      <c r="YQ204" s="2071"/>
      <c r="YR204" s="2071"/>
      <c r="YS204" s="2071"/>
      <c r="YT204" s="2071"/>
      <c r="YU204" s="2071"/>
      <c r="YV204" s="2071"/>
      <c r="YW204" s="2071"/>
      <c r="YX204" s="2071"/>
      <c r="YY204" s="2071"/>
      <c r="YZ204" s="2071"/>
      <c r="ZA204" s="2071"/>
      <c r="ZB204" s="2071"/>
      <c r="ZC204" s="2071"/>
      <c r="ZD204" s="2071"/>
      <c r="ZE204" s="2071"/>
      <c r="ZF204" s="2071"/>
      <c r="ZG204" s="2071"/>
      <c r="ZH204" s="2071"/>
      <c r="ZI204" s="2071"/>
      <c r="ZJ204" s="2071"/>
      <c r="ZK204" s="2071"/>
      <c r="ZL204" s="2071"/>
      <c r="ZM204" s="2071"/>
      <c r="ZN204" s="2071"/>
      <c r="ZO204" s="2071"/>
      <c r="ZP204" s="2071"/>
      <c r="ZQ204" s="2071"/>
      <c r="ZR204" s="2071"/>
      <c r="ZS204" s="2071"/>
      <c r="ZT204" s="2071"/>
      <c r="ZU204" s="2071"/>
      <c r="ZV204" s="2071"/>
      <c r="ZW204" s="2071"/>
      <c r="ZX204" s="2071"/>
      <c r="ZY204" s="2071"/>
      <c r="ZZ204" s="2071"/>
      <c r="AAA204" s="2071"/>
      <c r="AAB204" s="2071"/>
      <c r="AAC204" s="2071"/>
      <c r="AAD204" s="2071"/>
      <c r="AAE204" s="2071"/>
      <c r="AAF204" s="2071"/>
      <c r="AAG204" s="2071"/>
      <c r="AAH204" s="2071"/>
      <c r="AAI204" s="2071"/>
      <c r="AAJ204" s="2071"/>
      <c r="AAK204" s="2071"/>
      <c r="AAL204" s="2071"/>
      <c r="AAM204" s="2071"/>
      <c r="AAN204" s="2071"/>
      <c r="AAO204" s="2071"/>
      <c r="AAP204" s="2071"/>
      <c r="AAQ204" s="2071"/>
      <c r="AAR204" s="2071"/>
      <c r="AAS204" s="2071"/>
      <c r="AAT204" s="2071"/>
      <c r="AAU204" s="2071"/>
      <c r="AAV204" s="2071"/>
      <c r="AAW204" s="2071"/>
      <c r="AAX204" s="2071"/>
      <c r="AAY204" s="2071"/>
      <c r="AAZ204" s="2071"/>
      <c r="ABA204" s="2071"/>
      <c r="ABB204" s="2071"/>
      <c r="ABC204" s="2071"/>
      <c r="ABD204" s="2071"/>
      <c r="ABE204" s="2071"/>
      <c r="ABF204" s="2071"/>
      <c r="ABG204" s="2071"/>
      <c r="ABH204" s="2071"/>
      <c r="ABI204" s="2071"/>
      <c r="ABJ204" s="2071"/>
      <c r="ABK204" s="2071"/>
      <c r="ABL204" s="2071"/>
      <c r="ABM204" s="2071"/>
      <c r="ABN204" s="2071"/>
      <c r="ABO204" s="2071"/>
      <c r="ABP204" s="2071"/>
      <c r="ABQ204" s="2071"/>
      <c r="ABR204" s="2071"/>
      <c r="ABS204" s="2071"/>
      <c r="ABT204" s="2071"/>
      <c r="ABU204" s="2071"/>
      <c r="ABV204" s="2071"/>
      <c r="ABW204" s="2071"/>
      <c r="ABX204" s="2071"/>
      <c r="ABY204" s="2071"/>
      <c r="ABZ204" s="2071"/>
      <c r="ACA204" s="2071"/>
      <c r="ACB204" s="2071"/>
      <c r="ACC204" s="2071"/>
      <c r="ACD204" s="2071"/>
      <c r="ACE204" s="2071"/>
      <c r="ACF204" s="2071"/>
      <c r="ACG204" s="2071"/>
      <c r="ACH204" s="2071"/>
      <c r="ACI204" s="2071"/>
      <c r="ACJ204" s="2071"/>
      <c r="ACK204" s="2071"/>
      <c r="ACL204" s="2071"/>
      <c r="ACM204" s="2071"/>
      <c r="ACN204" s="2071"/>
      <c r="ACO204" s="2071"/>
      <c r="ACP204" s="2071"/>
      <c r="ACQ204" s="2071"/>
      <c r="ACR204" s="2071"/>
      <c r="ACS204" s="2071"/>
      <c r="ACT204" s="2071"/>
      <c r="ACU204" s="2071"/>
      <c r="ACV204" s="2071"/>
      <c r="ACW204" s="2071"/>
      <c r="ACX204" s="2071"/>
      <c r="ACY204" s="2071"/>
      <c r="ACZ204" s="2071"/>
      <c r="ADA204" s="2071"/>
      <c r="ADB204" s="2071"/>
      <c r="ADC204" s="2071"/>
      <c r="ADD204" s="2071"/>
      <c r="ADE204" s="2071"/>
      <c r="ADF204" s="2071"/>
      <c r="ADG204" s="2071"/>
      <c r="ADH204" s="2071"/>
      <c r="ADI204" s="2071"/>
      <c r="ADJ204" s="2071"/>
      <c r="ADK204" s="2071"/>
      <c r="ADL204" s="2071"/>
      <c r="ADM204" s="2071"/>
      <c r="ADN204" s="2071"/>
      <c r="ADO204" s="2071"/>
      <c r="ADP204" s="2071"/>
      <c r="ADQ204" s="2071"/>
      <c r="ADR204" s="2071"/>
      <c r="ADS204" s="2071"/>
      <c r="ADT204" s="2071"/>
      <c r="ADU204" s="2071"/>
      <c r="ADV204" s="2071"/>
      <c r="ADW204" s="2071"/>
      <c r="ADX204" s="2071"/>
      <c r="ADY204" s="2071"/>
      <c r="ADZ204" s="2071"/>
      <c r="AEA204" s="2071"/>
      <c r="AEB204" s="2071"/>
      <c r="AEC204" s="2071"/>
      <c r="AED204" s="2071"/>
      <c r="AEE204" s="2071"/>
      <c r="AEF204" s="2071"/>
      <c r="AEG204" s="2071"/>
      <c r="AEH204" s="2071"/>
      <c r="AEI204" s="2071"/>
      <c r="AEJ204" s="2071"/>
      <c r="AEK204" s="2071"/>
      <c r="AEL204" s="2071"/>
      <c r="AEM204" s="2071"/>
      <c r="AEN204" s="2071"/>
      <c r="AEO204" s="2071"/>
      <c r="AEP204" s="2071"/>
      <c r="AEQ204" s="2071"/>
      <c r="AER204" s="2071"/>
      <c r="AES204" s="2071"/>
      <c r="AET204" s="2071"/>
      <c r="AEU204" s="2071"/>
      <c r="AEV204" s="2071"/>
      <c r="AEW204" s="2071"/>
      <c r="AEX204" s="2071"/>
      <c r="AEY204" s="2071"/>
      <c r="AEZ204" s="2071"/>
      <c r="AFA204" s="2071"/>
      <c r="AFB204" s="2071"/>
      <c r="AFC204" s="2071"/>
      <c r="AFD204" s="2071"/>
      <c r="AFE204" s="2071"/>
      <c r="AFF204" s="2071"/>
      <c r="AFG204" s="2071"/>
      <c r="AFH204" s="2071"/>
      <c r="AFI204" s="2071"/>
      <c r="AFJ204" s="2071"/>
      <c r="AFK204" s="2071"/>
      <c r="AFL204" s="2071"/>
      <c r="AFM204" s="2071"/>
      <c r="AFN204" s="2071"/>
      <c r="AFO204" s="2071"/>
      <c r="AFP204" s="2071"/>
      <c r="AFQ204" s="2071"/>
      <c r="AFR204" s="2071"/>
      <c r="AFS204" s="2071"/>
      <c r="AFT204" s="2071"/>
      <c r="AFU204" s="2071"/>
      <c r="AFV204" s="2071"/>
      <c r="AFW204" s="2071"/>
      <c r="AFX204" s="2071"/>
      <c r="AFY204" s="2071"/>
      <c r="AFZ204" s="2071"/>
      <c r="AGA204" s="2071"/>
      <c r="AGB204" s="2071"/>
      <c r="AGC204" s="2071"/>
      <c r="AGD204" s="2071"/>
      <c r="AGE204" s="2071"/>
      <c r="AGF204" s="2071"/>
      <c r="AGG204" s="2071"/>
      <c r="AGH204" s="2071"/>
      <c r="AGI204" s="2071"/>
      <c r="AGJ204" s="2071"/>
      <c r="AGK204" s="2071"/>
      <c r="AGL204" s="2071"/>
      <c r="AGM204" s="2071"/>
      <c r="AGN204" s="2071"/>
      <c r="AGO204" s="2071"/>
      <c r="AGP204" s="2071"/>
      <c r="AGQ204" s="2071"/>
      <c r="AGR204" s="2071"/>
      <c r="AGS204" s="2071"/>
      <c r="AGT204" s="2071"/>
      <c r="AGU204" s="2071"/>
      <c r="AGV204" s="2071"/>
      <c r="AGW204" s="2071"/>
      <c r="AGX204" s="2071"/>
      <c r="AGY204" s="2071"/>
      <c r="AGZ204" s="2071"/>
      <c r="AHA204" s="2071"/>
      <c r="AHB204" s="2071"/>
      <c r="AHC204" s="2071"/>
      <c r="AHD204" s="2071"/>
      <c r="AHE204" s="2071"/>
      <c r="AHF204" s="2071"/>
      <c r="AHG204" s="2071"/>
      <c r="AHH204" s="2071"/>
      <c r="AHI204" s="2071"/>
      <c r="AHJ204" s="2071"/>
      <c r="AHK204" s="2071"/>
      <c r="AHL204" s="2071"/>
      <c r="AHM204" s="2071"/>
      <c r="AHN204" s="2071"/>
      <c r="AHO204" s="2071"/>
      <c r="AHP204" s="2071"/>
      <c r="AHQ204" s="2071"/>
      <c r="AHR204" s="2071"/>
      <c r="AHS204" s="2071"/>
      <c r="AHT204" s="2071"/>
      <c r="AHU204" s="2071"/>
      <c r="AHV204" s="2071"/>
      <c r="AHW204" s="2071"/>
      <c r="AHX204" s="2071"/>
      <c r="AHY204" s="2071"/>
      <c r="AHZ204" s="2071"/>
      <c r="AIA204" s="2071"/>
      <c r="AIB204" s="2071"/>
      <c r="AIC204" s="2071"/>
      <c r="AID204" s="2071"/>
      <c r="AIE204" s="2071"/>
      <c r="AIF204" s="2071"/>
      <c r="AIG204" s="2071"/>
      <c r="AIH204" s="2071"/>
      <c r="AII204" s="2071"/>
      <c r="AIJ204" s="2071"/>
      <c r="AIK204" s="2071"/>
      <c r="AIL204" s="2071"/>
      <c r="AIM204" s="2071"/>
      <c r="AIN204" s="2071"/>
      <c r="AIO204" s="2071"/>
      <c r="AIP204" s="2071"/>
      <c r="AIQ204" s="2071"/>
      <c r="AIR204" s="2071"/>
      <c r="AIS204" s="2071"/>
      <c r="AIT204" s="2071"/>
      <c r="AIU204" s="2071"/>
      <c r="AIV204" s="2071"/>
      <c r="AIW204" s="2071"/>
      <c r="AIX204" s="2071"/>
      <c r="AIY204" s="2071"/>
      <c r="AIZ204" s="2071"/>
      <c r="AJA204" s="2071"/>
      <c r="AJB204" s="2071"/>
      <c r="AJC204" s="2071"/>
      <c r="AJD204" s="2071"/>
      <c r="AJE204" s="2071"/>
      <c r="AJF204" s="2071"/>
      <c r="AJG204" s="2071"/>
      <c r="AJH204" s="2071"/>
      <c r="AJI204" s="2071"/>
      <c r="AJJ204" s="2071"/>
      <c r="AJK204" s="2071"/>
      <c r="AJL204" s="2071"/>
      <c r="AJM204" s="2071"/>
      <c r="AJN204" s="2071"/>
      <c r="AJO204" s="2071"/>
      <c r="AJP204" s="2071"/>
      <c r="AJQ204" s="2071"/>
      <c r="AJR204" s="2071"/>
      <c r="AJS204" s="2071"/>
      <c r="AJT204" s="2071"/>
      <c r="AJU204" s="2071"/>
      <c r="AJV204" s="2071"/>
      <c r="AJW204" s="2071"/>
      <c r="AJX204" s="2071"/>
      <c r="AJY204" s="2071"/>
      <c r="AJZ204" s="2071"/>
      <c r="AKA204" s="2071"/>
      <c r="AKB204" s="2071"/>
      <c r="AKC204" s="2071"/>
      <c r="AKD204" s="2071"/>
      <c r="AKE204" s="2071"/>
      <c r="AKF204" s="2071"/>
      <c r="AKG204" s="2071"/>
      <c r="AKH204" s="2071"/>
      <c r="AKI204" s="2071"/>
      <c r="AKJ204" s="2071"/>
      <c r="AKK204" s="2071"/>
      <c r="AKL204" s="2071"/>
      <c r="AKM204" s="2071"/>
      <c r="AKN204" s="2071"/>
      <c r="AKO204" s="2071"/>
      <c r="AKP204" s="2071"/>
      <c r="AKQ204" s="2071"/>
      <c r="AKR204" s="2071"/>
      <c r="AKS204" s="2071"/>
      <c r="AKT204" s="2071"/>
      <c r="AKU204" s="2071"/>
      <c r="AKV204" s="2071"/>
      <c r="AKW204" s="2071"/>
      <c r="AKX204" s="2071"/>
      <c r="AKY204" s="2071"/>
      <c r="AKZ204" s="2071"/>
      <c r="ALA204" s="2071"/>
      <c r="ALB204" s="2071"/>
      <c r="ALC204" s="2071"/>
      <c r="ALD204" s="2071"/>
      <c r="ALE204" s="2071"/>
      <c r="ALF204" s="2071"/>
      <c r="ALG204" s="2071"/>
      <c r="ALH204" s="2071"/>
      <c r="ALI204" s="2071"/>
      <c r="ALJ204" s="2071"/>
      <c r="ALK204" s="2071"/>
      <c r="ALL204" s="2071"/>
      <c r="ALM204" s="2071"/>
      <c r="ALN204" s="2071"/>
      <c r="ALO204" s="2071"/>
      <c r="ALP204" s="2071"/>
      <c r="ALQ204" s="2071"/>
      <c r="ALR204" s="2071"/>
      <c r="ALS204" s="2071"/>
      <c r="ALT204" s="2071"/>
      <c r="ALU204" s="2071"/>
      <c r="ALV204" s="2071"/>
      <c r="ALW204" s="2071"/>
      <c r="ALX204" s="2071"/>
      <c r="ALY204" s="2071"/>
      <c r="ALZ204" s="2071"/>
      <c r="AMA204" s="2071"/>
      <c r="AMB204" s="2071"/>
      <c r="AMC204" s="2071"/>
      <c r="AMD204" s="2071"/>
      <c r="AME204" s="2071"/>
      <c r="AMF204" s="2071"/>
      <c r="AMG204" s="2071"/>
      <c r="AMH204" s="2071"/>
      <c r="AMI204" s="2071"/>
      <c r="AMJ204" s="2071"/>
      <c r="AMK204" s="2071"/>
      <c r="AML204" s="2071"/>
      <c r="AMM204" s="2071"/>
      <c r="AMN204" s="2071"/>
      <c r="AMO204" s="2071"/>
      <c r="AMP204" s="2071"/>
      <c r="AMQ204" s="2071"/>
      <c r="AMR204" s="2071"/>
      <c r="AMS204" s="2071"/>
      <c r="AMT204" s="2071"/>
      <c r="AMU204" s="2071"/>
      <c r="AMV204" s="2071"/>
      <c r="AMW204" s="2071"/>
      <c r="AMX204" s="2071"/>
      <c r="AMY204" s="2071"/>
      <c r="AMZ204" s="2071"/>
      <c r="ANA204" s="2071"/>
      <c r="ANB204" s="2071"/>
      <c r="ANC204" s="2071"/>
      <c r="AND204" s="2071"/>
      <c r="ANE204" s="2071"/>
      <c r="ANF204" s="2071"/>
      <c r="ANG204" s="2071"/>
      <c r="ANH204" s="2071"/>
      <c r="ANI204" s="2071"/>
      <c r="ANJ204" s="2071"/>
      <c r="ANK204" s="2071"/>
      <c r="ANL204" s="2071"/>
      <c r="ANM204" s="2071"/>
      <c r="ANN204" s="2071"/>
      <c r="ANO204" s="2071"/>
      <c r="ANP204" s="2071"/>
      <c r="ANQ204" s="2071"/>
      <c r="ANR204" s="2071"/>
      <c r="ANS204" s="2071"/>
      <c r="ANT204" s="2071"/>
      <c r="ANU204" s="2071"/>
      <c r="ANV204" s="2071"/>
      <c r="ANW204" s="2071"/>
      <c r="ANX204" s="2071"/>
      <c r="ANY204" s="2071"/>
      <c r="ANZ204" s="2071"/>
      <c r="AOA204" s="2071"/>
      <c r="AOB204" s="2071"/>
      <c r="AOC204" s="2071"/>
      <c r="AOD204" s="2071"/>
      <c r="AOE204" s="2071"/>
      <c r="AOF204" s="2071"/>
      <c r="AOG204" s="2071"/>
      <c r="AOH204" s="2071"/>
      <c r="AOI204" s="2071"/>
      <c r="AOJ204" s="2071"/>
      <c r="AOK204" s="2071"/>
      <c r="AOL204" s="2071"/>
      <c r="AOM204" s="2071"/>
      <c r="AON204" s="2071"/>
      <c r="AOO204" s="2071"/>
      <c r="AOP204" s="2071"/>
      <c r="AOQ204" s="2071"/>
      <c r="AOR204" s="2071"/>
      <c r="AOS204" s="2071"/>
      <c r="AOT204" s="2071"/>
      <c r="AOU204" s="2071"/>
      <c r="AOV204" s="2071"/>
      <c r="AOW204" s="2071"/>
      <c r="AOX204" s="2071"/>
      <c r="AOY204" s="2071"/>
      <c r="AOZ204" s="2071"/>
      <c r="APA204" s="2071"/>
      <c r="APB204" s="2071"/>
      <c r="APC204" s="2071"/>
      <c r="APD204" s="2071"/>
      <c r="APE204" s="2071"/>
      <c r="APF204" s="2071"/>
      <c r="APG204" s="2071"/>
      <c r="APH204" s="2071"/>
      <c r="API204" s="2071"/>
      <c r="APJ204" s="2071"/>
      <c r="APK204" s="2071"/>
      <c r="APL204" s="2071"/>
      <c r="APM204" s="2071"/>
      <c r="APN204" s="2071"/>
      <c r="APO204" s="2071"/>
      <c r="APP204" s="2071"/>
      <c r="APQ204" s="2071"/>
      <c r="APR204" s="2071"/>
      <c r="APS204" s="2071"/>
      <c r="APT204" s="2071"/>
      <c r="APU204" s="2071"/>
      <c r="APV204" s="2071"/>
      <c r="APW204" s="2071"/>
      <c r="APX204" s="2071"/>
      <c r="APY204" s="2071"/>
      <c r="APZ204" s="2071"/>
      <c r="AQA204" s="2071"/>
      <c r="AQB204" s="2071"/>
      <c r="AQC204" s="2071"/>
      <c r="AQD204" s="2071"/>
      <c r="AQE204" s="2071"/>
      <c r="AQF204" s="2071"/>
      <c r="AQG204" s="2071"/>
      <c r="AQH204" s="2071"/>
      <c r="AQI204" s="2071"/>
      <c r="AQJ204" s="2071"/>
      <c r="AQK204" s="2071"/>
      <c r="AQL204" s="2071"/>
      <c r="AQM204" s="2071"/>
      <c r="AQN204" s="2071"/>
      <c r="AQO204" s="2071"/>
      <c r="AQP204" s="2071"/>
      <c r="AQQ204" s="2071"/>
      <c r="AQR204" s="2071"/>
      <c r="AQS204" s="2071"/>
      <c r="AQT204" s="2071"/>
      <c r="AQU204" s="2071"/>
      <c r="AQV204" s="2071"/>
      <c r="AQW204" s="2071"/>
      <c r="AQX204" s="2071"/>
      <c r="AQY204" s="2071"/>
      <c r="AQZ204" s="2071"/>
      <c r="ARA204" s="2071"/>
      <c r="ARB204" s="2071"/>
      <c r="ARC204" s="2071"/>
      <c r="ARD204" s="2071"/>
      <c r="ARE204" s="2071"/>
      <c r="ARF204" s="2071"/>
      <c r="ARG204" s="2071"/>
      <c r="ARH204" s="2071"/>
      <c r="ARI204" s="2071"/>
      <c r="ARJ204" s="2071"/>
      <c r="ARK204" s="2071"/>
      <c r="ARL204" s="2071"/>
      <c r="ARM204" s="2071"/>
      <c r="ARN204" s="2071"/>
      <c r="ARO204" s="2071"/>
      <c r="ARP204" s="2071"/>
      <c r="ARQ204" s="2071"/>
      <c r="ARR204" s="2071"/>
      <c r="ARS204" s="2071"/>
      <c r="ART204" s="2071"/>
      <c r="ARU204" s="2071"/>
      <c r="ARV204" s="2071"/>
      <c r="ARW204" s="2071"/>
      <c r="ARX204" s="2071"/>
      <c r="ARY204" s="2071"/>
      <c r="ARZ204" s="2071"/>
      <c r="ASA204" s="2071"/>
      <c r="ASB204" s="2071"/>
      <c r="ASC204" s="2071"/>
      <c r="ASD204" s="2071"/>
      <c r="ASE204" s="2071"/>
      <c r="ASF204" s="2071"/>
      <c r="ASG204" s="2071"/>
      <c r="ASH204" s="2071"/>
      <c r="ASI204" s="2071"/>
      <c r="ASJ204" s="2071"/>
      <c r="ASK204" s="2071"/>
      <c r="ASL204" s="2071"/>
      <c r="ASM204" s="2071"/>
      <c r="ASN204" s="2071"/>
      <c r="ASO204" s="2071"/>
      <c r="ASP204" s="2071"/>
      <c r="ASQ204" s="2071"/>
      <c r="ASR204" s="2071"/>
      <c r="ASS204" s="2071"/>
      <c r="AST204" s="2071"/>
      <c r="ASU204" s="2071"/>
      <c r="ASV204" s="2071"/>
      <c r="ASW204" s="2071"/>
      <c r="ASX204" s="2071"/>
      <c r="ASY204" s="2071"/>
      <c r="ASZ204" s="2071"/>
      <c r="ATA204" s="2071"/>
      <c r="ATB204" s="2071"/>
      <c r="ATC204" s="2071"/>
      <c r="ATD204" s="2071"/>
      <c r="ATE204" s="2071"/>
      <c r="ATF204" s="2071"/>
      <c r="ATG204" s="2071"/>
      <c r="ATH204" s="2071"/>
      <c r="ATI204" s="2071"/>
      <c r="ATJ204" s="2071"/>
      <c r="ATK204" s="2071"/>
      <c r="ATL204" s="2071"/>
      <c r="ATM204" s="2071"/>
      <c r="ATN204" s="2071"/>
      <c r="ATO204" s="2071"/>
      <c r="ATP204" s="2071"/>
      <c r="ATQ204" s="2071"/>
      <c r="ATR204" s="2071"/>
      <c r="ATS204" s="2071"/>
      <c r="ATT204" s="2071"/>
      <c r="ATU204" s="2071"/>
      <c r="ATV204" s="2071"/>
      <c r="ATW204" s="2071"/>
      <c r="ATX204" s="2071"/>
      <c r="ATY204" s="2071"/>
      <c r="ATZ204" s="2071"/>
      <c r="AUA204" s="2071"/>
      <c r="AUB204" s="2071"/>
      <c r="AUC204" s="2071"/>
      <c r="AUD204" s="2071"/>
      <c r="AUE204" s="2071"/>
      <c r="AUF204" s="2071"/>
      <c r="AUG204" s="2071"/>
      <c r="AUH204" s="2071"/>
      <c r="AUI204" s="2071"/>
      <c r="AUJ204" s="2071"/>
      <c r="AUK204" s="2071"/>
      <c r="AUL204" s="2071"/>
      <c r="AUM204" s="2071"/>
      <c r="AUN204" s="2071"/>
      <c r="AUO204" s="2071"/>
      <c r="AUP204" s="2071"/>
      <c r="AUQ204" s="2071"/>
      <c r="AUR204" s="2071"/>
      <c r="AUS204" s="2071"/>
      <c r="AUT204" s="2071"/>
      <c r="AUU204" s="2071"/>
      <c r="AUV204" s="2071"/>
      <c r="AUW204" s="2071"/>
      <c r="AUX204" s="2071"/>
      <c r="AUY204" s="2071"/>
      <c r="AUZ204" s="2071"/>
      <c r="AVA204" s="2071"/>
      <c r="AVB204" s="2071"/>
      <c r="AVC204" s="2071"/>
      <c r="AVD204" s="2071"/>
      <c r="AVE204" s="2071"/>
      <c r="AVF204" s="2071"/>
      <c r="AVG204" s="2071"/>
      <c r="AVH204" s="2071"/>
      <c r="AVI204" s="2071"/>
      <c r="AVJ204" s="2071"/>
      <c r="AVK204" s="2071"/>
      <c r="AVL204" s="2071"/>
      <c r="AVM204" s="2071"/>
      <c r="AVN204" s="2071"/>
      <c r="AVO204" s="2071"/>
      <c r="AVP204" s="2071"/>
      <c r="AVQ204" s="2071"/>
      <c r="AVR204" s="2071"/>
      <c r="AVS204" s="2071"/>
      <c r="AVT204" s="2071"/>
      <c r="AVU204" s="2071"/>
      <c r="AVV204" s="2071"/>
      <c r="AVW204" s="2071"/>
      <c r="AVX204" s="2071"/>
      <c r="AVY204" s="2071"/>
      <c r="AVZ204" s="2071"/>
      <c r="AWA204" s="2071"/>
      <c r="AWB204" s="2071"/>
      <c r="AWC204" s="2071"/>
      <c r="AWD204" s="2071"/>
      <c r="AWE204" s="2071"/>
      <c r="AWF204" s="2071"/>
      <c r="AWG204" s="2071"/>
      <c r="AWH204" s="2071"/>
      <c r="AWI204" s="2071"/>
      <c r="AWJ204" s="2071"/>
      <c r="AWK204" s="2071"/>
      <c r="AWL204" s="2071"/>
      <c r="AWM204" s="2071"/>
      <c r="AWN204" s="2071"/>
      <c r="AWO204" s="2071"/>
      <c r="AWP204" s="2071"/>
      <c r="AWQ204" s="2071"/>
      <c r="AWR204" s="2071"/>
      <c r="AWS204" s="2071"/>
      <c r="AWT204" s="2071"/>
      <c r="AWU204" s="2071"/>
      <c r="AWV204" s="2071"/>
      <c r="AWW204" s="2071"/>
      <c r="AWX204" s="2071"/>
      <c r="AWY204" s="2071"/>
      <c r="AWZ204" s="2071"/>
      <c r="AXA204" s="2071"/>
      <c r="AXB204" s="2071"/>
      <c r="AXC204" s="2071"/>
      <c r="AXD204" s="2071"/>
      <c r="AXE204" s="2071"/>
      <c r="AXF204" s="2071"/>
      <c r="AXG204" s="2071"/>
      <c r="AXH204" s="2071"/>
      <c r="AXI204" s="2071"/>
      <c r="AXJ204" s="2071"/>
    </row>
    <row r="205" spans="1:1310" s="2072" customFormat="1" ht="23.25" customHeight="1">
      <c r="A205" s="2073"/>
      <c r="B205" s="4484" t="s">
        <v>878</v>
      </c>
      <c r="C205" s="4484"/>
      <c r="D205" s="4484"/>
      <c r="E205" s="4484"/>
      <c r="F205" s="2075"/>
      <c r="G205" s="4484" t="s">
        <v>879</v>
      </c>
      <c r="H205" s="4484"/>
      <c r="I205" s="4484"/>
      <c r="J205" s="2075"/>
      <c r="K205" s="4487"/>
      <c r="L205" s="4487"/>
      <c r="M205" s="4487"/>
      <c r="N205" s="2075"/>
      <c r="O205" s="4484" t="s">
        <v>880</v>
      </c>
      <c r="P205" s="4484"/>
      <c r="Q205" s="2075"/>
      <c r="R205" s="1838"/>
      <c r="S205" s="1838"/>
      <c r="T205" s="1838"/>
      <c r="U205" s="1838"/>
      <c r="V205" s="1838"/>
      <c r="W205" s="1838"/>
      <c r="X205" s="1838"/>
      <c r="Y205" s="1838"/>
      <c r="Z205" s="1838"/>
      <c r="AA205" s="1838"/>
      <c r="AB205" s="1838"/>
      <c r="AC205" s="1838"/>
      <c r="AD205" s="2070"/>
      <c r="AE205" s="2070"/>
      <c r="AF205" s="2070"/>
      <c r="AG205" s="2070"/>
      <c r="AH205" s="2070"/>
      <c r="AI205" s="2070"/>
      <c r="AJ205" s="2070"/>
      <c r="AK205" s="2070"/>
      <c r="AL205" s="2070"/>
      <c r="AM205" s="2070"/>
      <c r="AN205" s="2070"/>
      <c r="AO205" s="2070"/>
      <c r="AP205" s="2070"/>
      <c r="AQ205" s="2070"/>
      <c r="AR205" s="2070"/>
      <c r="AS205" s="2070"/>
      <c r="AT205" s="2070"/>
      <c r="AU205" s="2070"/>
      <c r="AV205" s="2071"/>
      <c r="AW205" s="2071"/>
      <c r="AX205" s="2071"/>
      <c r="AY205" s="2071"/>
      <c r="AZ205" s="2071"/>
      <c r="BA205" s="2071"/>
      <c r="BB205" s="2071"/>
      <c r="BC205" s="2071"/>
      <c r="BD205" s="2071"/>
      <c r="BE205" s="2071"/>
      <c r="BF205" s="2071"/>
      <c r="BG205" s="2071"/>
      <c r="BH205" s="2071"/>
      <c r="BI205" s="2071"/>
      <c r="BJ205" s="2071"/>
      <c r="BK205" s="2071"/>
      <c r="BL205" s="2071"/>
      <c r="BM205" s="2071"/>
      <c r="BN205" s="2071"/>
      <c r="BO205" s="2071"/>
      <c r="BP205" s="2071"/>
      <c r="BQ205" s="2071"/>
      <c r="BR205" s="2071"/>
      <c r="BS205" s="2071"/>
      <c r="BT205" s="2071"/>
      <c r="BU205" s="2071"/>
      <c r="BV205" s="2071"/>
      <c r="BW205" s="2071"/>
      <c r="BX205" s="2071"/>
      <c r="BY205" s="2071"/>
      <c r="BZ205" s="2071"/>
      <c r="CA205" s="2071"/>
      <c r="CB205" s="2071"/>
      <c r="CC205" s="2071"/>
      <c r="CD205" s="2071"/>
      <c r="CE205" s="2071"/>
      <c r="CF205" s="2071"/>
      <c r="CG205" s="2071"/>
      <c r="CH205" s="2071"/>
      <c r="CI205" s="2071"/>
      <c r="CJ205" s="2071"/>
      <c r="CK205" s="2071"/>
      <c r="CL205" s="2071"/>
      <c r="CM205" s="2071"/>
      <c r="CN205" s="2071"/>
      <c r="CO205" s="2071"/>
      <c r="CP205" s="2071"/>
      <c r="CQ205" s="2071"/>
      <c r="CR205" s="2071"/>
      <c r="CS205" s="2071"/>
      <c r="CT205" s="2071"/>
      <c r="CU205" s="2071"/>
      <c r="CV205" s="2071"/>
      <c r="CW205" s="2071"/>
      <c r="CX205" s="2071"/>
      <c r="CY205" s="2071"/>
      <c r="CZ205" s="2071"/>
      <c r="DA205" s="2071"/>
      <c r="DB205" s="2071"/>
      <c r="DC205" s="2071"/>
      <c r="DD205" s="2071"/>
      <c r="DE205" s="2071"/>
      <c r="DF205" s="2071"/>
      <c r="DG205" s="2071"/>
      <c r="DH205" s="2071"/>
      <c r="DI205" s="2071"/>
      <c r="DJ205" s="2071"/>
      <c r="DK205" s="2071"/>
      <c r="DL205" s="2071"/>
      <c r="DM205" s="2071"/>
      <c r="DN205" s="2071"/>
      <c r="DO205" s="2071"/>
      <c r="DP205" s="2071"/>
      <c r="DQ205" s="2071"/>
      <c r="DR205" s="2071"/>
      <c r="DS205" s="2071"/>
      <c r="DT205" s="2071"/>
      <c r="DU205" s="2071"/>
      <c r="DV205" s="2071"/>
      <c r="DW205" s="2071"/>
      <c r="DX205" s="2071"/>
      <c r="DY205" s="2071"/>
      <c r="DZ205" s="2071"/>
      <c r="EA205" s="2071"/>
      <c r="EB205" s="2071"/>
      <c r="EC205" s="2071"/>
      <c r="ED205" s="2071"/>
      <c r="EE205" s="2071"/>
      <c r="EF205" s="2071"/>
      <c r="EG205" s="2071"/>
      <c r="EH205" s="2071"/>
      <c r="EI205" s="2071"/>
      <c r="EJ205" s="2071"/>
      <c r="EK205" s="2071"/>
      <c r="EL205" s="2071"/>
      <c r="EM205" s="2071"/>
      <c r="EN205" s="2071"/>
      <c r="EO205" s="2071"/>
      <c r="EP205" s="2071"/>
      <c r="EQ205" s="2071"/>
      <c r="ER205" s="2071"/>
      <c r="ES205" s="2071"/>
      <c r="ET205" s="2071"/>
      <c r="EU205" s="2071"/>
      <c r="EV205" s="2071"/>
      <c r="EW205" s="2071"/>
      <c r="EX205" s="2071"/>
      <c r="EY205" s="2071"/>
      <c r="EZ205" s="2071"/>
      <c r="FA205" s="2071"/>
      <c r="FB205" s="2071"/>
      <c r="FC205" s="2071"/>
      <c r="FD205" s="2071"/>
      <c r="FE205" s="2071"/>
      <c r="FF205" s="2071"/>
      <c r="FG205" s="2071"/>
      <c r="FH205" s="2071"/>
      <c r="FI205" s="2071"/>
      <c r="FJ205" s="2071"/>
      <c r="FK205" s="2071"/>
      <c r="FL205" s="2071"/>
      <c r="FM205" s="2071"/>
      <c r="FN205" s="2071"/>
      <c r="FO205" s="2071"/>
      <c r="FP205" s="2071"/>
      <c r="FQ205" s="2071"/>
      <c r="FR205" s="2071"/>
      <c r="FS205" s="2071"/>
      <c r="FT205" s="2071"/>
      <c r="FU205" s="2071"/>
      <c r="FV205" s="2071"/>
      <c r="FW205" s="2071"/>
      <c r="FX205" s="2071"/>
      <c r="FY205" s="2071"/>
      <c r="FZ205" s="2071"/>
      <c r="GA205" s="2071"/>
      <c r="GB205" s="2071"/>
      <c r="GC205" s="2071"/>
      <c r="GD205" s="2071"/>
      <c r="GE205" s="2071"/>
      <c r="GF205" s="2071"/>
      <c r="GG205" s="2071"/>
      <c r="GH205" s="2071"/>
      <c r="GI205" s="2071"/>
      <c r="GJ205" s="2071"/>
      <c r="GK205" s="2071"/>
      <c r="GL205" s="2071"/>
      <c r="GM205" s="2071"/>
      <c r="GN205" s="2071"/>
      <c r="GO205" s="2071"/>
      <c r="GP205" s="2071"/>
      <c r="GQ205" s="2071"/>
      <c r="GR205" s="2071"/>
      <c r="GS205" s="2071"/>
      <c r="GT205" s="2071"/>
      <c r="GU205" s="2071"/>
      <c r="GV205" s="2071"/>
      <c r="GW205" s="2071"/>
      <c r="GX205" s="2071"/>
      <c r="GY205" s="2071"/>
      <c r="GZ205" s="2071"/>
      <c r="HA205" s="2071"/>
      <c r="HB205" s="2071"/>
      <c r="HC205" s="2071"/>
      <c r="HD205" s="2071"/>
      <c r="HE205" s="2071"/>
      <c r="HF205" s="2071"/>
      <c r="HG205" s="2071"/>
      <c r="HH205" s="2071"/>
      <c r="HI205" s="2071"/>
      <c r="HJ205" s="2071"/>
      <c r="HK205" s="2071"/>
      <c r="HL205" s="2071"/>
      <c r="HM205" s="2071"/>
      <c r="HN205" s="2071"/>
      <c r="HO205" s="2071"/>
      <c r="HP205" s="2071"/>
      <c r="HQ205" s="2071"/>
      <c r="HR205" s="2071"/>
      <c r="HS205" s="2071"/>
      <c r="HT205" s="2071"/>
      <c r="HU205" s="2071"/>
      <c r="HV205" s="2071"/>
      <c r="HW205" s="2071"/>
      <c r="HX205" s="2071"/>
      <c r="HY205" s="2071"/>
      <c r="HZ205" s="2071"/>
      <c r="IA205" s="2071"/>
      <c r="IB205" s="2071"/>
      <c r="IC205" s="2071"/>
      <c r="ID205" s="2071"/>
      <c r="IE205" s="2071"/>
      <c r="IF205" s="2071"/>
      <c r="IG205" s="2071"/>
      <c r="IH205" s="2071"/>
      <c r="II205" s="2071"/>
      <c r="IJ205" s="2071"/>
      <c r="IK205" s="2071"/>
      <c r="IL205" s="2071"/>
      <c r="IM205" s="2071"/>
      <c r="IN205" s="2071"/>
      <c r="IO205" s="2071"/>
      <c r="IP205" s="2071"/>
      <c r="IQ205" s="2071"/>
      <c r="IR205" s="2071"/>
      <c r="IS205" s="2071"/>
      <c r="IT205" s="2071"/>
      <c r="IU205" s="2071"/>
      <c r="IV205" s="2071"/>
      <c r="IW205" s="2071"/>
      <c r="IX205" s="2071"/>
      <c r="IY205" s="2071"/>
      <c r="IZ205" s="2071"/>
      <c r="JA205" s="2071"/>
      <c r="JB205" s="2071"/>
      <c r="JC205" s="2071"/>
      <c r="JD205" s="2071"/>
      <c r="JE205" s="2071"/>
      <c r="JF205" s="2071"/>
      <c r="JG205" s="2071"/>
      <c r="JH205" s="2071"/>
      <c r="JI205" s="2071"/>
      <c r="JJ205" s="2071"/>
      <c r="JK205" s="2071"/>
      <c r="JL205" s="2071"/>
      <c r="JM205" s="2071"/>
      <c r="JN205" s="2071"/>
      <c r="JO205" s="2071"/>
      <c r="JP205" s="2071"/>
      <c r="JQ205" s="2071"/>
      <c r="JR205" s="2071"/>
      <c r="JS205" s="2071"/>
      <c r="JT205" s="2071"/>
      <c r="JU205" s="2071"/>
      <c r="JV205" s="2071"/>
      <c r="JW205" s="2071"/>
      <c r="JX205" s="2071"/>
      <c r="JY205" s="2071"/>
      <c r="JZ205" s="2071"/>
      <c r="KA205" s="2071"/>
      <c r="KB205" s="2071"/>
      <c r="KC205" s="2071"/>
      <c r="KD205" s="2071"/>
      <c r="KE205" s="2071"/>
      <c r="KF205" s="2071"/>
      <c r="KG205" s="2071"/>
      <c r="KH205" s="2071"/>
      <c r="KI205" s="2071"/>
      <c r="KJ205" s="2071"/>
      <c r="KK205" s="2071"/>
      <c r="KL205" s="2071"/>
      <c r="KM205" s="2071"/>
      <c r="KN205" s="2071"/>
      <c r="KO205" s="2071"/>
      <c r="KP205" s="2071"/>
      <c r="KQ205" s="2071"/>
      <c r="KR205" s="2071"/>
      <c r="KS205" s="2071"/>
      <c r="KT205" s="2071"/>
      <c r="KU205" s="2071"/>
      <c r="KV205" s="2071"/>
      <c r="KW205" s="2071"/>
      <c r="KX205" s="2071"/>
      <c r="KY205" s="2071"/>
      <c r="KZ205" s="2071"/>
      <c r="LA205" s="2071"/>
      <c r="LB205" s="2071"/>
      <c r="LC205" s="2071"/>
      <c r="LD205" s="2071"/>
      <c r="LE205" s="2071"/>
      <c r="LF205" s="2071"/>
      <c r="LG205" s="2071"/>
      <c r="LH205" s="2071"/>
      <c r="LI205" s="2071"/>
      <c r="LJ205" s="2071"/>
      <c r="LK205" s="2071"/>
      <c r="LL205" s="2071"/>
      <c r="LM205" s="2071"/>
      <c r="LN205" s="2071"/>
      <c r="LO205" s="2071"/>
      <c r="LP205" s="2071"/>
      <c r="LQ205" s="2071"/>
      <c r="LR205" s="2071"/>
      <c r="LS205" s="2071"/>
      <c r="LT205" s="2071"/>
      <c r="LU205" s="2071"/>
      <c r="LV205" s="2071"/>
      <c r="LW205" s="2071"/>
      <c r="LX205" s="2071"/>
      <c r="LY205" s="2071"/>
      <c r="LZ205" s="2071"/>
      <c r="MA205" s="2071"/>
      <c r="MB205" s="2071"/>
      <c r="MC205" s="2071"/>
      <c r="MD205" s="2071"/>
      <c r="ME205" s="2071"/>
      <c r="MF205" s="2071"/>
      <c r="MG205" s="2071"/>
      <c r="MH205" s="2071"/>
      <c r="MI205" s="2071"/>
      <c r="MJ205" s="2071"/>
      <c r="MK205" s="2071"/>
      <c r="ML205" s="2071"/>
      <c r="MM205" s="2071"/>
      <c r="MN205" s="2071"/>
      <c r="MO205" s="2071"/>
      <c r="MP205" s="2071"/>
      <c r="MQ205" s="2071"/>
      <c r="MR205" s="2071"/>
      <c r="MS205" s="2071"/>
      <c r="MT205" s="2071"/>
      <c r="MU205" s="2071"/>
      <c r="MV205" s="2071"/>
      <c r="MW205" s="2071"/>
      <c r="MX205" s="2071"/>
      <c r="MY205" s="2071"/>
      <c r="MZ205" s="2071"/>
      <c r="NA205" s="2071"/>
      <c r="NB205" s="2071"/>
      <c r="NC205" s="2071"/>
      <c r="ND205" s="2071"/>
      <c r="NE205" s="2071"/>
      <c r="NF205" s="2071"/>
      <c r="NG205" s="2071"/>
      <c r="NH205" s="2071"/>
      <c r="NI205" s="2071"/>
      <c r="NJ205" s="2071"/>
      <c r="NK205" s="2071"/>
      <c r="NL205" s="2071"/>
      <c r="NM205" s="2071"/>
      <c r="NN205" s="2071"/>
      <c r="NO205" s="2071"/>
      <c r="NP205" s="2071"/>
      <c r="NQ205" s="2071"/>
      <c r="NR205" s="2071"/>
      <c r="NS205" s="2071"/>
      <c r="NT205" s="2071"/>
      <c r="NU205" s="2071"/>
      <c r="NV205" s="2071"/>
      <c r="NW205" s="2071"/>
      <c r="NX205" s="2071"/>
      <c r="NY205" s="2071"/>
      <c r="NZ205" s="2071"/>
      <c r="OA205" s="2071"/>
      <c r="OB205" s="2071"/>
      <c r="OC205" s="2071"/>
      <c r="OD205" s="2071"/>
      <c r="OE205" s="2071"/>
      <c r="OF205" s="2071"/>
      <c r="OG205" s="2071"/>
      <c r="OH205" s="2071"/>
      <c r="OI205" s="2071"/>
      <c r="OJ205" s="2071"/>
      <c r="OK205" s="2071"/>
      <c r="OL205" s="2071"/>
      <c r="OM205" s="2071"/>
      <c r="ON205" s="2071"/>
      <c r="OO205" s="2071"/>
      <c r="OP205" s="2071"/>
      <c r="OQ205" s="2071"/>
      <c r="OR205" s="2071"/>
      <c r="OS205" s="2071"/>
      <c r="OT205" s="2071"/>
      <c r="OU205" s="2071"/>
      <c r="OV205" s="2071"/>
      <c r="OW205" s="2071"/>
      <c r="OX205" s="2071"/>
      <c r="OY205" s="2071"/>
      <c r="OZ205" s="2071"/>
      <c r="PA205" s="2071"/>
      <c r="PB205" s="2071"/>
      <c r="PC205" s="2071"/>
      <c r="PD205" s="2071"/>
      <c r="PE205" s="2071"/>
      <c r="PF205" s="2071"/>
      <c r="PG205" s="2071"/>
      <c r="PH205" s="2071"/>
      <c r="PI205" s="2071"/>
      <c r="PJ205" s="2071"/>
      <c r="PK205" s="2071"/>
      <c r="PL205" s="2071"/>
      <c r="PM205" s="2071"/>
      <c r="PN205" s="2071"/>
      <c r="PO205" s="2071"/>
      <c r="PP205" s="2071"/>
      <c r="PQ205" s="2071"/>
      <c r="PR205" s="2071"/>
      <c r="PS205" s="2071"/>
      <c r="PT205" s="2071"/>
      <c r="PU205" s="2071"/>
      <c r="PV205" s="2071"/>
      <c r="PW205" s="2071"/>
      <c r="PX205" s="2071"/>
      <c r="PY205" s="2071"/>
      <c r="PZ205" s="2071"/>
      <c r="QA205" s="2071"/>
      <c r="QB205" s="2071"/>
      <c r="QC205" s="2071"/>
      <c r="QD205" s="2071"/>
      <c r="QE205" s="2071"/>
      <c r="QF205" s="2071"/>
      <c r="QG205" s="2071"/>
      <c r="QH205" s="2071"/>
      <c r="QI205" s="2071"/>
      <c r="QJ205" s="2071"/>
      <c r="QK205" s="2071"/>
      <c r="QL205" s="2071"/>
      <c r="QM205" s="2071"/>
      <c r="QN205" s="2071"/>
      <c r="QO205" s="2071"/>
      <c r="QP205" s="2071"/>
      <c r="QQ205" s="2071"/>
      <c r="QR205" s="2071"/>
      <c r="QS205" s="2071"/>
      <c r="QT205" s="2071"/>
      <c r="QU205" s="2071"/>
      <c r="QV205" s="2071"/>
      <c r="QW205" s="2071"/>
      <c r="QX205" s="2071"/>
      <c r="QY205" s="2071"/>
      <c r="QZ205" s="2071"/>
      <c r="RA205" s="2071"/>
      <c r="RB205" s="2071"/>
      <c r="RC205" s="2071"/>
      <c r="RD205" s="2071"/>
      <c r="RE205" s="2071"/>
      <c r="RF205" s="2071"/>
      <c r="RG205" s="2071"/>
      <c r="RH205" s="2071"/>
      <c r="RI205" s="2071"/>
      <c r="RJ205" s="2071"/>
      <c r="RK205" s="2071"/>
      <c r="RL205" s="2071"/>
      <c r="RM205" s="2071"/>
      <c r="RN205" s="2071"/>
      <c r="RO205" s="2071"/>
      <c r="RP205" s="2071"/>
      <c r="RQ205" s="2071"/>
      <c r="RR205" s="2071"/>
      <c r="RS205" s="2071"/>
      <c r="RT205" s="2071"/>
      <c r="RU205" s="2071"/>
      <c r="RV205" s="2071"/>
      <c r="RW205" s="2071"/>
      <c r="RX205" s="2071"/>
      <c r="RY205" s="2071"/>
      <c r="RZ205" s="2071"/>
      <c r="SA205" s="2071"/>
      <c r="SB205" s="2071"/>
      <c r="SC205" s="2071"/>
      <c r="SD205" s="2071"/>
      <c r="SE205" s="2071"/>
      <c r="SF205" s="2071"/>
      <c r="SG205" s="2071"/>
      <c r="SH205" s="2071"/>
      <c r="SI205" s="2071"/>
      <c r="SJ205" s="2071"/>
      <c r="SK205" s="2071"/>
      <c r="SL205" s="2071"/>
      <c r="SM205" s="2071"/>
      <c r="SN205" s="2071"/>
      <c r="SO205" s="2071"/>
      <c r="SP205" s="2071"/>
      <c r="SQ205" s="2071"/>
      <c r="SR205" s="2071"/>
      <c r="SS205" s="2071"/>
      <c r="ST205" s="2071"/>
      <c r="SU205" s="2071"/>
      <c r="SV205" s="2071"/>
      <c r="SW205" s="2071"/>
      <c r="SX205" s="2071"/>
      <c r="SY205" s="2071"/>
      <c r="SZ205" s="2071"/>
      <c r="TA205" s="2071"/>
      <c r="TB205" s="2071"/>
      <c r="TC205" s="2071"/>
      <c r="TD205" s="2071"/>
      <c r="TE205" s="2071"/>
      <c r="TF205" s="2071"/>
      <c r="TG205" s="2071"/>
      <c r="TH205" s="2071"/>
      <c r="TI205" s="2071"/>
      <c r="TJ205" s="2071"/>
      <c r="TK205" s="2071"/>
      <c r="TL205" s="2071"/>
      <c r="TM205" s="2071"/>
      <c r="TN205" s="2071"/>
      <c r="TO205" s="2071"/>
      <c r="TP205" s="2071"/>
      <c r="TQ205" s="2071"/>
      <c r="TR205" s="2071"/>
      <c r="TS205" s="2071"/>
      <c r="TT205" s="2071"/>
      <c r="TU205" s="2071"/>
      <c r="TV205" s="2071"/>
      <c r="TW205" s="2071"/>
      <c r="TX205" s="2071"/>
      <c r="TY205" s="2071"/>
      <c r="TZ205" s="2071"/>
      <c r="UA205" s="2071"/>
      <c r="UB205" s="2071"/>
      <c r="UC205" s="2071"/>
      <c r="UD205" s="2071"/>
      <c r="UE205" s="2071"/>
      <c r="UF205" s="2071"/>
      <c r="UG205" s="2071"/>
      <c r="UH205" s="2071"/>
      <c r="UI205" s="2071"/>
      <c r="UJ205" s="2071"/>
      <c r="UK205" s="2071"/>
      <c r="UL205" s="2071"/>
      <c r="UM205" s="2071"/>
      <c r="UN205" s="2071"/>
      <c r="UO205" s="2071"/>
      <c r="UP205" s="2071"/>
      <c r="UQ205" s="2071"/>
      <c r="UR205" s="2071"/>
      <c r="US205" s="2071"/>
      <c r="UT205" s="2071"/>
      <c r="UU205" s="2071"/>
      <c r="UV205" s="2071"/>
      <c r="UW205" s="2071"/>
      <c r="UX205" s="2071"/>
      <c r="UY205" s="2071"/>
      <c r="UZ205" s="2071"/>
      <c r="VA205" s="2071"/>
      <c r="VB205" s="2071"/>
      <c r="VC205" s="2071"/>
      <c r="VD205" s="2071"/>
      <c r="VE205" s="2071"/>
      <c r="VF205" s="2071"/>
      <c r="VG205" s="2071"/>
      <c r="VH205" s="2071"/>
      <c r="VI205" s="2071"/>
      <c r="VJ205" s="2071"/>
      <c r="VK205" s="2071"/>
      <c r="VL205" s="2071"/>
      <c r="VM205" s="2071"/>
      <c r="VN205" s="2071"/>
      <c r="VO205" s="2071"/>
      <c r="VP205" s="2071"/>
      <c r="VQ205" s="2071"/>
      <c r="VR205" s="2071"/>
      <c r="VS205" s="2071"/>
      <c r="VT205" s="2071"/>
      <c r="VU205" s="2071"/>
      <c r="VV205" s="2071"/>
      <c r="VW205" s="2071"/>
      <c r="VX205" s="2071"/>
      <c r="VY205" s="2071"/>
      <c r="VZ205" s="2071"/>
      <c r="WA205" s="2071"/>
      <c r="WB205" s="2071"/>
      <c r="WC205" s="2071"/>
      <c r="WD205" s="2071"/>
      <c r="WE205" s="2071"/>
      <c r="WF205" s="2071"/>
      <c r="WG205" s="2071"/>
      <c r="WH205" s="2071"/>
      <c r="WI205" s="2071"/>
      <c r="WJ205" s="2071"/>
      <c r="WK205" s="2071"/>
      <c r="WL205" s="2071"/>
      <c r="WM205" s="2071"/>
      <c r="WN205" s="2071"/>
      <c r="WO205" s="2071"/>
      <c r="WP205" s="2071"/>
      <c r="WQ205" s="2071"/>
      <c r="WR205" s="2071"/>
      <c r="WS205" s="2071"/>
      <c r="WT205" s="2071"/>
      <c r="WU205" s="2071"/>
      <c r="WV205" s="2071"/>
      <c r="WW205" s="2071"/>
      <c r="WX205" s="2071"/>
      <c r="WY205" s="2071"/>
      <c r="WZ205" s="2071"/>
      <c r="XA205" s="2071"/>
      <c r="XB205" s="2071"/>
      <c r="XC205" s="2071"/>
      <c r="XD205" s="2071"/>
      <c r="XE205" s="2071"/>
      <c r="XF205" s="2071"/>
      <c r="XG205" s="2071"/>
      <c r="XH205" s="2071"/>
      <c r="XI205" s="2071"/>
      <c r="XJ205" s="2071"/>
      <c r="XK205" s="2071"/>
      <c r="XL205" s="2071"/>
      <c r="XM205" s="2071"/>
      <c r="XN205" s="2071"/>
      <c r="XO205" s="2071"/>
      <c r="XP205" s="2071"/>
      <c r="XQ205" s="2071"/>
      <c r="XR205" s="2071"/>
      <c r="XS205" s="2071"/>
      <c r="XT205" s="2071"/>
      <c r="XU205" s="2071"/>
      <c r="XV205" s="2071"/>
      <c r="XW205" s="2071"/>
      <c r="XX205" s="2071"/>
      <c r="XY205" s="2071"/>
      <c r="XZ205" s="2071"/>
      <c r="YA205" s="2071"/>
      <c r="YB205" s="2071"/>
      <c r="YC205" s="2071"/>
      <c r="YD205" s="2071"/>
      <c r="YE205" s="2071"/>
      <c r="YF205" s="2071"/>
      <c r="YG205" s="2071"/>
      <c r="YH205" s="2071"/>
      <c r="YI205" s="2071"/>
      <c r="YJ205" s="2071"/>
      <c r="YK205" s="2071"/>
      <c r="YL205" s="2071"/>
      <c r="YM205" s="2071"/>
      <c r="YN205" s="2071"/>
      <c r="YO205" s="2071"/>
      <c r="YP205" s="2071"/>
      <c r="YQ205" s="2071"/>
      <c r="YR205" s="2071"/>
      <c r="YS205" s="2071"/>
      <c r="YT205" s="2071"/>
      <c r="YU205" s="2071"/>
      <c r="YV205" s="2071"/>
      <c r="YW205" s="2071"/>
      <c r="YX205" s="2071"/>
      <c r="YY205" s="2071"/>
      <c r="YZ205" s="2071"/>
      <c r="ZA205" s="2071"/>
      <c r="ZB205" s="2071"/>
      <c r="ZC205" s="2071"/>
      <c r="ZD205" s="2071"/>
      <c r="ZE205" s="2071"/>
      <c r="ZF205" s="2071"/>
      <c r="ZG205" s="2071"/>
      <c r="ZH205" s="2071"/>
      <c r="ZI205" s="2071"/>
      <c r="ZJ205" s="2071"/>
      <c r="ZK205" s="2071"/>
      <c r="ZL205" s="2071"/>
      <c r="ZM205" s="2071"/>
      <c r="ZN205" s="2071"/>
      <c r="ZO205" s="2071"/>
      <c r="ZP205" s="2071"/>
      <c r="ZQ205" s="2071"/>
      <c r="ZR205" s="2071"/>
      <c r="ZS205" s="2071"/>
      <c r="ZT205" s="2071"/>
      <c r="ZU205" s="2071"/>
      <c r="ZV205" s="2071"/>
      <c r="ZW205" s="2071"/>
      <c r="ZX205" s="2071"/>
      <c r="ZY205" s="2071"/>
      <c r="ZZ205" s="2071"/>
      <c r="AAA205" s="2071"/>
      <c r="AAB205" s="2071"/>
      <c r="AAC205" s="2071"/>
      <c r="AAD205" s="2071"/>
      <c r="AAE205" s="2071"/>
      <c r="AAF205" s="2071"/>
      <c r="AAG205" s="2071"/>
      <c r="AAH205" s="2071"/>
      <c r="AAI205" s="2071"/>
      <c r="AAJ205" s="2071"/>
      <c r="AAK205" s="2071"/>
      <c r="AAL205" s="2071"/>
      <c r="AAM205" s="2071"/>
      <c r="AAN205" s="2071"/>
      <c r="AAO205" s="2071"/>
      <c r="AAP205" s="2071"/>
      <c r="AAQ205" s="2071"/>
      <c r="AAR205" s="2071"/>
      <c r="AAS205" s="2071"/>
      <c r="AAT205" s="2071"/>
      <c r="AAU205" s="2071"/>
      <c r="AAV205" s="2071"/>
      <c r="AAW205" s="2071"/>
      <c r="AAX205" s="2071"/>
      <c r="AAY205" s="2071"/>
      <c r="AAZ205" s="2071"/>
      <c r="ABA205" s="2071"/>
      <c r="ABB205" s="2071"/>
      <c r="ABC205" s="2071"/>
      <c r="ABD205" s="2071"/>
      <c r="ABE205" s="2071"/>
      <c r="ABF205" s="2071"/>
      <c r="ABG205" s="2071"/>
      <c r="ABH205" s="2071"/>
      <c r="ABI205" s="2071"/>
      <c r="ABJ205" s="2071"/>
      <c r="ABK205" s="2071"/>
      <c r="ABL205" s="2071"/>
      <c r="ABM205" s="2071"/>
      <c r="ABN205" s="2071"/>
      <c r="ABO205" s="2071"/>
      <c r="ABP205" s="2071"/>
      <c r="ABQ205" s="2071"/>
      <c r="ABR205" s="2071"/>
      <c r="ABS205" s="2071"/>
      <c r="ABT205" s="2071"/>
      <c r="ABU205" s="2071"/>
      <c r="ABV205" s="2071"/>
      <c r="ABW205" s="2071"/>
      <c r="ABX205" s="2071"/>
      <c r="ABY205" s="2071"/>
      <c r="ABZ205" s="2071"/>
      <c r="ACA205" s="2071"/>
      <c r="ACB205" s="2071"/>
      <c r="ACC205" s="2071"/>
      <c r="ACD205" s="2071"/>
      <c r="ACE205" s="2071"/>
      <c r="ACF205" s="2071"/>
      <c r="ACG205" s="2071"/>
      <c r="ACH205" s="2071"/>
      <c r="ACI205" s="2071"/>
      <c r="ACJ205" s="2071"/>
      <c r="ACK205" s="2071"/>
      <c r="ACL205" s="2071"/>
      <c r="ACM205" s="2071"/>
      <c r="ACN205" s="2071"/>
      <c r="ACO205" s="2071"/>
      <c r="ACP205" s="2071"/>
      <c r="ACQ205" s="2071"/>
      <c r="ACR205" s="2071"/>
      <c r="ACS205" s="2071"/>
      <c r="ACT205" s="2071"/>
      <c r="ACU205" s="2071"/>
      <c r="ACV205" s="2071"/>
      <c r="ACW205" s="2071"/>
      <c r="ACX205" s="2071"/>
      <c r="ACY205" s="2071"/>
      <c r="ACZ205" s="2071"/>
      <c r="ADA205" s="2071"/>
      <c r="ADB205" s="2071"/>
      <c r="ADC205" s="2071"/>
      <c r="ADD205" s="2071"/>
      <c r="ADE205" s="2071"/>
      <c r="ADF205" s="2071"/>
      <c r="ADG205" s="2071"/>
      <c r="ADH205" s="2071"/>
      <c r="ADI205" s="2071"/>
      <c r="ADJ205" s="2071"/>
      <c r="ADK205" s="2071"/>
      <c r="ADL205" s="2071"/>
      <c r="ADM205" s="2071"/>
      <c r="ADN205" s="2071"/>
      <c r="ADO205" s="2071"/>
      <c r="ADP205" s="2071"/>
      <c r="ADQ205" s="2071"/>
      <c r="ADR205" s="2071"/>
      <c r="ADS205" s="2071"/>
      <c r="ADT205" s="2071"/>
      <c r="ADU205" s="2071"/>
      <c r="ADV205" s="2071"/>
      <c r="ADW205" s="2071"/>
      <c r="ADX205" s="2071"/>
      <c r="ADY205" s="2071"/>
      <c r="ADZ205" s="2071"/>
      <c r="AEA205" s="2071"/>
      <c r="AEB205" s="2071"/>
      <c r="AEC205" s="2071"/>
      <c r="AED205" s="2071"/>
      <c r="AEE205" s="2071"/>
      <c r="AEF205" s="2071"/>
      <c r="AEG205" s="2071"/>
      <c r="AEH205" s="2071"/>
      <c r="AEI205" s="2071"/>
      <c r="AEJ205" s="2071"/>
      <c r="AEK205" s="2071"/>
      <c r="AEL205" s="2071"/>
      <c r="AEM205" s="2071"/>
      <c r="AEN205" s="2071"/>
      <c r="AEO205" s="2071"/>
      <c r="AEP205" s="2071"/>
      <c r="AEQ205" s="2071"/>
      <c r="AER205" s="2071"/>
      <c r="AES205" s="2071"/>
      <c r="AET205" s="2071"/>
      <c r="AEU205" s="2071"/>
      <c r="AEV205" s="2071"/>
      <c r="AEW205" s="2071"/>
      <c r="AEX205" s="2071"/>
      <c r="AEY205" s="2071"/>
      <c r="AEZ205" s="2071"/>
      <c r="AFA205" s="2071"/>
      <c r="AFB205" s="2071"/>
      <c r="AFC205" s="2071"/>
      <c r="AFD205" s="2071"/>
      <c r="AFE205" s="2071"/>
      <c r="AFF205" s="2071"/>
      <c r="AFG205" s="2071"/>
      <c r="AFH205" s="2071"/>
      <c r="AFI205" s="2071"/>
      <c r="AFJ205" s="2071"/>
      <c r="AFK205" s="2071"/>
      <c r="AFL205" s="2071"/>
      <c r="AFM205" s="2071"/>
      <c r="AFN205" s="2071"/>
      <c r="AFO205" s="2071"/>
      <c r="AFP205" s="2071"/>
      <c r="AFQ205" s="2071"/>
      <c r="AFR205" s="2071"/>
      <c r="AFS205" s="2071"/>
      <c r="AFT205" s="2071"/>
      <c r="AFU205" s="2071"/>
      <c r="AFV205" s="2071"/>
      <c r="AFW205" s="2071"/>
      <c r="AFX205" s="2071"/>
      <c r="AFY205" s="2071"/>
      <c r="AFZ205" s="2071"/>
      <c r="AGA205" s="2071"/>
      <c r="AGB205" s="2071"/>
      <c r="AGC205" s="2071"/>
      <c r="AGD205" s="2071"/>
      <c r="AGE205" s="2071"/>
      <c r="AGF205" s="2071"/>
      <c r="AGG205" s="2071"/>
      <c r="AGH205" s="2071"/>
      <c r="AGI205" s="2071"/>
      <c r="AGJ205" s="2071"/>
      <c r="AGK205" s="2071"/>
      <c r="AGL205" s="2071"/>
      <c r="AGM205" s="2071"/>
      <c r="AGN205" s="2071"/>
      <c r="AGO205" s="2071"/>
      <c r="AGP205" s="2071"/>
      <c r="AGQ205" s="2071"/>
      <c r="AGR205" s="2071"/>
      <c r="AGS205" s="2071"/>
      <c r="AGT205" s="2071"/>
      <c r="AGU205" s="2071"/>
      <c r="AGV205" s="2071"/>
      <c r="AGW205" s="2071"/>
      <c r="AGX205" s="2071"/>
      <c r="AGY205" s="2071"/>
      <c r="AGZ205" s="2071"/>
      <c r="AHA205" s="2071"/>
      <c r="AHB205" s="2071"/>
      <c r="AHC205" s="2071"/>
      <c r="AHD205" s="2071"/>
      <c r="AHE205" s="2071"/>
      <c r="AHF205" s="2071"/>
      <c r="AHG205" s="2071"/>
      <c r="AHH205" s="2071"/>
      <c r="AHI205" s="2071"/>
      <c r="AHJ205" s="2071"/>
      <c r="AHK205" s="2071"/>
      <c r="AHL205" s="2071"/>
      <c r="AHM205" s="2071"/>
      <c r="AHN205" s="2071"/>
      <c r="AHO205" s="2071"/>
      <c r="AHP205" s="2071"/>
      <c r="AHQ205" s="2071"/>
      <c r="AHR205" s="2071"/>
      <c r="AHS205" s="2071"/>
      <c r="AHT205" s="2071"/>
      <c r="AHU205" s="2071"/>
      <c r="AHV205" s="2071"/>
      <c r="AHW205" s="2071"/>
      <c r="AHX205" s="2071"/>
      <c r="AHY205" s="2071"/>
      <c r="AHZ205" s="2071"/>
      <c r="AIA205" s="2071"/>
      <c r="AIB205" s="2071"/>
      <c r="AIC205" s="2071"/>
      <c r="AID205" s="2071"/>
      <c r="AIE205" s="2071"/>
      <c r="AIF205" s="2071"/>
      <c r="AIG205" s="2071"/>
      <c r="AIH205" s="2071"/>
      <c r="AII205" s="2071"/>
      <c r="AIJ205" s="2071"/>
      <c r="AIK205" s="2071"/>
      <c r="AIL205" s="2071"/>
      <c r="AIM205" s="2071"/>
      <c r="AIN205" s="2071"/>
      <c r="AIO205" s="2071"/>
      <c r="AIP205" s="2071"/>
      <c r="AIQ205" s="2071"/>
      <c r="AIR205" s="2071"/>
      <c r="AIS205" s="2071"/>
      <c r="AIT205" s="2071"/>
      <c r="AIU205" s="2071"/>
      <c r="AIV205" s="2071"/>
      <c r="AIW205" s="2071"/>
      <c r="AIX205" s="2071"/>
      <c r="AIY205" s="2071"/>
      <c r="AIZ205" s="2071"/>
      <c r="AJA205" s="2071"/>
      <c r="AJB205" s="2071"/>
      <c r="AJC205" s="2071"/>
      <c r="AJD205" s="2071"/>
      <c r="AJE205" s="2071"/>
      <c r="AJF205" s="2071"/>
      <c r="AJG205" s="2071"/>
      <c r="AJH205" s="2071"/>
      <c r="AJI205" s="2071"/>
      <c r="AJJ205" s="2071"/>
      <c r="AJK205" s="2071"/>
      <c r="AJL205" s="2071"/>
      <c r="AJM205" s="2071"/>
      <c r="AJN205" s="2071"/>
      <c r="AJO205" s="2071"/>
      <c r="AJP205" s="2071"/>
      <c r="AJQ205" s="2071"/>
      <c r="AJR205" s="2071"/>
      <c r="AJS205" s="2071"/>
      <c r="AJT205" s="2071"/>
      <c r="AJU205" s="2071"/>
      <c r="AJV205" s="2071"/>
      <c r="AJW205" s="2071"/>
      <c r="AJX205" s="2071"/>
      <c r="AJY205" s="2071"/>
      <c r="AJZ205" s="2071"/>
      <c r="AKA205" s="2071"/>
      <c r="AKB205" s="2071"/>
      <c r="AKC205" s="2071"/>
      <c r="AKD205" s="2071"/>
      <c r="AKE205" s="2071"/>
      <c r="AKF205" s="2071"/>
      <c r="AKG205" s="2071"/>
      <c r="AKH205" s="2071"/>
      <c r="AKI205" s="2071"/>
      <c r="AKJ205" s="2071"/>
      <c r="AKK205" s="2071"/>
      <c r="AKL205" s="2071"/>
      <c r="AKM205" s="2071"/>
      <c r="AKN205" s="2071"/>
      <c r="AKO205" s="2071"/>
      <c r="AKP205" s="2071"/>
      <c r="AKQ205" s="2071"/>
      <c r="AKR205" s="2071"/>
      <c r="AKS205" s="2071"/>
      <c r="AKT205" s="2071"/>
      <c r="AKU205" s="2071"/>
      <c r="AKV205" s="2071"/>
      <c r="AKW205" s="2071"/>
      <c r="AKX205" s="2071"/>
      <c r="AKY205" s="2071"/>
      <c r="AKZ205" s="2071"/>
      <c r="ALA205" s="2071"/>
      <c r="ALB205" s="2071"/>
      <c r="ALC205" s="2071"/>
      <c r="ALD205" s="2071"/>
      <c r="ALE205" s="2071"/>
      <c r="ALF205" s="2071"/>
      <c r="ALG205" s="2071"/>
      <c r="ALH205" s="2071"/>
      <c r="ALI205" s="2071"/>
      <c r="ALJ205" s="2071"/>
      <c r="ALK205" s="2071"/>
      <c r="ALL205" s="2071"/>
      <c r="ALM205" s="2071"/>
      <c r="ALN205" s="2071"/>
      <c r="ALO205" s="2071"/>
      <c r="ALP205" s="2071"/>
      <c r="ALQ205" s="2071"/>
      <c r="ALR205" s="2071"/>
      <c r="ALS205" s="2071"/>
      <c r="ALT205" s="2071"/>
      <c r="ALU205" s="2071"/>
      <c r="ALV205" s="2071"/>
      <c r="ALW205" s="2071"/>
      <c r="ALX205" s="2071"/>
      <c r="ALY205" s="2071"/>
      <c r="ALZ205" s="2071"/>
      <c r="AMA205" s="2071"/>
      <c r="AMB205" s="2071"/>
      <c r="AMC205" s="2071"/>
      <c r="AMD205" s="2071"/>
      <c r="AME205" s="2071"/>
      <c r="AMF205" s="2071"/>
      <c r="AMG205" s="2071"/>
      <c r="AMH205" s="2071"/>
      <c r="AMI205" s="2071"/>
      <c r="AMJ205" s="2071"/>
      <c r="AMK205" s="2071"/>
      <c r="AML205" s="2071"/>
      <c r="AMM205" s="2071"/>
      <c r="AMN205" s="2071"/>
      <c r="AMO205" s="2071"/>
      <c r="AMP205" s="2071"/>
      <c r="AMQ205" s="2071"/>
      <c r="AMR205" s="2071"/>
      <c r="AMS205" s="2071"/>
      <c r="AMT205" s="2071"/>
      <c r="AMU205" s="2071"/>
      <c r="AMV205" s="2071"/>
      <c r="AMW205" s="2071"/>
      <c r="AMX205" s="2071"/>
      <c r="AMY205" s="2071"/>
      <c r="AMZ205" s="2071"/>
      <c r="ANA205" s="2071"/>
      <c r="ANB205" s="2071"/>
      <c r="ANC205" s="2071"/>
      <c r="AND205" s="2071"/>
      <c r="ANE205" s="2071"/>
      <c r="ANF205" s="2071"/>
      <c r="ANG205" s="2071"/>
      <c r="ANH205" s="2071"/>
      <c r="ANI205" s="2071"/>
      <c r="ANJ205" s="2071"/>
      <c r="ANK205" s="2071"/>
      <c r="ANL205" s="2071"/>
      <c r="ANM205" s="2071"/>
      <c r="ANN205" s="2071"/>
      <c r="ANO205" s="2071"/>
      <c r="ANP205" s="2071"/>
      <c r="ANQ205" s="2071"/>
      <c r="ANR205" s="2071"/>
      <c r="ANS205" s="2071"/>
      <c r="ANT205" s="2071"/>
      <c r="ANU205" s="2071"/>
      <c r="ANV205" s="2071"/>
      <c r="ANW205" s="2071"/>
      <c r="ANX205" s="2071"/>
      <c r="ANY205" s="2071"/>
      <c r="ANZ205" s="2071"/>
      <c r="AOA205" s="2071"/>
      <c r="AOB205" s="2071"/>
      <c r="AOC205" s="2071"/>
      <c r="AOD205" s="2071"/>
      <c r="AOE205" s="2071"/>
      <c r="AOF205" s="2071"/>
      <c r="AOG205" s="2071"/>
      <c r="AOH205" s="2071"/>
      <c r="AOI205" s="2071"/>
      <c r="AOJ205" s="2071"/>
      <c r="AOK205" s="2071"/>
      <c r="AOL205" s="2071"/>
      <c r="AOM205" s="2071"/>
      <c r="AON205" s="2071"/>
      <c r="AOO205" s="2071"/>
      <c r="AOP205" s="2071"/>
      <c r="AOQ205" s="2071"/>
      <c r="AOR205" s="2071"/>
      <c r="AOS205" s="2071"/>
      <c r="AOT205" s="2071"/>
      <c r="AOU205" s="2071"/>
      <c r="AOV205" s="2071"/>
      <c r="AOW205" s="2071"/>
      <c r="AOX205" s="2071"/>
      <c r="AOY205" s="2071"/>
      <c r="AOZ205" s="2071"/>
      <c r="APA205" s="2071"/>
      <c r="APB205" s="2071"/>
      <c r="APC205" s="2071"/>
      <c r="APD205" s="2071"/>
      <c r="APE205" s="2071"/>
      <c r="APF205" s="2071"/>
      <c r="APG205" s="2071"/>
      <c r="APH205" s="2071"/>
      <c r="API205" s="2071"/>
      <c r="APJ205" s="2071"/>
      <c r="APK205" s="2071"/>
      <c r="APL205" s="2071"/>
      <c r="APM205" s="2071"/>
      <c r="APN205" s="2071"/>
      <c r="APO205" s="2071"/>
      <c r="APP205" s="2071"/>
      <c r="APQ205" s="2071"/>
      <c r="APR205" s="2071"/>
      <c r="APS205" s="2071"/>
      <c r="APT205" s="2071"/>
      <c r="APU205" s="2071"/>
      <c r="APV205" s="2071"/>
      <c r="APW205" s="2071"/>
      <c r="APX205" s="2071"/>
      <c r="APY205" s="2071"/>
      <c r="APZ205" s="2071"/>
      <c r="AQA205" s="2071"/>
      <c r="AQB205" s="2071"/>
      <c r="AQC205" s="2071"/>
      <c r="AQD205" s="2071"/>
      <c r="AQE205" s="2071"/>
      <c r="AQF205" s="2071"/>
      <c r="AQG205" s="2071"/>
      <c r="AQH205" s="2071"/>
      <c r="AQI205" s="2071"/>
      <c r="AQJ205" s="2071"/>
      <c r="AQK205" s="2071"/>
      <c r="AQL205" s="2071"/>
      <c r="AQM205" s="2071"/>
      <c r="AQN205" s="2071"/>
      <c r="AQO205" s="2071"/>
      <c r="AQP205" s="2071"/>
      <c r="AQQ205" s="2071"/>
      <c r="AQR205" s="2071"/>
      <c r="AQS205" s="2071"/>
      <c r="AQT205" s="2071"/>
      <c r="AQU205" s="2071"/>
      <c r="AQV205" s="2071"/>
      <c r="AQW205" s="2071"/>
      <c r="AQX205" s="2071"/>
      <c r="AQY205" s="2071"/>
      <c r="AQZ205" s="2071"/>
      <c r="ARA205" s="2071"/>
      <c r="ARB205" s="2071"/>
      <c r="ARC205" s="2071"/>
      <c r="ARD205" s="2071"/>
      <c r="ARE205" s="2071"/>
      <c r="ARF205" s="2071"/>
      <c r="ARG205" s="2071"/>
      <c r="ARH205" s="2071"/>
      <c r="ARI205" s="2071"/>
      <c r="ARJ205" s="2071"/>
      <c r="ARK205" s="2071"/>
      <c r="ARL205" s="2071"/>
      <c r="ARM205" s="2071"/>
      <c r="ARN205" s="2071"/>
      <c r="ARO205" s="2071"/>
      <c r="ARP205" s="2071"/>
      <c r="ARQ205" s="2071"/>
      <c r="ARR205" s="2071"/>
      <c r="ARS205" s="2071"/>
      <c r="ART205" s="2071"/>
      <c r="ARU205" s="2071"/>
      <c r="ARV205" s="2071"/>
      <c r="ARW205" s="2071"/>
      <c r="ARX205" s="2071"/>
      <c r="ARY205" s="2071"/>
      <c r="ARZ205" s="2071"/>
      <c r="ASA205" s="2071"/>
      <c r="ASB205" s="2071"/>
      <c r="ASC205" s="2071"/>
      <c r="ASD205" s="2071"/>
      <c r="ASE205" s="2071"/>
      <c r="ASF205" s="2071"/>
      <c r="ASG205" s="2071"/>
      <c r="ASH205" s="2071"/>
      <c r="ASI205" s="2071"/>
      <c r="ASJ205" s="2071"/>
      <c r="ASK205" s="2071"/>
      <c r="ASL205" s="2071"/>
      <c r="ASM205" s="2071"/>
      <c r="ASN205" s="2071"/>
      <c r="ASO205" s="2071"/>
      <c r="ASP205" s="2071"/>
      <c r="ASQ205" s="2071"/>
      <c r="ASR205" s="2071"/>
      <c r="ASS205" s="2071"/>
      <c r="AST205" s="2071"/>
      <c r="ASU205" s="2071"/>
      <c r="ASV205" s="2071"/>
      <c r="ASW205" s="2071"/>
      <c r="ASX205" s="2071"/>
      <c r="ASY205" s="2071"/>
      <c r="ASZ205" s="2071"/>
      <c r="ATA205" s="2071"/>
      <c r="ATB205" s="2071"/>
      <c r="ATC205" s="2071"/>
      <c r="ATD205" s="2071"/>
      <c r="ATE205" s="2071"/>
      <c r="ATF205" s="2071"/>
      <c r="ATG205" s="2071"/>
      <c r="ATH205" s="2071"/>
      <c r="ATI205" s="2071"/>
      <c r="ATJ205" s="2071"/>
      <c r="ATK205" s="2071"/>
      <c r="ATL205" s="2071"/>
      <c r="ATM205" s="2071"/>
      <c r="ATN205" s="2071"/>
      <c r="ATO205" s="2071"/>
      <c r="ATP205" s="2071"/>
      <c r="ATQ205" s="2071"/>
      <c r="ATR205" s="2071"/>
      <c r="ATS205" s="2071"/>
      <c r="ATT205" s="2071"/>
      <c r="ATU205" s="2071"/>
      <c r="ATV205" s="2071"/>
      <c r="ATW205" s="2071"/>
      <c r="ATX205" s="2071"/>
      <c r="ATY205" s="2071"/>
      <c r="ATZ205" s="2071"/>
      <c r="AUA205" s="2071"/>
      <c r="AUB205" s="2071"/>
      <c r="AUC205" s="2071"/>
      <c r="AUD205" s="2071"/>
      <c r="AUE205" s="2071"/>
      <c r="AUF205" s="2071"/>
      <c r="AUG205" s="2071"/>
      <c r="AUH205" s="2071"/>
      <c r="AUI205" s="2071"/>
      <c r="AUJ205" s="2071"/>
      <c r="AUK205" s="2071"/>
      <c r="AUL205" s="2071"/>
      <c r="AUM205" s="2071"/>
      <c r="AUN205" s="2071"/>
      <c r="AUO205" s="2071"/>
      <c r="AUP205" s="2071"/>
      <c r="AUQ205" s="2071"/>
      <c r="AUR205" s="2071"/>
      <c r="AUS205" s="2071"/>
      <c r="AUT205" s="2071"/>
      <c r="AUU205" s="2071"/>
      <c r="AUV205" s="2071"/>
      <c r="AUW205" s="2071"/>
      <c r="AUX205" s="2071"/>
      <c r="AUY205" s="2071"/>
      <c r="AUZ205" s="2071"/>
      <c r="AVA205" s="2071"/>
      <c r="AVB205" s="2071"/>
      <c r="AVC205" s="2071"/>
      <c r="AVD205" s="2071"/>
      <c r="AVE205" s="2071"/>
      <c r="AVF205" s="2071"/>
      <c r="AVG205" s="2071"/>
      <c r="AVH205" s="2071"/>
      <c r="AVI205" s="2071"/>
      <c r="AVJ205" s="2071"/>
      <c r="AVK205" s="2071"/>
      <c r="AVL205" s="2071"/>
      <c r="AVM205" s="2071"/>
      <c r="AVN205" s="2071"/>
      <c r="AVO205" s="2071"/>
      <c r="AVP205" s="2071"/>
      <c r="AVQ205" s="2071"/>
      <c r="AVR205" s="2071"/>
      <c r="AVS205" s="2071"/>
      <c r="AVT205" s="2071"/>
      <c r="AVU205" s="2071"/>
      <c r="AVV205" s="2071"/>
      <c r="AVW205" s="2071"/>
      <c r="AVX205" s="2071"/>
      <c r="AVY205" s="2071"/>
      <c r="AVZ205" s="2071"/>
      <c r="AWA205" s="2071"/>
      <c r="AWB205" s="2071"/>
      <c r="AWC205" s="2071"/>
      <c r="AWD205" s="2071"/>
      <c r="AWE205" s="2071"/>
      <c r="AWF205" s="2071"/>
      <c r="AWG205" s="2071"/>
      <c r="AWH205" s="2071"/>
      <c r="AWI205" s="2071"/>
      <c r="AWJ205" s="2071"/>
      <c r="AWK205" s="2071"/>
      <c r="AWL205" s="2071"/>
      <c r="AWM205" s="2071"/>
      <c r="AWN205" s="2071"/>
      <c r="AWO205" s="2071"/>
      <c r="AWP205" s="2071"/>
      <c r="AWQ205" s="2071"/>
      <c r="AWR205" s="2071"/>
      <c r="AWS205" s="2071"/>
      <c r="AWT205" s="2071"/>
      <c r="AWU205" s="2071"/>
      <c r="AWV205" s="2071"/>
      <c r="AWW205" s="2071"/>
      <c r="AWX205" s="2071"/>
      <c r="AWY205" s="2071"/>
      <c r="AWZ205" s="2071"/>
      <c r="AXA205" s="2071"/>
      <c r="AXB205" s="2071"/>
      <c r="AXC205" s="2071"/>
      <c r="AXD205" s="2071"/>
      <c r="AXE205" s="2071"/>
      <c r="AXF205" s="2071"/>
      <c r="AXG205" s="2071"/>
      <c r="AXH205" s="2071"/>
      <c r="AXI205" s="2071"/>
      <c r="AXJ205" s="2071"/>
    </row>
    <row r="206" spans="1:1310" s="2072" customFormat="1" ht="23.25" customHeight="1">
      <c r="A206" s="2073"/>
      <c r="B206" s="4484" t="s">
        <v>881</v>
      </c>
      <c r="C206" s="4484"/>
      <c r="D206" s="4484"/>
      <c r="E206" s="4484"/>
      <c r="F206" s="2075"/>
      <c r="G206" s="4484" t="s">
        <v>863</v>
      </c>
      <c r="H206" s="4484"/>
      <c r="I206" s="4484"/>
      <c r="J206" s="2075"/>
      <c r="K206" s="4484" t="s">
        <v>882</v>
      </c>
      <c r="L206" s="4484"/>
      <c r="M206" s="4484"/>
      <c r="N206" s="2075"/>
      <c r="O206" s="4484" t="s">
        <v>883</v>
      </c>
      <c r="P206" s="4484"/>
      <c r="Q206" s="2075"/>
      <c r="R206" s="1838"/>
      <c r="S206" s="1838"/>
      <c r="T206" s="1838"/>
      <c r="U206" s="1838"/>
      <c r="V206" s="1838"/>
      <c r="W206" s="1838"/>
      <c r="X206" s="1838"/>
      <c r="Y206" s="1838"/>
      <c r="Z206" s="1838"/>
      <c r="AA206" s="1838"/>
      <c r="AB206" s="1838"/>
      <c r="AC206" s="1838"/>
      <c r="AD206" s="2070"/>
      <c r="AE206" s="2070"/>
      <c r="AF206" s="2070"/>
      <c r="AG206" s="2070"/>
      <c r="AH206" s="2070"/>
      <c r="AI206" s="2070"/>
      <c r="AJ206" s="2070"/>
      <c r="AK206" s="2070"/>
      <c r="AL206" s="2070"/>
      <c r="AM206" s="2070"/>
      <c r="AN206" s="2070"/>
      <c r="AO206" s="2070"/>
      <c r="AP206" s="2070"/>
      <c r="AQ206" s="2070"/>
      <c r="AR206" s="2070"/>
      <c r="AS206" s="2070"/>
      <c r="AT206" s="2070"/>
      <c r="AU206" s="2070"/>
      <c r="AV206" s="2071"/>
      <c r="AW206" s="2071"/>
      <c r="AX206" s="2071"/>
      <c r="AY206" s="2071"/>
      <c r="AZ206" s="2071"/>
      <c r="BA206" s="2071"/>
      <c r="BB206" s="2071"/>
      <c r="BC206" s="2071"/>
      <c r="BD206" s="2071"/>
      <c r="BE206" s="2071"/>
      <c r="BF206" s="2071"/>
      <c r="BG206" s="2071"/>
      <c r="BH206" s="2071"/>
      <c r="BI206" s="2071"/>
      <c r="BJ206" s="2071"/>
      <c r="BK206" s="2071"/>
      <c r="BL206" s="2071"/>
      <c r="BM206" s="2071"/>
      <c r="BN206" s="2071"/>
      <c r="BO206" s="2071"/>
      <c r="BP206" s="2071"/>
      <c r="BQ206" s="2071"/>
      <c r="BR206" s="2071"/>
      <c r="BS206" s="2071"/>
      <c r="BT206" s="2071"/>
      <c r="BU206" s="2071"/>
      <c r="BV206" s="2071"/>
      <c r="BW206" s="2071"/>
      <c r="BX206" s="2071"/>
      <c r="BY206" s="2071"/>
      <c r="BZ206" s="2071"/>
      <c r="CA206" s="2071"/>
      <c r="CB206" s="2071"/>
      <c r="CC206" s="2071"/>
      <c r="CD206" s="2071"/>
      <c r="CE206" s="2071"/>
      <c r="CF206" s="2071"/>
      <c r="CG206" s="2071"/>
      <c r="CH206" s="2071"/>
      <c r="CI206" s="2071"/>
      <c r="CJ206" s="2071"/>
      <c r="CK206" s="2071"/>
      <c r="CL206" s="2071"/>
      <c r="CM206" s="2071"/>
      <c r="CN206" s="2071"/>
      <c r="CO206" s="2071"/>
      <c r="CP206" s="2071"/>
      <c r="CQ206" s="2071"/>
      <c r="CR206" s="2071"/>
      <c r="CS206" s="2071"/>
      <c r="CT206" s="2071"/>
      <c r="CU206" s="2071"/>
      <c r="CV206" s="2071"/>
      <c r="CW206" s="2071"/>
      <c r="CX206" s="2071"/>
      <c r="CY206" s="2071"/>
      <c r="CZ206" s="2071"/>
      <c r="DA206" s="2071"/>
      <c r="DB206" s="2071"/>
      <c r="DC206" s="2071"/>
      <c r="DD206" s="2071"/>
      <c r="DE206" s="2071"/>
      <c r="DF206" s="2071"/>
      <c r="DG206" s="2071"/>
      <c r="DH206" s="2071"/>
      <c r="DI206" s="2071"/>
      <c r="DJ206" s="2071"/>
      <c r="DK206" s="2071"/>
      <c r="DL206" s="2071"/>
      <c r="DM206" s="2071"/>
      <c r="DN206" s="2071"/>
      <c r="DO206" s="2071"/>
      <c r="DP206" s="2071"/>
      <c r="DQ206" s="2071"/>
      <c r="DR206" s="2071"/>
      <c r="DS206" s="2071"/>
      <c r="DT206" s="2071"/>
      <c r="DU206" s="2071"/>
      <c r="DV206" s="2071"/>
      <c r="DW206" s="2071"/>
      <c r="DX206" s="2071"/>
      <c r="DY206" s="2071"/>
      <c r="DZ206" s="2071"/>
      <c r="EA206" s="2071"/>
      <c r="EB206" s="2071"/>
      <c r="EC206" s="2071"/>
      <c r="ED206" s="2071"/>
      <c r="EE206" s="2071"/>
      <c r="EF206" s="2071"/>
      <c r="EG206" s="2071"/>
      <c r="EH206" s="2071"/>
      <c r="EI206" s="2071"/>
      <c r="EJ206" s="2071"/>
      <c r="EK206" s="2071"/>
      <c r="EL206" s="2071"/>
      <c r="EM206" s="2071"/>
      <c r="EN206" s="2071"/>
      <c r="EO206" s="2071"/>
      <c r="EP206" s="2071"/>
      <c r="EQ206" s="2071"/>
      <c r="ER206" s="2071"/>
      <c r="ES206" s="2071"/>
      <c r="ET206" s="2071"/>
      <c r="EU206" s="2071"/>
      <c r="EV206" s="2071"/>
      <c r="EW206" s="2071"/>
      <c r="EX206" s="2071"/>
      <c r="EY206" s="2071"/>
      <c r="EZ206" s="2071"/>
      <c r="FA206" s="2071"/>
      <c r="FB206" s="2071"/>
      <c r="FC206" s="2071"/>
      <c r="FD206" s="2071"/>
      <c r="FE206" s="2071"/>
      <c r="FF206" s="2071"/>
      <c r="FG206" s="2071"/>
      <c r="FH206" s="2071"/>
      <c r="FI206" s="2071"/>
      <c r="FJ206" s="2071"/>
      <c r="FK206" s="2071"/>
      <c r="FL206" s="2071"/>
      <c r="FM206" s="2071"/>
      <c r="FN206" s="2071"/>
      <c r="FO206" s="2071"/>
      <c r="FP206" s="2071"/>
      <c r="FQ206" s="2071"/>
      <c r="FR206" s="2071"/>
      <c r="FS206" s="2071"/>
      <c r="FT206" s="2071"/>
      <c r="FU206" s="2071"/>
      <c r="FV206" s="2071"/>
      <c r="FW206" s="2071"/>
      <c r="FX206" s="2071"/>
      <c r="FY206" s="2071"/>
      <c r="FZ206" s="2071"/>
      <c r="GA206" s="2071"/>
      <c r="GB206" s="2071"/>
      <c r="GC206" s="2071"/>
      <c r="GD206" s="2071"/>
      <c r="GE206" s="2071"/>
      <c r="GF206" s="2071"/>
      <c r="GG206" s="2071"/>
      <c r="GH206" s="2071"/>
      <c r="GI206" s="2071"/>
      <c r="GJ206" s="2071"/>
      <c r="GK206" s="2071"/>
      <c r="GL206" s="2071"/>
      <c r="GM206" s="2071"/>
      <c r="GN206" s="2071"/>
      <c r="GO206" s="2071"/>
      <c r="GP206" s="2071"/>
      <c r="GQ206" s="2071"/>
      <c r="GR206" s="2071"/>
      <c r="GS206" s="2071"/>
      <c r="GT206" s="2071"/>
      <c r="GU206" s="2071"/>
      <c r="GV206" s="2071"/>
      <c r="GW206" s="2071"/>
      <c r="GX206" s="2071"/>
      <c r="GY206" s="2071"/>
      <c r="GZ206" s="2071"/>
      <c r="HA206" s="2071"/>
      <c r="HB206" s="2071"/>
      <c r="HC206" s="2071"/>
      <c r="HD206" s="2071"/>
      <c r="HE206" s="2071"/>
      <c r="HF206" s="2071"/>
      <c r="HG206" s="2071"/>
      <c r="HH206" s="2071"/>
      <c r="HI206" s="2071"/>
      <c r="HJ206" s="2071"/>
      <c r="HK206" s="2071"/>
      <c r="HL206" s="2071"/>
      <c r="HM206" s="2071"/>
      <c r="HN206" s="2071"/>
      <c r="HO206" s="2071"/>
      <c r="HP206" s="2071"/>
      <c r="HQ206" s="2071"/>
      <c r="HR206" s="2071"/>
      <c r="HS206" s="2071"/>
      <c r="HT206" s="2071"/>
      <c r="HU206" s="2071"/>
      <c r="HV206" s="2071"/>
      <c r="HW206" s="2071"/>
      <c r="HX206" s="2071"/>
      <c r="HY206" s="2071"/>
      <c r="HZ206" s="2071"/>
      <c r="IA206" s="2071"/>
      <c r="IB206" s="2071"/>
      <c r="IC206" s="2071"/>
      <c r="ID206" s="2071"/>
      <c r="IE206" s="2071"/>
      <c r="IF206" s="2071"/>
      <c r="IG206" s="2071"/>
      <c r="IH206" s="2071"/>
      <c r="II206" s="2071"/>
      <c r="IJ206" s="2071"/>
      <c r="IK206" s="2071"/>
      <c r="IL206" s="2071"/>
      <c r="IM206" s="2071"/>
      <c r="IN206" s="2071"/>
      <c r="IO206" s="2071"/>
      <c r="IP206" s="2071"/>
      <c r="IQ206" s="2071"/>
      <c r="IR206" s="2071"/>
      <c r="IS206" s="2071"/>
      <c r="IT206" s="2071"/>
      <c r="IU206" s="2071"/>
      <c r="IV206" s="2071"/>
      <c r="IW206" s="2071"/>
      <c r="IX206" s="2071"/>
      <c r="IY206" s="2071"/>
      <c r="IZ206" s="2071"/>
      <c r="JA206" s="2071"/>
      <c r="JB206" s="2071"/>
      <c r="JC206" s="2071"/>
      <c r="JD206" s="2071"/>
      <c r="JE206" s="2071"/>
      <c r="JF206" s="2071"/>
      <c r="JG206" s="2071"/>
      <c r="JH206" s="2071"/>
      <c r="JI206" s="2071"/>
      <c r="JJ206" s="2071"/>
      <c r="JK206" s="2071"/>
      <c r="JL206" s="2071"/>
      <c r="JM206" s="2071"/>
      <c r="JN206" s="2071"/>
      <c r="JO206" s="2071"/>
      <c r="JP206" s="2071"/>
      <c r="JQ206" s="2071"/>
      <c r="JR206" s="2071"/>
      <c r="JS206" s="2071"/>
      <c r="JT206" s="2071"/>
      <c r="JU206" s="2071"/>
      <c r="JV206" s="2071"/>
      <c r="JW206" s="2071"/>
      <c r="JX206" s="2071"/>
      <c r="JY206" s="2071"/>
      <c r="JZ206" s="2071"/>
      <c r="KA206" s="2071"/>
      <c r="KB206" s="2071"/>
      <c r="KC206" s="2071"/>
      <c r="KD206" s="2071"/>
      <c r="KE206" s="2071"/>
      <c r="KF206" s="2071"/>
      <c r="KG206" s="2071"/>
      <c r="KH206" s="2071"/>
      <c r="KI206" s="2071"/>
      <c r="KJ206" s="2071"/>
      <c r="KK206" s="2071"/>
      <c r="KL206" s="2071"/>
      <c r="KM206" s="2071"/>
      <c r="KN206" s="2071"/>
      <c r="KO206" s="2071"/>
      <c r="KP206" s="2071"/>
      <c r="KQ206" s="2071"/>
      <c r="KR206" s="2071"/>
      <c r="KS206" s="2071"/>
      <c r="KT206" s="2071"/>
      <c r="KU206" s="2071"/>
      <c r="KV206" s="2071"/>
      <c r="KW206" s="2071"/>
      <c r="KX206" s="2071"/>
      <c r="KY206" s="2071"/>
      <c r="KZ206" s="2071"/>
      <c r="LA206" s="2071"/>
      <c r="LB206" s="2071"/>
      <c r="LC206" s="2071"/>
      <c r="LD206" s="2071"/>
      <c r="LE206" s="2071"/>
      <c r="LF206" s="2071"/>
      <c r="LG206" s="2071"/>
      <c r="LH206" s="2071"/>
      <c r="LI206" s="2071"/>
      <c r="LJ206" s="2071"/>
      <c r="LK206" s="2071"/>
      <c r="LL206" s="2071"/>
      <c r="LM206" s="2071"/>
      <c r="LN206" s="2071"/>
      <c r="LO206" s="2071"/>
      <c r="LP206" s="2071"/>
      <c r="LQ206" s="2071"/>
      <c r="LR206" s="2071"/>
      <c r="LS206" s="2071"/>
      <c r="LT206" s="2071"/>
      <c r="LU206" s="2071"/>
      <c r="LV206" s="2071"/>
      <c r="LW206" s="2071"/>
      <c r="LX206" s="2071"/>
      <c r="LY206" s="2071"/>
      <c r="LZ206" s="2071"/>
      <c r="MA206" s="2071"/>
      <c r="MB206" s="2071"/>
      <c r="MC206" s="2071"/>
      <c r="MD206" s="2071"/>
      <c r="ME206" s="2071"/>
      <c r="MF206" s="2071"/>
      <c r="MG206" s="2071"/>
      <c r="MH206" s="2071"/>
      <c r="MI206" s="2071"/>
      <c r="MJ206" s="2071"/>
      <c r="MK206" s="2071"/>
      <c r="ML206" s="2071"/>
      <c r="MM206" s="2071"/>
      <c r="MN206" s="2071"/>
      <c r="MO206" s="2071"/>
      <c r="MP206" s="2071"/>
      <c r="MQ206" s="2071"/>
      <c r="MR206" s="2071"/>
      <c r="MS206" s="2071"/>
      <c r="MT206" s="2071"/>
      <c r="MU206" s="2071"/>
      <c r="MV206" s="2071"/>
      <c r="MW206" s="2071"/>
      <c r="MX206" s="2071"/>
      <c r="MY206" s="2071"/>
      <c r="MZ206" s="2071"/>
      <c r="NA206" s="2071"/>
      <c r="NB206" s="2071"/>
      <c r="NC206" s="2071"/>
      <c r="ND206" s="2071"/>
      <c r="NE206" s="2071"/>
      <c r="NF206" s="2071"/>
      <c r="NG206" s="2071"/>
      <c r="NH206" s="2071"/>
      <c r="NI206" s="2071"/>
      <c r="NJ206" s="2071"/>
      <c r="NK206" s="2071"/>
      <c r="NL206" s="2071"/>
      <c r="NM206" s="2071"/>
      <c r="NN206" s="2071"/>
      <c r="NO206" s="2071"/>
      <c r="NP206" s="2071"/>
      <c r="NQ206" s="2071"/>
      <c r="NR206" s="2071"/>
      <c r="NS206" s="2071"/>
      <c r="NT206" s="2071"/>
      <c r="NU206" s="2071"/>
      <c r="NV206" s="2071"/>
      <c r="NW206" s="2071"/>
      <c r="NX206" s="2071"/>
      <c r="NY206" s="2071"/>
      <c r="NZ206" s="2071"/>
      <c r="OA206" s="2071"/>
      <c r="OB206" s="2071"/>
      <c r="OC206" s="2071"/>
      <c r="OD206" s="2071"/>
      <c r="OE206" s="2071"/>
      <c r="OF206" s="2071"/>
      <c r="OG206" s="2071"/>
      <c r="OH206" s="2071"/>
      <c r="OI206" s="2071"/>
      <c r="OJ206" s="2071"/>
      <c r="OK206" s="2071"/>
      <c r="OL206" s="2071"/>
      <c r="OM206" s="2071"/>
      <c r="ON206" s="2071"/>
      <c r="OO206" s="2071"/>
      <c r="OP206" s="2071"/>
      <c r="OQ206" s="2071"/>
      <c r="OR206" s="2071"/>
      <c r="OS206" s="2071"/>
      <c r="OT206" s="2071"/>
      <c r="OU206" s="2071"/>
      <c r="OV206" s="2071"/>
      <c r="OW206" s="2071"/>
      <c r="OX206" s="2071"/>
      <c r="OY206" s="2071"/>
      <c r="OZ206" s="2071"/>
      <c r="PA206" s="2071"/>
      <c r="PB206" s="2071"/>
      <c r="PC206" s="2071"/>
      <c r="PD206" s="2071"/>
      <c r="PE206" s="2071"/>
      <c r="PF206" s="2071"/>
      <c r="PG206" s="2071"/>
      <c r="PH206" s="2071"/>
      <c r="PI206" s="2071"/>
      <c r="PJ206" s="2071"/>
      <c r="PK206" s="2071"/>
      <c r="PL206" s="2071"/>
      <c r="PM206" s="2071"/>
      <c r="PN206" s="2071"/>
      <c r="PO206" s="2071"/>
      <c r="PP206" s="2071"/>
      <c r="PQ206" s="2071"/>
      <c r="PR206" s="2071"/>
      <c r="PS206" s="2071"/>
      <c r="PT206" s="2071"/>
      <c r="PU206" s="2071"/>
      <c r="PV206" s="2071"/>
      <c r="PW206" s="2071"/>
      <c r="PX206" s="2071"/>
      <c r="PY206" s="2071"/>
      <c r="PZ206" s="2071"/>
      <c r="QA206" s="2071"/>
      <c r="QB206" s="2071"/>
      <c r="QC206" s="2071"/>
      <c r="QD206" s="2071"/>
      <c r="QE206" s="2071"/>
      <c r="QF206" s="2071"/>
      <c r="QG206" s="2071"/>
      <c r="QH206" s="2071"/>
      <c r="QI206" s="2071"/>
      <c r="QJ206" s="2071"/>
      <c r="QK206" s="2071"/>
      <c r="QL206" s="2071"/>
      <c r="QM206" s="2071"/>
      <c r="QN206" s="2071"/>
      <c r="QO206" s="2071"/>
      <c r="QP206" s="2071"/>
      <c r="QQ206" s="2071"/>
      <c r="QR206" s="2071"/>
      <c r="QS206" s="2071"/>
      <c r="QT206" s="2071"/>
      <c r="QU206" s="2071"/>
      <c r="QV206" s="2071"/>
      <c r="QW206" s="2071"/>
      <c r="QX206" s="2071"/>
      <c r="QY206" s="2071"/>
      <c r="QZ206" s="2071"/>
      <c r="RA206" s="2071"/>
      <c r="RB206" s="2071"/>
      <c r="RC206" s="2071"/>
      <c r="RD206" s="2071"/>
      <c r="RE206" s="2071"/>
      <c r="RF206" s="2071"/>
      <c r="RG206" s="2071"/>
      <c r="RH206" s="2071"/>
      <c r="RI206" s="2071"/>
      <c r="RJ206" s="2071"/>
      <c r="RK206" s="2071"/>
      <c r="RL206" s="2071"/>
      <c r="RM206" s="2071"/>
      <c r="RN206" s="2071"/>
      <c r="RO206" s="2071"/>
      <c r="RP206" s="2071"/>
      <c r="RQ206" s="2071"/>
      <c r="RR206" s="2071"/>
      <c r="RS206" s="2071"/>
      <c r="RT206" s="2071"/>
      <c r="RU206" s="2071"/>
      <c r="RV206" s="2071"/>
      <c r="RW206" s="2071"/>
      <c r="RX206" s="2071"/>
      <c r="RY206" s="2071"/>
      <c r="RZ206" s="2071"/>
      <c r="SA206" s="2071"/>
      <c r="SB206" s="2071"/>
      <c r="SC206" s="2071"/>
      <c r="SD206" s="2071"/>
      <c r="SE206" s="2071"/>
      <c r="SF206" s="2071"/>
      <c r="SG206" s="2071"/>
      <c r="SH206" s="2071"/>
      <c r="SI206" s="2071"/>
      <c r="SJ206" s="2071"/>
      <c r="SK206" s="2071"/>
      <c r="SL206" s="2071"/>
      <c r="SM206" s="2071"/>
      <c r="SN206" s="2071"/>
      <c r="SO206" s="2071"/>
      <c r="SP206" s="2071"/>
      <c r="SQ206" s="2071"/>
      <c r="SR206" s="2071"/>
      <c r="SS206" s="2071"/>
      <c r="ST206" s="2071"/>
      <c r="SU206" s="2071"/>
      <c r="SV206" s="2071"/>
      <c r="SW206" s="2071"/>
      <c r="SX206" s="2071"/>
      <c r="SY206" s="2071"/>
      <c r="SZ206" s="2071"/>
      <c r="TA206" s="2071"/>
      <c r="TB206" s="2071"/>
      <c r="TC206" s="2071"/>
      <c r="TD206" s="2071"/>
      <c r="TE206" s="2071"/>
      <c r="TF206" s="2071"/>
      <c r="TG206" s="2071"/>
      <c r="TH206" s="2071"/>
      <c r="TI206" s="2071"/>
      <c r="TJ206" s="2071"/>
      <c r="TK206" s="2071"/>
      <c r="TL206" s="2071"/>
      <c r="TM206" s="2071"/>
      <c r="TN206" s="2071"/>
      <c r="TO206" s="2071"/>
      <c r="TP206" s="2071"/>
      <c r="TQ206" s="2071"/>
      <c r="TR206" s="2071"/>
      <c r="TS206" s="2071"/>
      <c r="TT206" s="2071"/>
      <c r="TU206" s="2071"/>
      <c r="TV206" s="2071"/>
      <c r="TW206" s="2071"/>
      <c r="TX206" s="2071"/>
      <c r="TY206" s="2071"/>
      <c r="TZ206" s="2071"/>
      <c r="UA206" s="2071"/>
      <c r="UB206" s="2071"/>
      <c r="UC206" s="2071"/>
      <c r="UD206" s="2071"/>
      <c r="UE206" s="2071"/>
      <c r="UF206" s="2071"/>
      <c r="UG206" s="2071"/>
      <c r="UH206" s="2071"/>
      <c r="UI206" s="2071"/>
      <c r="UJ206" s="2071"/>
      <c r="UK206" s="2071"/>
      <c r="UL206" s="2071"/>
      <c r="UM206" s="2071"/>
      <c r="UN206" s="2071"/>
      <c r="UO206" s="2071"/>
      <c r="UP206" s="2071"/>
      <c r="UQ206" s="2071"/>
      <c r="UR206" s="2071"/>
      <c r="US206" s="2071"/>
      <c r="UT206" s="2071"/>
      <c r="UU206" s="2071"/>
      <c r="UV206" s="2071"/>
      <c r="UW206" s="2071"/>
      <c r="UX206" s="2071"/>
      <c r="UY206" s="2071"/>
      <c r="UZ206" s="2071"/>
      <c r="VA206" s="2071"/>
      <c r="VB206" s="2071"/>
      <c r="VC206" s="2071"/>
      <c r="VD206" s="2071"/>
      <c r="VE206" s="2071"/>
      <c r="VF206" s="2071"/>
      <c r="VG206" s="2071"/>
      <c r="VH206" s="2071"/>
      <c r="VI206" s="2071"/>
      <c r="VJ206" s="2071"/>
      <c r="VK206" s="2071"/>
      <c r="VL206" s="2071"/>
      <c r="VM206" s="2071"/>
      <c r="VN206" s="2071"/>
      <c r="VO206" s="2071"/>
      <c r="VP206" s="2071"/>
      <c r="VQ206" s="2071"/>
      <c r="VR206" s="2071"/>
      <c r="VS206" s="2071"/>
      <c r="VT206" s="2071"/>
      <c r="VU206" s="2071"/>
      <c r="VV206" s="2071"/>
      <c r="VW206" s="2071"/>
      <c r="VX206" s="2071"/>
      <c r="VY206" s="2071"/>
      <c r="VZ206" s="2071"/>
      <c r="WA206" s="2071"/>
      <c r="WB206" s="2071"/>
      <c r="WC206" s="2071"/>
      <c r="WD206" s="2071"/>
      <c r="WE206" s="2071"/>
      <c r="WF206" s="2071"/>
      <c r="WG206" s="2071"/>
      <c r="WH206" s="2071"/>
      <c r="WI206" s="2071"/>
      <c r="WJ206" s="2071"/>
      <c r="WK206" s="2071"/>
      <c r="WL206" s="2071"/>
      <c r="WM206" s="2071"/>
      <c r="WN206" s="2071"/>
      <c r="WO206" s="2071"/>
      <c r="WP206" s="2071"/>
      <c r="WQ206" s="2071"/>
      <c r="WR206" s="2071"/>
      <c r="WS206" s="2071"/>
      <c r="WT206" s="2071"/>
      <c r="WU206" s="2071"/>
      <c r="WV206" s="2071"/>
      <c r="WW206" s="2071"/>
      <c r="WX206" s="2071"/>
      <c r="WY206" s="2071"/>
      <c r="WZ206" s="2071"/>
      <c r="XA206" s="2071"/>
      <c r="XB206" s="2071"/>
      <c r="XC206" s="2071"/>
      <c r="XD206" s="2071"/>
      <c r="XE206" s="2071"/>
      <c r="XF206" s="2071"/>
      <c r="XG206" s="2071"/>
      <c r="XH206" s="2071"/>
      <c r="XI206" s="2071"/>
      <c r="XJ206" s="2071"/>
      <c r="XK206" s="2071"/>
      <c r="XL206" s="2071"/>
      <c r="XM206" s="2071"/>
      <c r="XN206" s="2071"/>
      <c r="XO206" s="2071"/>
      <c r="XP206" s="2071"/>
      <c r="XQ206" s="2071"/>
      <c r="XR206" s="2071"/>
      <c r="XS206" s="2071"/>
      <c r="XT206" s="2071"/>
      <c r="XU206" s="2071"/>
      <c r="XV206" s="2071"/>
      <c r="XW206" s="2071"/>
      <c r="XX206" s="2071"/>
      <c r="XY206" s="2071"/>
      <c r="XZ206" s="2071"/>
      <c r="YA206" s="2071"/>
      <c r="YB206" s="2071"/>
      <c r="YC206" s="2071"/>
      <c r="YD206" s="2071"/>
      <c r="YE206" s="2071"/>
      <c r="YF206" s="2071"/>
      <c r="YG206" s="2071"/>
      <c r="YH206" s="2071"/>
      <c r="YI206" s="2071"/>
      <c r="YJ206" s="2071"/>
      <c r="YK206" s="2071"/>
      <c r="YL206" s="2071"/>
      <c r="YM206" s="2071"/>
      <c r="YN206" s="2071"/>
      <c r="YO206" s="2071"/>
      <c r="YP206" s="2071"/>
      <c r="YQ206" s="2071"/>
      <c r="YR206" s="2071"/>
      <c r="YS206" s="2071"/>
      <c r="YT206" s="2071"/>
      <c r="YU206" s="2071"/>
      <c r="YV206" s="2071"/>
      <c r="YW206" s="2071"/>
      <c r="YX206" s="2071"/>
      <c r="YY206" s="2071"/>
      <c r="YZ206" s="2071"/>
      <c r="ZA206" s="2071"/>
      <c r="ZB206" s="2071"/>
      <c r="ZC206" s="2071"/>
      <c r="ZD206" s="2071"/>
      <c r="ZE206" s="2071"/>
      <c r="ZF206" s="2071"/>
      <c r="ZG206" s="2071"/>
      <c r="ZH206" s="2071"/>
      <c r="ZI206" s="2071"/>
      <c r="ZJ206" s="2071"/>
      <c r="ZK206" s="2071"/>
      <c r="ZL206" s="2071"/>
      <c r="ZM206" s="2071"/>
      <c r="ZN206" s="2071"/>
      <c r="ZO206" s="2071"/>
      <c r="ZP206" s="2071"/>
      <c r="ZQ206" s="2071"/>
      <c r="ZR206" s="2071"/>
      <c r="ZS206" s="2071"/>
      <c r="ZT206" s="2071"/>
      <c r="ZU206" s="2071"/>
      <c r="ZV206" s="2071"/>
      <c r="ZW206" s="2071"/>
      <c r="ZX206" s="2071"/>
      <c r="ZY206" s="2071"/>
      <c r="ZZ206" s="2071"/>
      <c r="AAA206" s="2071"/>
      <c r="AAB206" s="2071"/>
      <c r="AAC206" s="2071"/>
      <c r="AAD206" s="2071"/>
      <c r="AAE206" s="2071"/>
      <c r="AAF206" s="2071"/>
      <c r="AAG206" s="2071"/>
      <c r="AAH206" s="2071"/>
      <c r="AAI206" s="2071"/>
      <c r="AAJ206" s="2071"/>
      <c r="AAK206" s="2071"/>
      <c r="AAL206" s="2071"/>
      <c r="AAM206" s="2071"/>
      <c r="AAN206" s="2071"/>
      <c r="AAO206" s="2071"/>
      <c r="AAP206" s="2071"/>
      <c r="AAQ206" s="2071"/>
      <c r="AAR206" s="2071"/>
      <c r="AAS206" s="2071"/>
      <c r="AAT206" s="2071"/>
      <c r="AAU206" s="2071"/>
      <c r="AAV206" s="2071"/>
      <c r="AAW206" s="2071"/>
      <c r="AAX206" s="2071"/>
      <c r="AAY206" s="2071"/>
      <c r="AAZ206" s="2071"/>
      <c r="ABA206" s="2071"/>
      <c r="ABB206" s="2071"/>
      <c r="ABC206" s="2071"/>
      <c r="ABD206" s="2071"/>
      <c r="ABE206" s="2071"/>
      <c r="ABF206" s="2071"/>
      <c r="ABG206" s="2071"/>
      <c r="ABH206" s="2071"/>
      <c r="ABI206" s="2071"/>
      <c r="ABJ206" s="2071"/>
      <c r="ABK206" s="2071"/>
      <c r="ABL206" s="2071"/>
      <c r="ABM206" s="2071"/>
      <c r="ABN206" s="2071"/>
      <c r="ABO206" s="2071"/>
      <c r="ABP206" s="2071"/>
      <c r="ABQ206" s="2071"/>
      <c r="ABR206" s="2071"/>
      <c r="ABS206" s="2071"/>
      <c r="ABT206" s="2071"/>
      <c r="ABU206" s="2071"/>
      <c r="ABV206" s="2071"/>
      <c r="ABW206" s="2071"/>
      <c r="ABX206" s="2071"/>
      <c r="ABY206" s="2071"/>
      <c r="ABZ206" s="2071"/>
      <c r="ACA206" s="2071"/>
      <c r="ACB206" s="2071"/>
      <c r="ACC206" s="2071"/>
      <c r="ACD206" s="2071"/>
      <c r="ACE206" s="2071"/>
      <c r="ACF206" s="2071"/>
      <c r="ACG206" s="2071"/>
      <c r="ACH206" s="2071"/>
      <c r="ACI206" s="2071"/>
      <c r="ACJ206" s="2071"/>
      <c r="ACK206" s="2071"/>
      <c r="ACL206" s="2071"/>
      <c r="ACM206" s="2071"/>
      <c r="ACN206" s="2071"/>
      <c r="ACO206" s="2071"/>
      <c r="ACP206" s="2071"/>
      <c r="ACQ206" s="2071"/>
      <c r="ACR206" s="2071"/>
      <c r="ACS206" s="2071"/>
      <c r="ACT206" s="2071"/>
      <c r="ACU206" s="2071"/>
      <c r="ACV206" s="2071"/>
      <c r="ACW206" s="2071"/>
      <c r="ACX206" s="2071"/>
      <c r="ACY206" s="2071"/>
      <c r="ACZ206" s="2071"/>
      <c r="ADA206" s="2071"/>
      <c r="ADB206" s="2071"/>
      <c r="ADC206" s="2071"/>
      <c r="ADD206" s="2071"/>
      <c r="ADE206" s="2071"/>
      <c r="ADF206" s="2071"/>
      <c r="ADG206" s="2071"/>
      <c r="ADH206" s="2071"/>
      <c r="ADI206" s="2071"/>
      <c r="ADJ206" s="2071"/>
      <c r="ADK206" s="2071"/>
      <c r="ADL206" s="2071"/>
      <c r="ADM206" s="2071"/>
      <c r="ADN206" s="2071"/>
      <c r="ADO206" s="2071"/>
      <c r="ADP206" s="2071"/>
      <c r="ADQ206" s="2071"/>
      <c r="ADR206" s="2071"/>
      <c r="ADS206" s="2071"/>
      <c r="ADT206" s="2071"/>
      <c r="ADU206" s="2071"/>
      <c r="ADV206" s="2071"/>
      <c r="ADW206" s="2071"/>
      <c r="ADX206" s="2071"/>
      <c r="ADY206" s="2071"/>
      <c r="ADZ206" s="2071"/>
      <c r="AEA206" s="2071"/>
      <c r="AEB206" s="2071"/>
      <c r="AEC206" s="2071"/>
      <c r="AED206" s="2071"/>
      <c r="AEE206" s="2071"/>
      <c r="AEF206" s="2071"/>
      <c r="AEG206" s="2071"/>
      <c r="AEH206" s="2071"/>
      <c r="AEI206" s="2071"/>
      <c r="AEJ206" s="2071"/>
      <c r="AEK206" s="2071"/>
      <c r="AEL206" s="2071"/>
      <c r="AEM206" s="2071"/>
      <c r="AEN206" s="2071"/>
      <c r="AEO206" s="2071"/>
      <c r="AEP206" s="2071"/>
      <c r="AEQ206" s="2071"/>
      <c r="AER206" s="2071"/>
      <c r="AES206" s="2071"/>
      <c r="AET206" s="2071"/>
      <c r="AEU206" s="2071"/>
      <c r="AEV206" s="2071"/>
      <c r="AEW206" s="2071"/>
      <c r="AEX206" s="2071"/>
      <c r="AEY206" s="2071"/>
      <c r="AEZ206" s="2071"/>
      <c r="AFA206" s="2071"/>
      <c r="AFB206" s="2071"/>
      <c r="AFC206" s="2071"/>
      <c r="AFD206" s="2071"/>
      <c r="AFE206" s="2071"/>
      <c r="AFF206" s="2071"/>
      <c r="AFG206" s="2071"/>
      <c r="AFH206" s="2071"/>
      <c r="AFI206" s="2071"/>
      <c r="AFJ206" s="2071"/>
      <c r="AFK206" s="2071"/>
      <c r="AFL206" s="2071"/>
      <c r="AFM206" s="2071"/>
      <c r="AFN206" s="2071"/>
      <c r="AFO206" s="2071"/>
      <c r="AFP206" s="2071"/>
      <c r="AFQ206" s="2071"/>
      <c r="AFR206" s="2071"/>
      <c r="AFS206" s="2071"/>
      <c r="AFT206" s="2071"/>
      <c r="AFU206" s="2071"/>
      <c r="AFV206" s="2071"/>
      <c r="AFW206" s="2071"/>
      <c r="AFX206" s="2071"/>
      <c r="AFY206" s="2071"/>
      <c r="AFZ206" s="2071"/>
      <c r="AGA206" s="2071"/>
      <c r="AGB206" s="2071"/>
      <c r="AGC206" s="2071"/>
      <c r="AGD206" s="2071"/>
      <c r="AGE206" s="2071"/>
      <c r="AGF206" s="2071"/>
      <c r="AGG206" s="2071"/>
      <c r="AGH206" s="2071"/>
      <c r="AGI206" s="2071"/>
      <c r="AGJ206" s="2071"/>
      <c r="AGK206" s="2071"/>
      <c r="AGL206" s="2071"/>
      <c r="AGM206" s="2071"/>
      <c r="AGN206" s="2071"/>
      <c r="AGO206" s="2071"/>
      <c r="AGP206" s="2071"/>
      <c r="AGQ206" s="2071"/>
      <c r="AGR206" s="2071"/>
      <c r="AGS206" s="2071"/>
      <c r="AGT206" s="2071"/>
      <c r="AGU206" s="2071"/>
      <c r="AGV206" s="2071"/>
      <c r="AGW206" s="2071"/>
      <c r="AGX206" s="2071"/>
      <c r="AGY206" s="2071"/>
      <c r="AGZ206" s="2071"/>
      <c r="AHA206" s="2071"/>
      <c r="AHB206" s="2071"/>
      <c r="AHC206" s="2071"/>
      <c r="AHD206" s="2071"/>
      <c r="AHE206" s="2071"/>
      <c r="AHF206" s="2071"/>
      <c r="AHG206" s="2071"/>
      <c r="AHH206" s="2071"/>
      <c r="AHI206" s="2071"/>
      <c r="AHJ206" s="2071"/>
      <c r="AHK206" s="2071"/>
      <c r="AHL206" s="2071"/>
      <c r="AHM206" s="2071"/>
      <c r="AHN206" s="2071"/>
      <c r="AHO206" s="2071"/>
      <c r="AHP206" s="2071"/>
      <c r="AHQ206" s="2071"/>
      <c r="AHR206" s="2071"/>
      <c r="AHS206" s="2071"/>
      <c r="AHT206" s="2071"/>
      <c r="AHU206" s="2071"/>
      <c r="AHV206" s="2071"/>
      <c r="AHW206" s="2071"/>
      <c r="AHX206" s="2071"/>
      <c r="AHY206" s="2071"/>
      <c r="AHZ206" s="2071"/>
      <c r="AIA206" s="2071"/>
      <c r="AIB206" s="2071"/>
      <c r="AIC206" s="2071"/>
      <c r="AID206" s="2071"/>
      <c r="AIE206" s="2071"/>
      <c r="AIF206" s="2071"/>
      <c r="AIG206" s="2071"/>
      <c r="AIH206" s="2071"/>
      <c r="AII206" s="2071"/>
      <c r="AIJ206" s="2071"/>
      <c r="AIK206" s="2071"/>
      <c r="AIL206" s="2071"/>
      <c r="AIM206" s="2071"/>
      <c r="AIN206" s="2071"/>
      <c r="AIO206" s="2071"/>
      <c r="AIP206" s="2071"/>
      <c r="AIQ206" s="2071"/>
      <c r="AIR206" s="2071"/>
      <c r="AIS206" s="2071"/>
      <c r="AIT206" s="2071"/>
      <c r="AIU206" s="2071"/>
      <c r="AIV206" s="2071"/>
      <c r="AIW206" s="2071"/>
      <c r="AIX206" s="2071"/>
      <c r="AIY206" s="2071"/>
      <c r="AIZ206" s="2071"/>
      <c r="AJA206" s="2071"/>
      <c r="AJB206" s="2071"/>
      <c r="AJC206" s="2071"/>
      <c r="AJD206" s="2071"/>
      <c r="AJE206" s="2071"/>
      <c r="AJF206" s="2071"/>
      <c r="AJG206" s="2071"/>
      <c r="AJH206" s="2071"/>
      <c r="AJI206" s="2071"/>
      <c r="AJJ206" s="2071"/>
      <c r="AJK206" s="2071"/>
      <c r="AJL206" s="2071"/>
      <c r="AJM206" s="2071"/>
      <c r="AJN206" s="2071"/>
      <c r="AJO206" s="2071"/>
      <c r="AJP206" s="2071"/>
      <c r="AJQ206" s="2071"/>
      <c r="AJR206" s="2071"/>
      <c r="AJS206" s="2071"/>
      <c r="AJT206" s="2071"/>
      <c r="AJU206" s="2071"/>
      <c r="AJV206" s="2071"/>
      <c r="AJW206" s="2071"/>
      <c r="AJX206" s="2071"/>
      <c r="AJY206" s="2071"/>
      <c r="AJZ206" s="2071"/>
      <c r="AKA206" s="2071"/>
      <c r="AKB206" s="2071"/>
      <c r="AKC206" s="2071"/>
      <c r="AKD206" s="2071"/>
      <c r="AKE206" s="2071"/>
      <c r="AKF206" s="2071"/>
      <c r="AKG206" s="2071"/>
      <c r="AKH206" s="2071"/>
      <c r="AKI206" s="2071"/>
      <c r="AKJ206" s="2071"/>
      <c r="AKK206" s="2071"/>
      <c r="AKL206" s="2071"/>
      <c r="AKM206" s="2071"/>
      <c r="AKN206" s="2071"/>
      <c r="AKO206" s="2071"/>
      <c r="AKP206" s="2071"/>
      <c r="AKQ206" s="2071"/>
      <c r="AKR206" s="2071"/>
      <c r="AKS206" s="2071"/>
      <c r="AKT206" s="2071"/>
      <c r="AKU206" s="2071"/>
      <c r="AKV206" s="2071"/>
      <c r="AKW206" s="2071"/>
      <c r="AKX206" s="2071"/>
      <c r="AKY206" s="2071"/>
      <c r="AKZ206" s="2071"/>
      <c r="ALA206" s="2071"/>
      <c r="ALB206" s="2071"/>
      <c r="ALC206" s="2071"/>
      <c r="ALD206" s="2071"/>
      <c r="ALE206" s="2071"/>
      <c r="ALF206" s="2071"/>
      <c r="ALG206" s="2071"/>
      <c r="ALH206" s="2071"/>
      <c r="ALI206" s="2071"/>
      <c r="ALJ206" s="2071"/>
      <c r="ALK206" s="2071"/>
      <c r="ALL206" s="2071"/>
      <c r="ALM206" s="2071"/>
      <c r="ALN206" s="2071"/>
      <c r="ALO206" s="2071"/>
      <c r="ALP206" s="2071"/>
      <c r="ALQ206" s="2071"/>
      <c r="ALR206" s="2071"/>
      <c r="ALS206" s="2071"/>
      <c r="ALT206" s="2071"/>
      <c r="ALU206" s="2071"/>
      <c r="ALV206" s="2071"/>
      <c r="ALW206" s="2071"/>
      <c r="ALX206" s="2071"/>
      <c r="ALY206" s="2071"/>
      <c r="ALZ206" s="2071"/>
      <c r="AMA206" s="2071"/>
      <c r="AMB206" s="2071"/>
      <c r="AMC206" s="2071"/>
      <c r="AMD206" s="2071"/>
      <c r="AME206" s="2071"/>
      <c r="AMF206" s="2071"/>
      <c r="AMG206" s="2071"/>
      <c r="AMH206" s="2071"/>
      <c r="AMI206" s="2071"/>
      <c r="AMJ206" s="2071"/>
      <c r="AMK206" s="2071"/>
      <c r="AML206" s="2071"/>
      <c r="AMM206" s="2071"/>
      <c r="AMN206" s="2071"/>
      <c r="AMO206" s="2071"/>
      <c r="AMP206" s="2071"/>
      <c r="AMQ206" s="2071"/>
      <c r="AMR206" s="2071"/>
      <c r="AMS206" s="2071"/>
      <c r="AMT206" s="2071"/>
      <c r="AMU206" s="2071"/>
      <c r="AMV206" s="2071"/>
      <c r="AMW206" s="2071"/>
      <c r="AMX206" s="2071"/>
      <c r="AMY206" s="2071"/>
      <c r="AMZ206" s="2071"/>
      <c r="ANA206" s="2071"/>
      <c r="ANB206" s="2071"/>
      <c r="ANC206" s="2071"/>
      <c r="AND206" s="2071"/>
      <c r="ANE206" s="2071"/>
      <c r="ANF206" s="2071"/>
      <c r="ANG206" s="2071"/>
      <c r="ANH206" s="2071"/>
      <c r="ANI206" s="2071"/>
      <c r="ANJ206" s="2071"/>
      <c r="ANK206" s="2071"/>
      <c r="ANL206" s="2071"/>
      <c r="ANM206" s="2071"/>
      <c r="ANN206" s="2071"/>
      <c r="ANO206" s="2071"/>
      <c r="ANP206" s="2071"/>
      <c r="ANQ206" s="2071"/>
      <c r="ANR206" s="2071"/>
      <c r="ANS206" s="2071"/>
      <c r="ANT206" s="2071"/>
      <c r="ANU206" s="2071"/>
      <c r="ANV206" s="2071"/>
      <c r="ANW206" s="2071"/>
      <c r="ANX206" s="2071"/>
      <c r="ANY206" s="2071"/>
      <c r="ANZ206" s="2071"/>
      <c r="AOA206" s="2071"/>
      <c r="AOB206" s="2071"/>
      <c r="AOC206" s="2071"/>
      <c r="AOD206" s="2071"/>
      <c r="AOE206" s="2071"/>
      <c r="AOF206" s="2071"/>
      <c r="AOG206" s="2071"/>
      <c r="AOH206" s="2071"/>
      <c r="AOI206" s="2071"/>
      <c r="AOJ206" s="2071"/>
      <c r="AOK206" s="2071"/>
      <c r="AOL206" s="2071"/>
      <c r="AOM206" s="2071"/>
      <c r="AON206" s="2071"/>
      <c r="AOO206" s="2071"/>
      <c r="AOP206" s="2071"/>
      <c r="AOQ206" s="2071"/>
      <c r="AOR206" s="2071"/>
      <c r="AOS206" s="2071"/>
      <c r="AOT206" s="2071"/>
      <c r="AOU206" s="2071"/>
      <c r="AOV206" s="2071"/>
      <c r="AOW206" s="2071"/>
      <c r="AOX206" s="2071"/>
      <c r="AOY206" s="2071"/>
      <c r="AOZ206" s="2071"/>
      <c r="APA206" s="2071"/>
      <c r="APB206" s="2071"/>
      <c r="APC206" s="2071"/>
      <c r="APD206" s="2071"/>
      <c r="APE206" s="2071"/>
      <c r="APF206" s="2071"/>
      <c r="APG206" s="2071"/>
      <c r="APH206" s="2071"/>
      <c r="API206" s="2071"/>
      <c r="APJ206" s="2071"/>
      <c r="APK206" s="2071"/>
      <c r="APL206" s="2071"/>
      <c r="APM206" s="2071"/>
      <c r="APN206" s="2071"/>
      <c r="APO206" s="2071"/>
      <c r="APP206" s="2071"/>
      <c r="APQ206" s="2071"/>
      <c r="APR206" s="2071"/>
      <c r="APS206" s="2071"/>
      <c r="APT206" s="2071"/>
      <c r="APU206" s="2071"/>
      <c r="APV206" s="2071"/>
      <c r="APW206" s="2071"/>
      <c r="APX206" s="2071"/>
      <c r="APY206" s="2071"/>
      <c r="APZ206" s="2071"/>
      <c r="AQA206" s="2071"/>
      <c r="AQB206" s="2071"/>
      <c r="AQC206" s="2071"/>
      <c r="AQD206" s="2071"/>
      <c r="AQE206" s="2071"/>
      <c r="AQF206" s="2071"/>
      <c r="AQG206" s="2071"/>
      <c r="AQH206" s="2071"/>
      <c r="AQI206" s="2071"/>
      <c r="AQJ206" s="2071"/>
      <c r="AQK206" s="2071"/>
      <c r="AQL206" s="2071"/>
      <c r="AQM206" s="2071"/>
      <c r="AQN206" s="2071"/>
      <c r="AQO206" s="2071"/>
      <c r="AQP206" s="2071"/>
      <c r="AQQ206" s="2071"/>
      <c r="AQR206" s="2071"/>
      <c r="AQS206" s="2071"/>
      <c r="AQT206" s="2071"/>
      <c r="AQU206" s="2071"/>
      <c r="AQV206" s="2071"/>
      <c r="AQW206" s="2071"/>
      <c r="AQX206" s="2071"/>
      <c r="AQY206" s="2071"/>
      <c r="AQZ206" s="2071"/>
      <c r="ARA206" s="2071"/>
      <c r="ARB206" s="2071"/>
      <c r="ARC206" s="2071"/>
      <c r="ARD206" s="2071"/>
      <c r="ARE206" s="2071"/>
      <c r="ARF206" s="2071"/>
      <c r="ARG206" s="2071"/>
      <c r="ARH206" s="2071"/>
      <c r="ARI206" s="2071"/>
      <c r="ARJ206" s="2071"/>
      <c r="ARK206" s="2071"/>
      <c r="ARL206" s="2071"/>
      <c r="ARM206" s="2071"/>
      <c r="ARN206" s="2071"/>
      <c r="ARO206" s="2071"/>
      <c r="ARP206" s="2071"/>
      <c r="ARQ206" s="2071"/>
      <c r="ARR206" s="2071"/>
      <c r="ARS206" s="2071"/>
      <c r="ART206" s="2071"/>
      <c r="ARU206" s="2071"/>
      <c r="ARV206" s="2071"/>
      <c r="ARW206" s="2071"/>
      <c r="ARX206" s="2071"/>
      <c r="ARY206" s="2071"/>
      <c r="ARZ206" s="2071"/>
      <c r="ASA206" s="2071"/>
      <c r="ASB206" s="2071"/>
      <c r="ASC206" s="2071"/>
      <c r="ASD206" s="2071"/>
      <c r="ASE206" s="2071"/>
      <c r="ASF206" s="2071"/>
      <c r="ASG206" s="2071"/>
      <c r="ASH206" s="2071"/>
      <c r="ASI206" s="2071"/>
      <c r="ASJ206" s="2071"/>
      <c r="ASK206" s="2071"/>
      <c r="ASL206" s="2071"/>
      <c r="ASM206" s="2071"/>
      <c r="ASN206" s="2071"/>
      <c r="ASO206" s="2071"/>
      <c r="ASP206" s="2071"/>
      <c r="ASQ206" s="2071"/>
      <c r="ASR206" s="2071"/>
      <c r="ASS206" s="2071"/>
      <c r="AST206" s="2071"/>
      <c r="ASU206" s="2071"/>
      <c r="ASV206" s="2071"/>
      <c r="ASW206" s="2071"/>
      <c r="ASX206" s="2071"/>
      <c r="ASY206" s="2071"/>
      <c r="ASZ206" s="2071"/>
      <c r="ATA206" s="2071"/>
      <c r="ATB206" s="2071"/>
      <c r="ATC206" s="2071"/>
      <c r="ATD206" s="2071"/>
      <c r="ATE206" s="2071"/>
      <c r="ATF206" s="2071"/>
      <c r="ATG206" s="2071"/>
      <c r="ATH206" s="2071"/>
      <c r="ATI206" s="2071"/>
      <c r="ATJ206" s="2071"/>
      <c r="ATK206" s="2071"/>
      <c r="ATL206" s="2071"/>
      <c r="ATM206" s="2071"/>
      <c r="ATN206" s="2071"/>
      <c r="ATO206" s="2071"/>
      <c r="ATP206" s="2071"/>
      <c r="ATQ206" s="2071"/>
      <c r="ATR206" s="2071"/>
      <c r="ATS206" s="2071"/>
      <c r="ATT206" s="2071"/>
      <c r="ATU206" s="2071"/>
      <c r="ATV206" s="2071"/>
      <c r="ATW206" s="2071"/>
      <c r="ATX206" s="2071"/>
      <c r="ATY206" s="2071"/>
      <c r="ATZ206" s="2071"/>
      <c r="AUA206" s="2071"/>
      <c r="AUB206" s="2071"/>
      <c r="AUC206" s="2071"/>
      <c r="AUD206" s="2071"/>
      <c r="AUE206" s="2071"/>
      <c r="AUF206" s="2071"/>
      <c r="AUG206" s="2071"/>
      <c r="AUH206" s="2071"/>
      <c r="AUI206" s="2071"/>
      <c r="AUJ206" s="2071"/>
      <c r="AUK206" s="2071"/>
      <c r="AUL206" s="2071"/>
      <c r="AUM206" s="2071"/>
      <c r="AUN206" s="2071"/>
      <c r="AUO206" s="2071"/>
      <c r="AUP206" s="2071"/>
      <c r="AUQ206" s="2071"/>
      <c r="AUR206" s="2071"/>
      <c r="AUS206" s="2071"/>
      <c r="AUT206" s="2071"/>
      <c r="AUU206" s="2071"/>
      <c r="AUV206" s="2071"/>
      <c r="AUW206" s="2071"/>
      <c r="AUX206" s="2071"/>
      <c r="AUY206" s="2071"/>
      <c r="AUZ206" s="2071"/>
      <c r="AVA206" s="2071"/>
      <c r="AVB206" s="2071"/>
      <c r="AVC206" s="2071"/>
      <c r="AVD206" s="2071"/>
      <c r="AVE206" s="2071"/>
      <c r="AVF206" s="2071"/>
      <c r="AVG206" s="2071"/>
      <c r="AVH206" s="2071"/>
      <c r="AVI206" s="2071"/>
      <c r="AVJ206" s="2071"/>
      <c r="AVK206" s="2071"/>
      <c r="AVL206" s="2071"/>
      <c r="AVM206" s="2071"/>
      <c r="AVN206" s="2071"/>
      <c r="AVO206" s="2071"/>
      <c r="AVP206" s="2071"/>
      <c r="AVQ206" s="2071"/>
      <c r="AVR206" s="2071"/>
      <c r="AVS206" s="2071"/>
      <c r="AVT206" s="2071"/>
      <c r="AVU206" s="2071"/>
      <c r="AVV206" s="2071"/>
      <c r="AVW206" s="2071"/>
      <c r="AVX206" s="2071"/>
      <c r="AVY206" s="2071"/>
      <c r="AVZ206" s="2071"/>
      <c r="AWA206" s="2071"/>
      <c r="AWB206" s="2071"/>
      <c r="AWC206" s="2071"/>
      <c r="AWD206" s="2071"/>
      <c r="AWE206" s="2071"/>
      <c r="AWF206" s="2071"/>
      <c r="AWG206" s="2071"/>
      <c r="AWH206" s="2071"/>
      <c r="AWI206" s="2071"/>
      <c r="AWJ206" s="2071"/>
      <c r="AWK206" s="2071"/>
      <c r="AWL206" s="2071"/>
      <c r="AWM206" s="2071"/>
      <c r="AWN206" s="2071"/>
      <c r="AWO206" s="2071"/>
      <c r="AWP206" s="2071"/>
      <c r="AWQ206" s="2071"/>
      <c r="AWR206" s="2071"/>
      <c r="AWS206" s="2071"/>
      <c r="AWT206" s="2071"/>
      <c r="AWU206" s="2071"/>
      <c r="AWV206" s="2071"/>
      <c r="AWW206" s="2071"/>
      <c r="AWX206" s="2071"/>
      <c r="AWY206" s="2071"/>
      <c r="AWZ206" s="2071"/>
      <c r="AXA206" s="2071"/>
      <c r="AXB206" s="2071"/>
      <c r="AXC206" s="2071"/>
      <c r="AXD206" s="2071"/>
      <c r="AXE206" s="2071"/>
      <c r="AXF206" s="2071"/>
      <c r="AXG206" s="2071"/>
      <c r="AXH206" s="2071"/>
      <c r="AXI206" s="2071"/>
      <c r="AXJ206" s="2071"/>
    </row>
    <row r="207" spans="1:1310" s="2072" customFormat="1" ht="23.25" customHeight="1">
      <c r="A207" s="2073"/>
      <c r="B207" s="4484" t="s">
        <v>884</v>
      </c>
      <c r="C207" s="4484"/>
      <c r="D207" s="4484"/>
      <c r="E207" s="4484"/>
      <c r="F207" s="2075"/>
      <c r="G207" s="4484" t="s">
        <v>885</v>
      </c>
      <c r="H207" s="4484"/>
      <c r="I207" s="4484"/>
      <c r="J207" s="2075"/>
      <c r="K207" s="4484" t="s">
        <v>886</v>
      </c>
      <c r="L207" s="4484"/>
      <c r="M207" s="4484"/>
      <c r="N207" s="2075"/>
      <c r="O207" s="4484" t="s">
        <v>883</v>
      </c>
      <c r="P207" s="4484"/>
      <c r="Q207" s="2075"/>
      <c r="R207" s="1838"/>
      <c r="S207" s="1838"/>
      <c r="T207" s="1838"/>
      <c r="U207" s="1838"/>
      <c r="V207" s="1838"/>
      <c r="W207" s="1838"/>
      <c r="X207" s="1838"/>
      <c r="Y207" s="1838"/>
      <c r="Z207" s="1838"/>
      <c r="AA207" s="1838"/>
      <c r="AB207" s="1838"/>
      <c r="AC207" s="1838"/>
      <c r="AD207" s="2070"/>
      <c r="AE207" s="2070"/>
      <c r="AF207" s="2070"/>
      <c r="AG207" s="2070"/>
      <c r="AH207" s="2070"/>
      <c r="AI207" s="2070"/>
      <c r="AJ207" s="2070"/>
      <c r="AK207" s="2070"/>
      <c r="AL207" s="2070"/>
      <c r="AM207" s="2070"/>
      <c r="AN207" s="2070"/>
      <c r="AO207" s="2070"/>
      <c r="AP207" s="2070"/>
      <c r="AQ207" s="2070"/>
      <c r="AR207" s="2070"/>
      <c r="AS207" s="2070"/>
      <c r="AT207" s="2070"/>
      <c r="AU207" s="2070"/>
      <c r="AV207" s="2071"/>
      <c r="AW207" s="2071"/>
      <c r="AX207" s="2071"/>
      <c r="AY207" s="2071"/>
      <c r="AZ207" s="2071"/>
      <c r="BA207" s="2071"/>
      <c r="BB207" s="2071"/>
      <c r="BC207" s="2071"/>
      <c r="BD207" s="2071"/>
      <c r="BE207" s="2071"/>
      <c r="BF207" s="2071"/>
      <c r="BG207" s="2071"/>
      <c r="BH207" s="2071"/>
      <c r="BI207" s="2071"/>
      <c r="BJ207" s="2071"/>
      <c r="BK207" s="2071"/>
      <c r="BL207" s="2071"/>
      <c r="BM207" s="2071"/>
      <c r="BN207" s="2071"/>
      <c r="BO207" s="2071"/>
      <c r="BP207" s="2071"/>
      <c r="BQ207" s="2071"/>
      <c r="BR207" s="2071"/>
      <c r="BS207" s="2071"/>
      <c r="BT207" s="2071"/>
      <c r="BU207" s="2071"/>
      <c r="BV207" s="2071"/>
      <c r="BW207" s="2071"/>
      <c r="BX207" s="2071"/>
      <c r="BY207" s="2071"/>
      <c r="BZ207" s="2071"/>
      <c r="CA207" s="2071"/>
      <c r="CB207" s="2071"/>
      <c r="CC207" s="2071"/>
      <c r="CD207" s="2071"/>
      <c r="CE207" s="2071"/>
      <c r="CF207" s="2071"/>
      <c r="CG207" s="2071"/>
      <c r="CH207" s="2071"/>
      <c r="CI207" s="2071"/>
      <c r="CJ207" s="2071"/>
      <c r="CK207" s="2071"/>
      <c r="CL207" s="2071"/>
      <c r="CM207" s="2071"/>
      <c r="CN207" s="2071"/>
      <c r="CO207" s="2071"/>
      <c r="CP207" s="2071"/>
      <c r="CQ207" s="2071"/>
      <c r="CR207" s="2071"/>
      <c r="CS207" s="2071"/>
      <c r="CT207" s="2071"/>
      <c r="CU207" s="2071"/>
      <c r="CV207" s="2071"/>
      <c r="CW207" s="2071"/>
      <c r="CX207" s="2071"/>
      <c r="CY207" s="2071"/>
      <c r="CZ207" s="2071"/>
      <c r="DA207" s="2071"/>
      <c r="DB207" s="2071"/>
      <c r="DC207" s="2071"/>
      <c r="DD207" s="2071"/>
      <c r="DE207" s="2071"/>
      <c r="DF207" s="2071"/>
      <c r="DG207" s="2071"/>
      <c r="DH207" s="2071"/>
      <c r="DI207" s="2071"/>
      <c r="DJ207" s="2071"/>
      <c r="DK207" s="2071"/>
      <c r="DL207" s="2071"/>
      <c r="DM207" s="2071"/>
      <c r="DN207" s="2071"/>
      <c r="DO207" s="2071"/>
      <c r="DP207" s="2071"/>
      <c r="DQ207" s="2071"/>
      <c r="DR207" s="2071"/>
      <c r="DS207" s="2071"/>
      <c r="DT207" s="2071"/>
      <c r="DU207" s="2071"/>
      <c r="DV207" s="2071"/>
      <c r="DW207" s="2071"/>
      <c r="DX207" s="2071"/>
      <c r="DY207" s="2071"/>
      <c r="DZ207" s="2071"/>
      <c r="EA207" s="2071"/>
      <c r="EB207" s="2071"/>
      <c r="EC207" s="2071"/>
      <c r="ED207" s="2071"/>
      <c r="EE207" s="2071"/>
      <c r="EF207" s="2071"/>
      <c r="EG207" s="2071"/>
      <c r="EH207" s="2071"/>
      <c r="EI207" s="2071"/>
      <c r="EJ207" s="2071"/>
      <c r="EK207" s="2071"/>
      <c r="EL207" s="2071"/>
      <c r="EM207" s="2071"/>
      <c r="EN207" s="2071"/>
      <c r="EO207" s="2071"/>
      <c r="EP207" s="2071"/>
      <c r="EQ207" s="2071"/>
      <c r="ER207" s="2071"/>
      <c r="ES207" s="2071"/>
      <c r="ET207" s="2071"/>
      <c r="EU207" s="2071"/>
      <c r="EV207" s="2071"/>
      <c r="EW207" s="2071"/>
      <c r="EX207" s="2071"/>
      <c r="EY207" s="2071"/>
      <c r="EZ207" s="2071"/>
      <c r="FA207" s="2071"/>
      <c r="FB207" s="2071"/>
      <c r="FC207" s="2071"/>
      <c r="FD207" s="2071"/>
      <c r="FE207" s="2071"/>
      <c r="FF207" s="2071"/>
      <c r="FG207" s="2071"/>
      <c r="FH207" s="2071"/>
      <c r="FI207" s="2071"/>
      <c r="FJ207" s="2071"/>
      <c r="FK207" s="2071"/>
      <c r="FL207" s="2071"/>
      <c r="FM207" s="2071"/>
      <c r="FN207" s="2071"/>
      <c r="FO207" s="2071"/>
      <c r="FP207" s="2071"/>
      <c r="FQ207" s="2071"/>
      <c r="FR207" s="2071"/>
      <c r="FS207" s="2071"/>
      <c r="FT207" s="2071"/>
      <c r="FU207" s="2071"/>
      <c r="FV207" s="2071"/>
      <c r="FW207" s="2071"/>
      <c r="FX207" s="2071"/>
      <c r="FY207" s="2071"/>
      <c r="FZ207" s="2071"/>
      <c r="GA207" s="2071"/>
      <c r="GB207" s="2071"/>
      <c r="GC207" s="2071"/>
      <c r="GD207" s="2071"/>
      <c r="GE207" s="2071"/>
      <c r="GF207" s="2071"/>
      <c r="GG207" s="2071"/>
      <c r="GH207" s="2071"/>
      <c r="GI207" s="2071"/>
      <c r="GJ207" s="2071"/>
      <c r="GK207" s="2071"/>
      <c r="GL207" s="2071"/>
      <c r="GM207" s="2071"/>
      <c r="GN207" s="2071"/>
      <c r="GO207" s="2071"/>
      <c r="GP207" s="2071"/>
      <c r="GQ207" s="2071"/>
      <c r="GR207" s="2071"/>
      <c r="GS207" s="2071"/>
      <c r="GT207" s="2071"/>
      <c r="GU207" s="2071"/>
      <c r="GV207" s="2071"/>
      <c r="GW207" s="2071"/>
      <c r="GX207" s="2071"/>
      <c r="GY207" s="2071"/>
      <c r="GZ207" s="2071"/>
      <c r="HA207" s="2071"/>
      <c r="HB207" s="2071"/>
      <c r="HC207" s="2071"/>
      <c r="HD207" s="2071"/>
      <c r="HE207" s="2071"/>
      <c r="HF207" s="2071"/>
      <c r="HG207" s="2071"/>
      <c r="HH207" s="2071"/>
      <c r="HI207" s="2071"/>
      <c r="HJ207" s="2071"/>
      <c r="HK207" s="2071"/>
      <c r="HL207" s="2071"/>
      <c r="HM207" s="2071"/>
      <c r="HN207" s="2071"/>
      <c r="HO207" s="2071"/>
      <c r="HP207" s="2071"/>
      <c r="HQ207" s="2071"/>
      <c r="HR207" s="2071"/>
      <c r="HS207" s="2071"/>
      <c r="HT207" s="2071"/>
      <c r="HU207" s="2071"/>
      <c r="HV207" s="2071"/>
      <c r="HW207" s="2071"/>
      <c r="HX207" s="2071"/>
      <c r="HY207" s="2071"/>
      <c r="HZ207" s="2071"/>
      <c r="IA207" s="2071"/>
      <c r="IB207" s="2071"/>
      <c r="IC207" s="2071"/>
      <c r="ID207" s="2071"/>
      <c r="IE207" s="2071"/>
      <c r="IF207" s="2071"/>
      <c r="IG207" s="2071"/>
      <c r="IH207" s="2071"/>
      <c r="II207" s="2071"/>
      <c r="IJ207" s="2071"/>
      <c r="IK207" s="2071"/>
      <c r="IL207" s="2071"/>
      <c r="IM207" s="2071"/>
      <c r="IN207" s="2071"/>
      <c r="IO207" s="2071"/>
      <c r="IP207" s="2071"/>
      <c r="IQ207" s="2071"/>
      <c r="IR207" s="2071"/>
      <c r="IS207" s="2071"/>
      <c r="IT207" s="2071"/>
      <c r="IU207" s="2071"/>
      <c r="IV207" s="2071"/>
      <c r="IW207" s="2071"/>
      <c r="IX207" s="2071"/>
      <c r="IY207" s="2071"/>
      <c r="IZ207" s="2071"/>
      <c r="JA207" s="2071"/>
      <c r="JB207" s="2071"/>
      <c r="JC207" s="2071"/>
      <c r="JD207" s="2071"/>
      <c r="JE207" s="2071"/>
      <c r="JF207" s="2071"/>
      <c r="JG207" s="2071"/>
      <c r="JH207" s="2071"/>
      <c r="JI207" s="2071"/>
      <c r="JJ207" s="2071"/>
      <c r="JK207" s="2071"/>
      <c r="JL207" s="2071"/>
      <c r="JM207" s="2071"/>
      <c r="JN207" s="2071"/>
      <c r="JO207" s="2071"/>
      <c r="JP207" s="2071"/>
      <c r="JQ207" s="2071"/>
      <c r="JR207" s="2071"/>
      <c r="JS207" s="2071"/>
      <c r="JT207" s="2071"/>
      <c r="JU207" s="2071"/>
      <c r="JV207" s="2071"/>
      <c r="JW207" s="2071"/>
      <c r="JX207" s="2071"/>
      <c r="JY207" s="2071"/>
      <c r="JZ207" s="2071"/>
      <c r="KA207" s="2071"/>
      <c r="KB207" s="2071"/>
      <c r="KC207" s="2071"/>
      <c r="KD207" s="2071"/>
      <c r="KE207" s="2071"/>
      <c r="KF207" s="2071"/>
      <c r="KG207" s="2071"/>
      <c r="KH207" s="2071"/>
      <c r="KI207" s="2071"/>
      <c r="KJ207" s="2071"/>
      <c r="KK207" s="2071"/>
      <c r="KL207" s="2071"/>
      <c r="KM207" s="2071"/>
      <c r="KN207" s="2071"/>
      <c r="KO207" s="2071"/>
      <c r="KP207" s="2071"/>
      <c r="KQ207" s="2071"/>
      <c r="KR207" s="2071"/>
      <c r="KS207" s="2071"/>
      <c r="KT207" s="2071"/>
      <c r="KU207" s="2071"/>
      <c r="KV207" s="2071"/>
      <c r="KW207" s="2071"/>
      <c r="KX207" s="2071"/>
      <c r="KY207" s="2071"/>
      <c r="KZ207" s="2071"/>
      <c r="LA207" s="2071"/>
      <c r="LB207" s="2071"/>
      <c r="LC207" s="2071"/>
      <c r="LD207" s="2071"/>
      <c r="LE207" s="2071"/>
      <c r="LF207" s="2071"/>
      <c r="LG207" s="2071"/>
      <c r="LH207" s="2071"/>
      <c r="LI207" s="2071"/>
      <c r="LJ207" s="2071"/>
      <c r="LK207" s="2071"/>
      <c r="LL207" s="2071"/>
      <c r="LM207" s="2071"/>
      <c r="LN207" s="2071"/>
      <c r="LO207" s="2071"/>
      <c r="LP207" s="2071"/>
      <c r="LQ207" s="2071"/>
      <c r="LR207" s="2071"/>
      <c r="LS207" s="2071"/>
      <c r="LT207" s="2071"/>
      <c r="LU207" s="2071"/>
      <c r="LV207" s="2071"/>
      <c r="LW207" s="2071"/>
      <c r="LX207" s="2071"/>
      <c r="LY207" s="2071"/>
      <c r="LZ207" s="2071"/>
      <c r="MA207" s="2071"/>
      <c r="MB207" s="2071"/>
      <c r="MC207" s="2071"/>
      <c r="MD207" s="2071"/>
      <c r="ME207" s="2071"/>
      <c r="MF207" s="2071"/>
      <c r="MG207" s="2071"/>
      <c r="MH207" s="2071"/>
      <c r="MI207" s="2071"/>
      <c r="MJ207" s="2071"/>
      <c r="MK207" s="2071"/>
      <c r="ML207" s="2071"/>
      <c r="MM207" s="2071"/>
      <c r="MN207" s="2071"/>
      <c r="MO207" s="2071"/>
      <c r="MP207" s="2071"/>
      <c r="MQ207" s="2071"/>
      <c r="MR207" s="2071"/>
      <c r="MS207" s="2071"/>
      <c r="MT207" s="2071"/>
      <c r="MU207" s="2071"/>
      <c r="MV207" s="2071"/>
      <c r="MW207" s="2071"/>
      <c r="MX207" s="2071"/>
      <c r="MY207" s="2071"/>
      <c r="MZ207" s="2071"/>
      <c r="NA207" s="2071"/>
      <c r="NB207" s="2071"/>
      <c r="NC207" s="2071"/>
      <c r="ND207" s="2071"/>
      <c r="NE207" s="2071"/>
      <c r="NF207" s="2071"/>
      <c r="NG207" s="2071"/>
      <c r="NH207" s="2071"/>
      <c r="NI207" s="2071"/>
      <c r="NJ207" s="2071"/>
      <c r="NK207" s="2071"/>
      <c r="NL207" s="2071"/>
      <c r="NM207" s="2071"/>
      <c r="NN207" s="2071"/>
      <c r="NO207" s="2071"/>
      <c r="NP207" s="2071"/>
      <c r="NQ207" s="2071"/>
      <c r="NR207" s="2071"/>
      <c r="NS207" s="2071"/>
      <c r="NT207" s="2071"/>
      <c r="NU207" s="2071"/>
      <c r="NV207" s="2071"/>
      <c r="NW207" s="2071"/>
      <c r="NX207" s="2071"/>
      <c r="NY207" s="2071"/>
      <c r="NZ207" s="2071"/>
      <c r="OA207" s="2071"/>
      <c r="OB207" s="2071"/>
      <c r="OC207" s="2071"/>
      <c r="OD207" s="2071"/>
      <c r="OE207" s="2071"/>
      <c r="OF207" s="2071"/>
      <c r="OG207" s="2071"/>
      <c r="OH207" s="2071"/>
      <c r="OI207" s="2071"/>
      <c r="OJ207" s="2071"/>
      <c r="OK207" s="2071"/>
      <c r="OL207" s="2071"/>
      <c r="OM207" s="2071"/>
      <c r="ON207" s="2071"/>
      <c r="OO207" s="2071"/>
      <c r="OP207" s="2071"/>
      <c r="OQ207" s="2071"/>
      <c r="OR207" s="2071"/>
      <c r="OS207" s="2071"/>
      <c r="OT207" s="2071"/>
      <c r="OU207" s="2071"/>
      <c r="OV207" s="2071"/>
      <c r="OW207" s="2071"/>
      <c r="OX207" s="2071"/>
      <c r="OY207" s="2071"/>
      <c r="OZ207" s="2071"/>
      <c r="PA207" s="2071"/>
      <c r="PB207" s="2071"/>
      <c r="PC207" s="2071"/>
      <c r="PD207" s="2071"/>
      <c r="PE207" s="2071"/>
      <c r="PF207" s="2071"/>
      <c r="PG207" s="2071"/>
      <c r="PH207" s="2071"/>
      <c r="PI207" s="2071"/>
      <c r="PJ207" s="2071"/>
      <c r="PK207" s="2071"/>
      <c r="PL207" s="2071"/>
      <c r="PM207" s="2071"/>
      <c r="PN207" s="2071"/>
      <c r="PO207" s="2071"/>
      <c r="PP207" s="2071"/>
      <c r="PQ207" s="2071"/>
      <c r="PR207" s="2071"/>
      <c r="PS207" s="2071"/>
      <c r="PT207" s="2071"/>
      <c r="PU207" s="2071"/>
      <c r="PV207" s="2071"/>
      <c r="PW207" s="2071"/>
      <c r="PX207" s="2071"/>
      <c r="PY207" s="2071"/>
      <c r="PZ207" s="2071"/>
      <c r="QA207" s="2071"/>
      <c r="QB207" s="2071"/>
      <c r="QC207" s="2071"/>
      <c r="QD207" s="2071"/>
      <c r="QE207" s="2071"/>
      <c r="QF207" s="2071"/>
      <c r="QG207" s="2071"/>
      <c r="QH207" s="2071"/>
      <c r="QI207" s="2071"/>
      <c r="QJ207" s="2071"/>
      <c r="QK207" s="2071"/>
      <c r="QL207" s="2071"/>
      <c r="QM207" s="2071"/>
      <c r="QN207" s="2071"/>
      <c r="QO207" s="2071"/>
      <c r="QP207" s="2071"/>
      <c r="QQ207" s="2071"/>
      <c r="QR207" s="2071"/>
      <c r="QS207" s="2071"/>
      <c r="QT207" s="2071"/>
      <c r="QU207" s="2071"/>
      <c r="QV207" s="2071"/>
      <c r="QW207" s="2071"/>
      <c r="QX207" s="2071"/>
      <c r="QY207" s="2071"/>
      <c r="QZ207" s="2071"/>
      <c r="RA207" s="2071"/>
      <c r="RB207" s="2071"/>
      <c r="RC207" s="2071"/>
      <c r="RD207" s="2071"/>
      <c r="RE207" s="2071"/>
      <c r="RF207" s="2071"/>
      <c r="RG207" s="2071"/>
      <c r="RH207" s="2071"/>
      <c r="RI207" s="2071"/>
      <c r="RJ207" s="2071"/>
      <c r="RK207" s="2071"/>
      <c r="RL207" s="2071"/>
      <c r="RM207" s="2071"/>
      <c r="RN207" s="2071"/>
      <c r="RO207" s="2071"/>
      <c r="RP207" s="2071"/>
      <c r="RQ207" s="2071"/>
      <c r="RR207" s="2071"/>
      <c r="RS207" s="2071"/>
      <c r="RT207" s="2071"/>
      <c r="RU207" s="2071"/>
      <c r="RV207" s="2071"/>
      <c r="RW207" s="2071"/>
      <c r="RX207" s="2071"/>
      <c r="RY207" s="2071"/>
      <c r="RZ207" s="2071"/>
      <c r="SA207" s="2071"/>
      <c r="SB207" s="2071"/>
      <c r="SC207" s="2071"/>
      <c r="SD207" s="2071"/>
      <c r="SE207" s="2071"/>
      <c r="SF207" s="2071"/>
      <c r="SG207" s="2071"/>
      <c r="SH207" s="2071"/>
      <c r="SI207" s="2071"/>
      <c r="SJ207" s="2071"/>
      <c r="SK207" s="2071"/>
      <c r="SL207" s="2071"/>
      <c r="SM207" s="2071"/>
      <c r="SN207" s="2071"/>
      <c r="SO207" s="2071"/>
      <c r="SP207" s="2071"/>
      <c r="SQ207" s="2071"/>
      <c r="SR207" s="2071"/>
      <c r="SS207" s="2071"/>
      <c r="ST207" s="2071"/>
      <c r="SU207" s="2071"/>
      <c r="SV207" s="2071"/>
      <c r="SW207" s="2071"/>
      <c r="SX207" s="2071"/>
      <c r="SY207" s="2071"/>
      <c r="SZ207" s="2071"/>
      <c r="TA207" s="2071"/>
      <c r="TB207" s="2071"/>
      <c r="TC207" s="2071"/>
      <c r="TD207" s="2071"/>
      <c r="TE207" s="2071"/>
      <c r="TF207" s="2071"/>
      <c r="TG207" s="2071"/>
      <c r="TH207" s="2071"/>
      <c r="TI207" s="2071"/>
      <c r="TJ207" s="2071"/>
      <c r="TK207" s="2071"/>
      <c r="TL207" s="2071"/>
      <c r="TM207" s="2071"/>
      <c r="TN207" s="2071"/>
      <c r="TO207" s="2071"/>
      <c r="TP207" s="2071"/>
      <c r="TQ207" s="2071"/>
      <c r="TR207" s="2071"/>
      <c r="TS207" s="2071"/>
      <c r="TT207" s="2071"/>
      <c r="TU207" s="2071"/>
      <c r="TV207" s="2071"/>
      <c r="TW207" s="2071"/>
      <c r="TX207" s="2071"/>
      <c r="TY207" s="2071"/>
      <c r="TZ207" s="2071"/>
      <c r="UA207" s="2071"/>
      <c r="UB207" s="2071"/>
      <c r="UC207" s="2071"/>
      <c r="UD207" s="2071"/>
      <c r="UE207" s="2071"/>
      <c r="UF207" s="2071"/>
      <c r="UG207" s="2071"/>
      <c r="UH207" s="2071"/>
      <c r="UI207" s="2071"/>
      <c r="UJ207" s="2071"/>
      <c r="UK207" s="2071"/>
      <c r="UL207" s="2071"/>
      <c r="UM207" s="2071"/>
      <c r="UN207" s="2071"/>
      <c r="UO207" s="2071"/>
      <c r="UP207" s="2071"/>
      <c r="UQ207" s="2071"/>
      <c r="UR207" s="2071"/>
      <c r="US207" s="2071"/>
      <c r="UT207" s="2071"/>
      <c r="UU207" s="2071"/>
      <c r="UV207" s="2071"/>
      <c r="UW207" s="2071"/>
      <c r="UX207" s="2071"/>
      <c r="UY207" s="2071"/>
      <c r="UZ207" s="2071"/>
      <c r="VA207" s="2071"/>
      <c r="VB207" s="2071"/>
      <c r="VC207" s="2071"/>
      <c r="VD207" s="2071"/>
      <c r="VE207" s="2071"/>
      <c r="VF207" s="2071"/>
      <c r="VG207" s="2071"/>
      <c r="VH207" s="2071"/>
      <c r="VI207" s="2071"/>
      <c r="VJ207" s="2071"/>
      <c r="VK207" s="2071"/>
      <c r="VL207" s="2071"/>
      <c r="VM207" s="2071"/>
      <c r="VN207" s="2071"/>
      <c r="VO207" s="2071"/>
      <c r="VP207" s="2071"/>
      <c r="VQ207" s="2071"/>
      <c r="VR207" s="2071"/>
      <c r="VS207" s="2071"/>
      <c r="VT207" s="2071"/>
      <c r="VU207" s="2071"/>
      <c r="VV207" s="2071"/>
      <c r="VW207" s="2071"/>
      <c r="VX207" s="2071"/>
      <c r="VY207" s="2071"/>
      <c r="VZ207" s="2071"/>
      <c r="WA207" s="2071"/>
      <c r="WB207" s="2071"/>
      <c r="WC207" s="2071"/>
      <c r="WD207" s="2071"/>
      <c r="WE207" s="2071"/>
      <c r="WF207" s="2071"/>
      <c r="WG207" s="2071"/>
      <c r="WH207" s="2071"/>
      <c r="WI207" s="2071"/>
      <c r="WJ207" s="2071"/>
      <c r="WK207" s="2071"/>
      <c r="WL207" s="2071"/>
      <c r="WM207" s="2071"/>
      <c r="WN207" s="2071"/>
      <c r="WO207" s="2071"/>
      <c r="WP207" s="2071"/>
      <c r="WQ207" s="2071"/>
      <c r="WR207" s="2071"/>
      <c r="WS207" s="2071"/>
      <c r="WT207" s="2071"/>
      <c r="WU207" s="2071"/>
      <c r="WV207" s="2071"/>
      <c r="WW207" s="2071"/>
      <c r="WX207" s="2071"/>
      <c r="WY207" s="2071"/>
      <c r="WZ207" s="2071"/>
      <c r="XA207" s="2071"/>
      <c r="XB207" s="2071"/>
      <c r="XC207" s="2071"/>
      <c r="XD207" s="2071"/>
      <c r="XE207" s="2071"/>
      <c r="XF207" s="2071"/>
      <c r="XG207" s="2071"/>
      <c r="XH207" s="2071"/>
      <c r="XI207" s="2071"/>
      <c r="XJ207" s="2071"/>
      <c r="XK207" s="2071"/>
      <c r="XL207" s="2071"/>
      <c r="XM207" s="2071"/>
      <c r="XN207" s="2071"/>
      <c r="XO207" s="2071"/>
      <c r="XP207" s="2071"/>
      <c r="XQ207" s="2071"/>
      <c r="XR207" s="2071"/>
      <c r="XS207" s="2071"/>
      <c r="XT207" s="2071"/>
      <c r="XU207" s="2071"/>
      <c r="XV207" s="2071"/>
      <c r="XW207" s="2071"/>
      <c r="XX207" s="2071"/>
      <c r="XY207" s="2071"/>
      <c r="XZ207" s="2071"/>
      <c r="YA207" s="2071"/>
      <c r="YB207" s="2071"/>
      <c r="YC207" s="2071"/>
      <c r="YD207" s="2071"/>
      <c r="YE207" s="2071"/>
      <c r="YF207" s="2071"/>
      <c r="YG207" s="2071"/>
      <c r="YH207" s="2071"/>
      <c r="YI207" s="2071"/>
      <c r="YJ207" s="2071"/>
      <c r="YK207" s="2071"/>
      <c r="YL207" s="2071"/>
      <c r="YM207" s="2071"/>
      <c r="YN207" s="2071"/>
      <c r="YO207" s="2071"/>
      <c r="YP207" s="2071"/>
      <c r="YQ207" s="2071"/>
      <c r="YR207" s="2071"/>
      <c r="YS207" s="2071"/>
      <c r="YT207" s="2071"/>
      <c r="YU207" s="2071"/>
      <c r="YV207" s="2071"/>
      <c r="YW207" s="2071"/>
      <c r="YX207" s="2071"/>
      <c r="YY207" s="2071"/>
      <c r="YZ207" s="2071"/>
      <c r="ZA207" s="2071"/>
      <c r="ZB207" s="2071"/>
      <c r="ZC207" s="2071"/>
      <c r="ZD207" s="2071"/>
      <c r="ZE207" s="2071"/>
      <c r="ZF207" s="2071"/>
      <c r="ZG207" s="2071"/>
      <c r="ZH207" s="2071"/>
      <c r="ZI207" s="2071"/>
      <c r="ZJ207" s="2071"/>
      <c r="ZK207" s="2071"/>
      <c r="ZL207" s="2071"/>
      <c r="ZM207" s="2071"/>
      <c r="ZN207" s="2071"/>
      <c r="ZO207" s="2071"/>
      <c r="ZP207" s="2071"/>
      <c r="ZQ207" s="2071"/>
      <c r="ZR207" s="2071"/>
      <c r="ZS207" s="2071"/>
      <c r="ZT207" s="2071"/>
      <c r="ZU207" s="2071"/>
      <c r="ZV207" s="2071"/>
      <c r="ZW207" s="2071"/>
      <c r="ZX207" s="2071"/>
      <c r="ZY207" s="2071"/>
      <c r="ZZ207" s="2071"/>
      <c r="AAA207" s="2071"/>
      <c r="AAB207" s="2071"/>
      <c r="AAC207" s="2071"/>
      <c r="AAD207" s="2071"/>
      <c r="AAE207" s="2071"/>
      <c r="AAF207" s="2071"/>
      <c r="AAG207" s="2071"/>
      <c r="AAH207" s="2071"/>
      <c r="AAI207" s="2071"/>
      <c r="AAJ207" s="2071"/>
      <c r="AAK207" s="2071"/>
      <c r="AAL207" s="2071"/>
      <c r="AAM207" s="2071"/>
      <c r="AAN207" s="2071"/>
      <c r="AAO207" s="2071"/>
      <c r="AAP207" s="2071"/>
      <c r="AAQ207" s="2071"/>
      <c r="AAR207" s="2071"/>
      <c r="AAS207" s="2071"/>
      <c r="AAT207" s="2071"/>
      <c r="AAU207" s="2071"/>
      <c r="AAV207" s="2071"/>
      <c r="AAW207" s="2071"/>
      <c r="AAX207" s="2071"/>
      <c r="AAY207" s="2071"/>
      <c r="AAZ207" s="2071"/>
      <c r="ABA207" s="2071"/>
      <c r="ABB207" s="2071"/>
      <c r="ABC207" s="2071"/>
      <c r="ABD207" s="2071"/>
      <c r="ABE207" s="2071"/>
      <c r="ABF207" s="2071"/>
      <c r="ABG207" s="2071"/>
      <c r="ABH207" s="2071"/>
      <c r="ABI207" s="2071"/>
      <c r="ABJ207" s="2071"/>
      <c r="ABK207" s="2071"/>
      <c r="ABL207" s="2071"/>
      <c r="ABM207" s="2071"/>
      <c r="ABN207" s="2071"/>
      <c r="ABO207" s="2071"/>
      <c r="ABP207" s="2071"/>
      <c r="ABQ207" s="2071"/>
      <c r="ABR207" s="2071"/>
      <c r="ABS207" s="2071"/>
      <c r="ABT207" s="2071"/>
      <c r="ABU207" s="2071"/>
      <c r="ABV207" s="2071"/>
      <c r="ABW207" s="2071"/>
      <c r="ABX207" s="2071"/>
      <c r="ABY207" s="2071"/>
      <c r="ABZ207" s="2071"/>
      <c r="ACA207" s="2071"/>
      <c r="ACB207" s="2071"/>
      <c r="ACC207" s="2071"/>
      <c r="ACD207" s="2071"/>
      <c r="ACE207" s="2071"/>
      <c r="ACF207" s="2071"/>
      <c r="ACG207" s="2071"/>
      <c r="ACH207" s="2071"/>
      <c r="ACI207" s="2071"/>
      <c r="ACJ207" s="2071"/>
      <c r="ACK207" s="2071"/>
      <c r="ACL207" s="2071"/>
      <c r="ACM207" s="2071"/>
      <c r="ACN207" s="2071"/>
      <c r="ACO207" s="2071"/>
      <c r="ACP207" s="2071"/>
      <c r="ACQ207" s="2071"/>
      <c r="ACR207" s="2071"/>
      <c r="ACS207" s="2071"/>
      <c r="ACT207" s="2071"/>
      <c r="ACU207" s="2071"/>
      <c r="ACV207" s="2071"/>
      <c r="ACW207" s="2071"/>
      <c r="ACX207" s="2071"/>
      <c r="ACY207" s="2071"/>
      <c r="ACZ207" s="2071"/>
      <c r="ADA207" s="2071"/>
      <c r="ADB207" s="2071"/>
      <c r="ADC207" s="2071"/>
      <c r="ADD207" s="2071"/>
      <c r="ADE207" s="2071"/>
      <c r="ADF207" s="2071"/>
      <c r="ADG207" s="2071"/>
      <c r="ADH207" s="2071"/>
      <c r="ADI207" s="2071"/>
      <c r="ADJ207" s="2071"/>
      <c r="ADK207" s="2071"/>
      <c r="ADL207" s="2071"/>
      <c r="ADM207" s="2071"/>
      <c r="ADN207" s="2071"/>
      <c r="ADO207" s="2071"/>
      <c r="ADP207" s="2071"/>
      <c r="ADQ207" s="2071"/>
      <c r="ADR207" s="2071"/>
      <c r="ADS207" s="2071"/>
      <c r="ADT207" s="2071"/>
      <c r="ADU207" s="2071"/>
      <c r="ADV207" s="2071"/>
      <c r="ADW207" s="2071"/>
      <c r="ADX207" s="2071"/>
      <c r="ADY207" s="2071"/>
      <c r="ADZ207" s="2071"/>
      <c r="AEA207" s="2071"/>
      <c r="AEB207" s="2071"/>
      <c r="AEC207" s="2071"/>
      <c r="AED207" s="2071"/>
      <c r="AEE207" s="2071"/>
      <c r="AEF207" s="2071"/>
      <c r="AEG207" s="2071"/>
      <c r="AEH207" s="2071"/>
      <c r="AEI207" s="2071"/>
      <c r="AEJ207" s="2071"/>
      <c r="AEK207" s="2071"/>
      <c r="AEL207" s="2071"/>
      <c r="AEM207" s="2071"/>
      <c r="AEN207" s="2071"/>
      <c r="AEO207" s="2071"/>
      <c r="AEP207" s="2071"/>
      <c r="AEQ207" s="2071"/>
      <c r="AER207" s="2071"/>
      <c r="AES207" s="2071"/>
      <c r="AET207" s="2071"/>
      <c r="AEU207" s="2071"/>
      <c r="AEV207" s="2071"/>
      <c r="AEW207" s="2071"/>
      <c r="AEX207" s="2071"/>
      <c r="AEY207" s="2071"/>
      <c r="AEZ207" s="2071"/>
      <c r="AFA207" s="2071"/>
      <c r="AFB207" s="2071"/>
      <c r="AFC207" s="2071"/>
      <c r="AFD207" s="2071"/>
      <c r="AFE207" s="2071"/>
      <c r="AFF207" s="2071"/>
      <c r="AFG207" s="2071"/>
      <c r="AFH207" s="2071"/>
      <c r="AFI207" s="2071"/>
      <c r="AFJ207" s="2071"/>
      <c r="AFK207" s="2071"/>
      <c r="AFL207" s="2071"/>
      <c r="AFM207" s="2071"/>
      <c r="AFN207" s="2071"/>
      <c r="AFO207" s="2071"/>
      <c r="AFP207" s="2071"/>
      <c r="AFQ207" s="2071"/>
      <c r="AFR207" s="2071"/>
      <c r="AFS207" s="2071"/>
      <c r="AFT207" s="2071"/>
      <c r="AFU207" s="2071"/>
      <c r="AFV207" s="2071"/>
      <c r="AFW207" s="2071"/>
      <c r="AFX207" s="2071"/>
      <c r="AFY207" s="2071"/>
      <c r="AFZ207" s="2071"/>
      <c r="AGA207" s="2071"/>
      <c r="AGB207" s="2071"/>
      <c r="AGC207" s="2071"/>
      <c r="AGD207" s="2071"/>
      <c r="AGE207" s="2071"/>
      <c r="AGF207" s="2071"/>
      <c r="AGG207" s="2071"/>
      <c r="AGH207" s="2071"/>
      <c r="AGI207" s="2071"/>
      <c r="AGJ207" s="2071"/>
      <c r="AGK207" s="2071"/>
      <c r="AGL207" s="2071"/>
      <c r="AGM207" s="2071"/>
      <c r="AGN207" s="2071"/>
      <c r="AGO207" s="2071"/>
      <c r="AGP207" s="2071"/>
      <c r="AGQ207" s="2071"/>
      <c r="AGR207" s="2071"/>
      <c r="AGS207" s="2071"/>
      <c r="AGT207" s="2071"/>
      <c r="AGU207" s="2071"/>
      <c r="AGV207" s="2071"/>
      <c r="AGW207" s="2071"/>
      <c r="AGX207" s="2071"/>
      <c r="AGY207" s="2071"/>
      <c r="AGZ207" s="2071"/>
      <c r="AHA207" s="2071"/>
      <c r="AHB207" s="2071"/>
      <c r="AHC207" s="2071"/>
      <c r="AHD207" s="2071"/>
      <c r="AHE207" s="2071"/>
      <c r="AHF207" s="2071"/>
      <c r="AHG207" s="2071"/>
      <c r="AHH207" s="2071"/>
      <c r="AHI207" s="2071"/>
      <c r="AHJ207" s="2071"/>
      <c r="AHK207" s="2071"/>
      <c r="AHL207" s="2071"/>
      <c r="AHM207" s="2071"/>
      <c r="AHN207" s="2071"/>
      <c r="AHO207" s="2071"/>
      <c r="AHP207" s="2071"/>
      <c r="AHQ207" s="2071"/>
      <c r="AHR207" s="2071"/>
      <c r="AHS207" s="2071"/>
      <c r="AHT207" s="2071"/>
      <c r="AHU207" s="2071"/>
      <c r="AHV207" s="2071"/>
      <c r="AHW207" s="2071"/>
      <c r="AHX207" s="2071"/>
      <c r="AHY207" s="2071"/>
      <c r="AHZ207" s="2071"/>
      <c r="AIA207" s="2071"/>
      <c r="AIB207" s="2071"/>
      <c r="AIC207" s="2071"/>
      <c r="AID207" s="2071"/>
      <c r="AIE207" s="2071"/>
      <c r="AIF207" s="2071"/>
      <c r="AIG207" s="2071"/>
      <c r="AIH207" s="2071"/>
      <c r="AII207" s="2071"/>
      <c r="AIJ207" s="2071"/>
      <c r="AIK207" s="2071"/>
      <c r="AIL207" s="2071"/>
      <c r="AIM207" s="2071"/>
      <c r="AIN207" s="2071"/>
      <c r="AIO207" s="2071"/>
      <c r="AIP207" s="2071"/>
      <c r="AIQ207" s="2071"/>
      <c r="AIR207" s="2071"/>
      <c r="AIS207" s="2071"/>
      <c r="AIT207" s="2071"/>
      <c r="AIU207" s="2071"/>
      <c r="AIV207" s="2071"/>
      <c r="AIW207" s="2071"/>
      <c r="AIX207" s="2071"/>
      <c r="AIY207" s="2071"/>
      <c r="AIZ207" s="2071"/>
      <c r="AJA207" s="2071"/>
      <c r="AJB207" s="2071"/>
      <c r="AJC207" s="2071"/>
      <c r="AJD207" s="2071"/>
      <c r="AJE207" s="2071"/>
      <c r="AJF207" s="2071"/>
      <c r="AJG207" s="2071"/>
      <c r="AJH207" s="2071"/>
      <c r="AJI207" s="2071"/>
      <c r="AJJ207" s="2071"/>
      <c r="AJK207" s="2071"/>
      <c r="AJL207" s="2071"/>
      <c r="AJM207" s="2071"/>
      <c r="AJN207" s="2071"/>
      <c r="AJO207" s="2071"/>
      <c r="AJP207" s="2071"/>
      <c r="AJQ207" s="2071"/>
      <c r="AJR207" s="2071"/>
      <c r="AJS207" s="2071"/>
      <c r="AJT207" s="2071"/>
      <c r="AJU207" s="2071"/>
      <c r="AJV207" s="2071"/>
      <c r="AJW207" s="2071"/>
      <c r="AJX207" s="2071"/>
      <c r="AJY207" s="2071"/>
      <c r="AJZ207" s="2071"/>
      <c r="AKA207" s="2071"/>
      <c r="AKB207" s="2071"/>
      <c r="AKC207" s="2071"/>
      <c r="AKD207" s="2071"/>
      <c r="AKE207" s="2071"/>
      <c r="AKF207" s="2071"/>
      <c r="AKG207" s="2071"/>
      <c r="AKH207" s="2071"/>
      <c r="AKI207" s="2071"/>
      <c r="AKJ207" s="2071"/>
      <c r="AKK207" s="2071"/>
      <c r="AKL207" s="2071"/>
      <c r="AKM207" s="2071"/>
      <c r="AKN207" s="2071"/>
      <c r="AKO207" s="2071"/>
      <c r="AKP207" s="2071"/>
      <c r="AKQ207" s="2071"/>
      <c r="AKR207" s="2071"/>
      <c r="AKS207" s="2071"/>
      <c r="AKT207" s="2071"/>
      <c r="AKU207" s="2071"/>
      <c r="AKV207" s="2071"/>
      <c r="AKW207" s="2071"/>
      <c r="AKX207" s="2071"/>
      <c r="AKY207" s="2071"/>
      <c r="AKZ207" s="2071"/>
      <c r="ALA207" s="2071"/>
      <c r="ALB207" s="2071"/>
      <c r="ALC207" s="2071"/>
      <c r="ALD207" s="2071"/>
      <c r="ALE207" s="2071"/>
      <c r="ALF207" s="2071"/>
      <c r="ALG207" s="2071"/>
      <c r="ALH207" s="2071"/>
      <c r="ALI207" s="2071"/>
      <c r="ALJ207" s="2071"/>
      <c r="ALK207" s="2071"/>
      <c r="ALL207" s="2071"/>
      <c r="ALM207" s="2071"/>
      <c r="ALN207" s="2071"/>
      <c r="ALO207" s="2071"/>
      <c r="ALP207" s="2071"/>
      <c r="ALQ207" s="2071"/>
      <c r="ALR207" s="2071"/>
      <c r="ALS207" s="2071"/>
      <c r="ALT207" s="2071"/>
      <c r="ALU207" s="2071"/>
      <c r="ALV207" s="2071"/>
      <c r="ALW207" s="2071"/>
      <c r="ALX207" s="2071"/>
      <c r="ALY207" s="2071"/>
      <c r="ALZ207" s="2071"/>
      <c r="AMA207" s="2071"/>
      <c r="AMB207" s="2071"/>
      <c r="AMC207" s="2071"/>
      <c r="AMD207" s="2071"/>
      <c r="AME207" s="2071"/>
      <c r="AMF207" s="2071"/>
      <c r="AMG207" s="2071"/>
      <c r="AMH207" s="2071"/>
      <c r="AMI207" s="2071"/>
      <c r="AMJ207" s="2071"/>
      <c r="AMK207" s="2071"/>
      <c r="AML207" s="2071"/>
      <c r="AMM207" s="2071"/>
      <c r="AMN207" s="2071"/>
      <c r="AMO207" s="2071"/>
      <c r="AMP207" s="2071"/>
      <c r="AMQ207" s="2071"/>
      <c r="AMR207" s="2071"/>
      <c r="AMS207" s="2071"/>
      <c r="AMT207" s="2071"/>
      <c r="AMU207" s="2071"/>
      <c r="AMV207" s="2071"/>
      <c r="AMW207" s="2071"/>
      <c r="AMX207" s="2071"/>
      <c r="AMY207" s="2071"/>
      <c r="AMZ207" s="2071"/>
      <c r="ANA207" s="2071"/>
      <c r="ANB207" s="2071"/>
      <c r="ANC207" s="2071"/>
      <c r="AND207" s="2071"/>
      <c r="ANE207" s="2071"/>
      <c r="ANF207" s="2071"/>
      <c r="ANG207" s="2071"/>
      <c r="ANH207" s="2071"/>
      <c r="ANI207" s="2071"/>
      <c r="ANJ207" s="2071"/>
      <c r="ANK207" s="2071"/>
      <c r="ANL207" s="2071"/>
      <c r="ANM207" s="2071"/>
      <c r="ANN207" s="2071"/>
      <c r="ANO207" s="2071"/>
      <c r="ANP207" s="2071"/>
      <c r="ANQ207" s="2071"/>
      <c r="ANR207" s="2071"/>
      <c r="ANS207" s="2071"/>
      <c r="ANT207" s="2071"/>
      <c r="ANU207" s="2071"/>
      <c r="ANV207" s="2071"/>
      <c r="ANW207" s="2071"/>
      <c r="ANX207" s="2071"/>
      <c r="ANY207" s="2071"/>
      <c r="ANZ207" s="2071"/>
      <c r="AOA207" s="2071"/>
      <c r="AOB207" s="2071"/>
      <c r="AOC207" s="2071"/>
      <c r="AOD207" s="2071"/>
      <c r="AOE207" s="2071"/>
      <c r="AOF207" s="2071"/>
      <c r="AOG207" s="2071"/>
      <c r="AOH207" s="2071"/>
      <c r="AOI207" s="2071"/>
      <c r="AOJ207" s="2071"/>
      <c r="AOK207" s="2071"/>
      <c r="AOL207" s="2071"/>
      <c r="AOM207" s="2071"/>
      <c r="AON207" s="2071"/>
      <c r="AOO207" s="2071"/>
      <c r="AOP207" s="2071"/>
      <c r="AOQ207" s="2071"/>
      <c r="AOR207" s="2071"/>
      <c r="AOS207" s="2071"/>
      <c r="AOT207" s="2071"/>
      <c r="AOU207" s="2071"/>
      <c r="AOV207" s="2071"/>
      <c r="AOW207" s="2071"/>
      <c r="AOX207" s="2071"/>
      <c r="AOY207" s="2071"/>
      <c r="AOZ207" s="2071"/>
      <c r="APA207" s="2071"/>
      <c r="APB207" s="2071"/>
      <c r="APC207" s="2071"/>
      <c r="APD207" s="2071"/>
      <c r="APE207" s="2071"/>
      <c r="APF207" s="2071"/>
      <c r="APG207" s="2071"/>
      <c r="APH207" s="2071"/>
      <c r="API207" s="2071"/>
      <c r="APJ207" s="2071"/>
      <c r="APK207" s="2071"/>
      <c r="APL207" s="2071"/>
      <c r="APM207" s="2071"/>
      <c r="APN207" s="2071"/>
      <c r="APO207" s="2071"/>
      <c r="APP207" s="2071"/>
      <c r="APQ207" s="2071"/>
      <c r="APR207" s="2071"/>
      <c r="APS207" s="2071"/>
      <c r="APT207" s="2071"/>
      <c r="APU207" s="2071"/>
      <c r="APV207" s="2071"/>
      <c r="APW207" s="2071"/>
      <c r="APX207" s="2071"/>
      <c r="APY207" s="2071"/>
      <c r="APZ207" s="2071"/>
      <c r="AQA207" s="2071"/>
      <c r="AQB207" s="2071"/>
      <c r="AQC207" s="2071"/>
      <c r="AQD207" s="2071"/>
      <c r="AQE207" s="2071"/>
      <c r="AQF207" s="2071"/>
      <c r="AQG207" s="2071"/>
      <c r="AQH207" s="2071"/>
      <c r="AQI207" s="2071"/>
      <c r="AQJ207" s="2071"/>
      <c r="AQK207" s="2071"/>
      <c r="AQL207" s="2071"/>
      <c r="AQM207" s="2071"/>
      <c r="AQN207" s="2071"/>
      <c r="AQO207" s="2071"/>
      <c r="AQP207" s="2071"/>
      <c r="AQQ207" s="2071"/>
      <c r="AQR207" s="2071"/>
      <c r="AQS207" s="2071"/>
      <c r="AQT207" s="2071"/>
      <c r="AQU207" s="2071"/>
      <c r="AQV207" s="2071"/>
      <c r="AQW207" s="2071"/>
      <c r="AQX207" s="2071"/>
      <c r="AQY207" s="2071"/>
      <c r="AQZ207" s="2071"/>
      <c r="ARA207" s="2071"/>
      <c r="ARB207" s="2071"/>
      <c r="ARC207" s="2071"/>
      <c r="ARD207" s="2071"/>
      <c r="ARE207" s="2071"/>
      <c r="ARF207" s="2071"/>
      <c r="ARG207" s="2071"/>
      <c r="ARH207" s="2071"/>
      <c r="ARI207" s="2071"/>
      <c r="ARJ207" s="2071"/>
      <c r="ARK207" s="2071"/>
      <c r="ARL207" s="2071"/>
      <c r="ARM207" s="2071"/>
      <c r="ARN207" s="2071"/>
      <c r="ARO207" s="2071"/>
      <c r="ARP207" s="2071"/>
      <c r="ARQ207" s="2071"/>
      <c r="ARR207" s="2071"/>
      <c r="ARS207" s="2071"/>
      <c r="ART207" s="2071"/>
      <c r="ARU207" s="2071"/>
      <c r="ARV207" s="2071"/>
      <c r="ARW207" s="2071"/>
      <c r="ARX207" s="2071"/>
      <c r="ARY207" s="2071"/>
      <c r="ARZ207" s="2071"/>
      <c r="ASA207" s="2071"/>
      <c r="ASB207" s="2071"/>
      <c r="ASC207" s="2071"/>
      <c r="ASD207" s="2071"/>
      <c r="ASE207" s="2071"/>
      <c r="ASF207" s="2071"/>
      <c r="ASG207" s="2071"/>
      <c r="ASH207" s="2071"/>
      <c r="ASI207" s="2071"/>
      <c r="ASJ207" s="2071"/>
      <c r="ASK207" s="2071"/>
      <c r="ASL207" s="2071"/>
      <c r="ASM207" s="2071"/>
      <c r="ASN207" s="2071"/>
      <c r="ASO207" s="2071"/>
      <c r="ASP207" s="2071"/>
      <c r="ASQ207" s="2071"/>
      <c r="ASR207" s="2071"/>
      <c r="ASS207" s="2071"/>
      <c r="AST207" s="2071"/>
      <c r="ASU207" s="2071"/>
      <c r="ASV207" s="2071"/>
      <c r="ASW207" s="2071"/>
      <c r="ASX207" s="2071"/>
      <c r="ASY207" s="2071"/>
      <c r="ASZ207" s="2071"/>
      <c r="ATA207" s="2071"/>
      <c r="ATB207" s="2071"/>
      <c r="ATC207" s="2071"/>
      <c r="ATD207" s="2071"/>
      <c r="ATE207" s="2071"/>
      <c r="ATF207" s="2071"/>
      <c r="ATG207" s="2071"/>
      <c r="ATH207" s="2071"/>
      <c r="ATI207" s="2071"/>
      <c r="ATJ207" s="2071"/>
      <c r="ATK207" s="2071"/>
      <c r="ATL207" s="2071"/>
      <c r="ATM207" s="2071"/>
      <c r="ATN207" s="2071"/>
      <c r="ATO207" s="2071"/>
      <c r="ATP207" s="2071"/>
      <c r="ATQ207" s="2071"/>
      <c r="ATR207" s="2071"/>
      <c r="ATS207" s="2071"/>
      <c r="ATT207" s="2071"/>
      <c r="ATU207" s="2071"/>
      <c r="ATV207" s="2071"/>
      <c r="ATW207" s="2071"/>
      <c r="ATX207" s="2071"/>
      <c r="ATY207" s="2071"/>
      <c r="ATZ207" s="2071"/>
      <c r="AUA207" s="2071"/>
      <c r="AUB207" s="2071"/>
      <c r="AUC207" s="2071"/>
      <c r="AUD207" s="2071"/>
      <c r="AUE207" s="2071"/>
      <c r="AUF207" s="2071"/>
      <c r="AUG207" s="2071"/>
      <c r="AUH207" s="2071"/>
      <c r="AUI207" s="2071"/>
      <c r="AUJ207" s="2071"/>
      <c r="AUK207" s="2071"/>
      <c r="AUL207" s="2071"/>
      <c r="AUM207" s="2071"/>
      <c r="AUN207" s="2071"/>
      <c r="AUO207" s="2071"/>
      <c r="AUP207" s="2071"/>
      <c r="AUQ207" s="2071"/>
      <c r="AUR207" s="2071"/>
      <c r="AUS207" s="2071"/>
      <c r="AUT207" s="2071"/>
      <c r="AUU207" s="2071"/>
      <c r="AUV207" s="2071"/>
      <c r="AUW207" s="2071"/>
      <c r="AUX207" s="2071"/>
      <c r="AUY207" s="2071"/>
      <c r="AUZ207" s="2071"/>
      <c r="AVA207" s="2071"/>
      <c r="AVB207" s="2071"/>
      <c r="AVC207" s="2071"/>
      <c r="AVD207" s="2071"/>
      <c r="AVE207" s="2071"/>
      <c r="AVF207" s="2071"/>
      <c r="AVG207" s="2071"/>
      <c r="AVH207" s="2071"/>
      <c r="AVI207" s="2071"/>
      <c r="AVJ207" s="2071"/>
      <c r="AVK207" s="2071"/>
      <c r="AVL207" s="2071"/>
      <c r="AVM207" s="2071"/>
      <c r="AVN207" s="2071"/>
      <c r="AVO207" s="2071"/>
      <c r="AVP207" s="2071"/>
      <c r="AVQ207" s="2071"/>
      <c r="AVR207" s="2071"/>
      <c r="AVS207" s="2071"/>
      <c r="AVT207" s="2071"/>
      <c r="AVU207" s="2071"/>
      <c r="AVV207" s="2071"/>
      <c r="AVW207" s="2071"/>
      <c r="AVX207" s="2071"/>
      <c r="AVY207" s="2071"/>
      <c r="AVZ207" s="2071"/>
      <c r="AWA207" s="2071"/>
      <c r="AWB207" s="2071"/>
      <c r="AWC207" s="2071"/>
      <c r="AWD207" s="2071"/>
      <c r="AWE207" s="2071"/>
      <c r="AWF207" s="2071"/>
      <c r="AWG207" s="2071"/>
      <c r="AWH207" s="2071"/>
      <c r="AWI207" s="2071"/>
      <c r="AWJ207" s="2071"/>
      <c r="AWK207" s="2071"/>
      <c r="AWL207" s="2071"/>
      <c r="AWM207" s="2071"/>
      <c r="AWN207" s="2071"/>
      <c r="AWO207" s="2071"/>
      <c r="AWP207" s="2071"/>
      <c r="AWQ207" s="2071"/>
      <c r="AWR207" s="2071"/>
      <c r="AWS207" s="2071"/>
      <c r="AWT207" s="2071"/>
      <c r="AWU207" s="2071"/>
      <c r="AWV207" s="2071"/>
      <c r="AWW207" s="2071"/>
      <c r="AWX207" s="2071"/>
      <c r="AWY207" s="2071"/>
      <c r="AWZ207" s="2071"/>
      <c r="AXA207" s="2071"/>
      <c r="AXB207" s="2071"/>
      <c r="AXC207" s="2071"/>
      <c r="AXD207" s="2071"/>
      <c r="AXE207" s="2071"/>
      <c r="AXF207" s="2071"/>
      <c r="AXG207" s="2071"/>
      <c r="AXH207" s="2071"/>
      <c r="AXI207" s="2071"/>
      <c r="AXJ207" s="2071"/>
    </row>
    <row r="208" spans="1:1310" s="2072" customFormat="1" ht="23.25" customHeight="1">
      <c r="A208" s="2073"/>
      <c r="B208" s="4484" t="s">
        <v>887</v>
      </c>
      <c r="C208" s="4484"/>
      <c r="D208" s="4484"/>
      <c r="E208" s="4484"/>
      <c r="F208" s="2075"/>
      <c r="G208" s="4484" t="s">
        <v>888</v>
      </c>
      <c r="H208" s="4484"/>
      <c r="I208" s="4484"/>
      <c r="J208" s="2075"/>
      <c r="K208" s="4484" t="s">
        <v>889</v>
      </c>
      <c r="L208" s="4484"/>
      <c r="M208" s="4484"/>
      <c r="N208" s="2075"/>
      <c r="O208" s="4484" t="s">
        <v>890</v>
      </c>
      <c r="P208" s="4484"/>
      <c r="Q208" s="2075"/>
      <c r="R208" s="1838"/>
      <c r="S208" s="1838"/>
      <c r="T208" s="1838"/>
      <c r="U208" s="1838"/>
      <c r="V208" s="1838"/>
      <c r="W208" s="1838"/>
      <c r="X208" s="1838"/>
      <c r="Y208" s="1838"/>
      <c r="Z208" s="1838"/>
      <c r="AA208" s="1838"/>
      <c r="AB208" s="1838"/>
      <c r="AC208" s="1838"/>
      <c r="AD208" s="2070"/>
      <c r="AE208" s="2070"/>
      <c r="AF208" s="2070"/>
      <c r="AG208" s="2070"/>
      <c r="AH208" s="2070"/>
      <c r="AI208" s="2070"/>
      <c r="AJ208" s="2070"/>
      <c r="AK208" s="2070"/>
      <c r="AL208" s="2070"/>
      <c r="AM208" s="2070"/>
      <c r="AN208" s="2070"/>
      <c r="AO208" s="2070"/>
      <c r="AP208" s="2070"/>
      <c r="AQ208" s="2070"/>
      <c r="AR208" s="2070"/>
      <c r="AS208" s="2070"/>
      <c r="AT208" s="2070"/>
      <c r="AU208" s="2070"/>
      <c r="AV208" s="2071"/>
      <c r="AW208" s="2071"/>
      <c r="AX208" s="2071"/>
      <c r="AY208" s="2071"/>
      <c r="AZ208" s="2071"/>
      <c r="BA208" s="2071"/>
      <c r="BB208" s="2071"/>
      <c r="BC208" s="2071"/>
      <c r="BD208" s="2071"/>
      <c r="BE208" s="2071"/>
      <c r="BF208" s="2071"/>
      <c r="BG208" s="2071"/>
      <c r="BH208" s="2071"/>
      <c r="BI208" s="2071"/>
      <c r="BJ208" s="2071"/>
      <c r="BK208" s="2071"/>
      <c r="BL208" s="2071"/>
      <c r="BM208" s="2071"/>
      <c r="BN208" s="2071"/>
      <c r="BO208" s="2071"/>
      <c r="BP208" s="2071"/>
      <c r="BQ208" s="2071"/>
      <c r="BR208" s="2071"/>
      <c r="BS208" s="2071"/>
      <c r="BT208" s="2071"/>
      <c r="BU208" s="2071"/>
      <c r="BV208" s="2071"/>
      <c r="BW208" s="2071"/>
      <c r="BX208" s="2071"/>
      <c r="BY208" s="2071"/>
      <c r="BZ208" s="2071"/>
      <c r="CA208" s="2071"/>
      <c r="CB208" s="2071"/>
      <c r="CC208" s="2071"/>
      <c r="CD208" s="2071"/>
      <c r="CE208" s="2071"/>
      <c r="CF208" s="2071"/>
      <c r="CG208" s="2071"/>
      <c r="CH208" s="2071"/>
      <c r="CI208" s="2071"/>
      <c r="CJ208" s="2071"/>
      <c r="CK208" s="2071"/>
      <c r="CL208" s="2071"/>
      <c r="CM208" s="2071"/>
      <c r="CN208" s="2071"/>
      <c r="CO208" s="2071"/>
      <c r="CP208" s="2071"/>
      <c r="CQ208" s="2071"/>
      <c r="CR208" s="2071"/>
      <c r="CS208" s="2071"/>
      <c r="CT208" s="2071"/>
      <c r="CU208" s="2071"/>
      <c r="CV208" s="2071"/>
      <c r="CW208" s="2071"/>
      <c r="CX208" s="2071"/>
      <c r="CY208" s="2071"/>
      <c r="CZ208" s="2071"/>
      <c r="DA208" s="2071"/>
      <c r="DB208" s="2071"/>
      <c r="DC208" s="2071"/>
      <c r="DD208" s="2071"/>
      <c r="DE208" s="2071"/>
      <c r="DF208" s="2071"/>
      <c r="DG208" s="2071"/>
      <c r="DH208" s="2071"/>
      <c r="DI208" s="2071"/>
      <c r="DJ208" s="2071"/>
      <c r="DK208" s="2071"/>
      <c r="DL208" s="2071"/>
      <c r="DM208" s="2071"/>
      <c r="DN208" s="2071"/>
      <c r="DO208" s="2071"/>
      <c r="DP208" s="2071"/>
      <c r="DQ208" s="2071"/>
      <c r="DR208" s="2071"/>
      <c r="DS208" s="2071"/>
      <c r="DT208" s="2071"/>
      <c r="DU208" s="2071"/>
      <c r="DV208" s="2071"/>
      <c r="DW208" s="2071"/>
      <c r="DX208" s="2071"/>
      <c r="DY208" s="2071"/>
      <c r="DZ208" s="2071"/>
      <c r="EA208" s="2071"/>
      <c r="EB208" s="2071"/>
      <c r="EC208" s="2071"/>
      <c r="ED208" s="2071"/>
      <c r="EE208" s="2071"/>
      <c r="EF208" s="2071"/>
      <c r="EG208" s="2071"/>
      <c r="EH208" s="2071"/>
      <c r="EI208" s="2071"/>
      <c r="EJ208" s="2071"/>
      <c r="EK208" s="2071"/>
      <c r="EL208" s="2071"/>
      <c r="EM208" s="2071"/>
      <c r="EN208" s="2071"/>
      <c r="EO208" s="2071"/>
      <c r="EP208" s="2071"/>
      <c r="EQ208" s="2071"/>
      <c r="ER208" s="2071"/>
      <c r="ES208" s="2071"/>
      <c r="ET208" s="2071"/>
      <c r="EU208" s="2071"/>
      <c r="EV208" s="2071"/>
      <c r="EW208" s="2071"/>
      <c r="EX208" s="2071"/>
      <c r="EY208" s="2071"/>
      <c r="EZ208" s="2071"/>
      <c r="FA208" s="2071"/>
      <c r="FB208" s="2071"/>
      <c r="FC208" s="2071"/>
      <c r="FD208" s="2071"/>
      <c r="FE208" s="2071"/>
      <c r="FF208" s="2071"/>
      <c r="FG208" s="2071"/>
      <c r="FH208" s="2071"/>
      <c r="FI208" s="2071"/>
      <c r="FJ208" s="2071"/>
      <c r="FK208" s="2071"/>
      <c r="FL208" s="2071"/>
      <c r="FM208" s="2071"/>
      <c r="FN208" s="2071"/>
      <c r="FO208" s="2071"/>
      <c r="FP208" s="2071"/>
      <c r="FQ208" s="2071"/>
      <c r="FR208" s="2071"/>
      <c r="FS208" s="2071"/>
      <c r="FT208" s="2071"/>
      <c r="FU208" s="2071"/>
      <c r="FV208" s="2071"/>
      <c r="FW208" s="2071"/>
      <c r="FX208" s="2071"/>
      <c r="FY208" s="2071"/>
      <c r="FZ208" s="2071"/>
      <c r="GA208" s="2071"/>
      <c r="GB208" s="2071"/>
      <c r="GC208" s="2071"/>
      <c r="GD208" s="2071"/>
      <c r="GE208" s="2071"/>
      <c r="GF208" s="2071"/>
      <c r="GG208" s="2071"/>
      <c r="GH208" s="2071"/>
      <c r="GI208" s="2071"/>
      <c r="GJ208" s="2071"/>
      <c r="GK208" s="2071"/>
      <c r="GL208" s="2071"/>
      <c r="GM208" s="2071"/>
      <c r="GN208" s="2071"/>
      <c r="GO208" s="2071"/>
      <c r="GP208" s="2071"/>
      <c r="GQ208" s="2071"/>
      <c r="GR208" s="2071"/>
      <c r="GS208" s="2071"/>
      <c r="GT208" s="2071"/>
      <c r="GU208" s="2071"/>
      <c r="GV208" s="2071"/>
      <c r="GW208" s="2071"/>
      <c r="GX208" s="2071"/>
      <c r="GY208" s="2071"/>
      <c r="GZ208" s="2071"/>
      <c r="HA208" s="2071"/>
      <c r="HB208" s="2071"/>
      <c r="HC208" s="2071"/>
      <c r="HD208" s="2071"/>
      <c r="HE208" s="2071"/>
      <c r="HF208" s="2071"/>
      <c r="HG208" s="2071"/>
      <c r="HH208" s="2071"/>
      <c r="HI208" s="2071"/>
      <c r="HJ208" s="2071"/>
      <c r="HK208" s="2071"/>
      <c r="HL208" s="2071"/>
      <c r="HM208" s="2071"/>
      <c r="HN208" s="2071"/>
      <c r="HO208" s="2071"/>
      <c r="HP208" s="2071"/>
      <c r="HQ208" s="2071"/>
      <c r="HR208" s="2071"/>
      <c r="HS208" s="2071"/>
      <c r="HT208" s="2071"/>
      <c r="HU208" s="2071"/>
      <c r="HV208" s="2071"/>
      <c r="HW208" s="2071"/>
      <c r="HX208" s="2071"/>
      <c r="HY208" s="2071"/>
      <c r="HZ208" s="2071"/>
      <c r="IA208" s="2071"/>
      <c r="IB208" s="2071"/>
      <c r="IC208" s="2071"/>
      <c r="ID208" s="2071"/>
      <c r="IE208" s="2071"/>
      <c r="IF208" s="2071"/>
      <c r="IG208" s="2071"/>
      <c r="IH208" s="2071"/>
      <c r="II208" s="2071"/>
      <c r="IJ208" s="2071"/>
      <c r="IK208" s="2071"/>
      <c r="IL208" s="2071"/>
      <c r="IM208" s="2071"/>
      <c r="IN208" s="2071"/>
      <c r="IO208" s="2071"/>
      <c r="IP208" s="2071"/>
      <c r="IQ208" s="2071"/>
      <c r="IR208" s="2071"/>
      <c r="IS208" s="2071"/>
      <c r="IT208" s="2071"/>
      <c r="IU208" s="2071"/>
      <c r="IV208" s="2071"/>
      <c r="IW208" s="2071"/>
      <c r="IX208" s="2071"/>
      <c r="IY208" s="2071"/>
      <c r="IZ208" s="2071"/>
      <c r="JA208" s="2071"/>
      <c r="JB208" s="2071"/>
      <c r="JC208" s="2071"/>
      <c r="JD208" s="2071"/>
      <c r="JE208" s="2071"/>
      <c r="JF208" s="2071"/>
      <c r="JG208" s="2071"/>
      <c r="JH208" s="2071"/>
      <c r="JI208" s="2071"/>
      <c r="JJ208" s="2071"/>
      <c r="JK208" s="2071"/>
      <c r="JL208" s="2071"/>
      <c r="JM208" s="2071"/>
      <c r="JN208" s="2071"/>
      <c r="JO208" s="2071"/>
      <c r="JP208" s="2071"/>
      <c r="JQ208" s="2071"/>
      <c r="JR208" s="2071"/>
      <c r="JS208" s="2071"/>
      <c r="JT208" s="2071"/>
      <c r="JU208" s="2071"/>
      <c r="JV208" s="2071"/>
      <c r="JW208" s="2071"/>
      <c r="JX208" s="2071"/>
      <c r="JY208" s="2071"/>
      <c r="JZ208" s="2071"/>
      <c r="KA208" s="2071"/>
      <c r="KB208" s="2071"/>
      <c r="KC208" s="2071"/>
      <c r="KD208" s="2071"/>
      <c r="KE208" s="2071"/>
      <c r="KF208" s="2071"/>
      <c r="KG208" s="2071"/>
      <c r="KH208" s="2071"/>
      <c r="KI208" s="2071"/>
      <c r="KJ208" s="2071"/>
      <c r="KK208" s="2071"/>
      <c r="KL208" s="2071"/>
      <c r="KM208" s="2071"/>
      <c r="KN208" s="2071"/>
      <c r="KO208" s="2071"/>
      <c r="KP208" s="2071"/>
      <c r="KQ208" s="2071"/>
      <c r="KR208" s="2071"/>
      <c r="KS208" s="2071"/>
      <c r="KT208" s="2071"/>
      <c r="KU208" s="2071"/>
      <c r="KV208" s="2071"/>
      <c r="KW208" s="2071"/>
      <c r="KX208" s="2071"/>
      <c r="KY208" s="2071"/>
      <c r="KZ208" s="2071"/>
      <c r="LA208" s="2071"/>
      <c r="LB208" s="2071"/>
      <c r="LC208" s="2071"/>
      <c r="LD208" s="2071"/>
      <c r="LE208" s="2071"/>
      <c r="LF208" s="2071"/>
      <c r="LG208" s="2071"/>
      <c r="LH208" s="2071"/>
      <c r="LI208" s="2071"/>
      <c r="LJ208" s="2071"/>
      <c r="LK208" s="2071"/>
      <c r="LL208" s="2071"/>
      <c r="LM208" s="2071"/>
      <c r="LN208" s="2071"/>
      <c r="LO208" s="2071"/>
      <c r="LP208" s="2071"/>
      <c r="LQ208" s="2071"/>
      <c r="LR208" s="2071"/>
      <c r="LS208" s="2071"/>
      <c r="LT208" s="2071"/>
      <c r="LU208" s="2071"/>
      <c r="LV208" s="2071"/>
      <c r="LW208" s="2071"/>
      <c r="LX208" s="2071"/>
      <c r="LY208" s="2071"/>
      <c r="LZ208" s="2071"/>
      <c r="MA208" s="2071"/>
      <c r="MB208" s="2071"/>
      <c r="MC208" s="2071"/>
      <c r="MD208" s="2071"/>
      <c r="ME208" s="2071"/>
      <c r="MF208" s="2071"/>
      <c r="MG208" s="2071"/>
      <c r="MH208" s="2071"/>
      <c r="MI208" s="2071"/>
      <c r="MJ208" s="2071"/>
      <c r="MK208" s="2071"/>
      <c r="ML208" s="2071"/>
      <c r="MM208" s="2071"/>
      <c r="MN208" s="2071"/>
      <c r="MO208" s="2071"/>
      <c r="MP208" s="2071"/>
      <c r="MQ208" s="2071"/>
      <c r="MR208" s="2071"/>
      <c r="MS208" s="2071"/>
      <c r="MT208" s="2071"/>
      <c r="MU208" s="2071"/>
      <c r="MV208" s="2071"/>
      <c r="MW208" s="2071"/>
      <c r="MX208" s="2071"/>
      <c r="MY208" s="2071"/>
      <c r="MZ208" s="2071"/>
      <c r="NA208" s="2071"/>
      <c r="NB208" s="2071"/>
      <c r="NC208" s="2071"/>
      <c r="ND208" s="2071"/>
      <c r="NE208" s="2071"/>
      <c r="NF208" s="2071"/>
      <c r="NG208" s="2071"/>
      <c r="NH208" s="2071"/>
      <c r="NI208" s="2071"/>
      <c r="NJ208" s="2071"/>
      <c r="NK208" s="2071"/>
      <c r="NL208" s="2071"/>
      <c r="NM208" s="2071"/>
      <c r="NN208" s="2071"/>
      <c r="NO208" s="2071"/>
      <c r="NP208" s="2071"/>
      <c r="NQ208" s="2071"/>
      <c r="NR208" s="2071"/>
      <c r="NS208" s="2071"/>
      <c r="NT208" s="2071"/>
      <c r="NU208" s="2071"/>
      <c r="NV208" s="2071"/>
      <c r="NW208" s="2071"/>
      <c r="NX208" s="2071"/>
      <c r="NY208" s="2071"/>
      <c r="NZ208" s="2071"/>
      <c r="OA208" s="2071"/>
      <c r="OB208" s="2071"/>
      <c r="OC208" s="2071"/>
      <c r="OD208" s="2071"/>
      <c r="OE208" s="2071"/>
      <c r="OF208" s="2071"/>
      <c r="OG208" s="2071"/>
      <c r="OH208" s="2071"/>
      <c r="OI208" s="2071"/>
      <c r="OJ208" s="2071"/>
      <c r="OK208" s="2071"/>
      <c r="OL208" s="2071"/>
      <c r="OM208" s="2071"/>
      <c r="ON208" s="2071"/>
      <c r="OO208" s="2071"/>
      <c r="OP208" s="2071"/>
      <c r="OQ208" s="2071"/>
      <c r="OR208" s="2071"/>
      <c r="OS208" s="2071"/>
      <c r="OT208" s="2071"/>
      <c r="OU208" s="2071"/>
      <c r="OV208" s="2071"/>
      <c r="OW208" s="2071"/>
      <c r="OX208" s="2071"/>
      <c r="OY208" s="2071"/>
      <c r="OZ208" s="2071"/>
      <c r="PA208" s="2071"/>
      <c r="PB208" s="2071"/>
      <c r="PC208" s="2071"/>
      <c r="PD208" s="2071"/>
      <c r="PE208" s="2071"/>
      <c r="PF208" s="2071"/>
      <c r="PG208" s="2071"/>
      <c r="PH208" s="2071"/>
      <c r="PI208" s="2071"/>
      <c r="PJ208" s="2071"/>
      <c r="PK208" s="2071"/>
      <c r="PL208" s="2071"/>
      <c r="PM208" s="2071"/>
      <c r="PN208" s="2071"/>
      <c r="PO208" s="2071"/>
      <c r="PP208" s="2071"/>
      <c r="PQ208" s="2071"/>
      <c r="PR208" s="2071"/>
      <c r="PS208" s="2071"/>
      <c r="PT208" s="2071"/>
      <c r="PU208" s="2071"/>
      <c r="PV208" s="2071"/>
      <c r="PW208" s="2071"/>
      <c r="PX208" s="2071"/>
      <c r="PY208" s="2071"/>
      <c r="PZ208" s="2071"/>
      <c r="QA208" s="2071"/>
      <c r="QB208" s="2071"/>
      <c r="QC208" s="2071"/>
      <c r="QD208" s="2071"/>
      <c r="QE208" s="2071"/>
      <c r="QF208" s="2071"/>
      <c r="QG208" s="2071"/>
      <c r="QH208" s="2071"/>
      <c r="QI208" s="2071"/>
      <c r="QJ208" s="2071"/>
      <c r="QK208" s="2071"/>
      <c r="QL208" s="2071"/>
      <c r="QM208" s="2071"/>
      <c r="QN208" s="2071"/>
      <c r="QO208" s="2071"/>
      <c r="QP208" s="2071"/>
      <c r="QQ208" s="2071"/>
      <c r="QR208" s="2071"/>
      <c r="QS208" s="2071"/>
      <c r="QT208" s="2071"/>
      <c r="QU208" s="2071"/>
      <c r="QV208" s="2071"/>
      <c r="QW208" s="2071"/>
      <c r="QX208" s="2071"/>
      <c r="QY208" s="2071"/>
      <c r="QZ208" s="2071"/>
      <c r="RA208" s="2071"/>
      <c r="RB208" s="2071"/>
      <c r="RC208" s="2071"/>
      <c r="RD208" s="2071"/>
      <c r="RE208" s="2071"/>
      <c r="RF208" s="2071"/>
      <c r="RG208" s="2071"/>
      <c r="RH208" s="2071"/>
      <c r="RI208" s="2071"/>
      <c r="RJ208" s="2071"/>
      <c r="RK208" s="2071"/>
      <c r="RL208" s="2071"/>
      <c r="RM208" s="2071"/>
      <c r="RN208" s="2071"/>
      <c r="RO208" s="2071"/>
      <c r="RP208" s="2071"/>
      <c r="RQ208" s="2071"/>
      <c r="RR208" s="2071"/>
      <c r="RS208" s="2071"/>
      <c r="RT208" s="2071"/>
      <c r="RU208" s="2071"/>
      <c r="RV208" s="2071"/>
      <c r="RW208" s="2071"/>
      <c r="RX208" s="2071"/>
      <c r="RY208" s="2071"/>
      <c r="RZ208" s="2071"/>
      <c r="SA208" s="2071"/>
      <c r="SB208" s="2071"/>
      <c r="SC208" s="2071"/>
      <c r="SD208" s="2071"/>
      <c r="SE208" s="2071"/>
      <c r="SF208" s="2071"/>
      <c r="SG208" s="2071"/>
      <c r="SH208" s="2071"/>
      <c r="SI208" s="2071"/>
      <c r="SJ208" s="2071"/>
      <c r="SK208" s="2071"/>
      <c r="SL208" s="2071"/>
      <c r="SM208" s="2071"/>
      <c r="SN208" s="2071"/>
      <c r="SO208" s="2071"/>
      <c r="SP208" s="2071"/>
      <c r="SQ208" s="2071"/>
      <c r="SR208" s="2071"/>
      <c r="SS208" s="2071"/>
      <c r="ST208" s="2071"/>
      <c r="SU208" s="2071"/>
      <c r="SV208" s="2071"/>
      <c r="SW208" s="2071"/>
      <c r="SX208" s="2071"/>
      <c r="SY208" s="2071"/>
      <c r="SZ208" s="2071"/>
      <c r="TA208" s="2071"/>
      <c r="TB208" s="2071"/>
      <c r="TC208" s="2071"/>
      <c r="TD208" s="2071"/>
      <c r="TE208" s="2071"/>
      <c r="TF208" s="2071"/>
      <c r="TG208" s="2071"/>
      <c r="TH208" s="2071"/>
      <c r="TI208" s="2071"/>
      <c r="TJ208" s="2071"/>
      <c r="TK208" s="2071"/>
      <c r="TL208" s="2071"/>
      <c r="TM208" s="2071"/>
      <c r="TN208" s="2071"/>
      <c r="TO208" s="2071"/>
      <c r="TP208" s="2071"/>
      <c r="TQ208" s="2071"/>
      <c r="TR208" s="2071"/>
      <c r="TS208" s="2071"/>
      <c r="TT208" s="2071"/>
      <c r="TU208" s="2071"/>
      <c r="TV208" s="2071"/>
      <c r="TW208" s="2071"/>
      <c r="TX208" s="2071"/>
      <c r="TY208" s="2071"/>
      <c r="TZ208" s="2071"/>
      <c r="UA208" s="2071"/>
      <c r="UB208" s="2071"/>
      <c r="UC208" s="2071"/>
      <c r="UD208" s="2071"/>
      <c r="UE208" s="2071"/>
      <c r="UF208" s="2071"/>
      <c r="UG208" s="2071"/>
      <c r="UH208" s="2071"/>
      <c r="UI208" s="2071"/>
      <c r="UJ208" s="2071"/>
      <c r="UK208" s="2071"/>
      <c r="UL208" s="2071"/>
      <c r="UM208" s="2071"/>
      <c r="UN208" s="2071"/>
      <c r="UO208" s="2071"/>
      <c r="UP208" s="2071"/>
      <c r="UQ208" s="2071"/>
      <c r="UR208" s="2071"/>
      <c r="US208" s="2071"/>
      <c r="UT208" s="2071"/>
      <c r="UU208" s="2071"/>
      <c r="UV208" s="2071"/>
      <c r="UW208" s="2071"/>
      <c r="UX208" s="2071"/>
      <c r="UY208" s="2071"/>
      <c r="UZ208" s="2071"/>
      <c r="VA208" s="2071"/>
      <c r="VB208" s="2071"/>
      <c r="VC208" s="2071"/>
      <c r="VD208" s="2071"/>
      <c r="VE208" s="2071"/>
      <c r="VF208" s="2071"/>
      <c r="VG208" s="2071"/>
      <c r="VH208" s="2071"/>
      <c r="VI208" s="2071"/>
      <c r="VJ208" s="2071"/>
      <c r="VK208" s="2071"/>
      <c r="VL208" s="2071"/>
      <c r="VM208" s="2071"/>
      <c r="VN208" s="2071"/>
      <c r="VO208" s="2071"/>
      <c r="VP208" s="2071"/>
      <c r="VQ208" s="2071"/>
      <c r="VR208" s="2071"/>
      <c r="VS208" s="2071"/>
      <c r="VT208" s="2071"/>
      <c r="VU208" s="2071"/>
      <c r="VV208" s="2071"/>
      <c r="VW208" s="2071"/>
      <c r="VX208" s="2071"/>
      <c r="VY208" s="2071"/>
      <c r="VZ208" s="2071"/>
      <c r="WA208" s="2071"/>
      <c r="WB208" s="2071"/>
      <c r="WC208" s="2071"/>
      <c r="WD208" s="2071"/>
      <c r="WE208" s="2071"/>
      <c r="WF208" s="2071"/>
      <c r="WG208" s="2071"/>
      <c r="WH208" s="2071"/>
      <c r="WI208" s="2071"/>
      <c r="WJ208" s="2071"/>
      <c r="WK208" s="2071"/>
      <c r="WL208" s="2071"/>
      <c r="WM208" s="2071"/>
      <c r="WN208" s="2071"/>
      <c r="WO208" s="2071"/>
      <c r="WP208" s="2071"/>
      <c r="WQ208" s="2071"/>
      <c r="WR208" s="2071"/>
      <c r="WS208" s="2071"/>
      <c r="WT208" s="2071"/>
      <c r="WU208" s="2071"/>
      <c r="WV208" s="2071"/>
      <c r="WW208" s="2071"/>
      <c r="WX208" s="2071"/>
      <c r="WY208" s="2071"/>
      <c r="WZ208" s="2071"/>
      <c r="XA208" s="2071"/>
      <c r="XB208" s="2071"/>
      <c r="XC208" s="2071"/>
      <c r="XD208" s="2071"/>
      <c r="XE208" s="2071"/>
      <c r="XF208" s="2071"/>
      <c r="XG208" s="2071"/>
      <c r="XH208" s="2071"/>
      <c r="XI208" s="2071"/>
      <c r="XJ208" s="2071"/>
      <c r="XK208" s="2071"/>
      <c r="XL208" s="2071"/>
      <c r="XM208" s="2071"/>
      <c r="XN208" s="2071"/>
      <c r="XO208" s="2071"/>
      <c r="XP208" s="2071"/>
      <c r="XQ208" s="2071"/>
      <c r="XR208" s="2071"/>
      <c r="XS208" s="2071"/>
      <c r="XT208" s="2071"/>
      <c r="XU208" s="2071"/>
      <c r="XV208" s="2071"/>
      <c r="XW208" s="2071"/>
      <c r="XX208" s="2071"/>
      <c r="XY208" s="2071"/>
      <c r="XZ208" s="2071"/>
      <c r="YA208" s="2071"/>
      <c r="YB208" s="2071"/>
      <c r="YC208" s="2071"/>
      <c r="YD208" s="2071"/>
      <c r="YE208" s="2071"/>
      <c r="YF208" s="2071"/>
      <c r="YG208" s="2071"/>
      <c r="YH208" s="2071"/>
      <c r="YI208" s="2071"/>
      <c r="YJ208" s="2071"/>
      <c r="YK208" s="2071"/>
      <c r="YL208" s="2071"/>
      <c r="YM208" s="2071"/>
      <c r="YN208" s="2071"/>
      <c r="YO208" s="2071"/>
      <c r="YP208" s="2071"/>
      <c r="YQ208" s="2071"/>
      <c r="YR208" s="2071"/>
      <c r="YS208" s="2071"/>
      <c r="YT208" s="2071"/>
      <c r="YU208" s="2071"/>
      <c r="YV208" s="2071"/>
      <c r="YW208" s="2071"/>
      <c r="YX208" s="2071"/>
      <c r="YY208" s="2071"/>
      <c r="YZ208" s="2071"/>
      <c r="ZA208" s="2071"/>
      <c r="ZB208" s="2071"/>
      <c r="ZC208" s="2071"/>
      <c r="ZD208" s="2071"/>
      <c r="ZE208" s="2071"/>
      <c r="ZF208" s="2071"/>
      <c r="ZG208" s="2071"/>
      <c r="ZH208" s="2071"/>
      <c r="ZI208" s="2071"/>
      <c r="ZJ208" s="2071"/>
      <c r="ZK208" s="2071"/>
      <c r="ZL208" s="2071"/>
      <c r="ZM208" s="2071"/>
      <c r="ZN208" s="2071"/>
      <c r="ZO208" s="2071"/>
      <c r="ZP208" s="2071"/>
      <c r="ZQ208" s="2071"/>
      <c r="ZR208" s="2071"/>
      <c r="ZS208" s="2071"/>
      <c r="ZT208" s="2071"/>
      <c r="ZU208" s="2071"/>
      <c r="ZV208" s="2071"/>
      <c r="ZW208" s="2071"/>
      <c r="ZX208" s="2071"/>
      <c r="ZY208" s="2071"/>
      <c r="ZZ208" s="2071"/>
      <c r="AAA208" s="2071"/>
      <c r="AAB208" s="2071"/>
      <c r="AAC208" s="2071"/>
      <c r="AAD208" s="2071"/>
      <c r="AAE208" s="2071"/>
      <c r="AAF208" s="2071"/>
      <c r="AAG208" s="2071"/>
      <c r="AAH208" s="2071"/>
      <c r="AAI208" s="2071"/>
      <c r="AAJ208" s="2071"/>
      <c r="AAK208" s="2071"/>
      <c r="AAL208" s="2071"/>
      <c r="AAM208" s="2071"/>
      <c r="AAN208" s="2071"/>
      <c r="AAO208" s="2071"/>
      <c r="AAP208" s="2071"/>
      <c r="AAQ208" s="2071"/>
      <c r="AAR208" s="2071"/>
      <c r="AAS208" s="2071"/>
      <c r="AAT208" s="2071"/>
      <c r="AAU208" s="2071"/>
      <c r="AAV208" s="2071"/>
      <c r="AAW208" s="2071"/>
      <c r="AAX208" s="2071"/>
      <c r="AAY208" s="2071"/>
      <c r="AAZ208" s="2071"/>
      <c r="ABA208" s="2071"/>
      <c r="ABB208" s="2071"/>
      <c r="ABC208" s="2071"/>
      <c r="ABD208" s="2071"/>
      <c r="ABE208" s="2071"/>
      <c r="ABF208" s="2071"/>
      <c r="ABG208" s="2071"/>
      <c r="ABH208" s="2071"/>
      <c r="ABI208" s="2071"/>
      <c r="ABJ208" s="2071"/>
      <c r="ABK208" s="2071"/>
      <c r="ABL208" s="2071"/>
      <c r="ABM208" s="2071"/>
      <c r="ABN208" s="2071"/>
      <c r="ABO208" s="2071"/>
      <c r="ABP208" s="2071"/>
      <c r="ABQ208" s="2071"/>
      <c r="ABR208" s="2071"/>
      <c r="ABS208" s="2071"/>
      <c r="ABT208" s="2071"/>
      <c r="ABU208" s="2071"/>
      <c r="ABV208" s="2071"/>
      <c r="ABW208" s="2071"/>
      <c r="ABX208" s="2071"/>
      <c r="ABY208" s="2071"/>
      <c r="ABZ208" s="2071"/>
      <c r="ACA208" s="2071"/>
      <c r="ACB208" s="2071"/>
      <c r="ACC208" s="2071"/>
      <c r="ACD208" s="2071"/>
      <c r="ACE208" s="2071"/>
      <c r="ACF208" s="2071"/>
      <c r="ACG208" s="2071"/>
      <c r="ACH208" s="2071"/>
      <c r="ACI208" s="2071"/>
      <c r="ACJ208" s="2071"/>
      <c r="ACK208" s="2071"/>
      <c r="ACL208" s="2071"/>
      <c r="ACM208" s="2071"/>
      <c r="ACN208" s="2071"/>
      <c r="ACO208" s="2071"/>
      <c r="ACP208" s="2071"/>
      <c r="ACQ208" s="2071"/>
      <c r="ACR208" s="2071"/>
      <c r="ACS208" s="2071"/>
      <c r="ACT208" s="2071"/>
      <c r="ACU208" s="2071"/>
      <c r="ACV208" s="2071"/>
      <c r="ACW208" s="2071"/>
      <c r="ACX208" s="2071"/>
      <c r="ACY208" s="2071"/>
      <c r="ACZ208" s="2071"/>
      <c r="ADA208" s="2071"/>
      <c r="ADB208" s="2071"/>
      <c r="ADC208" s="2071"/>
      <c r="ADD208" s="2071"/>
      <c r="ADE208" s="2071"/>
      <c r="ADF208" s="2071"/>
      <c r="ADG208" s="2071"/>
      <c r="ADH208" s="2071"/>
      <c r="ADI208" s="2071"/>
      <c r="ADJ208" s="2071"/>
      <c r="ADK208" s="2071"/>
      <c r="ADL208" s="2071"/>
      <c r="ADM208" s="2071"/>
      <c r="ADN208" s="2071"/>
      <c r="ADO208" s="2071"/>
      <c r="ADP208" s="2071"/>
      <c r="ADQ208" s="2071"/>
      <c r="ADR208" s="2071"/>
      <c r="ADS208" s="2071"/>
      <c r="ADT208" s="2071"/>
      <c r="ADU208" s="2071"/>
      <c r="ADV208" s="2071"/>
      <c r="ADW208" s="2071"/>
      <c r="ADX208" s="2071"/>
      <c r="ADY208" s="2071"/>
      <c r="ADZ208" s="2071"/>
      <c r="AEA208" s="2071"/>
      <c r="AEB208" s="2071"/>
      <c r="AEC208" s="2071"/>
      <c r="AED208" s="2071"/>
      <c r="AEE208" s="2071"/>
      <c r="AEF208" s="2071"/>
      <c r="AEG208" s="2071"/>
      <c r="AEH208" s="2071"/>
      <c r="AEI208" s="2071"/>
      <c r="AEJ208" s="2071"/>
      <c r="AEK208" s="2071"/>
      <c r="AEL208" s="2071"/>
      <c r="AEM208" s="2071"/>
      <c r="AEN208" s="2071"/>
      <c r="AEO208" s="2071"/>
      <c r="AEP208" s="2071"/>
      <c r="AEQ208" s="2071"/>
      <c r="AER208" s="2071"/>
      <c r="AES208" s="2071"/>
      <c r="AET208" s="2071"/>
      <c r="AEU208" s="2071"/>
      <c r="AEV208" s="2071"/>
      <c r="AEW208" s="2071"/>
      <c r="AEX208" s="2071"/>
      <c r="AEY208" s="2071"/>
      <c r="AEZ208" s="2071"/>
      <c r="AFA208" s="2071"/>
      <c r="AFB208" s="2071"/>
      <c r="AFC208" s="2071"/>
      <c r="AFD208" s="2071"/>
      <c r="AFE208" s="2071"/>
      <c r="AFF208" s="2071"/>
      <c r="AFG208" s="2071"/>
      <c r="AFH208" s="2071"/>
      <c r="AFI208" s="2071"/>
      <c r="AFJ208" s="2071"/>
      <c r="AFK208" s="2071"/>
      <c r="AFL208" s="2071"/>
      <c r="AFM208" s="2071"/>
      <c r="AFN208" s="2071"/>
      <c r="AFO208" s="2071"/>
      <c r="AFP208" s="2071"/>
      <c r="AFQ208" s="2071"/>
      <c r="AFR208" s="2071"/>
      <c r="AFS208" s="2071"/>
      <c r="AFT208" s="2071"/>
      <c r="AFU208" s="2071"/>
      <c r="AFV208" s="2071"/>
      <c r="AFW208" s="2071"/>
      <c r="AFX208" s="2071"/>
      <c r="AFY208" s="2071"/>
      <c r="AFZ208" s="2071"/>
      <c r="AGA208" s="2071"/>
      <c r="AGB208" s="2071"/>
      <c r="AGC208" s="2071"/>
      <c r="AGD208" s="2071"/>
      <c r="AGE208" s="2071"/>
      <c r="AGF208" s="2071"/>
      <c r="AGG208" s="2071"/>
      <c r="AGH208" s="2071"/>
      <c r="AGI208" s="2071"/>
      <c r="AGJ208" s="2071"/>
      <c r="AGK208" s="2071"/>
      <c r="AGL208" s="2071"/>
      <c r="AGM208" s="2071"/>
      <c r="AGN208" s="2071"/>
      <c r="AGO208" s="2071"/>
      <c r="AGP208" s="2071"/>
      <c r="AGQ208" s="2071"/>
      <c r="AGR208" s="2071"/>
      <c r="AGS208" s="2071"/>
      <c r="AGT208" s="2071"/>
      <c r="AGU208" s="2071"/>
      <c r="AGV208" s="2071"/>
      <c r="AGW208" s="2071"/>
      <c r="AGX208" s="2071"/>
      <c r="AGY208" s="2071"/>
      <c r="AGZ208" s="2071"/>
      <c r="AHA208" s="2071"/>
      <c r="AHB208" s="2071"/>
      <c r="AHC208" s="2071"/>
      <c r="AHD208" s="2071"/>
      <c r="AHE208" s="2071"/>
      <c r="AHF208" s="2071"/>
      <c r="AHG208" s="2071"/>
      <c r="AHH208" s="2071"/>
      <c r="AHI208" s="2071"/>
      <c r="AHJ208" s="2071"/>
      <c r="AHK208" s="2071"/>
      <c r="AHL208" s="2071"/>
      <c r="AHM208" s="2071"/>
      <c r="AHN208" s="2071"/>
      <c r="AHO208" s="2071"/>
      <c r="AHP208" s="2071"/>
      <c r="AHQ208" s="2071"/>
      <c r="AHR208" s="2071"/>
      <c r="AHS208" s="2071"/>
      <c r="AHT208" s="2071"/>
      <c r="AHU208" s="2071"/>
      <c r="AHV208" s="2071"/>
      <c r="AHW208" s="2071"/>
      <c r="AHX208" s="2071"/>
      <c r="AHY208" s="2071"/>
      <c r="AHZ208" s="2071"/>
      <c r="AIA208" s="2071"/>
      <c r="AIB208" s="2071"/>
      <c r="AIC208" s="2071"/>
      <c r="AID208" s="2071"/>
      <c r="AIE208" s="2071"/>
      <c r="AIF208" s="2071"/>
      <c r="AIG208" s="2071"/>
      <c r="AIH208" s="2071"/>
      <c r="AII208" s="2071"/>
      <c r="AIJ208" s="2071"/>
      <c r="AIK208" s="2071"/>
      <c r="AIL208" s="2071"/>
      <c r="AIM208" s="2071"/>
      <c r="AIN208" s="2071"/>
      <c r="AIO208" s="2071"/>
      <c r="AIP208" s="2071"/>
      <c r="AIQ208" s="2071"/>
      <c r="AIR208" s="2071"/>
      <c r="AIS208" s="2071"/>
      <c r="AIT208" s="2071"/>
      <c r="AIU208" s="2071"/>
      <c r="AIV208" s="2071"/>
      <c r="AIW208" s="2071"/>
      <c r="AIX208" s="2071"/>
      <c r="AIY208" s="2071"/>
      <c r="AIZ208" s="2071"/>
      <c r="AJA208" s="2071"/>
      <c r="AJB208" s="2071"/>
      <c r="AJC208" s="2071"/>
      <c r="AJD208" s="2071"/>
      <c r="AJE208" s="2071"/>
      <c r="AJF208" s="2071"/>
      <c r="AJG208" s="2071"/>
      <c r="AJH208" s="2071"/>
      <c r="AJI208" s="2071"/>
      <c r="AJJ208" s="2071"/>
      <c r="AJK208" s="2071"/>
      <c r="AJL208" s="2071"/>
      <c r="AJM208" s="2071"/>
      <c r="AJN208" s="2071"/>
      <c r="AJO208" s="2071"/>
      <c r="AJP208" s="2071"/>
      <c r="AJQ208" s="2071"/>
      <c r="AJR208" s="2071"/>
      <c r="AJS208" s="2071"/>
      <c r="AJT208" s="2071"/>
      <c r="AJU208" s="2071"/>
      <c r="AJV208" s="2071"/>
      <c r="AJW208" s="2071"/>
      <c r="AJX208" s="2071"/>
      <c r="AJY208" s="2071"/>
      <c r="AJZ208" s="2071"/>
      <c r="AKA208" s="2071"/>
      <c r="AKB208" s="2071"/>
      <c r="AKC208" s="2071"/>
      <c r="AKD208" s="2071"/>
      <c r="AKE208" s="2071"/>
      <c r="AKF208" s="2071"/>
      <c r="AKG208" s="2071"/>
      <c r="AKH208" s="2071"/>
      <c r="AKI208" s="2071"/>
      <c r="AKJ208" s="2071"/>
      <c r="AKK208" s="2071"/>
      <c r="AKL208" s="2071"/>
      <c r="AKM208" s="2071"/>
      <c r="AKN208" s="2071"/>
      <c r="AKO208" s="2071"/>
      <c r="AKP208" s="2071"/>
      <c r="AKQ208" s="2071"/>
      <c r="AKR208" s="2071"/>
      <c r="AKS208" s="2071"/>
      <c r="AKT208" s="2071"/>
      <c r="AKU208" s="2071"/>
      <c r="AKV208" s="2071"/>
      <c r="AKW208" s="2071"/>
      <c r="AKX208" s="2071"/>
      <c r="AKY208" s="2071"/>
      <c r="AKZ208" s="2071"/>
      <c r="ALA208" s="2071"/>
      <c r="ALB208" s="2071"/>
      <c r="ALC208" s="2071"/>
      <c r="ALD208" s="2071"/>
      <c r="ALE208" s="2071"/>
      <c r="ALF208" s="2071"/>
      <c r="ALG208" s="2071"/>
      <c r="ALH208" s="2071"/>
      <c r="ALI208" s="2071"/>
      <c r="ALJ208" s="2071"/>
      <c r="ALK208" s="2071"/>
      <c r="ALL208" s="2071"/>
      <c r="ALM208" s="2071"/>
      <c r="ALN208" s="2071"/>
      <c r="ALO208" s="2071"/>
      <c r="ALP208" s="2071"/>
      <c r="ALQ208" s="2071"/>
      <c r="ALR208" s="2071"/>
      <c r="ALS208" s="2071"/>
      <c r="ALT208" s="2071"/>
      <c r="ALU208" s="2071"/>
      <c r="ALV208" s="2071"/>
      <c r="ALW208" s="2071"/>
      <c r="ALX208" s="2071"/>
      <c r="ALY208" s="2071"/>
      <c r="ALZ208" s="2071"/>
      <c r="AMA208" s="2071"/>
      <c r="AMB208" s="2071"/>
      <c r="AMC208" s="2071"/>
      <c r="AMD208" s="2071"/>
      <c r="AME208" s="2071"/>
      <c r="AMF208" s="2071"/>
      <c r="AMG208" s="2071"/>
      <c r="AMH208" s="2071"/>
      <c r="AMI208" s="2071"/>
      <c r="AMJ208" s="2071"/>
      <c r="AMK208" s="2071"/>
      <c r="AML208" s="2071"/>
      <c r="AMM208" s="2071"/>
      <c r="AMN208" s="2071"/>
      <c r="AMO208" s="2071"/>
      <c r="AMP208" s="2071"/>
      <c r="AMQ208" s="2071"/>
      <c r="AMR208" s="2071"/>
      <c r="AMS208" s="2071"/>
      <c r="AMT208" s="2071"/>
      <c r="AMU208" s="2071"/>
      <c r="AMV208" s="2071"/>
      <c r="AMW208" s="2071"/>
      <c r="AMX208" s="2071"/>
      <c r="AMY208" s="2071"/>
      <c r="AMZ208" s="2071"/>
      <c r="ANA208" s="2071"/>
      <c r="ANB208" s="2071"/>
      <c r="ANC208" s="2071"/>
      <c r="AND208" s="2071"/>
      <c r="ANE208" s="2071"/>
      <c r="ANF208" s="2071"/>
      <c r="ANG208" s="2071"/>
      <c r="ANH208" s="2071"/>
      <c r="ANI208" s="2071"/>
      <c r="ANJ208" s="2071"/>
      <c r="ANK208" s="2071"/>
      <c r="ANL208" s="2071"/>
      <c r="ANM208" s="2071"/>
      <c r="ANN208" s="2071"/>
      <c r="ANO208" s="2071"/>
      <c r="ANP208" s="2071"/>
      <c r="ANQ208" s="2071"/>
      <c r="ANR208" s="2071"/>
      <c r="ANS208" s="2071"/>
      <c r="ANT208" s="2071"/>
      <c r="ANU208" s="2071"/>
      <c r="ANV208" s="2071"/>
      <c r="ANW208" s="2071"/>
      <c r="ANX208" s="2071"/>
      <c r="ANY208" s="2071"/>
      <c r="ANZ208" s="2071"/>
      <c r="AOA208" s="2071"/>
      <c r="AOB208" s="2071"/>
      <c r="AOC208" s="2071"/>
      <c r="AOD208" s="2071"/>
      <c r="AOE208" s="2071"/>
      <c r="AOF208" s="2071"/>
      <c r="AOG208" s="2071"/>
      <c r="AOH208" s="2071"/>
      <c r="AOI208" s="2071"/>
      <c r="AOJ208" s="2071"/>
      <c r="AOK208" s="2071"/>
      <c r="AOL208" s="2071"/>
      <c r="AOM208" s="2071"/>
      <c r="AON208" s="2071"/>
      <c r="AOO208" s="2071"/>
      <c r="AOP208" s="2071"/>
      <c r="AOQ208" s="2071"/>
      <c r="AOR208" s="2071"/>
      <c r="AOS208" s="2071"/>
      <c r="AOT208" s="2071"/>
      <c r="AOU208" s="2071"/>
      <c r="AOV208" s="2071"/>
      <c r="AOW208" s="2071"/>
      <c r="AOX208" s="2071"/>
      <c r="AOY208" s="2071"/>
      <c r="AOZ208" s="2071"/>
      <c r="APA208" s="2071"/>
      <c r="APB208" s="2071"/>
      <c r="APC208" s="2071"/>
      <c r="APD208" s="2071"/>
      <c r="APE208" s="2071"/>
      <c r="APF208" s="2071"/>
      <c r="APG208" s="2071"/>
      <c r="APH208" s="2071"/>
      <c r="API208" s="2071"/>
      <c r="APJ208" s="2071"/>
      <c r="APK208" s="2071"/>
      <c r="APL208" s="2071"/>
      <c r="APM208" s="2071"/>
      <c r="APN208" s="2071"/>
      <c r="APO208" s="2071"/>
      <c r="APP208" s="2071"/>
      <c r="APQ208" s="2071"/>
      <c r="APR208" s="2071"/>
      <c r="APS208" s="2071"/>
      <c r="APT208" s="2071"/>
      <c r="APU208" s="2071"/>
      <c r="APV208" s="2071"/>
      <c r="APW208" s="2071"/>
      <c r="APX208" s="2071"/>
      <c r="APY208" s="2071"/>
      <c r="APZ208" s="2071"/>
      <c r="AQA208" s="2071"/>
      <c r="AQB208" s="2071"/>
      <c r="AQC208" s="2071"/>
      <c r="AQD208" s="2071"/>
      <c r="AQE208" s="2071"/>
      <c r="AQF208" s="2071"/>
      <c r="AQG208" s="2071"/>
      <c r="AQH208" s="2071"/>
      <c r="AQI208" s="2071"/>
      <c r="AQJ208" s="2071"/>
      <c r="AQK208" s="2071"/>
      <c r="AQL208" s="2071"/>
      <c r="AQM208" s="2071"/>
      <c r="AQN208" s="2071"/>
      <c r="AQO208" s="2071"/>
      <c r="AQP208" s="2071"/>
      <c r="AQQ208" s="2071"/>
      <c r="AQR208" s="2071"/>
      <c r="AQS208" s="2071"/>
      <c r="AQT208" s="2071"/>
      <c r="AQU208" s="2071"/>
      <c r="AQV208" s="2071"/>
      <c r="AQW208" s="2071"/>
      <c r="AQX208" s="2071"/>
      <c r="AQY208" s="2071"/>
      <c r="AQZ208" s="2071"/>
      <c r="ARA208" s="2071"/>
      <c r="ARB208" s="2071"/>
      <c r="ARC208" s="2071"/>
      <c r="ARD208" s="2071"/>
      <c r="ARE208" s="2071"/>
      <c r="ARF208" s="2071"/>
      <c r="ARG208" s="2071"/>
      <c r="ARH208" s="2071"/>
      <c r="ARI208" s="2071"/>
      <c r="ARJ208" s="2071"/>
      <c r="ARK208" s="2071"/>
      <c r="ARL208" s="2071"/>
      <c r="ARM208" s="2071"/>
      <c r="ARN208" s="2071"/>
      <c r="ARO208" s="2071"/>
      <c r="ARP208" s="2071"/>
      <c r="ARQ208" s="2071"/>
      <c r="ARR208" s="2071"/>
      <c r="ARS208" s="2071"/>
      <c r="ART208" s="2071"/>
      <c r="ARU208" s="2071"/>
      <c r="ARV208" s="2071"/>
      <c r="ARW208" s="2071"/>
      <c r="ARX208" s="2071"/>
      <c r="ARY208" s="2071"/>
      <c r="ARZ208" s="2071"/>
      <c r="ASA208" s="2071"/>
      <c r="ASB208" s="2071"/>
      <c r="ASC208" s="2071"/>
      <c r="ASD208" s="2071"/>
      <c r="ASE208" s="2071"/>
      <c r="ASF208" s="2071"/>
      <c r="ASG208" s="2071"/>
      <c r="ASH208" s="2071"/>
      <c r="ASI208" s="2071"/>
      <c r="ASJ208" s="2071"/>
      <c r="ASK208" s="2071"/>
      <c r="ASL208" s="2071"/>
      <c r="ASM208" s="2071"/>
      <c r="ASN208" s="2071"/>
      <c r="ASO208" s="2071"/>
      <c r="ASP208" s="2071"/>
      <c r="ASQ208" s="2071"/>
      <c r="ASR208" s="2071"/>
      <c r="ASS208" s="2071"/>
      <c r="AST208" s="2071"/>
      <c r="ASU208" s="2071"/>
      <c r="ASV208" s="2071"/>
      <c r="ASW208" s="2071"/>
      <c r="ASX208" s="2071"/>
      <c r="ASY208" s="2071"/>
      <c r="ASZ208" s="2071"/>
      <c r="ATA208" s="2071"/>
      <c r="ATB208" s="2071"/>
      <c r="ATC208" s="2071"/>
      <c r="ATD208" s="2071"/>
      <c r="ATE208" s="2071"/>
      <c r="ATF208" s="2071"/>
      <c r="ATG208" s="2071"/>
      <c r="ATH208" s="2071"/>
      <c r="ATI208" s="2071"/>
      <c r="ATJ208" s="2071"/>
      <c r="ATK208" s="2071"/>
      <c r="ATL208" s="2071"/>
      <c r="ATM208" s="2071"/>
      <c r="ATN208" s="2071"/>
      <c r="ATO208" s="2071"/>
      <c r="ATP208" s="2071"/>
      <c r="ATQ208" s="2071"/>
      <c r="ATR208" s="2071"/>
      <c r="ATS208" s="2071"/>
      <c r="ATT208" s="2071"/>
      <c r="ATU208" s="2071"/>
      <c r="ATV208" s="2071"/>
      <c r="ATW208" s="2071"/>
      <c r="ATX208" s="2071"/>
      <c r="ATY208" s="2071"/>
      <c r="ATZ208" s="2071"/>
      <c r="AUA208" s="2071"/>
      <c r="AUB208" s="2071"/>
      <c r="AUC208" s="2071"/>
      <c r="AUD208" s="2071"/>
      <c r="AUE208" s="2071"/>
      <c r="AUF208" s="2071"/>
      <c r="AUG208" s="2071"/>
      <c r="AUH208" s="2071"/>
      <c r="AUI208" s="2071"/>
      <c r="AUJ208" s="2071"/>
      <c r="AUK208" s="2071"/>
      <c r="AUL208" s="2071"/>
      <c r="AUM208" s="2071"/>
      <c r="AUN208" s="2071"/>
      <c r="AUO208" s="2071"/>
      <c r="AUP208" s="2071"/>
      <c r="AUQ208" s="2071"/>
      <c r="AUR208" s="2071"/>
      <c r="AUS208" s="2071"/>
      <c r="AUT208" s="2071"/>
      <c r="AUU208" s="2071"/>
      <c r="AUV208" s="2071"/>
      <c r="AUW208" s="2071"/>
      <c r="AUX208" s="2071"/>
      <c r="AUY208" s="2071"/>
      <c r="AUZ208" s="2071"/>
      <c r="AVA208" s="2071"/>
      <c r="AVB208" s="2071"/>
      <c r="AVC208" s="2071"/>
      <c r="AVD208" s="2071"/>
      <c r="AVE208" s="2071"/>
      <c r="AVF208" s="2071"/>
      <c r="AVG208" s="2071"/>
      <c r="AVH208" s="2071"/>
      <c r="AVI208" s="2071"/>
      <c r="AVJ208" s="2071"/>
      <c r="AVK208" s="2071"/>
      <c r="AVL208" s="2071"/>
      <c r="AVM208" s="2071"/>
      <c r="AVN208" s="2071"/>
      <c r="AVO208" s="2071"/>
      <c r="AVP208" s="2071"/>
      <c r="AVQ208" s="2071"/>
      <c r="AVR208" s="2071"/>
      <c r="AVS208" s="2071"/>
      <c r="AVT208" s="2071"/>
      <c r="AVU208" s="2071"/>
      <c r="AVV208" s="2071"/>
      <c r="AVW208" s="2071"/>
      <c r="AVX208" s="2071"/>
      <c r="AVY208" s="2071"/>
      <c r="AVZ208" s="2071"/>
      <c r="AWA208" s="2071"/>
      <c r="AWB208" s="2071"/>
      <c r="AWC208" s="2071"/>
      <c r="AWD208" s="2071"/>
      <c r="AWE208" s="2071"/>
      <c r="AWF208" s="2071"/>
      <c r="AWG208" s="2071"/>
      <c r="AWH208" s="2071"/>
      <c r="AWI208" s="2071"/>
      <c r="AWJ208" s="2071"/>
      <c r="AWK208" s="2071"/>
      <c r="AWL208" s="2071"/>
      <c r="AWM208" s="2071"/>
      <c r="AWN208" s="2071"/>
      <c r="AWO208" s="2071"/>
      <c r="AWP208" s="2071"/>
      <c r="AWQ208" s="2071"/>
      <c r="AWR208" s="2071"/>
      <c r="AWS208" s="2071"/>
      <c r="AWT208" s="2071"/>
      <c r="AWU208" s="2071"/>
      <c r="AWV208" s="2071"/>
      <c r="AWW208" s="2071"/>
      <c r="AWX208" s="2071"/>
      <c r="AWY208" s="2071"/>
      <c r="AWZ208" s="2071"/>
      <c r="AXA208" s="2071"/>
      <c r="AXB208" s="2071"/>
      <c r="AXC208" s="2071"/>
      <c r="AXD208" s="2071"/>
      <c r="AXE208" s="2071"/>
      <c r="AXF208" s="2071"/>
      <c r="AXG208" s="2071"/>
      <c r="AXH208" s="2071"/>
      <c r="AXI208" s="2071"/>
      <c r="AXJ208" s="2071"/>
    </row>
    <row r="209" spans="1:1310" s="2072" customFormat="1" ht="23.25" customHeight="1">
      <c r="A209" s="2073"/>
      <c r="B209" s="4484" t="s">
        <v>891</v>
      </c>
      <c r="C209" s="4484"/>
      <c r="D209" s="4484"/>
      <c r="E209" s="4484"/>
      <c r="F209" s="2075"/>
      <c r="G209" s="4484" t="s">
        <v>892</v>
      </c>
      <c r="H209" s="4484"/>
      <c r="I209" s="4484"/>
      <c r="J209" s="2075"/>
      <c r="K209" s="4484" t="s">
        <v>893</v>
      </c>
      <c r="L209" s="4484"/>
      <c r="M209" s="4484"/>
      <c r="N209" s="2075"/>
      <c r="O209" s="4484" t="s">
        <v>894</v>
      </c>
      <c r="P209" s="4484"/>
      <c r="Q209" s="2075"/>
      <c r="R209" s="1838"/>
      <c r="S209" s="1838"/>
      <c r="T209" s="1838"/>
      <c r="U209" s="1838"/>
      <c r="V209" s="1838"/>
      <c r="W209" s="1838"/>
      <c r="X209" s="1838"/>
      <c r="Y209" s="1838"/>
      <c r="Z209" s="1838"/>
      <c r="AA209" s="1838"/>
      <c r="AB209" s="1838"/>
      <c r="AC209" s="1838"/>
      <c r="AD209" s="2070"/>
      <c r="AE209" s="2070"/>
      <c r="AF209" s="2070"/>
      <c r="AG209" s="2070"/>
      <c r="AH209" s="2070"/>
      <c r="AI209" s="2070"/>
      <c r="AJ209" s="2070"/>
      <c r="AK209" s="2070"/>
      <c r="AL209" s="2070"/>
      <c r="AM209" s="2070"/>
      <c r="AN209" s="2070"/>
      <c r="AO209" s="2070"/>
      <c r="AP209" s="2070"/>
      <c r="AQ209" s="2070"/>
      <c r="AR209" s="2070"/>
      <c r="AS209" s="2070"/>
      <c r="AT209" s="2070"/>
      <c r="AU209" s="2070"/>
      <c r="AV209" s="2071"/>
      <c r="AW209" s="2071"/>
      <c r="AX209" s="2071"/>
      <c r="AY209" s="2071"/>
      <c r="AZ209" s="2071"/>
      <c r="BA209" s="2071"/>
      <c r="BB209" s="2071"/>
      <c r="BC209" s="2071"/>
      <c r="BD209" s="2071"/>
      <c r="BE209" s="2071"/>
      <c r="BF209" s="2071"/>
      <c r="BG209" s="2071"/>
      <c r="BH209" s="2071"/>
      <c r="BI209" s="2071"/>
      <c r="BJ209" s="2071"/>
      <c r="BK209" s="2071"/>
      <c r="BL209" s="2071"/>
      <c r="BM209" s="2071"/>
      <c r="BN209" s="2071"/>
      <c r="BO209" s="2071"/>
      <c r="BP209" s="2071"/>
      <c r="BQ209" s="2071"/>
      <c r="BR209" s="2071"/>
      <c r="BS209" s="2071"/>
      <c r="BT209" s="2071"/>
      <c r="BU209" s="2071"/>
      <c r="BV209" s="2071"/>
      <c r="BW209" s="2071"/>
      <c r="BX209" s="2071"/>
      <c r="BY209" s="2071"/>
      <c r="BZ209" s="2071"/>
      <c r="CA209" s="2071"/>
      <c r="CB209" s="2071"/>
      <c r="CC209" s="2071"/>
      <c r="CD209" s="2071"/>
      <c r="CE209" s="2071"/>
      <c r="CF209" s="2071"/>
      <c r="CG209" s="2071"/>
      <c r="CH209" s="2071"/>
      <c r="CI209" s="2071"/>
      <c r="CJ209" s="2071"/>
      <c r="CK209" s="2071"/>
      <c r="CL209" s="2071"/>
      <c r="CM209" s="2071"/>
      <c r="CN209" s="2071"/>
      <c r="CO209" s="2071"/>
      <c r="CP209" s="2071"/>
      <c r="CQ209" s="2071"/>
      <c r="CR209" s="2071"/>
      <c r="CS209" s="2071"/>
      <c r="CT209" s="2071"/>
      <c r="CU209" s="2071"/>
      <c r="CV209" s="2071"/>
      <c r="CW209" s="2071"/>
      <c r="CX209" s="2071"/>
      <c r="CY209" s="2071"/>
      <c r="CZ209" s="2071"/>
      <c r="DA209" s="2071"/>
      <c r="DB209" s="2071"/>
      <c r="DC209" s="2071"/>
      <c r="DD209" s="2071"/>
      <c r="DE209" s="2071"/>
      <c r="DF209" s="2071"/>
      <c r="DG209" s="2071"/>
      <c r="DH209" s="2071"/>
      <c r="DI209" s="2071"/>
      <c r="DJ209" s="2071"/>
      <c r="DK209" s="2071"/>
      <c r="DL209" s="2071"/>
      <c r="DM209" s="2071"/>
      <c r="DN209" s="2071"/>
      <c r="DO209" s="2071"/>
      <c r="DP209" s="2071"/>
      <c r="DQ209" s="2071"/>
      <c r="DR209" s="2071"/>
      <c r="DS209" s="2071"/>
      <c r="DT209" s="2071"/>
      <c r="DU209" s="2071"/>
      <c r="DV209" s="2071"/>
      <c r="DW209" s="2071"/>
      <c r="DX209" s="2071"/>
      <c r="DY209" s="2071"/>
      <c r="DZ209" s="2071"/>
      <c r="EA209" s="2071"/>
      <c r="EB209" s="2071"/>
      <c r="EC209" s="2071"/>
      <c r="ED209" s="2071"/>
      <c r="EE209" s="2071"/>
      <c r="EF209" s="2071"/>
      <c r="EG209" s="2071"/>
      <c r="EH209" s="2071"/>
      <c r="EI209" s="2071"/>
      <c r="EJ209" s="2071"/>
      <c r="EK209" s="2071"/>
      <c r="EL209" s="2071"/>
      <c r="EM209" s="2071"/>
      <c r="EN209" s="2071"/>
      <c r="EO209" s="2071"/>
      <c r="EP209" s="2071"/>
      <c r="EQ209" s="2071"/>
      <c r="ER209" s="2071"/>
      <c r="ES209" s="2071"/>
      <c r="ET209" s="2071"/>
      <c r="EU209" s="2071"/>
      <c r="EV209" s="2071"/>
      <c r="EW209" s="2071"/>
      <c r="EX209" s="2071"/>
      <c r="EY209" s="2071"/>
      <c r="EZ209" s="2071"/>
      <c r="FA209" s="2071"/>
      <c r="FB209" s="2071"/>
      <c r="FC209" s="2071"/>
      <c r="FD209" s="2071"/>
      <c r="FE209" s="2071"/>
      <c r="FF209" s="2071"/>
      <c r="FG209" s="2071"/>
      <c r="FH209" s="2071"/>
      <c r="FI209" s="2071"/>
      <c r="FJ209" s="2071"/>
      <c r="FK209" s="2071"/>
      <c r="FL209" s="2071"/>
      <c r="FM209" s="2071"/>
      <c r="FN209" s="2071"/>
      <c r="FO209" s="2071"/>
      <c r="FP209" s="2071"/>
      <c r="FQ209" s="2071"/>
      <c r="FR209" s="2071"/>
      <c r="FS209" s="2071"/>
      <c r="FT209" s="2071"/>
      <c r="FU209" s="2071"/>
      <c r="FV209" s="2071"/>
      <c r="FW209" s="2071"/>
      <c r="FX209" s="2071"/>
      <c r="FY209" s="2071"/>
      <c r="FZ209" s="2071"/>
      <c r="GA209" s="2071"/>
      <c r="GB209" s="2071"/>
      <c r="GC209" s="2071"/>
      <c r="GD209" s="2071"/>
      <c r="GE209" s="2071"/>
      <c r="GF209" s="2071"/>
      <c r="GG209" s="2071"/>
      <c r="GH209" s="2071"/>
      <c r="GI209" s="2071"/>
      <c r="GJ209" s="2071"/>
      <c r="GK209" s="2071"/>
      <c r="GL209" s="2071"/>
      <c r="GM209" s="2071"/>
      <c r="GN209" s="2071"/>
      <c r="GO209" s="2071"/>
      <c r="GP209" s="2071"/>
      <c r="GQ209" s="2071"/>
      <c r="GR209" s="2071"/>
      <c r="GS209" s="2071"/>
      <c r="GT209" s="2071"/>
      <c r="GU209" s="2071"/>
      <c r="GV209" s="2071"/>
      <c r="GW209" s="2071"/>
      <c r="GX209" s="2071"/>
      <c r="GY209" s="2071"/>
      <c r="GZ209" s="2071"/>
      <c r="HA209" s="2071"/>
      <c r="HB209" s="2071"/>
      <c r="HC209" s="2071"/>
      <c r="HD209" s="2071"/>
      <c r="HE209" s="2071"/>
      <c r="HF209" s="2071"/>
      <c r="HG209" s="2071"/>
      <c r="HH209" s="2071"/>
      <c r="HI209" s="2071"/>
      <c r="HJ209" s="2071"/>
      <c r="HK209" s="2071"/>
      <c r="HL209" s="2071"/>
      <c r="HM209" s="2071"/>
      <c r="HN209" s="2071"/>
      <c r="HO209" s="2071"/>
      <c r="HP209" s="2071"/>
      <c r="HQ209" s="2071"/>
      <c r="HR209" s="2071"/>
      <c r="HS209" s="2071"/>
      <c r="HT209" s="2071"/>
      <c r="HU209" s="2071"/>
      <c r="HV209" s="2071"/>
      <c r="HW209" s="2071"/>
      <c r="HX209" s="2071"/>
      <c r="HY209" s="2071"/>
      <c r="HZ209" s="2071"/>
      <c r="IA209" s="2071"/>
      <c r="IB209" s="2071"/>
      <c r="IC209" s="2071"/>
      <c r="ID209" s="2071"/>
      <c r="IE209" s="2071"/>
      <c r="IF209" s="2071"/>
      <c r="IG209" s="2071"/>
      <c r="IH209" s="2071"/>
      <c r="II209" s="2071"/>
      <c r="IJ209" s="2071"/>
      <c r="IK209" s="2071"/>
      <c r="IL209" s="2071"/>
      <c r="IM209" s="2071"/>
      <c r="IN209" s="2071"/>
      <c r="IO209" s="2071"/>
      <c r="IP209" s="2071"/>
      <c r="IQ209" s="2071"/>
      <c r="IR209" s="2071"/>
      <c r="IS209" s="2071"/>
      <c r="IT209" s="2071"/>
      <c r="IU209" s="2071"/>
      <c r="IV209" s="2071"/>
      <c r="IW209" s="2071"/>
      <c r="IX209" s="2071"/>
      <c r="IY209" s="2071"/>
      <c r="IZ209" s="2071"/>
      <c r="JA209" s="2071"/>
      <c r="JB209" s="2071"/>
      <c r="JC209" s="2071"/>
      <c r="JD209" s="2071"/>
      <c r="JE209" s="2071"/>
      <c r="JF209" s="2071"/>
      <c r="JG209" s="2071"/>
      <c r="JH209" s="2071"/>
      <c r="JI209" s="2071"/>
      <c r="JJ209" s="2071"/>
      <c r="JK209" s="2071"/>
      <c r="JL209" s="2071"/>
      <c r="JM209" s="2071"/>
      <c r="JN209" s="2071"/>
      <c r="JO209" s="2071"/>
      <c r="JP209" s="2071"/>
      <c r="JQ209" s="2071"/>
      <c r="JR209" s="2071"/>
      <c r="JS209" s="2071"/>
      <c r="JT209" s="2071"/>
      <c r="JU209" s="2071"/>
      <c r="JV209" s="2071"/>
      <c r="JW209" s="2071"/>
      <c r="JX209" s="2071"/>
      <c r="JY209" s="2071"/>
      <c r="JZ209" s="2071"/>
      <c r="KA209" s="2071"/>
      <c r="KB209" s="2071"/>
      <c r="KC209" s="2071"/>
      <c r="KD209" s="2071"/>
      <c r="KE209" s="2071"/>
      <c r="KF209" s="2071"/>
      <c r="KG209" s="2071"/>
      <c r="KH209" s="2071"/>
      <c r="KI209" s="2071"/>
      <c r="KJ209" s="2071"/>
      <c r="KK209" s="2071"/>
      <c r="KL209" s="2071"/>
      <c r="KM209" s="2071"/>
      <c r="KN209" s="2071"/>
      <c r="KO209" s="2071"/>
      <c r="KP209" s="2071"/>
      <c r="KQ209" s="2071"/>
      <c r="KR209" s="2071"/>
      <c r="KS209" s="2071"/>
      <c r="KT209" s="2071"/>
      <c r="KU209" s="2071"/>
      <c r="KV209" s="2071"/>
      <c r="KW209" s="2071"/>
      <c r="KX209" s="2071"/>
      <c r="KY209" s="2071"/>
      <c r="KZ209" s="2071"/>
      <c r="LA209" s="2071"/>
      <c r="LB209" s="2071"/>
      <c r="LC209" s="2071"/>
      <c r="LD209" s="2071"/>
      <c r="LE209" s="2071"/>
      <c r="LF209" s="2071"/>
      <c r="LG209" s="2071"/>
      <c r="LH209" s="2071"/>
      <c r="LI209" s="2071"/>
      <c r="LJ209" s="2071"/>
      <c r="LK209" s="2071"/>
      <c r="LL209" s="2071"/>
      <c r="LM209" s="2071"/>
      <c r="LN209" s="2071"/>
      <c r="LO209" s="2071"/>
      <c r="LP209" s="2071"/>
      <c r="LQ209" s="2071"/>
      <c r="LR209" s="2071"/>
      <c r="LS209" s="2071"/>
      <c r="LT209" s="2071"/>
      <c r="LU209" s="2071"/>
      <c r="LV209" s="2071"/>
      <c r="LW209" s="2071"/>
      <c r="LX209" s="2071"/>
      <c r="LY209" s="2071"/>
      <c r="LZ209" s="2071"/>
      <c r="MA209" s="2071"/>
      <c r="MB209" s="2071"/>
      <c r="MC209" s="2071"/>
      <c r="MD209" s="2071"/>
      <c r="ME209" s="2071"/>
      <c r="MF209" s="2071"/>
      <c r="MG209" s="2071"/>
      <c r="MH209" s="2071"/>
      <c r="MI209" s="2071"/>
      <c r="MJ209" s="2071"/>
      <c r="MK209" s="2071"/>
      <c r="ML209" s="2071"/>
      <c r="MM209" s="2071"/>
      <c r="MN209" s="2071"/>
      <c r="MO209" s="2071"/>
      <c r="MP209" s="2071"/>
      <c r="MQ209" s="2071"/>
      <c r="MR209" s="2071"/>
      <c r="MS209" s="2071"/>
      <c r="MT209" s="2071"/>
      <c r="MU209" s="2071"/>
      <c r="MV209" s="2071"/>
      <c r="MW209" s="2071"/>
      <c r="MX209" s="2071"/>
      <c r="MY209" s="2071"/>
      <c r="MZ209" s="2071"/>
      <c r="NA209" s="2071"/>
      <c r="NB209" s="2071"/>
      <c r="NC209" s="2071"/>
      <c r="ND209" s="2071"/>
      <c r="NE209" s="2071"/>
      <c r="NF209" s="2071"/>
      <c r="NG209" s="2071"/>
      <c r="NH209" s="2071"/>
      <c r="NI209" s="2071"/>
      <c r="NJ209" s="2071"/>
      <c r="NK209" s="2071"/>
      <c r="NL209" s="2071"/>
      <c r="NM209" s="2071"/>
      <c r="NN209" s="2071"/>
      <c r="NO209" s="2071"/>
      <c r="NP209" s="2071"/>
      <c r="NQ209" s="2071"/>
      <c r="NR209" s="2071"/>
      <c r="NS209" s="2071"/>
      <c r="NT209" s="2071"/>
      <c r="NU209" s="2071"/>
      <c r="NV209" s="2071"/>
      <c r="NW209" s="2071"/>
      <c r="NX209" s="2071"/>
      <c r="NY209" s="2071"/>
      <c r="NZ209" s="2071"/>
      <c r="OA209" s="2071"/>
      <c r="OB209" s="2071"/>
      <c r="OC209" s="2071"/>
      <c r="OD209" s="2071"/>
      <c r="OE209" s="2071"/>
      <c r="OF209" s="2071"/>
      <c r="OG209" s="2071"/>
      <c r="OH209" s="2071"/>
      <c r="OI209" s="2071"/>
      <c r="OJ209" s="2071"/>
      <c r="OK209" s="2071"/>
      <c r="OL209" s="2071"/>
      <c r="OM209" s="2071"/>
      <c r="ON209" s="2071"/>
      <c r="OO209" s="2071"/>
      <c r="OP209" s="2071"/>
      <c r="OQ209" s="2071"/>
      <c r="OR209" s="2071"/>
      <c r="OS209" s="2071"/>
      <c r="OT209" s="2071"/>
      <c r="OU209" s="2071"/>
      <c r="OV209" s="2071"/>
      <c r="OW209" s="2071"/>
      <c r="OX209" s="2071"/>
      <c r="OY209" s="2071"/>
      <c r="OZ209" s="2071"/>
      <c r="PA209" s="2071"/>
      <c r="PB209" s="2071"/>
      <c r="PC209" s="2071"/>
      <c r="PD209" s="2071"/>
      <c r="PE209" s="2071"/>
      <c r="PF209" s="2071"/>
      <c r="PG209" s="2071"/>
      <c r="PH209" s="2071"/>
      <c r="PI209" s="2071"/>
      <c r="PJ209" s="2071"/>
      <c r="PK209" s="2071"/>
      <c r="PL209" s="2071"/>
      <c r="PM209" s="2071"/>
      <c r="PN209" s="2071"/>
      <c r="PO209" s="2071"/>
      <c r="PP209" s="2071"/>
      <c r="PQ209" s="2071"/>
      <c r="PR209" s="2071"/>
      <c r="PS209" s="2071"/>
      <c r="PT209" s="2071"/>
      <c r="PU209" s="2071"/>
      <c r="PV209" s="2071"/>
      <c r="PW209" s="2071"/>
      <c r="PX209" s="2071"/>
      <c r="PY209" s="2071"/>
      <c r="PZ209" s="2071"/>
      <c r="QA209" s="2071"/>
      <c r="QB209" s="2071"/>
      <c r="QC209" s="2071"/>
      <c r="QD209" s="2071"/>
      <c r="QE209" s="2071"/>
      <c r="QF209" s="2071"/>
      <c r="QG209" s="2071"/>
      <c r="QH209" s="2071"/>
      <c r="QI209" s="2071"/>
      <c r="QJ209" s="2071"/>
      <c r="QK209" s="2071"/>
      <c r="QL209" s="2071"/>
      <c r="QM209" s="2071"/>
      <c r="QN209" s="2071"/>
      <c r="QO209" s="2071"/>
      <c r="QP209" s="2071"/>
      <c r="QQ209" s="2071"/>
      <c r="QR209" s="2071"/>
      <c r="QS209" s="2071"/>
      <c r="QT209" s="2071"/>
      <c r="QU209" s="2071"/>
      <c r="QV209" s="2071"/>
      <c r="QW209" s="2071"/>
      <c r="QX209" s="2071"/>
      <c r="QY209" s="2071"/>
      <c r="QZ209" s="2071"/>
      <c r="RA209" s="2071"/>
      <c r="RB209" s="2071"/>
      <c r="RC209" s="2071"/>
      <c r="RD209" s="2071"/>
      <c r="RE209" s="2071"/>
      <c r="RF209" s="2071"/>
      <c r="RG209" s="2071"/>
      <c r="RH209" s="2071"/>
      <c r="RI209" s="2071"/>
      <c r="RJ209" s="2071"/>
      <c r="RK209" s="2071"/>
      <c r="RL209" s="2071"/>
      <c r="RM209" s="2071"/>
      <c r="RN209" s="2071"/>
      <c r="RO209" s="2071"/>
      <c r="RP209" s="2071"/>
      <c r="RQ209" s="2071"/>
      <c r="RR209" s="2071"/>
      <c r="RS209" s="2071"/>
      <c r="RT209" s="2071"/>
      <c r="RU209" s="2071"/>
      <c r="RV209" s="2071"/>
      <c r="RW209" s="2071"/>
      <c r="RX209" s="2071"/>
      <c r="RY209" s="2071"/>
      <c r="RZ209" s="2071"/>
      <c r="SA209" s="2071"/>
      <c r="SB209" s="2071"/>
      <c r="SC209" s="2071"/>
      <c r="SD209" s="2071"/>
      <c r="SE209" s="2071"/>
      <c r="SF209" s="2071"/>
      <c r="SG209" s="2071"/>
      <c r="SH209" s="2071"/>
      <c r="SI209" s="2071"/>
      <c r="SJ209" s="2071"/>
      <c r="SK209" s="2071"/>
      <c r="SL209" s="2071"/>
      <c r="SM209" s="2071"/>
      <c r="SN209" s="2071"/>
      <c r="SO209" s="2071"/>
      <c r="SP209" s="2071"/>
      <c r="SQ209" s="2071"/>
      <c r="SR209" s="2071"/>
      <c r="SS209" s="2071"/>
      <c r="ST209" s="2071"/>
      <c r="SU209" s="2071"/>
      <c r="SV209" s="2071"/>
      <c r="SW209" s="2071"/>
      <c r="SX209" s="2071"/>
      <c r="SY209" s="2071"/>
      <c r="SZ209" s="2071"/>
      <c r="TA209" s="2071"/>
      <c r="TB209" s="2071"/>
      <c r="TC209" s="2071"/>
      <c r="TD209" s="2071"/>
      <c r="TE209" s="2071"/>
      <c r="TF209" s="2071"/>
      <c r="TG209" s="2071"/>
      <c r="TH209" s="2071"/>
      <c r="TI209" s="2071"/>
      <c r="TJ209" s="2071"/>
      <c r="TK209" s="2071"/>
      <c r="TL209" s="2071"/>
      <c r="TM209" s="2071"/>
      <c r="TN209" s="2071"/>
      <c r="TO209" s="2071"/>
      <c r="TP209" s="2071"/>
      <c r="TQ209" s="2071"/>
      <c r="TR209" s="2071"/>
      <c r="TS209" s="2071"/>
      <c r="TT209" s="2071"/>
      <c r="TU209" s="2071"/>
      <c r="TV209" s="2071"/>
      <c r="TW209" s="2071"/>
      <c r="TX209" s="2071"/>
      <c r="TY209" s="2071"/>
      <c r="TZ209" s="2071"/>
      <c r="UA209" s="2071"/>
      <c r="UB209" s="2071"/>
      <c r="UC209" s="2071"/>
      <c r="UD209" s="2071"/>
      <c r="UE209" s="2071"/>
      <c r="UF209" s="2071"/>
      <c r="UG209" s="2071"/>
      <c r="UH209" s="2071"/>
      <c r="UI209" s="2071"/>
      <c r="UJ209" s="2071"/>
      <c r="UK209" s="2071"/>
      <c r="UL209" s="2071"/>
      <c r="UM209" s="2071"/>
      <c r="UN209" s="2071"/>
      <c r="UO209" s="2071"/>
      <c r="UP209" s="2071"/>
      <c r="UQ209" s="2071"/>
      <c r="UR209" s="2071"/>
      <c r="US209" s="2071"/>
      <c r="UT209" s="2071"/>
      <c r="UU209" s="2071"/>
      <c r="UV209" s="2071"/>
      <c r="UW209" s="2071"/>
      <c r="UX209" s="2071"/>
      <c r="UY209" s="2071"/>
      <c r="UZ209" s="2071"/>
      <c r="VA209" s="2071"/>
      <c r="VB209" s="2071"/>
      <c r="VC209" s="2071"/>
      <c r="VD209" s="2071"/>
      <c r="VE209" s="2071"/>
      <c r="VF209" s="2071"/>
      <c r="VG209" s="2071"/>
      <c r="VH209" s="2071"/>
      <c r="VI209" s="2071"/>
      <c r="VJ209" s="2071"/>
      <c r="VK209" s="2071"/>
      <c r="VL209" s="2071"/>
      <c r="VM209" s="2071"/>
      <c r="VN209" s="2071"/>
      <c r="VO209" s="2071"/>
      <c r="VP209" s="2071"/>
      <c r="VQ209" s="2071"/>
      <c r="VR209" s="2071"/>
      <c r="VS209" s="2071"/>
      <c r="VT209" s="2071"/>
      <c r="VU209" s="2071"/>
      <c r="VV209" s="2071"/>
      <c r="VW209" s="2071"/>
      <c r="VX209" s="2071"/>
      <c r="VY209" s="2071"/>
      <c r="VZ209" s="2071"/>
      <c r="WA209" s="2071"/>
      <c r="WB209" s="2071"/>
      <c r="WC209" s="2071"/>
      <c r="WD209" s="2071"/>
      <c r="WE209" s="2071"/>
      <c r="WF209" s="2071"/>
      <c r="WG209" s="2071"/>
      <c r="WH209" s="2071"/>
      <c r="WI209" s="2071"/>
      <c r="WJ209" s="2071"/>
      <c r="WK209" s="2071"/>
      <c r="WL209" s="2071"/>
      <c r="WM209" s="2071"/>
      <c r="WN209" s="2071"/>
      <c r="WO209" s="2071"/>
      <c r="WP209" s="2071"/>
      <c r="WQ209" s="2071"/>
      <c r="WR209" s="2071"/>
      <c r="WS209" s="2071"/>
      <c r="WT209" s="2071"/>
      <c r="WU209" s="2071"/>
      <c r="WV209" s="2071"/>
      <c r="WW209" s="2071"/>
      <c r="WX209" s="2071"/>
      <c r="WY209" s="2071"/>
      <c r="WZ209" s="2071"/>
      <c r="XA209" s="2071"/>
      <c r="XB209" s="2071"/>
      <c r="XC209" s="2071"/>
      <c r="XD209" s="2071"/>
      <c r="XE209" s="2071"/>
      <c r="XF209" s="2071"/>
      <c r="XG209" s="2071"/>
      <c r="XH209" s="2071"/>
      <c r="XI209" s="2071"/>
      <c r="XJ209" s="2071"/>
      <c r="XK209" s="2071"/>
      <c r="XL209" s="2071"/>
      <c r="XM209" s="2071"/>
      <c r="XN209" s="2071"/>
      <c r="XO209" s="2071"/>
      <c r="XP209" s="2071"/>
      <c r="XQ209" s="2071"/>
      <c r="XR209" s="2071"/>
      <c r="XS209" s="2071"/>
      <c r="XT209" s="2071"/>
      <c r="XU209" s="2071"/>
      <c r="XV209" s="2071"/>
      <c r="XW209" s="2071"/>
      <c r="XX209" s="2071"/>
      <c r="XY209" s="2071"/>
      <c r="XZ209" s="2071"/>
      <c r="YA209" s="2071"/>
      <c r="YB209" s="2071"/>
      <c r="YC209" s="2071"/>
      <c r="YD209" s="2071"/>
      <c r="YE209" s="2071"/>
      <c r="YF209" s="2071"/>
      <c r="YG209" s="2071"/>
      <c r="YH209" s="2071"/>
      <c r="YI209" s="2071"/>
      <c r="YJ209" s="2071"/>
      <c r="YK209" s="2071"/>
      <c r="YL209" s="2071"/>
      <c r="YM209" s="2071"/>
      <c r="YN209" s="2071"/>
      <c r="YO209" s="2071"/>
      <c r="YP209" s="2071"/>
      <c r="YQ209" s="2071"/>
      <c r="YR209" s="2071"/>
      <c r="YS209" s="2071"/>
      <c r="YT209" s="2071"/>
      <c r="YU209" s="2071"/>
      <c r="YV209" s="2071"/>
      <c r="YW209" s="2071"/>
      <c r="YX209" s="2071"/>
      <c r="YY209" s="2071"/>
      <c r="YZ209" s="2071"/>
      <c r="ZA209" s="2071"/>
      <c r="ZB209" s="2071"/>
      <c r="ZC209" s="2071"/>
      <c r="ZD209" s="2071"/>
      <c r="ZE209" s="2071"/>
      <c r="ZF209" s="2071"/>
      <c r="ZG209" s="2071"/>
      <c r="ZH209" s="2071"/>
      <c r="ZI209" s="2071"/>
      <c r="ZJ209" s="2071"/>
      <c r="ZK209" s="2071"/>
      <c r="ZL209" s="2071"/>
      <c r="ZM209" s="2071"/>
      <c r="ZN209" s="2071"/>
      <c r="ZO209" s="2071"/>
      <c r="ZP209" s="2071"/>
      <c r="ZQ209" s="2071"/>
      <c r="ZR209" s="2071"/>
      <c r="ZS209" s="2071"/>
      <c r="ZT209" s="2071"/>
      <c r="ZU209" s="2071"/>
      <c r="ZV209" s="2071"/>
      <c r="ZW209" s="2071"/>
      <c r="ZX209" s="2071"/>
      <c r="ZY209" s="2071"/>
      <c r="ZZ209" s="2071"/>
      <c r="AAA209" s="2071"/>
      <c r="AAB209" s="2071"/>
      <c r="AAC209" s="2071"/>
      <c r="AAD209" s="2071"/>
      <c r="AAE209" s="2071"/>
      <c r="AAF209" s="2071"/>
      <c r="AAG209" s="2071"/>
      <c r="AAH209" s="2071"/>
      <c r="AAI209" s="2071"/>
      <c r="AAJ209" s="2071"/>
      <c r="AAK209" s="2071"/>
      <c r="AAL209" s="2071"/>
      <c r="AAM209" s="2071"/>
      <c r="AAN209" s="2071"/>
      <c r="AAO209" s="2071"/>
      <c r="AAP209" s="2071"/>
      <c r="AAQ209" s="2071"/>
      <c r="AAR209" s="2071"/>
      <c r="AAS209" s="2071"/>
      <c r="AAT209" s="2071"/>
      <c r="AAU209" s="2071"/>
      <c r="AAV209" s="2071"/>
      <c r="AAW209" s="2071"/>
      <c r="AAX209" s="2071"/>
      <c r="AAY209" s="2071"/>
      <c r="AAZ209" s="2071"/>
      <c r="ABA209" s="2071"/>
      <c r="ABB209" s="2071"/>
      <c r="ABC209" s="2071"/>
      <c r="ABD209" s="2071"/>
      <c r="ABE209" s="2071"/>
      <c r="ABF209" s="2071"/>
      <c r="ABG209" s="2071"/>
      <c r="ABH209" s="2071"/>
      <c r="ABI209" s="2071"/>
      <c r="ABJ209" s="2071"/>
      <c r="ABK209" s="2071"/>
      <c r="ABL209" s="2071"/>
      <c r="ABM209" s="2071"/>
      <c r="ABN209" s="2071"/>
      <c r="ABO209" s="2071"/>
      <c r="ABP209" s="2071"/>
      <c r="ABQ209" s="2071"/>
      <c r="ABR209" s="2071"/>
      <c r="ABS209" s="2071"/>
      <c r="ABT209" s="2071"/>
      <c r="ABU209" s="2071"/>
      <c r="ABV209" s="2071"/>
      <c r="ABW209" s="2071"/>
      <c r="ABX209" s="2071"/>
      <c r="ABY209" s="2071"/>
      <c r="ABZ209" s="2071"/>
      <c r="ACA209" s="2071"/>
      <c r="ACB209" s="2071"/>
      <c r="ACC209" s="2071"/>
      <c r="ACD209" s="2071"/>
      <c r="ACE209" s="2071"/>
      <c r="ACF209" s="2071"/>
      <c r="ACG209" s="2071"/>
      <c r="ACH209" s="2071"/>
      <c r="ACI209" s="2071"/>
      <c r="ACJ209" s="2071"/>
      <c r="ACK209" s="2071"/>
      <c r="ACL209" s="2071"/>
      <c r="ACM209" s="2071"/>
      <c r="ACN209" s="2071"/>
      <c r="ACO209" s="2071"/>
      <c r="ACP209" s="2071"/>
      <c r="ACQ209" s="2071"/>
      <c r="ACR209" s="2071"/>
      <c r="ACS209" s="2071"/>
      <c r="ACT209" s="2071"/>
      <c r="ACU209" s="2071"/>
      <c r="ACV209" s="2071"/>
      <c r="ACW209" s="2071"/>
      <c r="ACX209" s="2071"/>
      <c r="ACY209" s="2071"/>
      <c r="ACZ209" s="2071"/>
      <c r="ADA209" s="2071"/>
      <c r="ADB209" s="2071"/>
      <c r="ADC209" s="2071"/>
      <c r="ADD209" s="2071"/>
      <c r="ADE209" s="2071"/>
      <c r="ADF209" s="2071"/>
      <c r="ADG209" s="2071"/>
      <c r="ADH209" s="2071"/>
      <c r="ADI209" s="2071"/>
      <c r="ADJ209" s="2071"/>
      <c r="ADK209" s="2071"/>
      <c r="ADL209" s="2071"/>
      <c r="ADM209" s="2071"/>
      <c r="ADN209" s="2071"/>
      <c r="ADO209" s="2071"/>
      <c r="ADP209" s="2071"/>
      <c r="ADQ209" s="2071"/>
      <c r="ADR209" s="2071"/>
      <c r="ADS209" s="2071"/>
      <c r="ADT209" s="2071"/>
      <c r="ADU209" s="2071"/>
      <c r="ADV209" s="2071"/>
      <c r="ADW209" s="2071"/>
      <c r="ADX209" s="2071"/>
      <c r="ADY209" s="2071"/>
      <c r="ADZ209" s="2071"/>
      <c r="AEA209" s="2071"/>
      <c r="AEB209" s="2071"/>
      <c r="AEC209" s="2071"/>
      <c r="AED209" s="2071"/>
      <c r="AEE209" s="2071"/>
      <c r="AEF209" s="2071"/>
      <c r="AEG209" s="2071"/>
      <c r="AEH209" s="2071"/>
      <c r="AEI209" s="2071"/>
      <c r="AEJ209" s="2071"/>
      <c r="AEK209" s="2071"/>
      <c r="AEL209" s="2071"/>
      <c r="AEM209" s="2071"/>
      <c r="AEN209" s="2071"/>
      <c r="AEO209" s="2071"/>
      <c r="AEP209" s="2071"/>
      <c r="AEQ209" s="2071"/>
      <c r="AER209" s="2071"/>
      <c r="AES209" s="2071"/>
      <c r="AET209" s="2071"/>
      <c r="AEU209" s="2071"/>
      <c r="AEV209" s="2071"/>
      <c r="AEW209" s="2071"/>
      <c r="AEX209" s="2071"/>
      <c r="AEY209" s="2071"/>
      <c r="AEZ209" s="2071"/>
      <c r="AFA209" s="2071"/>
      <c r="AFB209" s="2071"/>
      <c r="AFC209" s="2071"/>
      <c r="AFD209" s="2071"/>
      <c r="AFE209" s="2071"/>
      <c r="AFF209" s="2071"/>
      <c r="AFG209" s="2071"/>
      <c r="AFH209" s="2071"/>
      <c r="AFI209" s="2071"/>
      <c r="AFJ209" s="2071"/>
      <c r="AFK209" s="2071"/>
      <c r="AFL209" s="2071"/>
      <c r="AFM209" s="2071"/>
      <c r="AFN209" s="2071"/>
      <c r="AFO209" s="2071"/>
      <c r="AFP209" s="2071"/>
      <c r="AFQ209" s="2071"/>
      <c r="AFR209" s="2071"/>
      <c r="AFS209" s="2071"/>
      <c r="AFT209" s="2071"/>
      <c r="AFU209" s="2071"/>
      <c r="AFV209" s="2071"/>
      <c r="AFW209" s="2071"/>
      <c r="AFX209" s="2071"/>
      <c r="AFY209" s="2071"/>
      <c r="AFZ209" s="2071"/>
      <c r="AGA209" s="2071"/>
      <c r="AGB209" s="2071"/>
      <c r="AGC209" s="2071"/>
      <c r="AGD209" s="2071"/>
      <c r="AGE209" s="2071"/>
      <c r="AGF209" s="2071"/>
      <c r="AGG209" s="2071"/>
      <c r="AGH209" s="2071"/>
      <c r="AGI209" s="2071"/>
      <c r="AGJ209" s="2071"/>
      <c r="AGK209" s="2071"/>
      <c r="AGL209" s="2071"/>
      <c r="AGM209" s="2071"/>
      <c r="AGN209" s="2071"/>
      <c r="AGO209" s="2071"/>
      <c r="AGP209" s="2071"/>
      <c r="AGQ209" s="2071"/>
      <c r="AGR209" s="2071"/>
      <c r="AGS209" s="2071"/>
      <c r="AGT209" s="2071"/>
      <c r="AGU209" s="2071"/>
      <c r="AGV209" s="2071"/>
      <c r="AGW209" s="2071"/>
      <c r="AGX209" s="2071"/>
      <c r="AGY209" s="2071"/>
      <c r="AGZ209" s="2071"/>
      <c r="AHA209" s="2071"/>
      <c r="AHB209" s="2071"/>
      <c r="AHC209" s="2071"/>
      <c r="AHD209" s="2071"/>
      <c r="AHE209" s="2071"/>
      <c r="AHF209" s="2071"/>
      <c r="AHG209" s="2071"/>
      <c r="AHH209" s="2071"/>
      <c r="AHI209" s="2071"/>
      <c r="AHJ209" s="2071"/>
      <c r="AHK209" s="2071"/>
      <c r="AHL209" s="2071"/>
      <c r="AHM209" s="2071"/>
      <c r="AHN209" s="2071"/>
      <c r="AHO209" s="2071"/>
      <c r="AHP209" s="2071"/>
      <c r="AHQ209" s="2071"/>
      <c r="AHR209" s="2071"/>
      <c r="AHS209" s="2071"/>
      <c r="AHT209" s="2071"/>
      <c r="AHU209" s="2071"/>
      <c r="AHV209" s="2071"/>
      <c r="AHW209" s="2071"/>
      <c r="AHX209" s="2071"/>
      <c r="AHY209" s="2071"/>
      <c r="AHZ209" s="2071"/>
      <c r="AIA209" s="2071"/>
      <c r="AIB209" s="2071"/>
      <c r="AIC209" s="2071"/>
      <c r="AID209" s="2071"/>
      <c r="AIE209" s="2071"/>
      <c r="AIF209" s="2071"/>
      <c r="AIG209" s="2071"/>
      <c r="AIH209" s="2071"/>
      <c r="AII209" s="2071"/>
      <c r="AIJ209" s="2071"/>
      <c r="AIK209" s="2071"/>
      <c r="AIL209" s="2071"/>
      <c r="AIM209" s="2071"/>
      <c r="AIN209" s="2071"/>
      <c r="AIO209" s="2071"/>
      <c r="AIP209" s="2071"/>
      <c r="AIQ209" s="2071"/>
      <c r="AIR209" s="2071"/>
      <c r="AIS209" s="2071"/>
      <c r="AIT209" s="2071"/>
      <c r="AIU209" s="2071"/>
      <c r="AIV209" s="2071"/>
      <c r="AIW209" s="2071"/>
      <c r="AIX209" s="2071"/>
      <c r="AIY209" s="2071"/>
      <c r="AIZ209" s="2071"/>
      <c r="AJA209" s="2071"/>
      <c r="AJB209" s="2071"/>
      <c r="AJC209" s="2071"/>
      <c r="AJD209" s="2071"/>
      <c r="AJE209" s="2071"/>
      <c r="AJF209" s="2071"/>
      <c r="AJG209" s="2071"/>
      <c r="AJH209" s="2071"/>
      <c r="AJI209" s="2071"/>
      <c r="AJJ209" s="2071"/>
      <c r="AJK209" s="2071"/>
      <c r="AJL209" s="2071"/>
      <c r="AJM209" s="2071"/>
      <c r="AJN209" s="2071"/>
      <c r="AJO209" s="2071"/>
      <c r="AJP209" s="2071"/>
      <c r="AJQ209" s="2071"/>
      <c r="AJR209" s="2071"/>
      <c r="AJS209" s="2071"/>
      <c r="AJT209" s="2071"/>
      <c r="AJU209" s="2071"/>
      <c r="AJV209" s="2071"/>
      <c r="AJW209" s="2071"/>
      <c r="AJX209" s="2071"/>
      <c r="AJY209" s="2071"/>
      <c r="AJZ209" s="2071"/>
      <c r="AKA209" s="2071"/>
      <c r="AKB209" s="2071"/>
      <c r="AKC209" s="2071"/>
      <c r="AKD209" s="2071"/>
      <c r="AKE209" s="2071"/>
      <c r="AKF209" s="2071"/>
      <c r="AKG209" s="2071"/>
      <c r="AKH209" s="2071"/>
      <c r="AKI209" s="2071"/>
      <c r="AKJ209" s="2071"/>
      <c r="AKK209" s="2071"/>
      <c r="AKL209" s="2071"/>
      <c r="AKM209" s="2071"/>
      <c r="AKN209" s="2071"/>
      <c r="AKO209" s="2071"/>
      <c r="AKP209" s="2071"/>
      <c r="AKQ209" s="2071"/>
      <c r="AKR209" s="2071"/>
      <c r="AKS209" s="2071"/>
      <c r="AKT209" s="2071"/>
      <c r="AKU209" s="2071"/>
      <c r="AKV209" s="2071"/>
      <c r="AKW209" s="2071"/>
      <c r="AKX209" s="2071"/>
      <c r="AKY209" s="2071"/>
      <c r="AKZ209" s="2071"/>
      <c r="ALA209" s="2071"/>
      <c r="ALB209" s="2071"/>
      <c r="ALC209" s="2071"/>
      <c r="ALD209" s="2071"/>
      <c r="ALE209" s="2071"/>
      <c r="ALF209" s="2071"/>
      <c r="ALG209" s="2071"/>
      <c r="ALH209" s="2071"/>
      <c r="ALI209" s="2071"/>
      <c r="ALJ209" s="2071"/>
      <c r="ALK209" s="2071"/>
      <c r="ALL209" s="2071"/>
      <c r="ALM209" s="2071"/>
      <c r="ALN209" s="2071"/>
      <c r="ALO209" s="2071"/>
      <c r="ALP209" s="2071"/>
      <c r="ALQ209" s="2071"/>
      <c r="ALR209" s="2071"/>
      <c r="ALS209" s="2071"/>
      <c r="ALT209" s="2071"/>
      <c r="ALU209" s="2071"/>
      <c r="ALV209" s="2071"/>
      <c r="ALW209" s="2071"/>
      <c r="ALX209" s="2071"/>
      <c r="ALY209" s="2071"/>
      <c r="ALZ209" s="2071"/>
      <c r="AMA209" s="2071"/>
      <c r="AMB209" s="2071"/>
      <c r="AMC209" s="2071"/>
      <c r="AMD209" s="2071"/>
      <c r="AME209" s="2071"/>
      <c r="AMF209" s="2071"/>
      <c r="AMG209" s="2071"/>
      <c r="AMH209" s="2071"/>
      <c r="AMI209" s="2071"/>
      <c r="AMJ209" s="2071"/>
      <c r="AMK209" s="2071"/>
      <c r="AML209" s="2071"/>
      <c r="AMM209" s="2071"/>
      <c r="AMN209" s="2071"/>
      <c r="AMO209" s="2071"/>
      <c r="AMP209" s="2071"/>
      <c r="AMQ209" s="2071"/>
      <c r="AMR209" s="2071"/>
      <c r="AMS209" s="2071"/>
      <c r="AMT209" s="2071"/>
      <c r="AMU209" s="2071"/>
      <c r="AMV209" s="2071"/>
      <c r="AMW209" s="2071"/>
      <c r="AMX209" s="2071"/>
      <c r="AMY209" s="2071"/>
      <c r="AMZ209" s="2071"/>
      <c r="ANA209" s="2071"/>
      <c r="ANB209" s="2071"/>
      <c r="ANC209" s="2071"/>
      <c r="AND209" s="2071"/>
      <c r="ANE209" s="2071"/>
      <c r="ANF209" s="2071"/>
      <c r="ANG209" s="2071"/>
      <c r="ANH209" s="2071"/>
      <c r="ANI209" s="2071"/>
      <c r="ANJ209" s="2071"/>
      <c r="ANK209" s="2071"/>
      <c r="ANL209" s="2071"/>
      <c r="ANM209" s="2071"/>
      <c r="ANN209" s="2071"/>
      <c r="ANO209" s="2071"/>
      <c r="ANP209" s="2071"/>
      <c r="ANQ209" s="2071"/>
      <c r="ANR209" s="2071"/>
      <c r="ANS209" s="2071"/>
      <c r="ANT209" s="2071"/>
      <c r="ANU209" s="2071"/>
      <c r="ANV209" s="2071"/>
      <c r="ANW209" s="2071"/>
      <c r="ANX209" s="2071"/>
      <c r="ANY209" s="2071"/>
      <c r="ANZ209" s="2071"/>
      <c r="AOA209" s="2071"/>
      <c r="AOB209" s="2071"/>
      <c r="AOC209" s="2071"/>
      <c r="AOD209" s="2071"/>
      <c r="AOE209" s="2071"/>
      <c r="AOF209" s="2071"/>
      <c r="AOG209" s="2071"/>
      <c r="AOH209" s="2071"/>
      <c r="AOI209" s="2071"/>
      <c r="AOJ209" s="2071"/>
      <c r="AOK209" s="2071"/>
      <c r="AOL209" s="2071"/>
      <c r="AOM209" s="2071"/>
      <c r="AON209" s="2071"/>
      <c r="AOO209" s="2071"/>
      <c r="AOP209" s="2071"/>
      <c r="AOQ209" s="2071"/>
      <c r="AOR209" s="2071"/>
      <c r="AOS209" s="2071"/>
      <c r="AOT209" s="2071"/>
      <c r="AOU209" s="2071"/>
      <c r="AOV209" s="2071"/>
      <c r="AOW209" s="2071"/>
      <c r="AOX209" s="2071"/>
      <c r="AOY209" s="2071"/>
      <c r="AOZ209" s="2071"/>
      <c r="APA209" s="2071"/>
      <c r="APB209" s="2071"/>
      <c r="APC209" s="2071"/>
      <c r="APD209" s="2071"/>
      <c r="APE209" s="2071"/>
      <c r="APF209" s="2071"/>
      <c r="APG209" s="2071"/>
      <c r="APH209" s="2071"/>
      <c r="API209" s="2071"/>
      <c r="APJ209" s="2071"/>
      <c r="APK209" s="2071"/>
      <c r="APL209" s="2071"/>
      <c r="APM209" s="2071"/>
      <c r="APN209" s="2071"/>
      <c r="APO209" s="2071"/>
      <c r="APP209" s="2071"/>
      <c r="APQ209" s="2071"/>
      <c r="APR209" s="2071"/>
      <c r="APS209" s="2071"/>
      <c r="APT209" s="2071"/>
      <c r="APU209" s="2071"/>
      <c r="APV209" s="2071"/>
      <c r="APW209" s="2071"/>
      <c r="APX209" s="2071"/>
      <c r="APY209" s="2071"/>
      <c r="APZ209" s="2071"/>
      <c r="AQA209" s="2071"/>
      <c r="AQB209" s="2071"/>
      <c r="AQC209" s="2071"/>
      <c r="AQD209" s="2071"/>
      <c r="AQE209" s="2071"/>
      <c r="AQF209" s="2071"/>
      <c r="AQG209" s="2071"/>
      <c r="AQH209" s="2071"/>
      <c r="AQI209" s="2071"/>
      <c r="AQJ209" s="2071"/>
      <c r="AQK209" s="2071"/>
      <c r="AQL209" s="2071"/>
      <c r="AQM209" s="2071"/>
      <c r="AQN209" s="2071"/>
      <c r="AQO209" s="2071"/>
      <c r="AQP209" s="2071"/>
      <c r="AQQ209" s="2071"/>
      <c r="AQR209" s="2071"/>
      <c r="AQS209" s="2071"/>
      <c r="AQT209" s="2071"/>
      <c r="AQU209" s="2071"/>
      <c r="AQV209" s="2071"/>
      <c r="AQW209" s="2071"/>
      <c r="AQX209" s="2071"/>
      <c r="AQY209" s="2071"/>
      <c r="AQZ209" s="2071"/>
      <c r="ARA209" s="2071"/>
      <c r="ARB209" s="2071"/>
      <c r="ARC209" s="2071"/>
      <c r="ARD209" s="2071"/>
      <c r="ARE209" s="2071"/>
      <c r="ARF209" s="2071"/>
      <c r="ARG209" s="2071"/>
      <c r="ARH209" s="2071"/>
      <c r="ARI209" s="2071"/>
      <c r="ARJ209" s="2071"/>
      <c r="ARK209" s="2071"/>
      <c r="ARL209" s="2071"/>
      <c r="ARM209" s="2071"/>
      <c r="ARN209" s="2071"/>
      <c r="ARO209" s="2071"/>
      <c r="ARP209" s="2071"/>
      <c r="ARQ209" s="2071"/>
      <c r="ARR209" s="2071"/>
      <c r="ARS209" s="2071"/>
      <c r="ART209" s="2071"/>
      <c r="ARU209" s="2071"/>
      <c r="ARV209" s="2071"/>
      <c r="ARW209" s="2071"/>
      <c r="ARX209" s="2071"/>
      <c r="ARY209" s="2071"/>
      <c r="ARZ209" s="2071"/>
      <c r="ASA209" s="2071"/>
      <c r="ASB209" s="2071"/>
      <c r="ASC209" s="2071"/>
      <c r="ASD209" s="2071"/>
      <c r="ASE209" s="2071"/>
      <c r="ASF209" s="2071"/>
      <c r="ASG209" s="2071"/>
      <c r="ASH209" s="2071"/>
      <c r="ASI209" s="2071"/>
      <c r="ASJ209" s="2071"/>
      <c r="ASK209" s="2071"/>
      <c r="ASL209" s="2071"/>
      <c r="ASM209" s="2071"/>
      <c r="ASN209" s="2071"/>
      <c r="ASO209" s="2071"/>
      <c r="ASP209" s="2071"/>
      <c r="ASQ209" s="2071"/>
      <c r="ASR209" s="2071"/>
      <c r="ASS209" s="2071"/>
      <c r="AST209" s="2071"/>
      <c r="ASU209" s="2071"/>
      <c r="ASV209" s="2071"/>
      <c r="ASW209" s="2071"/>
      <c r="ASX209" s="2071"/>
      <c r="ASY209" s="2071"/>
      <c r="ASZ209" s="2071"/>
      <c r="ATA209" s="2071"/>
      <c r="ATB209" s="2071"/>
      <c r="ATC209" s="2071"/>
      <c r="ATD209" s="2071"/>
      <c r="ATE209" s="2071"/>
      <c r="ATF209" s="2071"/>
      <c r="ATG209" s="2071"/>
      <c r="ATH209" s="2071"/>
      <c r="ATI209" s="2071"/>
      <c r="ATJ209" s="2071"/>
      <c r="ATK209" s="2071"/>
      <c r="ATL209" s="2071"/>
      <c r="ATM209" s="2071"/>
      <c r="ATN209" s="2071"/>
      <c r="ATO209" s="2071"/>
      <c r="ATP209" s="2071"/>
      <c r="ATQ209" s="2071"/>
      <c r="ATR209" s="2071"/>
      <c r="ATS209" s="2071"/>
      <c r="ATT209" s="2071"/>
      <c r="ATU209" s="2071"/>
      <c r="ATV209" s="2071"/>
      <c r="ATW209" s="2071"/>
      <c r="ATX209" s="2071"/>
      <c r="ATY209" s="2071"/>
      <c r="ATZ209" s="2071"/>
      <c r="AUA209" s="2071"/>
      <c r="AUB209" s="2071"/>
      <c r="AUC209" s="2071"/>
      <c r="AUD209" s="2071"/>
      <c r="AUE209" s="2071"/>
      <c r="AUF209" s="2071"/>
      <c r="AUG209" s="2071"/>
      <c r="AUH209" s="2071"/>
      <c r="AUI209" s="2071"/>
      <c r="AUJ209" s="2071"/>
      <c r="AUK209" s="2071"/>
      <c r="AUL209" s="2071"/>
      <c r="AUM209" s="2071"/>
      <c r="AUN209" s="2071"/>
      <c r="AUO209" s="2071"/>
      <c r="AUP209" s="2071"/>
      <c r="AUQ209" s="2071"/>
      <c r="AUR209" s="2071"/>
      <c r="AUS209" s="2071"/>
      <c r="AUT209" s="2071"/>
      <c r="AUU209" s="2071"/>
      <c r="AUV209" s="2071"/>
      <c r="AUW209" s="2071"/>
      <c r="AUX209" s="2071"/>
      <c r="AUY209" s="2071"/>
      <c r="AUZ209" s="2071"/>
      <c r="AVA209" s="2071"/>
      <c r="AVB209" s="2071"/>
      <c r="AVC209" s="2071"/>
      <c r="AVD209" s="2071"/>
      <c r="AVE209" s="2071"/>
      <c r="AVF209" s="2071"/>
      <c r="AVG209" s="2071"/>
      <c r="AVH209" s="2071"/>
      <c r="AVI209" s="2071"/>
      <c r="AVJ209" s="2071"/>
      <c r="AVK209" s="2071"/>
      <c r="AVL209" s="2071"/>
      <c r="AVM209" s="2071"/>
      <c r="AVN209" s="2071"/>
      <c r="AVO209" s="2071"/>
      <c r="AVP209" s="2071"/>
      <c r="AVQ209" s="2071"/>
      <c r="AVR209" s="2071"/>
      <c r="AVS209" s="2071"/>
      <c r="AVT209" s="2071"/>
      <c r="AVU209" s="2071"/>
      <c r="AVV209" s="2071"/>
      <c r="AVW209" s="2071"/>
      <c r="AVX209" s="2071"/>
      <c r="AVY209" s="2071"/>
      <c r="AVZ209" s="2071"/>
      <c r="AWA209" s="2071"/>
      <c r="AWB209" s="2071"/>
      <c r="AWC209" s="2071"/>
      <c r="AWD209" s="2071"/>
      <c r="AWE209" s="2071"/>
      <c r="AWF209" s="2071"/>
      <c r="AWG209" s="2071"/>
      <c r="AWH209" s="2071"/>
      <c r="AWI209" s="2071"/>
      <c r="AWJ209" s="2071"/>
      <c r="AWK209" s="2071"/>
      <c r="AWL209" s="2071"/>
      <c r="AWM209" s="2071"/>
      <c r="AWN209" s="2071"/>
      <c r="AWO209" s="2071"/>
      <c r="AWP209" s="2071"/>
      <c r="AWQ209" s="2071"/>
      <c r="AWR209" s="2071"/>
      <c r="AWS209" s="2071"/>
      <c r="AWT209" s="2071"/>
      <c r="AWU209" s="2071"/>
      <c r="AWV209" s="2071"/>
      <c r="AWW209" s="2071"/>
      <c r="AWX209" s="2071"/>
      <c r="AWY209" s="2071"/>
      <c r="AWZ209" s="2071"/>
      <c r="AXA209" s="2071"/>
      <c r="AXB209" s="2071"/>
      <c r="AXC209" s="2071"/>
      <c r="AXD209" s="2071"/>
      <c r="AXE209" s="2071"/>
      <c r="AXF209" s="2071"/>
      <c r="AXG209" s="2071"/>
      <c r="AXH209" s="2071"/>
      <c r="AXI209" s="2071"/>
      <c r="AXJ209" s="2071"/>
    </row>
    <row r="210" spans="1:1310" s="2072" customFormat="1" ht="23.25" customHeight="1">
      <c r="A210" s="2073"/>
      <c r="B210" s="4484" t="s">
        <v>895</v>
      </c>
      <c r="C210" s="4484"/>
      <c r="D210" s="4484"/>
      <c r="E210" s="4484"/>
      <c r="F210" s="2075"/>
      <c r="G210" s="4484" t="s">
        <v>896</v>
      </c>
      <c r="H210" s="4484"/>
      <c r="I210" s="4484"/>
      <c r="J210" s="2075"/>
      <c r="K210" s="4485" t="s">
        <v>897</v>
      </c>
      <c r="L210" s="4485"/>
      <c r="M210" s="4485"/>
      <c r="N210" s="2075"/>
      <c r="O210" s="4484" t="s">
        <v>898</v>
      </c>
      <c r="P210" s="4484"/>
      <c r="Q210" s="2075"/>
      <c r="R210" s="1838"/>
      <c r="S210" s="1838"/>
      <c r="T210" s="1838"/>
      <c r="U210" s="1838"/>
      <c r="V210" s="1838"/>
      <c r="W210" s="1838"/>
      <c r="X210" s="1838"/>
      <c r="Y210" s="1838"/>
      <c r="Z210" s="1838"/>
      <c r="AA210" s="1838"/>
      <c r="AB210" s="1838"/>
      <c r="AC210" s="1838"/>
      <c r="AD210" s="2070"/>
      <c r="AE210" s="2070"/>
      <c r="AF210" s="2070"/>
      <c r="AG210" s="2070"/>
      <c r="AH210" s="2070"/>
      <c r="AI210" s="2070"/>
      <c r="AJ210" s="2070"/>
      <c r="AK210" s="2070"/>
      <c r="AL210" s="2070"/>
      <c r="AM210" s="2070"/>
      <c r="AN210" s="2070"/>
      <c r="AO210" s="2070"/>
      <c r="AP210" s="2070"/>
      <c r="AQ210" s="2070"/>
      <c r="AR210" s="2070"/>
      <c r="AS210" s="2070"/>
      <c r="AT210" s="2070"/>
      <c r="AU210" s="2070"/>
      <c r="AV210" s="2071"/>
      <c r="AW210" s="2071"/>
      <c r="AX210" s="2071"/>
      <c r="AY210" s="2071"/>
      <c r="AZ210" s="2071"/>
      <c r="BA210" s="2071"/>
      <c r="BB210" s="2071"/>
      <c r="BC210" s="2071"/>
      <c r="BD210" s="2071"/>
      <c r="BE210" s="2071"/>
      <c r="BF210" s="2071"/>
      <c r="BG210" s="2071"/>
      <c r="BH210" s="2071"/>
      <c r="BI210" s="2071"/>
      <c r="BJ210" s="2071"/>
      <c r="BK210" s="2071"/>
      <c r="BL210" s="2071"/>
      <c r="BM210" s="2071"/>
      <c r="BN210" s="2071"/>
      <c r="BO210" s="2071"/>
      <c r="BP210" s="2071"/>
      <c r="BQ210" s="2071"/>
      <c r="BR210" s="2071"/>
      <c r="BS210" s="2071"/>
      <c r="BT210" s="2071"/>
      <c r="BU210" s="2071"/>
      <c r="BV210" s="2071"/>
      <c r="BW210" s="2071"/>
      <c r="BX210" s="2071"/>
      <c r="BY210" s="2071"/>
      <c r="BZ210" s="2071"/>
      <c r="CA210" s="2071"/>
      <c r="CB210" s="2071"/>
      <c r="CC210" s="2071"/>
      <c r="CD210" s="2071"/>
      <c r="CE210" s="2071"/>
      <c r="CF210" s="2071"/>
      <c r="CG210" s="2071"/>
      <c r="CH210" s="2071"/>
      <c r="CI210" s="2071"/>
      <c r="CJ210" s="2071"/>
      <c r="CK210" s="2071"/>
      <c r="CL210" s="2071"/>
      <c r="CM210" s="2071"/>
      <c r="CN210" s="2071"/>
      <c r="CO210" s="2071"/>
      <c r="CP210" s="2071"/>
      <c r="CQ210" s="2071"/>
      <c r="CR210" s="2071"/>
      <c r="CS210" s="2071"/>
      <c r="CT210" s="2071"/>
      <c r="CU210" s="2071"/>
      <c r="CV210" s="2071"/>
      <c r="CW210" s="2071"/>
      <c r="CX210" s="2071"/>
      <c r="CY210" s="2071"/>
      <c r="CZ210" s="2071"/>
      <c r="DA210" s="2071"/>
      <c r="DB210" s="2071"/>
      <c r="DC210" s="2071"/>
      <c r="DD210" s="2071"/>
      <c r="DE210" s="2071"/>
      <c r="DF210" s="2071"/>
      <c r="DG210" s="2071"/>
      <c r="DH210" s="2071"/>
      <c r="DI210" s="2071"/>
      <c r="DJ210" s="2071"/>
      <c r="DK210" s="2071"/>
      <c r="DL210" s="2071"/>
      <c r="DM210" s="2071"/>
      <c r="DN210" s="2071"/>
      <c r="DO210" s="2071"/>
      <c r="DP210" s="2071"/>
      <c r="DQ210" s="2071"/>
      <c r="DR210" s="2071"/>
      <c r="DS210" s="2071"/>
      <c r="DT210" s="2071"/>
      <c r="DU210" s="2071"/>
      <c r="DV210" s="2071"/>
      <c r="DW210" s="2071"/>
      <c r="DX210" s="2071"/>
      <c r="DY210" s="2071"/>
      <c r="DZ210" s="2071"/>
      <c r="EA210" s="2071"/>
      <c r="EB210" s="2071"/>
      <c r="EC210" s="2071"/>
      <c r="ED210" s="2071"/>
      <c r="EE210" s="2071"/>
      <c r="EF210" s="2071"/>
      <c r="EG210" s="2071"/>
      <c r="EH210" s="2071"/>
      <c r="EI210" s="2071"/>
      <c r="EJ210" s="2071"/>
      <c r="EK210" s="2071"/>
      <c r="EL210" s="2071"/>
      <c r="EM210" s="2071"/>
      <c r="EN210" s="2071"/>
      <c r="EO210" s="2071"/>
      <c r="EP210" s="2071"/>
      <c r="EQ210" s="2071"/>
      <c r="ER210" s="2071"/>
      <c r="ES210" s="2071"/>
      <c r="ET210" s="2071"/>
      <c r="EU210" s="2071"/>
      <c r="EV210" s="2071"/>
      <c r="EW210" s="2071"/>
      <c r="EX210" s="2071"/>
      <c r="EY210" s="2071"/>
      <c r="EZ210" s="2071"/>
      <c r="FA210" s="2071"/>
      <c r="FB210" s="2071"/>
      <c r="FC210" s="2071"/>
      <c r="FD210" s="2071"/>
      <c r="FE210" s="2071"/>
      <c r="FF210" s="2071"/>
      <c r="FG210" s="2071"/>
      <c r="FH210" s="2071"/>
      <c r="FI210" s="2071"/>
      <c r="FJ210" s="2071"/>
      <c r="FK210" s="2071"/>
      <c r="FL210" s="2071"/>
      <c r="FM210" s="2071"/>
      <c r="FN210" s="2071"/>
      <c r="FO210" s="2071"/>
      <c r="FP210" s="2071"/>
      <c r="FQ210" s="2071"/>
      <c r="FR210" s="2071"/>
      <c r="FS210" s="2071"/>
      <c r="FT210" s="2071"/>
      <c r="FU210" s="2071"/>
      <c r="FV210" s="2071"/>
      <c r="FW210" s="2071"/>
      <c r="FX210" s="2071"/>
      <c r="FY210" s="2071"/>
      <c r="FZ210" s="2071"/>
      <c r="GA210" s="2071"/>
      <c r="GB210" s="2071"/>
      <c r="GC210" s="2071"/>
      <c r="GD210" s="2071"/>
      <c r="GE210" s="2071"/>
      <c r="GF210" s="2071"/>
      <c r="GG210" s="2071"/>
      <c r="GH210" s="2071"/>
      <c r="GI210" s="2071"/>
      <c r="GJ210" s="2071"/>
      <c r="GK210" s="2071"/>
      <c r="GL210" s="2071"/>
      <c r="GM210" s="2071"/>
      <c r="GN210" s="2071"/>
      <c r="GO210" s="2071"/>
      <c r="GP210" s="2071"/>
      <c r="GQ210" s="2071"/>
      <c r="GR210" s="2071"/>
      <c r="GS210" s="2071"/>
      <c r="GT210" s="2071"/>
      <c r="GU210" s="2071"/>
      <c r="GV210" s="2071"/>
      <c r="GW210" s="2071"/>
      <c r="GX210" s="2071"/>
      <c r="GY210" s="2071"/>
      <c r="GZ210" s="2071"/>
      <c r="HA210" s="2071"/>
      <c r="HB210" s="2071"/>
      <c r="HC210" s="2071"/>
      <c r="HD210" s="2071"/>
      <c r="HE210" s="2071"/>
      <c r="HF210" s="2071"/>
      <c r="HG210" s="2071"/>
      <c r="HH210" s="2071"/>
      <c r="HI210" s="2071"/>
      <c r="HJ210" s="2071"/>
      <c r="HK210" s="2071"/>
      <c r="HL210" s="2071"/>
      <c r="HM210" s="2071"/>
      <c r="HN210" s="2071"/>
      <c r="HO210" s="2071"/>
      <c r="HP210" s="2071"/>
      <c r="HQ210" s="2071"/>
      <c r="HR210" s="2071"/>
      <c r="HS210" s="2071"/>
      <c r="HT210" s="2071"/>
      <c r="HU210" s="2071"/>
      <c r="HV210" s="2071"/>
      <c r="HW210" s="2071"/>
      <c r="HX210" s="2071"/>
      <c r="HY210" s="2071"/>
      <c r="HZ210" s="2071"/>
      <c r="IA210" s="2071"/>
      <c r="IB210" s="2071"/>
      <c r="IC210" s="2071"/>
      <c r="ID210" s="2071"/>
      <c r="IE210" s="2071"/>
      <c r="IF210" s="2071"/>
      <c r="IG210" s="2071"/>
      <c r="IH210" s="2071"/>
      <c r="II210" s="2071"/>
      <c r="IJ210" s="2071"/>
      <c r="IK210" s="2071"/>
      <c r="IL210" s="2071"/>
      <c r="IM210" s="2071"/>
      <c r="IN210" s="2071"/>
      <c r="IO210" s="2071"/>
      <c r="IP210" s="2071"/>
      <c r="IQ210" s="2071"/>
      <c r="IR210" s="2071"/>
      <c r="IS210" s="2071"/>
      <c r="IT210" s="2071"/>
      <c r="IU210" s="2071"/>
      <c r="IV210" s="2071"/>
      <c r="IW210" s="2071"/>
      <c r="IX210" s="2071"/>
      <c r="IY210" s="2071"/>
      <c r="IZ210" s="2071"/>
      <c r="JA210" s="2071"/>
      <c r="JB210" s="2071"/>
      <c r="JC210" s="2071"/>
      <c r="JD210" s="2071"/>
      <c r="JE210" s="2071"/>
      <c r="JF210" s="2071"/>
      <c r="JG210" s="2071"/>
      <c r="JH210" s="2071"/>
      <c r="JI210" s="2071"/>
      <c r="JJ210" s="2071"/>
      <c r="JK210" s="2071"/>
      <c r="JL210" s="2071"/>
      <c r="JM210" s="2071"/>
      <c r="JN210" s="2071"/>
      <c r="JO210" s="2071"/>
      <c r="JP210" s="2071"/>
      <c r="JQ210" s="2071"/>
      <c r="JR210" s="2071"/>
      <c r="JS210" s="2071"/>
      <c r="JT210" s="2071"/>
      <c r="JU210" s="2071"/>
      <c r="JV210" s="2071"/>
      <c r="JW210" s="2071"/>
      <c r="JX210" s="2071"/>
      <c r="JY210" s="2071"/>
      <c r="JZ210" s="2071"/>
      <c r="KA210" s="2071"/>
      <c r="KB210" s="2071"/>
      <c r="KC210" s="2071"/>
      <c r="KD210" s="2071"/>
      <c r="KE210" s="2071"/>
      <c r="KF210" s="2071"/>
      <c r="KG210" s="2071"/>
      <c r="KH210" s="2071"/>
      <c r="KI210" s="2071"/>
      <c r="KJ210" s="2071"/>
      <c r="KK210" s="2071"/>
      <c r="KL210" s="2071"/>
      <c r="KM210" s="2071"/>
      <c r="KN210" s="2071"/>
      <c r="KO210" s="2071"/>
      <c r="KP210" s="2071"/>
      <c r="KQ210" s="2071"/>
      <c r="KR210" s="2071"/>
      <c r="KS210" s="2071"/>
      <c r="KT210" s="2071"/>
      <c r="KU210" s="2071"/>
      <c r="KV210" s="2071"/>
      <c r="KW210" s="2071"/>
      <c r="KX210" s="2071"/>
      <c r="KY210" s="2071"/>
      <c r="KZ210" s="2071"/>
      <c r="LA210" s="2071"/>
      <c r="LB210" s="2071"/>
      <c r="LC210" s="2071"/>
      <c r="LD210" s="2071"/>
      <c r="LE210" s="2071"/>
      <c r="LF210" s="2071"/>
      <c r="LG210" s="2071"/>
      <c r="LH210" s="2071"/>
      <c r="LI210" s="2071"/>
      <c r="LJ210" s="2071"/>
      <c r="LK210" s="2071"/>
      <c r="LL210" s="2071"/>
      <c r="LM210" s="2071"/>
      <c r="LN210" s="2071"/>
      <c r="LO210" s="2071"/>
      <c r="LP210" s="2071"/>
      <c r="LQ210" s="2071"/>
      <c r="LR210" s="2071"/>
      <c r="LS210" s="2071"/>
      <c r="LT210" s="2071"/>
      <c r="LU210" s="2071"/>
      <c r="LV210" s="2071"/>
      <c r="LW210" s="2071"/>
      <c r="LX210" s="2071"/>
      <c r="LY210" s="2071"/>
      <c r="LZ210" s="2071"/>
      <c r="MA210" s="2071"/>
      <c r="MB210" s="2071"/>
      <c r="MC210" s="2071"/>
      <c r="MD210" s="2071"/>
      <c r="ME210" s="2071"/>
      <c r="MF210" s="2071"/>
      <c r="MG210" s="2071"/>
      <c r="MH210" s="2071"/>
      <c r="MI210" s="2071"/>
      <c r="MJ210" s="2071"/>
      <c r="MK210" s="2071"/>
      <c r="ML210" s="2071"/>
      <c r="MM210" s="2071"/>
      <c r="MN210" s="2071"/>
      <c r="MO210" s="2071"/>
      <c r="MP210" s="2071"/>
      <c r="MQ210" s="2071"/>
      <c r="MR210" s="2071"/>
      <c r="MS210" s="2071"/>
      <c r="MT210" s="2071"/>
      <c r="MU210" s="2071"/>
      <c r="MV210" s="2071"/>
      <c r="MW210" s="2071"/>
      <c r="MX210" s="2071"/>
      <c r="MY210" s="2071"/>
      <c r="MZ210" s="2071"/>
      <c r="NA210" s="2071"/>
      <c r="NB210" s="2071"/>
      <c r="NC210" s="2071"/>
      <c r="ND210" s="2071"/>
      <c r="NE210" s="2071"/>
      <c r="NF210" s="2071"/>
      <c r="NG210" s="2071"/>
      <c r="NH210" s="2071"/>
      <c r="NI210" s="2071"/>
      <c r="NJ210" s="2071"/>
      <c r="NK210" s="2071"/>
      <c r="NL210" s="2071"/>
      <c r="NM210" s="2071"/>
      <c r="NN210" s="2071"/>
      <c r="NO210" s="2071"/>
      <c r="NP210" s="2071"/>
      <c r="NQ210" s="2071"/>
      <c r="NR210" s="2071"/>
      <c r="NS210" s="2071"/>
      <c r="NT210" s="2071"/>
      <c r="NU210" s="2071"/>
      <c r="NV210" s="2071"/>
      <c r="NW210" s="2071"/>
      <c r="NX210" s="2071"/>
      <c r="NY210" s="2071"/>
      <c r="NZ210" s="2071"/>
      <c r="OA210" s="2071"/>
      <c r="OB210" s="2071"/>
      <c r="OC210" s="2071"/>
      <c r="OD210" s="2071"/>
      <c r="OE210" s="2071"/>
      <c r="OF210" s="2071"/>
      <c r="OG210" s="2071"/>
      <c r="OH210" s="2071"/>
      <c r="OI210" s="2071"/>
      <c r="OJ210" s="2071"/>
      <c r="OK210" s="2071"/>
      <c r="OL210" s="2071"/>
      <c r="OM210" s="2071"/>
      <c r="ON210" s="2071"/>
      <c r="OO210" s="2071"/>
      <c r="OP210" s="2071"/>
      <c r="OQ210" s="2071"/>
      <c r="OR210" s="2071"/>
      <c r="OS210" s="2071"/>
      <c r="OT210" s="2071"/>
      <c r="OU210" s="2071"/>
      <c r="OV210" s="2071"/>
      <c r="OW210" s="2071"/>
      <c r="OX210" s="2071"/>
      <c r="OY210" s="2071"/>
      <c r="OZ210" s="2071"/>
      <c r="PA210" s="2071"/>
      <c r="PB210" s="2071"/>
      <c r="PC210" s="2071"/>
      <c r="PD210" s="2071"/>
      <c r="PE210" s="2071"/>
      <c r="PF210" s="2071"/>
      <c r="PG210" s="2071"/>
      <c r="PH210" s="2071"/>
      <c r="PI210" s="2071"/>
      <c r="PJ210" s="2071"/>
      <c r="PK210" s="2071"/>
      <c r="PL210" s="2071"/>
      <c r="PM210" s="2071"/>
      <c r="PN210" s="2071"/>
      <c r="PO210" s="2071"/>
      <c r="PP210" s="2071"/>
      <c r="PQ210" s="2071"/>
      <c r="PR210" s="2071"/>
      <c r="PS210" s="2071"/>
      <c r="PT210" s="2071"/>
      <c r="PU210" s="2071"/>
      <c r="PV210" s="2071"/>
      <c r="PW210" s="2071"/>
      <c r="PX210" s="2071"/>
      <c r="PY210" s="2071"/>
      <c r="PZ210" s="2071"/>
      <c r="QA210" s="2071"/>
      <c r="QB210" s="2071"/>
      <c r="QC210" s="2071"/>
      <c r="QD210" s="2071"/>
      <c r="QE210" s="2071"/>
      <c r="QF210" s="2071"/>
      <c r="QG210" s="2071"/>
      <c r="QH210" s="2071"/>
      <c r="QI210" s="2071"/>
      <c r="QJ210" s="2071"/>
      <c r="QK210" s="2071"/>
      <c r="QL210" s="2071"/>
      <c r="QM210" s="2071"/>
      <c r="QN210" s="2071"/>
      <c r="QO210" s="2071"/>
      <c r="QP210" s="2071"/>
      <c r="QQ210" s="2071"/>
      <c r="QR210" s="2071"/>
      <c r="QS210" s="2071"/>
      <c r="QT210" s="2071"/>
      <c r="QU210" s="2071"/>
      <c r="QV210" s="2071"/>
      <c r="QW210" s="2071"/>
      <c r="QX210" s="2071"/>
      <c r="QY210" s="2071"/>
      <c r="QZ210" s="2071"/>
      <c r="RA210" s="2071"/>
      <c r="RB210" s="2071"/>
      <c r="RC210" s="2071"/>
      <c r="RD210" s="2071"/>
      <c r="RE210" s="2071"/>
      <c r="RF210" s="2071"/>
      <c r="RG210" s="2071"/>
      <c r="RH210" s="2071"/>
      <c r="RI210" s="2071"/>
      <c r="RJ210" s="2071"/>
      <c r="RK210" s="2071"/>
      <c r="RL210" s="2071"/>
      <c r="RM210" s="2071"/>
      <c r="RN210" s="2071"/>
      <c r="RO210" s="2071"/>
      <c r="RP210" s="2071"/>
      <c r="RQ210" s="2071"/>
      <c r="RR210" s="2071"/>
      <c r="RS210" s="2071"/>
      <c r="RT210" s="2071"/>
      <c r="RU210" s="2071"/>
      <c r="RV210" s="2071"/>
      <c r="RW210" s="2071"/>
      <c r="RX210" s="2071"/>
      <c r="RY210" s="2071"/>
      <c r="RZ210" s="2071"/>
      <c r="SA210" s="2071"/>
      <c r="SB210" s="2071"/>
      <c r="SC210" s="2071"/>
      <c r="SD210" s="2071"/>
      <c r="SE210" s="2071"/>
      <c r="SF210" s="2071"/>
      <c r="SG210" s="2071"/>
      <c r="SH210" s="2071"/>
      <c r="SI210" s="2071"/>
      <c r="SJ210" s="2071"/>
      <c r="SK210" s="2071"/>
      <c r="SL210" s="2071"/>
      <c r="SM210" s="2071"/>
      <c r="SN210" s="2071"/>
      <c r="SO210" s="2071"/>
      <c r="SP210" s="2071"/>
      <c r="SQ210" s="2071"/>
      <c r="SR210" s="2071"/>
      <c r="SS210" s="2071"/>
      <c r="ST210" s="2071"/>
      <c r="SU210" s="2071"/>
      <c r="SV210" s="2071"/>
      <c r="SW210" s="2071"/>
      <c r="SX210" s="2071"/>
      <c r="SY210" s="2071"/>
      <c r="SZ210" s="2071"/>
      <c r="TA210" s="2071"/>
      <c r="TB210" s="2071"/>
      <c r="TC210" s="2071"/>
      <c r="TD210" s="2071"/>
      <c r="TE210" s="2071"/>
      <c r="TF210" s="2071"/>
      <c r="TG210" s="2071"/>
      <c r="TH210" s="2071"/>
      <c r="TI210" s="2071"/>
      <c r="TJ210" s="2071"/>
      <c r="TK210" s="2071"/>
      <c r="TL210" s="2071"/>
      <c r="TM210" s="2071"/>
      <c r="TN210" s="2071"/>
      <c r="TO210" s="2071"/>
      <c r="TP210" s="2071"/>
      <c r="TQ210" s="2071"/>
      <c r="TR210" s="2071"/>
      <c r="TS210" s="2071"/>
      <c r="TT210" s="2071"/>
      <c r="TU210" s="2071"/>
      <c r="TV210" s="2071"/>
      <c r="TW210" s="2071"/>
      <c r="TX210" s="2071"/>
      <c r="TY210" s="2071"/>
      <c r="TZ210" s="2071"/>
      <c r="UA210" s="2071"/>
      <c r="UB210" s="2071"/>
      <c r="UC210" s="2071"/>
      <c r="UD210" s="2071"/>
      <c r="UE210" s="2071"/>
      <c r="UF210" s="2071"/>
      <c r="UG210" s="2071"/>
      <c r="UH210" s="2071"/>
      <c r="UI210" s="2071"/>
      <c r="UJ210" s="2071"/>
      <c r="UK210" s="2071"/>
      <c r="UL210" s="2071"/>
      <c r="UM210" s="2071"/>
      <c r="UN210" s="2071"/>
      <c r="UO210" s="2071"/>
      <c r="UP210" s="2071"/>
      <c r="UQ210" s="2071"/>
      <c r="UR210" s="2071"/>
      <c r="US210" s="2071"/>
      <c r="UT210" s="2071"/>
      <c r="UU210" s="2071"/>
      <c r="UV210" s="2071"/>
      <c r="UW210" s="2071"/>
      <c r="UX210" s="2071"/>
      <c r="UY210" s="2071"/>
      <c r="UZ210" s="2071"/>
      <c r="VA210" s="2071"/>
      <c r="VB210" s="2071"/>
      <c r="VC210" s="2071"/>
      <c r="VD210" s="2071"/>
      <c r="VE210" s="2071"/>
      <c r="VF210" s="2071"/>
      <c r="VG210" s="2071"/>
      <c r="VH210" s="2071"/>
      <c r="VI210" s="2071"/>
      <c r="VJ210" s="2071"/>
      <c r="VK210" s="2071"/>
      <c r="VL210" s="2071"/>
      <c r="VM210" s="2071"/>
      <c r="VN210" s="2071"/>
      <c r="VO210" s="2071"/>
      <c r="VP210" s="2071"/>
      <c r="VQ210" s="2071"/>
      <c r="VR210" s="2071"/>
      <c r="VS210" s="2071"/>
      <c r="VT210" s="2071"/>
      <c r="VU210" s="2071"/>
      <c r="VV210" s="2071"/>
      <c r="VW210" s="2071"/>
      <c r="VX210" s="2071"/>
      <c r="VY210" s="2071"/>
      <c r="VZ210" s="2071"/>
      <c r="WA210" s="2071"/>
      <c r="WB210" s="2071"/>
      <c r="WC210" s="2071"/>
      <c r="WD210" s="2071"/>
      <c r="WE210" s="2071"/>
      <c r="WF210" s="2071"/>
      <c r="WG210" s="2071"/>
      <c r="WH210" s="2071"/>
      <c r="WI210" s="2071"/>
      <c r="WJ210" s="2071"/>
      <c r="WK210" s="2071"/>
      <c r="WL210" s="2071"/>
      <c r="WM210" s="2071"/>
      <c r="WN210" s="2071"/>
      <c r="WO210" s="2071"/>
      <c r="WP210" s="2071"/>
      <c r="WQ210" s="2071"/>
      <c r="WR210" s="2071"/>
      <c r="WS210" s="2071"/>
      <c r="WT210" s="2071"/>
      <c r="WU210" s="2071"/>
      <c r="WV210" s="2071"/>
      <c r="WW210" s="2071"/>
      <c r="WX210" s="2071"/>
      <c r="WY210" s="2071"/>
      <c r="WZ210" s="2071"/>
      <c r="XA210" s="2071"/>
      <c r="XB210" s="2071"/>
      <c r="XC210" s="2071"/>
      <c r="XD210" s="2071"/>
      <c r="XE210" s="2071"/>
      <c r="XF210" s="2071"/>
      <c r="XG210" s="2071"/>
      <c r="XH210" s="2071"/>
      <c r="XI210" s="2071"/>
      <c r="XJ210" s="2071"/>
      <c r="XK210" s="2071"/>
      <c r="XL210" s="2071"/>
      <c r="XM210" s="2071"/>
      <c r="XN210" s="2071"/>
      <c r="XO210" s="2071"/>
      <c r="XP210" s="2071"/>
      <c r="XQ210" s="2071"/>
      <c r="XR210" s="2071"/>
      <c r="XS210" s="2071"/>
      <c r="XT210" s="2071"/>
      <c r="XU210" s="2071"/>
      <c r="XV210" s="2071"/>
      <c r="XW210" s="2071"/>
      <c r="XX210" s="2071"/>
      <c r="XY210" s="2071"/>
      <c r="XZ210" s="2071"/>
      <c r="YA210" s="2071"/>
      <c r="YB210" s="2071"/>
      <c r="YC210" s="2071"/>
      <c r="YD210" s="2071"/>
      <c r="YE210" s="2071"/>
      <c r="YF210" s="2071"/>
      <c r="YG210" s="2071"/>
      <c r="YH210" s="2071"/>
      <c r="YI210" s="2071"/>
      <c r="YJ210" s="2071"/>
      <c r="YK210" s="2071"/>
      <c r="YL210" s="2071"/>
      <c r="YM210" s="2071"/>
      <c r="YN210" s="2071"/>
      <c r="YO210" s="2071"/>
      <c r="YP210" s="2071"/>
      <c r="YQ210" s="2071"/>
      <c r="YR210" s="2071"/>
      <c r="YS210" s="2071"/>
      <c r="YT210" s="2071"/>
      <c r="YU210" s="2071"/>
      <c r="YV210" s="2071"/>
      <c r="YW210" s="2071"/>
      <c r="YX210" s="2071"/>
      <c r="YY210" s="2071"/>
      <c r="YZ210" s="2071"/>
      <c r="ZA210" s="2071"/>
      <c r="ZB210" s="2071"/>
      <c r="ZC210" s="2071"/>
      <c r="ZD210" s="2071"/>
      <c r="ZE210" s="2071"/>
      <c r="ZF210" s="2071"/>
      <c r="ZG210" s="2071"/>
      <c r="ZH210" s="2071"/>
      <c r="ZI210" s="2071"/>
      <c r="ZJ210" s="2071"/>
      <c r="ZK210" s="2071"/>
      <c r="ZL210" s="2071"/>
      <c r="ZM210" s="2071"/>
      <c r="ZN210" s="2071"/>
      <c r="ZO210" s="2071"/>
      <c r="ZP210" s="2071"/>
      <c r="ZQ210" s="2071"/>
      <c r="ZR210" s="2071"/>
      <c r="ZS210" s="2071"/>
      <c r="ZT210" s="2071"/>
      <c r="ZU210" s="2071"/>
      <c r="ZV210" s="2071"/>
      <c r="ZW210" s="2071"/>
      <c r="ZX210" s="2071"/>
      <c r="ZY210" s="2071"/>
      <c r="ZZ210" s="2071"/>
      <c r="AAA210" s="2071"/>
      <c r="AAB210" s="2071"/>
      <c r="AAC210" s="2071"/>
      <c r="AAD210" s="2071"/>
      <c r="AAE210" s="2071"/>
      <c r="AAF210" s="2071"/>
      <c r="AAG210" s="2071"/>
      <c r="AAH210" s="2071"/>
      <c r="AAI210" s="2071"/>
      <c r="AAJ210" s="2071"/>
      <c r="AAK210" s="2071"/>
      <c r="AAL210" s="2071"/>
      <c r="AAM210" s="2071"/>
      <c r="AAN210" s="2071"/>
      <c r="AAO210" s="2071"/>
      <c r="AAP210" s="2071"/>
      <c r="AAQ210" s="2071"/>
      <c r="AAR210" s="2071"/>
      <c r="AAS210" s="2071"/>
      <c r="AAT210" s="2071"/>
      <c r="AAU210" s="2071"/>
      <c r="AAV210" s="2071"/>
      <c r="AAW210" s="2071"/>
      <c r="AAX210" s="2071"/>
      <c r="AAY210" s="2071"/>
      <c r="AAZ210" s="2071"/>
      <c r="ABA210" s="2071"/>
      <c r="ABB210" s="2071"/>
      <c r="ABC210" s="2071"/>
      <c r="ABD210" s="2071"/>
      <c r="ABE210" s="2071"/>
      <c r="ABF210" s="2071"/>
      <c r="ABG210" s="2071"/>
      <c r="ABH210" s="2071"/>
      <c r="ABI210" s="2071"/>
      <c r="ABJ210" s="2071"/>
      <c r="ABK210" s="2071"/>
      <c r="ABL210" s="2071"/>
      <c r="ABM210" s="2071"/>
      <c r="ABN210" s="2071"/>
      <c r="ABO210" s="2071"/>
      <c r="ABP210" s="2071"/>
      <c r="ABQ210" s="2071"/>
      <c r="ABR210" s="2071"/>
      <c r="ABS210" s="2071"/>
      <c r="ABT210" s="2071"/>
      <c r="ABU210" s="2071"/>
      <c r="ABV210" s="2071"/>
      <c r="ABW210" s="2071"/>
      <c r="ABX210" s="2071"/>
      <c r="ABY210" s="2071"/>
      <c r="ABZ210" s="2071"/>
      <c r="ACA210" s="2071"/>
      <c r="ACB210" s="2071"/>
      <c r="ACC210" s="2071"/>
      <c r="ACD210" s="2071"/>
      <c r="ACE210" s="2071"/>
      <c r="ACF210" s="2071"/>
      <c r="ACG210" s="2071"/>
      <c r="ACH210" s="2071"/>
      <c r="ACI210" s="2071"/>
      <c r="ACJ210" s="2071"/>
      <c r="ACK210" s="2071"/>
      <c r="ACL210" s="2071"/>
      <c r="ACM210" s="2071"/>
      <c r="ACN210" s="2071"/>
      <c r="ACO210" s="2071"/>
      <c r="ACP210" s="2071"/>
      <c r="ACQ210" s="2071"/>
      <c r="ACR210" s="2071"/>
      <c r="ACS210" s="2071"/>
      <c r="ACT210" s="2071"/>
      <c r="ACU210" s="2071"/>
      <c r="ACV210" s="2071"/>
      <c r="ACW210" s="2071"/>
      <c r="ACX210" s="2071"/>
      <c r="ACY210" s="2071"/>
      <c r="ACZ210" s="2071"/>
      <c r="ADA210" s="2071"/>
      <c r="ADB210" s="2071"/>
      <c r="ADC210" s="2071"/>
      <c r="ADD210" s="2071"/>
      <c r="ADE210" s="2071"/>
      <c r="ADF210" s="2071"/>
      <c r="ADG210" s="2071"/>
      <c r="ADH210" s="2071"/>
      <c r="ADI210" s="2071"/>
      <c r="ADJ210" s="2071"/>
      <c r="ADK210" s="2071"/>
      <c r="ADL210" s="2071"/>
      <c r="ADM210" s="2071"/>
      <c r="ADN210" s="2071"/>
      <c r="ADO210" s="2071"/>
      <c r="ADP210" s="2071"/>
      <c r="ADQ210" s="2071"/>
      <c r="ADR210" s="2071"/>
      <c r="ADS210" s="2071"/>
      <c r="ADT210" s="2071"/>
      <c r="ADU210" s="2071"/>
      <c r="ADV210" s="2071"/>
      <c r="ADW210" s="2071"/>
      <c r="ADX210" s="2071"/>
      <c r="ADY210" s="2071"/>
      <c r="ADZ210" s="2071"/>
      <c r="AEA210" s="2071"/>
      <c r="AEB210" s="2071"/>
      <c r="AEC210" s="2071"/>
      <c r="AED210" s="2071"/>
      <c r="AEE210" s="2071"/>
      <c r="AEF210" s="2071"/>
      <c r="AEG210" s="2071"/>
      <c r="AEH210" s="2071"/>
      <c r="AEI210" s="2071"/>
      <c r="AEJ210" s="2071"/>
      <c r="AEK210" s="2071"/>
      <c r="AEL210" s="2071"/>
      <c r="AEM210" s="2071"/>
      <c r="AEN210" s="2071"/>
      <c r="AEO210" s="2071"/>
      <c r="AEP210" s="2071"/>
      <c r="AEQ210" s="2071"/>
      <c r="AER210" s="2071"/>
      <c r="AES210" s="2071"/>
      <c r="AET210" s="2071"/>
      <c r="AEU210" s="2071"/>
      <c r="AEV210" s="2071"/>
      <c r="AEW210" s="2071"/>
      <c r="AEX210" s="2071"/>
      <c r="AEY210" s="2071"/>
      <c r="AEZ210" s="2071"/>
      <c r="AFA210" s="2071"/>
      <c r="AFB210" s="2071"/>
      <c r="AFC210" s="2071"/>
      <c r="AFD210" s="2071"/>
      <c r="AFE210" s="2071"/>
      <c r="AFF210" s="2071"/>
      <c r="AFG210" s="2071"/>
      <c r="AFH210" s="2071"/>
      <c r="AFI210" s="2071"/>
      <c r="AFJ210" s="2071"/>
      <c r="AFK210" s="2071"/>
      <c r="AFL210" s="2071"/>
      <c r="AFM210" s="2071"/>
      <c r="AFN210" s="2071"/>
      <c r="AFO210" s="2071"/>
      <c r="AFP210" s="2071"/>
      <c r="AFQ210" s="2071"/>
      <c r="AFR210" s="2071"/>
      <c r="AFS210" s="2071"/>
      <c r="AFT210" s="2071"/>
      <c r="AFU210" s="2071"/>
      <c r="AFV210" s="2071"/>
      <c r="AFW210" s="2071"/>
      <c r="AFX210" s="2071"/>
      <c r="AFY210" s="2071"/>
      <c r="AFZ210" s="2071"/>
      <c r="AGA210" s="2071"/>
      <c r="AGB210" s="2071"/>
      <c r="AGC210" s="2071"/>
      <c r="AGD210" s="2071"/>
      <c r="AGE210" s="2071"/>
      <c r="AGF210" s="2071"/>
      <c r="AGG210" s="2071"/>
      <c r="AGH210" s="2071"/>
      <c r="AGI210" s="2071"/>
      <c r="AGJ210" s="2071"/>
      <c r="AGK210" s="2071"/>
      <c r="AGL210" s="2071"/>
      <c r="AGM210" s="2071"/>
      <c r="AGN210" s="2071"/>
      <c r="AGO210" s="2071"/>
      <c r="AGP210" s="2071"/>
      <c r="AGQ210" s="2071"/>
      <c r="AGR210" s="2071"/>
      <c r="AGS210" s="2071"/>
      <c r="AGT210" s="2071"/>
      <c r="AGU210" s="2071"/>
      <c r="AGV210" s="2071"/>
      <c r="AGW210" s="2071"/>
      <c r="AGX210" s="2071"/>
      <c r="AGY210" s="2071"/>
      <c r="AGZ210" s="2071"/>
      <c r="AHA210" s="2071"/>
      <c r="AHB210" s="2071"/>
      <c r="AHC210" s="2071"/>
      <c r="AHD210" s="2071"/>
      <c r="AHE210" s="2071"/>
      <c r="AHF210" s="2071"/>
      <c r="AHG210" s="2071"/>
      <c r="AHH210" s="2071"/>
      <c r="AHI210" s="2071"/>
      <c r="AHJ210" s="2071"/>
      <c r="AHK210" s="2071"/>
      <c r="AHL210" s="2071"/>
      <c r="AHM210" s="2071"/>
      <c r="AHN210" s="2071"/>
      <c r="AHO210" s="2071"/>
      <c r="AHP210" s="2071"/>
      <c r="AHQ210" s="2071"/>
      <c r="AHR210" s="2071"/>
      <c r="AHS210" s="2071"/>
      <c r="AHT210" s="2071"/>
      <c r="AHU210" s="2071"/>
      <c r="AHV210" s="2071"/>
      <c r="AHW210" s="2071"/>
      <c r="AHX210" s="2071"/>
      <c r="AHY210" s="2071"/>
      <c r="AHZ210" s="2071"/>
      <c r="AIA210" s="2071"/>
      <c r="AIB210" s="2071"/>
      <c r="AIC210" s="2071"/>
      <c r="AID210" s="2071"/>
      <c r="AIE210" s="2071"/>
      <c r="AIF210" s="2071"/>
      <c r="AIG210" s="2071"/>
      <c r="AIH210" s="2071"/>
      <c r="AII210" s="2071"/>
      <c r="AIJ210" s="2071"/>
      <c r="AIK210" s="2071"/>
      <c r="AIL210" s="2071"/>
      <c r="AIM210" s="2071"/>
      <c r="AIN210" s="2071"/>
      <c r="AIO210" s="2071"/>
      <c r="AIP210" s="2071"/>
      <c r="AIQ210" s="2071"/>
      <c r="AIR210" s="2071"/>
      <c r="AIS210" s="2071"/>
      <c r="AIT210" s="2071"/>
      <c r="AIU210" s="2071"/>
      <c r="AIV210" s="2071"/>
      <c r="AIW210" s="2071"/>
      <c r="AIX210" s="2071"/>
      <c r="AIY210" s="2071"/>
      <c r="AIZ210" s="2071"/>
      <c r="AJA210" s="2071"/>
      <c r="AJB210" s="2071"/>
      <c r="AJC210" s="2071"/>
      <c r="AJD210" s="2071"/>
      <c r="AJE210" s="2071"/>
      <c r="AJF210" s="2071"/>
      <c r="AJG210" s="2071"/>
      <c r="AJH210" s="2071"/>
      <c r="AJI210" s="2071"/>
      <c r="AJJ210" s="2071"/>
      <c r="AJK210" s="2071"/>
      <c r="AJL210" s="2071"/>
      <c r="AJM210" s="2071"/>
      <c r="AJN210" s="2071"/>
      <c r="AJO210" s="2071"/>
      <c r="AJP210" s="2071"/>
      <c r="AJQ210" s="2071"/>
      <c r="AJR210" s="2071"/>
      <c r="AJS210" s="2071"/>
      <c r="AJT210" s="2071"/>
      <c r="AJU210" s="2071"/>
      <c r="AJV210" s="2071"/>
      <c r="AJW210" s="2071"/>
      <c r="AJX210" s="2071"/>
      <c r="AJY210" s="2071"/>
      <c r="AJZ210" s="2071"/>
      <c r="AKA210" s="2071"/>
      <c r="AKB210" s="2071"/>
      <c r="AKC210" s="2071"/>
      <c r="AKD210" s="2071"/>
      <c r="AKE210" s="2071"/>
      <c r="AKF210" s="2071"/>
      <c r="AKG210" s="2071"/>
      <c r="AKH210" s="2071"/>
      <c r="AKI210" s="2071"/>
      <c r="AKJ210" s="2071"/>
      <c r="AKK210" s="2071"/>
      <c r="AKL210" s="2071"/>
      <c r="AKM210" s="2071"/>
      <c r="AKN210" s="2071"/>
      <c r="AKO210" s="2071"/>
      <c r="AKP210" s="2071"/>
      <c r="AKQ210" s="2071"/>
      <c r="AKR210" s="2071"/>
      <c r="AKS210" s="2071"/>
      <c r="AKT210" s="2071"/>
      <c r="AKU210" s="2071"/>
      <c r="AKV210" s="2071"/>
      <c r="AKW210" s="2071"/>
      <c r="AKX210" s="2071"/>
      <c r="AKY210" s="2071"/>
      <c r="AKZ210" s="2071"/>
      <c r="ALA210" s="2071"/>
      <c r="ALB210" s="2071"/>
      <c r="ALC210" s="2071"/>
      <c r="ALD210" s="2071"/>
      <c r="ALE210" s="2071"/>
      <c r="ALF210" s="2071"/>
      <c r="ALG210" s="2071"/>
      <c r="ALH210" s="2071"/>
      <c r="ALI210" s="2071"/>
      <c r="ALJ210" s="2071"/>
      <c r="ALK210" s="2071"/>
      <c r="ALL210" s="2071"/>
      <c r="ALM210" s="2071"/>
      <c r="ALN210" s="2071"/>
      <c r="ALO210" s="2071"/>
      <c r="ALP210" s="2071"/>
      <c r="ALQ210" s="2071"/>
      <c r="ALR210" s="2071"/>
      <c r="ALS210" s="2071"/>
      <c r="ALT210" s="2071"/>
      <c r="ALU210" s="2071"/>
      <c r="ALV210" s="2071"/>
      <c r="ALW210" s="2071"/>
      <c r="ALX210" s="2071"/>
      <c r="ALY210" s="2071"/>
      <c r="ALZ210" s="2071"/>
      <c r="AMA210" s="2071"/>
      <c r="AMB210" s="2071"/>
      <c r="AMC210" s="2071"/>
      <c r="AMD210" s="2071"/>
      <c r="AME210" s="2071"/>
      <c r="AMF210" s="2071"/>
      <c r="AMG210" s="2071"/>
      <c r="AMH210" s="2071"/>
      <c r="AMI210" s="2071"/>
      <c r="AMJ210" s="2071"/>
      <c r="AMK210" s="2071"/>
      <c r="AML210" s="2071"/>
      <c r="AMM210" s="2071"/>
      <c r="AMN210" s="2071"/>
      <c r="AMO210" s="2071"/>
      <c r="AMP210" s="2071"/>
      <c r="AMQ210" s="2071"/>
      <c r="AMR210" s="2071"/>
      <c r="AMS210" s="2071"/>
      <c r="AMT210" s="2071"/>
      <c r="AMU210" s="2071"/>
      <c r="AMV210" s="2071"/>
      <c r="AMW210" s="2071"/>
      <c r="AMX210" s="2071"/>
      <c r="AMY210" s="2071"/>
      <c r="AMZ210" s="2071"/>
      <c r="ANA210" s="2071"/>
      <c r="ANB210" s="2071"/>
      <c r="ANC210" s="2071"/>
      <c r="AND210" s="2071"/>
      <c r="ANE210" s="2071"/>
      <c r="ANF210" s="2071"/>
      <c r="ANG210" s="2071"/>
      <c r="ANH210" s="2071"/>
      <c r="ANI210" s="2071"/>
      <c r="ANJ210" s="2071"/>
      <c r="ANK210" s="2071"/>
      <c r="ANL210" s="2071"/>
      <c r="ANM210" s="2071"/>
      <c r="ANN210" s="2071"/>
      <c r="ANO210" s="2071"/>
      <c r="ANP210" s="2071"/>
      <c r="ANQ210" s="2071"/>
      <c r="ANR210" s="2071"/>
      <c r="ANS210" s="2071"/>
      <c r="ANT210" s="2071"/>
      <c r="ANU210" s="2071"/>
      <c r="ANV210" s="2071"/>
      <c r="ANW210" s="2071"/>
      <c r="ANX210" s="2071"/>
      <c r="ANY210" s="2071"/>
      <c r="ANZ210" s="2071"/>
      <c r="AOA210" s="2071"/>
      <c r="AOB210" s="2071"/>
      <c r="AOC210" s="2071"/>
      <c r="AOD210" s="2071"/>
      <c r="AOE210" s="2071"/>
      <c r="AOF210" s="2071"/>
      <c r="AOG210" s="2071"/>
      <c r="AOH210" s="2071"/>
      <c r="AOI210" s="2071"/>
      <c r="AOJ210" s="2071"/>
      <c r="AOK210" s="2071"/>
      <c r="AOL210" s="2071"/>
      <c r="AOM210" s="2071"/>
      <c r="AON210" s="2071"/>
      <c r="AOO210" s="2071"/>
      <c r="AOP210" s="2071"/>
      <c r="AOQ210" s="2071"/>
      <c r="AOR210" s="2071"/>
      <c r="AOS210" s="2071"/>
      <c r="AOT210" s="2071"/>
      <c r="AOU210" s="2071"/>
      <c r="AOV210" s="2071"/>
      <c r="AOW210" s="2071"/>
      <c r="AOX210" s="2071"/>
      <c r="AOY210" s="2071"/>
      <c r="AOZ210" s="2071"/>
      <c r="APA210" s="2071"/>
      <c r="APB210" s="2071"/>
      <c r="APC210" s="2071"/>
      <c r="APD210" s="2071"/>
      <c r="APE210" s="2071"/>
      <c r="APF210" s="2071"/>
      <c r="APG210" s="2071"/>
      <c r="APH210" s="2071"/>
      <c r="API210" s="2071"/>
      <c r="APJ210" s="2071"/>
      <c r="APK210" s="2071"/>
      <c r="APL210" s="2071"/>
      <c r="APM210" s="2071"/>
      <c r="APN210" s="2071"/>
      <c r="APO210" s="2071"/>
      <c r="APP210" s="2071"/>
      <c r="APQ210" s="2071"/>
      <c r="APR210" s="2071"/>
      <c r="APS210" s="2071"/>
      <c r="APT210" s="2071"/>
      <c r="APU210" s="2071"/>
      <c r="APV210" s="2071"/>
      <c r="APW210" s="2071"/>
      <c r="APX210" s="2071"/>
      <c r="APY210" s="2071"/>
      <c r="APZ210" s="2071"/>
      <c r="AQA210" s="2071"/>
      <c r="AQB210" s="2071"/>
      <c r="AQC210" s="2071"/>
      <c r="AQD210" s="2071"/>
      <c r="AQE210" s="2071"/>
      <c r="AQF210" s="2071"/>
      <c r="AQG210" s="2071"/>
      <c r="AQH210" s="2071"/>
      <c r="AQI210" s="2071"/>
      <c r="AQJ210" s="2071"/>
      <c r="AQK210" s="2071"/>
      <c r="AQL210" s="2071"/>
      <c r="AQM210" s="2071"/>
      <c r="AQN210" s="2071"/>
      <c r="AQO210" s="2071"/>
      <c r="AQP210" s="2071"/>
      <c r="AQQ210" s="2071"/>
      <c r="AQR210" s="2071"/>
      <c r="AQS210" s="2071"/>
      <c r="AQT210" s="2071"/>
      <c r="AQU210" s="2071"/>
      <c r="AQV210" s="2071"/>
      <c r="AQW210" s="2071"/>
      <c r="AQX210" s="2071"/>
      <c r="AQY210" s="2071"/>
      <c r="AQZ210" s="2071"/>
      <c r="ARA210" s="2071"/>
      <c r="ARB210" s="2071"/>
      <c r="ARC210" s="2071"/>
      <c r="ARD210" s="2071"/>
      <c r="ARE210" s="2071"/>
      <c r="ARF210" s="2071"/>
      <c r="ARG210" s="2071"/>
      <c r="ARH210" s="2071"/>
      <c r="ARI210" s="2071"/>
      <c r="ARJ210" s="2071"/>
      <c r="ARK210" s="2071"/>
      <c r="ARL210" s="2071"/>
      <c r="ARM210" s="2071"/>
      <c r="ARN210" s="2071"/>
      <c r="ARO210" s="2071"/>
      <c r="ARP210" s="2071"/>
      <c r="ARQ210" s="2071"/>
      <c r="ARR210" s="2071"/>
      <c r="ARS210" s="2071"/>
      <c r="ART210" s="2071"/>
      <c r="ARU210" s="2071"/>
      <c r="ARV210" s="2071"/>
      <c r="ARW210" s="2071"/>
      <c r="ARX210" s="2071"/>
      <c r="ARY210" s="2071"/>
      <c r="ARZ210" s="2071"/>
      <c r="ASA210" s="2071"/>
      <c r="ASB210" s="2071"/>
      <c r="ASC210" s="2071"/>
      <c r="ASD210" s="2071"/>
      <c r="ASE210" s="2071"/>
      <c r="ASF210" s="2071"/>
      <c r="ASG210" s="2071"/>
      <c r="ASH210" s="2071"/>
      <c r="ASI210" s="2071"/>
      <c r="ASJ210" s="2071"/>
      <c r="ASK210" s="2071"/>
      <c r="ASL210" s="2071"/>
      <c r="ASM210" s="2071"/>
      <c r="ASN210" s="2071"/>
      <c r="ASO210" s="2071"/>
      <c r="ASP210" s="2071"/>
      <c r="ASQ210" s="2071"/>
      <c r="ASR210" s="2071"/>
      <c r="ASS210" s="2071"/>
      <c r="AST210" s="2071"/>
      <c r="ASU210" s="2071"/>
      <c r="ASV210" s="2071"/>
      <c r="ASW210" s="2071"/>
      <c r="ASX210" s="2071"/>
      <c r="ASY210" s="2071"/>
      <c r="ASZ210" s="2071"/>
      <c r="ATA210" s="2071"/>
      <c r="ATB210" s="2071"/>
      <c r="ATC210" s="2071"/>
      <c r="ATD210" s="2071"/>
      <c r="ATE210" s="2071"/>
      <c r="ATF210" s="2071"/>
      <c r="ATG210" s="2071"/>
      <c r="ATH210" s="2071"/>
      <c r="ATI210" s="2071"/>
      <c r="ATJ210" s="2071"/>
      <c r="ATK210" s="2071"/>
      <c r="ATL210" s="2071"/>
      <c r="ATM210" s="2071"/>
      <c r="ATN210" s="2071"/>
      <c r="ATO210" s="2071"/>
      <c r="ATP210" s="2071"/>
      <c r="ATQ210" s="2071"/>
      <c r="ATR210" s="2071"/>
      <c r="ATS210" s="2071"/>
      <c r="ATT210" s="2071"/>
      <c r="ATU210" s="2071"/>
      <c r="ATV210" s="2071"/>
      <c r="ATW210" s="2071"/>
      <c r="ATX210" s="2071"/>
      <c r="ATY210" s="2071"/>
      <c r="ATZ210" s="2071"/>
      <c r="AUA210" s="2071"/>
      <c r="AUB210" s="2071"/>
      <c r="AUC210" s="2071"/>
      <c r="AUD210" s="2071"/>
      <c r="AUE210" s="2071"/>
      <c r="AUF210" s="2071"/>
      <c r="AUG210" s="2071"/>
      <c r="AUH210" s="2071"/>
      <c r="AUI210" s="2071"/>
      <c r="AUJ210" s="2071"/>
      <c r="AUK210" s="2071"/>
      <c r="AUL210" s="2071"/>
      <c r="AUM210" s="2071"/>
      <c r="AUN210" s="2071"/>
      <c r="AUO210" s="2071"/>
      <c r="AUP210" s="2071"/>
      <c r="AUQ210" s="2071"/>
      <c r="AUR210" s="2071"/>
      <c r="AUS210" s="2071"/>
      <c r="AUT210" s="2071"/>
      <c r="AUU210" s="2071"/>
      <c r="AUV210" s="2071"/>
      <c r="AUW210" s="2071"/>
      <c r="AUX210" s="2071"/>
      <c r="AUY210" s="2071"/>
      <c r="AUZ210" s="2071"/>
      <c r="AVA210" s="2071"/>
      <c r="AVB210" s="2071"/>
      <c r="AVC210" s="2071"/>
      <c r="AVD210" s="2071"/>
      <c r="AVE210" s="2071"/>
      <c r="AVF210" s="2071"/>
      <c r="AVG210" s="2071"/>
      <c r="AVH210" s="2071"/>
      <c r="AVI210" s="2071"/>
      <c r="AVJ210" s="2071"/>
      <c r="AVK210" s="2071"/>
      <c r="AVL210" s="2071"/>
      <c r="AVM210" s="2071"/>
      <c r="AVN210" s="2071"/>
      <c r="AVO210" s="2071"/>
      <c r="AVP210" s="2071"/>
      <c r="AVQ210" s="2071"/>
      <c r="AVR210" s="2071"/>
      <c r="AVS210" s="2071"/>
      <c r="AVT210" s="2071"/>
      <c r="AVU210" s="2071"/>
      <c r="AVV210" s="2071"/>
      <c r="AVW210" s="2071"/>
      <c r="AVX210" s="2071"/>
      <c r="AVY210" s="2071"/>
      <c r="AVZ210" s="2071"/>
      <c r="AWA210" s="2071"/>
      <c r="AWB210" s="2071"/>
      <c r="AWC210" s="2071"/>
      <c r="AWD210" s="2071"/>
      <c r="AWE210" s="2071"/>
      <c r="AWF210" s="2071"/>
      <c r="AWG210" s="2071"/>
      <c r="AWH210" s="2071"/>
      <c r="AWI210" s="2071"/>
      <c r="AWJ210" s="2071"/>
      <c r="AWK210" s="2071"/>
      <c r="AWL210" s="2071"/>
      <c r="AWM210" s="2071"/>
      <c r="AWN210" s="2071"/>
      <c r="AWO210" s="2071"/>
      <c r="AWP210" s="2071"/>
      <c r="AWQ210" s="2071"/>
      <c r="AWR210" s="2071"/>
      <c r="AWS210" s="2071"/>
      <c r="AWT210" s="2071"/>
      <c r="AWU210" s="2071"/>
      <c r="AWV210" s="2071"/>
      <c r="AWW210" s="2071"/>
      <c r="AWX210" s="2071"/>
      <c r="AWY210" s="2071"/>
      <c r="AWZ210" s="2071"/>
      <c r="AXA210" s="2071"/>
      <c r="AXB210" s="2071"/>
      <c r="AXC210" s="2071"/>
      <c r="AXD210" s="2071"/>
      <c r="AXE210" s="2071"/>
      <c r="AXF210" s="2071"/>
      <c r="AXG210" s="2071"/>
      <c r="AXH210" s="2071"/>
      <c r="AXI210" s="2071"/>
      <c r="AXJ210" s="2071"/>
    </row>
    <row r="211" spans="1:1310" s="2072" customFormat="1" ht="23.25" customHeight="1">
      <c r="A211" s="2073"/>
      <c r="B211" s="2076"/>
      <c r="C211" s="2076"/>
      <c r="D211" s="2076"/>
      <c r="E211" s="2076"/>
      <c r="F211" s="2075"/>
      <c r="G211" s="96"/>
      <c r="H211" s="96"/>
      <c r="I211" s="96"/>
      <c r="J211" s="2077"/>
      <c r="K211" s="96"/>
      <c r="L211" s="96"/>
      <c r="M211" s="96"/>
      <c r="N211" s="2077"/>
      <c r="O211" s="4484" t="s">
        <v>899</v>
      </c>
      <c r="P211" s="4484"/>
      <c r="Q211" s="2077"/>
      <c r="R211" s="1838"/>
      <c r="S211" s="1838"/>
      <c r="T211" s="1838"/>
      <c r="U211" s="1838"/>
      <c r="V211" s="1838"/>
      <c r="W211" s="1838"/>
      <c r="X211" s="1838"/>
      <c r="Y211" s="1838"/>
      <c r="Z211" s="1838"/>
      <c r="AA211" s="1838"/>
      <c r="AB211" s="1838"/>
      <c r="AC211" s="1838"/>
      <c r="AD211" s="2070"/>
      <c r="AE211" s="2070"/>
      <c r="AF211" s="2070"/>
      <c r="AG211" s="2070"/>
      <c r="AH211" s="2070"/>
      <c r="AI211" s="2070"/>
      <c r="AJ211" s="2070"/>
      <c r="AK211" s="2070"/>
      <c r="AL211" s="2070"/>
      <c r="AM211" s="2070"/>
      <c r="AN211" s="2070"/>
      <c r="AO211" s="2070"/>
      <c r="AP211" s="2070"/>
      <c r="AQ211" s="2070"/>
      <c r="AR211" s="2070"/>
      <c r="AS211" s="2070"/>
      <c r="AT211" s="2070"/>
      <c r="AU211" s="2070"/>
      <c r="AV211" s="2071"/>
      <c r="AW211" s="2071"/>
      <c r="AX211" s="2071"/>
      <c r="AY211" s="2071"/>
      <c r="AZ211" s="2071"/>
      <c r="BA211" s="2071"/>
      <c r="BB211" s="2071"/>
      <c r="BC211" s="2071"/>
      <c r="BD211" s="2071"/>
      <c r="BE211" s="2071"/>
      <c r="BF211" s="2071"/>
      <c r="BG211" s="2071"/>
      <c r="BH211" s="2071"/>
      <c r="BI211" s="2071"/>
      <c r="BJ211" s="2071"/>
      <c r="BK211" s="2071"/>
      <c r="BL211" s="2071"/>
      <c r="BM211" s="2071"/>
      <c r="BN211" s="2071"/>
      <c r="BO211" s="2071"/>
      <c r="BP211" s="2071"/>
      <c r="BQ211" s="2071"/>
      <c r="BR211" s="2071"/>
      <c r="BS211" s="2071"/>
      <c r="BT211" s="2071"/>
      <c r="BU211" s="2071"/>
      <c r="BV211" s="2071"/>
      <c r="BW211" s="2071"/>
      <c r="BX211" s="2071"/>
      <c r="BY211" s="2071"/>
      <c r="BZ211" s="2071"/>
      <c r="CA211" s="2071"/>
      <c r="CB211" s="2071"/>
      <c r="CC211" s="2071"/>
      <c r="CD211" s="2071"/>
      <c r="CE211" s="2071"/>
      <c r="CF211" s="2071"/>
      <c r="CG211" s="2071"/>
      <c r="CH211" s="2071"/>
      <c r="CI211" s="2071"/>
      <c r="CJ211" s="2071"/>
      <c r="CK211" s="2071"/>
      <c r="CL211" s="2071"/>
      <c r="CM211" s="2071"/>
      <c r="CN211" s="2071"/>
      <c r="CO211" s="2071"/>
      <c r="CP211" s="2071"/>
      <c r="CQ211" s="2071"/>
      <c r="CR211" s="2071"/>
      <c r="CS211" s="2071"/>
      <c r="CT211" s="2071"/>
      <c r="CU211" s="2071"/>
      <c r="CV211" s="2071"/>
      <c r="CW211" s="2071"/>
      <c r="CX211" s="2071"/>
      <c r="CY211" s="2071"/>
      <c r="CZ211" s="2071"/>
      <c r="DA211" s="2071"/>
      <c r="DB211" s="2071"/>
      <c r="DC211" s="2071"/>
      <c r="DD211" s="2071"/>
      <c r="DE211" s="2071"/>
      <c r="DF211" s="2071"/>
      <c r="DG211" s="2071"/>
      <c r="DH211" s="2071"/>
      <c r="DI211" s="2071"/>
      <c r="DJ211" s="2071"/>
      <c r="DK211" s="2071"/>
      <c r="DL211" s="2071"/>
      <c r="DM211" s="2071"/>
      <c r="DN211" s="2071"/>
      <c r="DO211" s="2071"/>
      <c r="DP211" s="2071"/>
      <c r="DQ211" s="2071"/>
      <c r="DR211" s="2071"/>
      <c r="DS211" s="2071"/>
      <c r="DT211" s="2071"/>
      <c r="DU211" s="2071"/>
      <c r="DV211" s="2071"/>
      <c r="DW211" s="2071"/>
      <c r="DX211" s="2071"/>
      <c r="DY211" s="2071"/>
      <c r="DZ211" s="2071"/>
      <c r="EA211" s="2071"/>
      <c r="EB211" s="2071"/>
      <c r="EC211" s="2071"/>
      <c r="ED211" s="2071"/>
      <c r="EE211" s="2071"/>
      <c r="EF211" s="2071"/>
      <c r="EG211" s="2071"/>
      <c r="EH211" s="2071"/>
      <c r="EI211" s="2071"/>
      <c r="EJ211" s="2071"/>
      <c r="EK211" s="2071"/>
      <c r="EL211" s="2071"/>
      <c r="EM211" s="2071"/>
      <c r="EN211" s="2071"/>
      <c r="EO211" s="2071"/>
      <c r="EP211" s="2071"/>
      <c r="EQ211" s="2071"/>
      <c r="ER211" s="2071"/>
      <c r="ES211" s="2071"/>
      <c r="ET211" s="2071"/>
      <c r="EU211" s="2071"/>
      <c r="EV211" s="2071"/>
      <c r="EW211" s="2071"/>
      <c r="EX211" s="2071"/>
      <c r="EY211" s="2071"/>
      <c r="EZ211" s="2071"/>
      <c r="FA211" s="2071"/>
      <c r="FB211" s="2071"/>
      <c r="FC211" s="2071"/>
      <c r="FD211" s="2071"/>
      <c r="FE211" s="2071"/>
      <c r="FF211" s="2071"/>
      <c r="FG211" s="2071"/>
      <c r="FH211" s="2071"/>
      <c r="FI211" s="2071"/>
      <c r="FJ211" s="2071"/>
      <c r="FK211" s="2071"/>
      <c r="FL211" s="2071"/>
      <c r="FM211" s="2071"/>
      <c r="FN211" s="2071"/>
      <c r="FO211" s="2071"/>
      <c r="FP211" s="2071"/>
      <c r="FQ211" s="2071"/>
      <c r="FR211" s="2071"/>
      <c r="FS211" s="2071"/>
      <c r="FT211" s="2071"/>
      <c r="FU211" s="2071"/>
      <c r="FV211" s="2071"/>
      <c r="FW211" s="2071"/>
      <c r="FX211" s="2071"/>
      <c r="FY211" s="2071"/>
      <c r="FZ211" s="2071"/>
      <c r="GA211" s="2071"/>
      <c r="GB211" s="2071"/>
      <c r="GC211" s="2071"/>
      <c r="GD211" s="2071"/>
      <c r="GE211" s="2071"/>
      <c r="GF211" s="2071"/>
      <c r="GG211" s="2071"/>
      <c r="GH211" s="2071"/>
      <c r="GI211" s="2071"/>
      <c r="GJ211" s="2071"/>
      <c r="GK211" s="2071"/>
      <c r="GL211" s="2071"/>
      <c r="GM211" s="2071"/>
      <c r="GN211" s="2071"/>
      <c r="GO211" s="2071"/>
      <c r="GP211" s="2071"/>
      <c r="GQ211" s="2071"/>
      <c r="GR211" s="2071"/>
      <c r="GS211" s="2071"/>
      <c r="GT211" s="2071"/>
      <c r="GU211" s="2071"/>
      <c r="GV211" s="2071"/>
      <c r="GW211" s="2071"/>
      <c r="GX211" s="2071"/>
      <c r="GY211" s="2071"/>
      <c r="GZ211" s="2071"/>
      <c r="HA211" s="2071"/>
      <c r="HB211" s="2071"/>
      <c r="HC211" s="2071"/>
      <c r="HD211" s="2071"/>
      <c r="HE211" s="2071"/>
      <c r="HF211" s="2071"/>
      <c r="HG211" s="2071"/>
      <c r="HH211" s="2071"/>
      <c r="HI211" s="2071"/>
      <c r="HJ211" s="2071"/>
      <c r="HK211" s="2071"/>
      <c r="HL211" s="2071"/>
      <c r="HM211" s="2071"/>
      <c r="HN211" s="2071"/>
      <c r="HO211" s="2071"/>
      <c r="HP211" s="2071"/>
      <c r="HQ211" s="2071"/>
      <c r="HR211" s="2071"/>
      <c r="HS211" s="2071"/>
      <c r="HT211" s="2071"/>
      <c r="HU211" s="2071"/>
      <c r="HV211" s="2071"/>
      <c r="HW211" s="2071"/>
      <c r="HX211" s="2071"/>
      <c r="HY211" s="2071"/>
      <c r="HZ211" s="2071"/>
      <c r="IA211" s="2071"/>
      <c r="IB211" s="2071"/>
      <c r="IC211" s="2071"/>
      <c r="ID211" s="2071"/>
      <c r="IE211" s="2071"/>
      <c r="IF211" s="2071"/>
      <c r="IG211" s="2071"/>
      <c r="IH211" s="2071"/>
      <c r="II211" s="2071"/>
      <c r="IJ211" s="2071"/>
      <c r="IK211" s="2071"/>
      <c r="IL211" s="2071"/>
      <c r="IM211" s="2071"/>
      <c r="IN211" s="2071"/>
      <c r="IO211" s="2071"/>
      <c r="IP211" s="2071"/>
      <c r="IQ211" s="2071"/>
      <c r="IR211" s="2071"/>
      <c r="IS211" s="2071"/>
      <c r="IT211" s="2071"/>
      <c r="IU211" s="2071"/>
      <c r="IV211" s="2071"/>
      <c r="IW211" s="2071"/>
      <c r="IX211" s="2071"/>
      <c r="IY211" s="2071"/>
      <c r="IZ211" s="2071"/>
      <c r="JA211" s="2071"/>
      <c r="JB211" s="2071"/>
      <c r="JC211" s="2071"/>
      <c r="JD211" s="2071"/>
      <c r="JE211" s="2071"/>
      <c r="JF211" s="2071"/>
      <c r="JG211" s="2071"/>
      <c r="JH211" s="2071"/>
      <c r="JI211" s="2071"/>
      <c r="JJ211" s="2071"/>
      <c r="JK211" s="2071"/>
      <c r="JL211" s="2071"/>
      <c r="JM211" s="2071"/>
      <c r="JN211" s="2071"/>
      <c r="JO211" s="2071"/>
      <c r="JP211" s="2071"/>
      <c r="JQ211" s="2071"/>
      <c r="JR211" s="2071"/>
      <c r="JS211" s="2071"/>
      <c r="JT211" s="2071"/>
      <c r="JU211" s="2071"/>
      <c r="JV211" s="2071"/>
      <c r="JW211" s="2071"/>
      <c r="JX211" s="2071"/>
      <c r="JY211" s="2071"/>
      <c r="JZ211" s="2071"/>
      <c r="KA211" s="2071"/>
      <c r="KB211" s="2071"/>
      <c r="KC211" s="2071"/>
      <c r="KD211" s="2071"/>
      <c r="KE211" s="2071"/>
      <c r="KF211" s="2071"/>
      <c r="KG211" s="2071"/>
      <c r="KH211" s="2071"/>
      <c r="KI211" s="2071"/>
      <c r="KJ211" s="2071"/>
      <c r="KK211" s="2071"/>
      <c r="KL211" s="2071"/>
      <c r="KM211" s="2071"/>
      <c r="KN211" s="2071"/>
      <c r="KO211" s="2071"/>
      <c r="KP211" s="2071"/>
      <c r="KQ211" s="2071"/>
      <c r="KR211" s="2071"/>
      <c r="KS211" s="2071"/>
      <c r="KT211" s="2071"/>
      <c r="KU211" s="2071"/>
      <c r="KV211" s="2071"/>
      <c r="KW211" s="2071"/>
      <c r="KX211" s="2071"/>
      <c r="KY211" s="2071"/>
      <c r="KZ211" s="2071"/>
      <c r="LA211" s="2071"/>
      <c r="LB211" s="2071"/>
      <c r="LC211" s="2071"/>
      <c r="LD211" s="2071"/>
      <c r="LE211" s="2071"/>
      <c r="LF211" s="2071"/>
      <c r="LG211" s="2071"/>
      <c r="LH211" s="2071"/>
      <c r="LI211" s="2071"/>
      <c r="LJ211" s="2071"/>
      <c r="LK211" s="2071"/>
      <c r="LL211" s="2071"/>
      <c r="LM211" s="2071"/>
      <c r="LN211" s="2071"/>
      <c r="LO211" s="2071"/>
      <c r="LP211" s="2071"/>
      <c r="LQ211" s="2071"/>
      <c r="LR211" s="2071"/>
      <c r="LS211" s="2071"/>
      <c r="LT211" s="2071"/>
      <c r="LU211" s="2071"/>
      <c r="LV211" s="2071"/>
      <c r="LW211" s="2071"/>
      <c r="LX211" s="2071"/>
      <c r="LY211" s="2071"/>
      <c r="LZ211" s="2071"/>
      <c r="MA211" s="2071"/>
      <c r="MB211" s="2071"/>
      <c r="MC211" s="2071"/>
      <c r="MD211" s="2071"/>
      <c r="ME211" s="2071"/>
      <c r="MF211" s="2071"/>
      <c r="MG211" s="2071"/>
      <c r="MH211" s="2071"/>
      <c r="MI211" s="2071"/>
      <c r="MJ211" s="2071"/>
      <c r="MK211" s="2071"/>
      <c r="ML211" s="2071"/>
      <c r="MM211" s="2071"/>
      <c r="MN211" s="2071"/>
      <c r="MO211" s="2071"/>
      <c r="MP211" s="2071"/>
      <c r="MQ211" s="2071"/>
      <c r="MR211" s="2071"/>
      <c r="MS211" s="2071"/>
      <c r="MT211" s="2071"/>
      <c r="MU211" s="2071"/>
      <c r="MV211" s="2071"/>
      <c r="MW211" s="2071"/>
      <c r="MX211" s="2071"/>
      <c r="MY211" s="2071"/>
      <c r="MZ211" s="2071"/>
      <c r="NA211" s="2071"/>
      <c r="NB211" s="2071"/>
      <c r="NC211" s="2071"/>
      <c r="ND211" s="2071"/>
      <c r="NE211" s="2071"/>
      <c r="NF211" s="2071"/>
      <c r="NG211" s="2071"/>
      <c r="NH211" s="2071"/>
      <c r="NI211" s="2071"/>
      <c r="NJ211" s="2071"/>
      <c r="NK211" s="2071"/>
      <c r="NL211" s="2071"/>
      <c r="NM211" s="2071"/>
      <c r="NN211" s="2071"/>
      <c r="NO211" s="2071"/>
      <c r="NP211" s="2071"/>
      <c r="NQ211" s="2071"/>
      <c r="NR211" s="2071"/>
      <c r="NS211" s="2071"/>
      <c r="NT211" s="2071"/>
      <c r="NU211" s="2071"/>
      <c r="NV211" s="2071"/>
      <c r="NW211" s="2071"/>
      <c r="NX211" s="2071"/>
      <c r="NY211" s="2071"/>
      <c r="NZ211" s="2071"/>
      <c r="OA211" s="2071"/>
      <c r="OB211" s="2071"/>
      <c r="OC211" s="2071"/>
      <c r="OD211" s="2071"/>
      <c r="OE211" s="2071"/>
      <c r="OF211" s="2071"/>
      <c r="OG211" s="2071"/>
      <c r="OH211" s="2071"/>
      <c r="OI211" s="2071"/>
      <c r="OJ211" s="2071"/>
      <c r="OK211" s="2071"/>
      <c r="OL211" s="2071"/>
      <c r="OM211" s="2071"/>
      <c r="ON211" s="2071"/>
      <c r="OO211" s="2071"/>
      <c r="OP211" s="2071"/>
      <c r="OQ211" s="2071"/>
      <c r="OR211" s="2071"/>
      <c r="OS211" s="2071"/>
      <c r="OT211" s="2071"/>
      <c r="OU211" s="2071"/>
      <c r="OV211" s="2071"/>
      <c r="OW211" s="2071"/>
      <c r="OX211" s="2071"/>
      <c r="OY211" s="2071"/>
      <c r="OZ211" s="2071"/>
      <c r="PA211" s="2071"/>
      <c r="PB211" s="2071"/>
      <c r="PC211" s="2071"/>
      <c r="PD211" s="2071"/>
      <c r="PE211" s="2071"/>
      <c r="PF211" s="2071"/>
      <c r="PG211" s="2071"/>
      <c r="PH211" s="2071"/>
      <c r="PI211" s="2071"/>
      <c r="PJ211" s="2071"/>
      <c r="PK211" s="2071"/>
      <c r="PL211" s="2071"/>
      <c r="PM211" s="2071"/>
      <c r="PN211" s="2071"/>
      <c r="PO211" s="2071"/>
      <c r="PP211" s="2071"/>
      <c r="PQ211" s="2071"/>
      <c r="PR211" s="2071"/>
      <c r="PS211" s="2071"/>
      <c r="PT211" s="2071"/>
      <c r="PU211" s="2071"/>
      <c r="PV211" s="2071"/>
      <c r="PW211" s="2071"/>
      <c r="PX211" s="2071"/>
      <c r="PY211" s="2071"/>
      <c r="PZ211" s="2071"/>
      <c r="QA211" s="2071"/>
      <c r="QB211" s="2071"/>
      <c r="QC211" s="2071"/>
      <c r="QD211" s="2071"/>
      <c r="QE211" s="2071"/>
      <c r="QF211" s="2071"/>
      <c r="QG211" s="2071"/>
      <c r="QH211" s="2071"/>
      <c r="QI211" s="2071"/>
      <c r="QJ211" s="2071"/>
      <c r="QK211" s="2071"/>
      <c r="QL211" s="2071"/>
      <c r="QM211" s="2071"/>
      <c r="QN211" s="2071"/>
      <c r="QO211" s="2071"/>
      <c r="QP211" s="2071"/>
      <c r="QQ211" s="2071"/>
      <c r="QR211" s="2071"/>
      <c r="QS211" s="2071"/>
      <c r="QT211" s="2071"/>
      <c r="QU211" s="2071"/>
      <c r="QV211" s="2071"/>
      <c r="QW211" s="2071"/>
      <c r="QX211" s="2071"/>
      <c r="QY211" s="2071"/>
      <c r="QZ211" s="2071"/>
      <c r="RA211" s="2071"/>
      <c r="RB211" s="2071"/>
      <c r="RC211" s="2071"/>
      <c r="RD211" s="2071"/>
      <c r="RE211" s="2071"/>
      <c r="RF211" s="2071"/>
      <c r="RG211" s="2071"/>
      <c r="RH211" s="2071"/>
      <c r="RI211" s="2071"/>
      <c r="RJ211" s="2071"/>
      <c r="RK211" s="2071"/>
      <c r="RL211" s="2071"/>
      <c r="RM211" s="2071"/>
      <c r="RN211" s="2071"/>
      <c r="RO211" s="2071"/>
      <c r="RP211" s="2071"/>
      <c r="RQ211" s="2071"/>
      <c r="RR211" s="2071"/>
      <c r="RS211" s="2071"/>
      <c r="RT211" s="2071"/>
      <c r="RU211" s="2071"/>
      <c r="RV211" s="2071"/>
      <c r="RW211" s="2071"/>
      <c r="RX211" s="2071"/>
      <c r="RY211" s="2071"/>
      <c r="RZ211" s="2071"/>
      <c r="SA211" s="2071"/>
      <c r="SB211" s="2071"/>
      <c r="SC211" s="2071"/>
      <c r="SD211" s="2071"/>
      <c r="SE211" s="2071"/>
      <c r="SF211" s="2071"/>
      <c r="SG211" s="2071"/>
      <c r="SH211" s="2071"/>
      <c r="SI211" s="2071"/>
      <c r="SJ211" s="2071"/>
      <c r="SK211" s="2071"/>
      <c r="SL211" s="2071"/>
      <c r="SM211" s="2071"/>
      <c r="SN211" s="2071"/>
      <c r="SO211" s="2071"/>
      <c r="SP211" s="2071"/>
      <c r="SQ211" s="2071"/>
      <c r="SR211" s="2071"/>
      <c r="SS211" s="2071"/>
      <c r="ST211" s="2071"/>
      <c r="SU211" s="2071"/>
      <c r="SV211" s="2071"/>
      <c r="SW211" s="2071"/>
      <c r="SX211" s="2071"/>
      <c r="SY211" s="2071"/>
      <c r="SZ211" s="2071"/>
      <c r="TA211" s="2071"/>
      <c r="TB211" s="2071"/>
      <c r="TC211" s="2071"/>
      <c r="TD211" s="2071"/>
      <c r="TE211" s="2071"/>
      <c r="TF211" s="2071"/>
      <c r="TG211" s="2071"/>
      <c r="TH211" s="2071"/>
      <c r="TI211" s="2071"/>
      <c r="TJ211" s="2071"/>
      <c r="TK211" s="2071"/>
      <c r="TL211" s="2071"/>
      <c r="TM211" s="2071"/>
      <c r="TN211" s="2071"/>
      <c r="TO211" s="2071"/>
      <c r="TP211" s="2071"/>
      <c r="TQ211" s="2071"/>
      <c r="TR211" s="2071"/>
      <c r="TS211" s="2071"/>
      <c r="TT211" s="2071"/>
      <c r="TU211" s="2071"/>
      <c r="TV211" s="2071"/>
      <c r="TW211" s="2071"/>
      <c r="TX211" s="2071"/>
      <c r="TY211" s="2071"/>
      <c r="TZ211" s="2071"/>
      <c r="UA211" s="2071"/>
      <c r="UB211" s="2071"/>
      <c r="UC211" s="2071"/>
      <c r="UD211" s="2071"/>
      <c r="UE211" s="2071"/>
      <c r="UF211" s="2071"/>
      <c r="UG211" s="2071"/>
      <c r="UH211" s="2071"/>
      <c r="UI211" s="2071"/>
      <c r="UJ211" s="2071"/>
      <c r="UK211" s="2071"/>
      <c r="UL211" s="2071"/>
      <c r="UM211" s="2071"/>
      <c r="UN211" s="2071"/>
      <c r="UO211" s="2071"/>
      <c r="UP211" s="2071"/>
      <c r="UQ211" s="2071"/>
      <c r="UR211" s="2071"/>
      <c r="US211" s="2071"/>
      <c r="UT211" s="2071"/>
      <c r="UU211" s="2071"/>
      <c r="UV211" s="2071"/>
      <c r="UW211" s="2071"/>
      <c r="UX211" s="2071"/>
      <c r="UY211" s="2071"/>
      <c r="UZ211" s="2071"/>
      <c r="VA211" s="2071"/>
      <c r="VB211" s="2071"/>
      <c r="VC211" s="2071"/>
      <c r="VD211" s="2071"/>
      <c r="VE211" s="2071"/>
      <c r="VF211" s="2071"/>
      <c r="VG211" s="2071"/>
      <c r="VH211" s="2071"/>
      <c r="VI211" s="2071"/>
      <c r="VJ211" s="2071"/>
      <c r="VK211" s="2071"/>
      <c r="VL211" s="2071"/>
      <c r="VM211" s="2071"/>
      <c r="VN211" s="2071"/>
      <c r="VO211" s="2071"/>
      <c r="VP211" s="2071"/>
      <c r="VQ211" s="2071"/>
      <c r="VR211" s="2071"/>
      <c r="VS211" s="2071"/>
      <c r="VT211" s="2071"/>
      <c r="VU211" s="2071"/>
      <c r="VV211" s="2071"/>
      <c r="VW211" s="2071"/>
      <c r="VX211" s="2071"/>
      <c r="VY211" s="2071"/>
      <c r="VZ211" s="2071"/>
      <c r="WA211" s="2071"/>
      <c r="WB211" s="2071"/>
      <c r="WC211" s="2071"/>
      <c r="WD211" s="2071"/>
      <c r="WE211" s="2071"/>
      <c r="WF211" s="2071"/>
      <c r="WG211" s="2071"/>
      <c r="WH211" s="2071"/>
      <c r="WI211" s="2071"/>
      <c r="WJ211" s="2071"/>
      <c r="WK211" s="2071"/>
      <c r="WL211" s="2071"/>
      <c r="WM211" s="2071"/>
      <c r="WN211" s="2071"/>
      <c r="WO211" s="2071"/>
      <c r="WP211" s="2071"/>
      <c r="WQ211" s="2071"/>
      <c r="WR211" s="2071"/>
      <c r="WS211" s="2071"/>
      <c r="WT211" s="2071"/>
      <c r="WU211" s="2071"/>
      <c r="WV211" s="2071"/>
      <c r="WW211" s="2071"/>
      <c r="WX211" s="2071"/>
      <c r="WY211" s="2071"/>
      <c r="WZ211" s="2071"/>
      <c r="XA211" s="2071"/>
      <c r="XB211" s="2071"/>
      <c r="XC211" s="2071"/>
      <c r="XD211" s="2071"/>
      <c r="XE211" s="2071"/>
      <c r="XF211" s="2071"/>
      <c r="XG211" s="2071"/>
      <c r="XH211" s="2071"/>
      <c r="XI211" s="2071"/>
      <c r="XJ211" s="2071"/>
      <c r="XK211" s="2071"/>
      <c r="XL211" s="2071"/>
      <c r="XM211" s="2071"/>
      <c r="XN211" s="2071"/>
      <c r="XO211" s="2071"/>
      <c r="XP211" s="2071"/>
      <c r="XQ211" s="2071"/>
      <c r="XR211" s="2071"/>
      <c r="XS211" s="2071"/>
      <c r="XT211" s="2071"/>
      <c r="XU211" s="2071"/>
      <c r="XV211" s="2071"/>
      <c r="XW211" s="2071"/>
      <c r="XX211" s="2071"/>
      <c r="XY211" s="2071"/>
      <c r="XZ211" s="2071"/>
      <c r="YA211" s="2071"/>
      <c r="YB211" s="2071"/>
      <c r="YC211" s="2071"/>
      <c r="YD211" s="2071"/>
      <c r="YE211" s="2071"/>
      <c r="YF211" s="2071"/>
      <c r="YG211" s="2071"/>
      <c r="YH211" s="2071"/>
      <c r="YI211" s="2071"/>
      <c r="YJ211" s="2071"/>
      <c r="YK211" s="2071"/>
      <c r="YL211" s="2071"/>
      <c r="YM211" s="2071"/>
      <c r="YN211" s="2071"/>
      <c r="YO211" s="2071"/>
      <c r="YP211" s="2071"/>
      <c r="YQ211" s="2071"/>
      <c r="YR211" s="2071"/>
      <c r="YS211" s="2071"/>
      <c r="YT211" s="2071"/>
      <c r="YU211" s="2071"/>
      <c r="YV211" s="2071"/>
      <c r="YW211" s="2071"/>
      <c r="YX211" s="2071"/>
      <c r="YY211" s="2071"/>
      <c r="YZ211" s="2071"/>
      <c r="ZA211" s="2071"/>
      <c r="ZB211" s="2071"/>
      <c r="ZC211" s="2071"/>
      <c r="ZD211" s="2071"/>
      <c r="ZE211" s="2071"/>
      <c r="ZF211" s="2071"/>
      <c r="ZG211" s="2071"/>
      <c r="ZH211" s="2071"/>
      <c r="ZI211" s="2071"/>
      <c r="ZJ211" s="2071"/>
      <c r="ZK211" s="2071"/>
      <c r="ZL211" s="2071"/>
      <c r="ZM211" s="2071"/>
      <c r="ZN211" s="2071"/>
      <c r="ZO211" s="2071"/>
      <c r="ZP211" s="2071"/>
      <c r="ZQ211" s="2071"/>
      <c r="ZR211" s="2071"/>
      <c r="ZS211" s="2071"/>
      <c r="ZT211" s="2071"/>
      <c r="ZU211" s="2071"/>
      <c r="ZV211" s="2071"/>
      <c r="ZW211" s="2071"/>
      <c r="ZX211" s="2071"/>
      <c r="ZY211" s="2071"/>
      <c r="ZZ211" s="2071"/>
      <c r="AAA211" s="2071"/>
      <c r="AAB211" s="2071"/>
      <c r="AAC211" s="2071"/>
      <c r="AAD211" s="2071"/>
      <c r="AAE211" s="2071"/>
      <c r="AAF211" s="2071"/>
      <c r="AAG211" s="2071"/>
      <c r="AAH211" s="2071"/>
      <c r="AAI211" s="2071"/>
      <c r="AAJ211" s="2071"/>
      <c r="AAK211" s="2071"/>
      <c r="AAL211" s="2071"/>
      <c r="AAM211" s="2071"/>
      <c r="AAN211" s="2071"/>
      <c r="AAO211" s="2071"/>
      <c r="AAP211" s="2071"/>
      <c r="AAQ211" s="2071"/>
      <c r="AAR211" s="2071"/>
      <c r="AAS211" s="2071"/>
      <c r="AAT211" s="2071"/>
      <c r="AAU211" s="2071"/>
      <c r="AAV211" s="2071"/>
      <c r="AAW211" s="2071"/>
      <c r="AAX211" s="2071"/>
      <c r="AAY211" s="2071"/>
      <c r="AAZ211" s="2071"/>
      <c r="ABA211" s="2071"/>
      <c r="ABB211" s="2071"/>
      <c r="ABC211" s="2071"/>
      <c r="ABD211" s="2071"/>
      <c r="ABE211" s="2071"/>
      <c r="ABF211" s="2071"/>
      <c r="ABG211" s="2071"/>
      <c r="ABH211" s="2071"/>
      <c r="ABI211" s="2071"/>
      <c r="ABJ211" s="2071"/>
      <c r="ABK211" s="2071"/>
      <c r="ABL211" s="2071"/>
      <c r="ABM211" s="2071"/>
      <c r="ABN211" s="2071"/>
      <c r="ABO211" s="2071"/>
      <c r="ABP211" s="2071"/>
      <c r="ABQ211" s="2071"/>
      <c r="ABR211" s="2071"/>
      <c r="ABS211" s="2071"/>
      <c r="ABT211" s="2071"/>
      <c r="ABU211" s="2071"/>
      <c r="ABV211" s="2071"/>
      <c r="ABW211" s="2071"/>
      <c r="ABX211" s="2071"/>
      <c r="ABY211" s="2071"/>
      <c r="ABZ211" s="2071"/>
      <c r="ACA211" s="2071"/>
      <c r="ACB211" s="2071"/>
      <c r="ACC211" s="2071"/>
      <c r="ACD211" s="2071"/>
      <c r="ACE211" s="2071"/>
      <c r="ACF211" s="2071"/>
      <c r="ACG211" s="2071"/>
      <c r="ACH211" s="2071"/>
      <c r="ACI211" s="2071"/>
      <c r="ACJ211" s="2071"/>
      <c r="ACK211" s="2071"/>
      <c r="ACL211" s="2071"/>
      <c r="ACM211" s="2071"/>
      <c r="ACN211" s="2071"/>
      <c r="ACO211" s="2071"/>
      <c r="ACP211" s="2071"/>
      <c r="ACQ211" s="2071"/>
      <c r="ACR211" s="2071"/>
      <c r="ACS211" s="2071"/>
      <c r="ACT211" s="2071"/>
      <c r="ACU211" s="2071"/>
      <c r="ACV211" s="2071"/>
      <c r="ACW211" s="2071"/>
      <c r="ACX211" s="2071"/>
      <c r="ACY211" s="2071"/>
      <c r="ACZ211" s="2071"/>
      <c r="ADA211" s="2071"/>
      <c r="ADB211" s="2071"/>
      <c r="ADC211" s="2071"/>
      <c r="ADD211" s="2071"/>
      <c r="ADE211" s="2071"/>
      <c r="ADF211" s="2071"/>
      <c r="ADG211" s="2071"/>
      <c r="ADH211" s="2071"/>
      <c r="ADI211" s="2071"/>
      <c r="ADJ211" s="2071"/>
      <c r="ADK211" s="2071"/>
      <c r="ADL211" s="2071"/>
      <c r="ADM211" s="2071"/>
      <c r="ADN211" s="2071"/>
      <c r="ADO211" s="2071"/>
      <c r="ADP211" s="2071"/>
      <c r="ADQ211" s="2071"/>
      <c r="ADR211" s="2071"/>
      <c r="ADS211" s="2071"/>
      <c r="ADT211" s="2071"/>
      <c r="ADU211" s="2071"/>
      <c r="ADV211" s="2071"/>
      <c r="ADW211" s="2071"/>
      <c r="ADX211" s="2071"/>
      <c r="ADY211" s="2071"/>
      <c r="ADZ211" s="2071"/>
      <c r="AEA211" s="2071"/>
      <c r="AEB211" s="2071"/>
      <c r="AEC211" s="2071"/>
      <c r="AED211" s="2071"/>
      <c r="AEE211" s="2071"/>
      <c r="AEF211" s="2071"/>
      <c r="AEG211" s="2071"/>
      <c r="AEH211" s="2071"/>
      <c r="AEI211" s="2071"/>
      <c r="AEJ211" s="2071"/>
      <c r="AEK211" s="2071"/>
      <c r="AEL211" s="2071"/>
      <c r="AEM211" s="2071"/>
      <c r="AEN211" s="2071"/>
      <c r="AEO211" s="2071"/>
      <c r="AEP211" s="2071"/>
      <c r="AEQ211" s="2071"/>
      <c r="AER211" s="2071"/>
      <c r="AES211" s="2071"/>
      <c r="AET211" s="2071"/>
      <c r="AEU211" s="2071"/>
      <c r="AEV211" s="2071"/>
      <c r="AEW211" s="2071"/>
      <c r="AEX211" s="2071"/>
      <c r="AEY211" s="2071"/>
      <c r="AEZ211" s="2071"/>
      <c r="AFA211" s="2071"/>
      <c r="AFB211" s="2071"/>
      <c r="AFC211" s="2071"/>
      <c r="AFD211" s="2071"/>
      <c r="AFE211" s="2071"/>
      <c r="AFF211" s="2071"/>
      <c r="AFG211" s="2071"/>
      <c r="AFH211" s="2071"/>
      <c r="AFI211" s="2071"/>
      <c r="AFJ211" s="2071"/>
      <c r="AFK211" s="2071"/>
      <c r="AFL211" s="2071"/>
      <c r="AFM211" s="2071"/>
      <c r="AFN211" s="2071"/>
      <c r="AFO211" s="2071"/>
      <c r="AFP211" s="2071"/>
      <c r="AFQ211" s="2071"/>
      <c r="AFR211" s="2071"/>
      <c r="AFS211" s="2071"/>
      <c r="AFT211" s="2071"/>
      <c r="AFU211" s="2071"/>
      <c r="AFV211" s="2071"/>
      <c r="AFW211" s="2071"/>
      <c r="AFX211" s="2071"/>
      <c r="AFY211" s="2071"/>
      <c r="AFZ211" s="2071"/>
      <c r="AGA211" s="2071"/>
      <c r="AGB211" s="2071"/>
      <c r="AGC211" s="2071"/>
      <c r="AGD211" s="2071"/>
      <c r="AGE211" s="2071"/>
      <c r="AGF211" s="2071"/>
      <c r="AGG211" s="2071"/>
      <c r="AGH211" s="2071"/>
      <c r="AGI211" s="2071"/>
      <c r="AGJ211" s="2071"/>
      <c r="AGK211" s="2071"/>
      <c r="AGL211" s="2071"/>
      <c r="AGM211" s="2071"/>
      <c r="AGN211" s="2071"/>
      <c r="AGO211" s="2071"/>
      <c r="AGP211" s="2071"/>
      <c r="AGQ211" s="2071"/>
      <c r="AGR211" s="2071"/>
      <c r="AGS211" s="2071"/>
      <c r="AGT211" s="2071"/>
      <c r="AGU211" s="2071"/>
      <c r="AGV211" s="2071"/>
      <c r="AGW211" s="2071"/>
      <c r="AGX211" s="2071"/>
      <c r="AGY211" s="2071"/>
      <c r="AGZ211" s="2071"/>
      <c r="AHA211" s="2071"/>
      <c r="AHB211" s="2071"/>
      <c r="AHC211" s="2071"/>
      <c r="AHD211" s="2071"/>
      <c r="AHE211" s="2071"/>
      <c r="AHF211" s="2071"/>
      <c r="AHG211" s="2071"/>
      <c r="AHH211" s="2071"/>
      <c r="AHI211" s="2071"/>
      <c r="AHJ211" s="2071"/>
      <c r="AHK211" s="2071"/>
      <c r="AHL211" s="2071"/>
      <c r="AHM211" s="2071"/>
      <c r="AHN211" s="2071"/>
      <c r="AHO211" s="2071"/>
      <c r="AHP211" s="2071"/>
      <c r="AHQ211" s="2071"/>
      <c r="AHR211" s="2071"/>
      <c r="AHS211" s="2071"/>
      <c r="AHT211" s="2071"/>
      <c r="AHU211" s="2071"/>
      <c r="AHV211" s="2071"/>
      <c r="AHW211" s="2071"/>
      <c r="AHX211" s="2071"/>
      <c r="AHY211" s="2071"/>
      <c r="AHZ211" s="2071"/>
      <c r="AIA211" s="2071"/>
      <c r="AIB211" s="2071"/>
      <c r="AIC211" s="2071"/>
      <c r="AID211" s="2071"/>
      <c r="AIE211" s="2071"/>
      <c r="AIF211" s="2071"/>
      <c r="AIG211" s="2071"/>
      <c r="AIH211" s="2071"/>
      <c r="AII211" s="2071"/>
      <c r="AIJ211" s="2071"/>
      <c r="AIK211" s="2071"/>
      <c r="AIL211" s="2071"/>
      <c r="AIM211" s="2071"/>
      <c r="AIN211" s="2071"/>
      <c r="AIO211" s="2071"/>
      <c r="AIP211" s="2071"/>
      <c r="AIQ211" s="2071"/>
      <c r="AIR211" s="2071"/>
      <c r="AIS211" s="2071"/>
      <c r="AIT211" s="2071"/>
      <c r="AIU211" s="2071"/>
      <c r="AIV211" s="2071"/>
      <c r="AIW211" s="2071"/>
      <c r="AIX211" s="2071"/>
      <c r="AIY211" s="2071"/>
      <c r="AIZ211" s="2071"/>
      <c r="AJA211" s="2071"/>
      <c r="AJB211" s="2071"/>
      <c r="AJC211" s="2071"/>
      <c r="AJD211" s="2071"/>
      <c r="AJE211" s="2071"/>
      <c r="AJF211" s="2071"/>
      <c r="AJG211" s="2071"/>
      <c r="AJH211" s="2071"/>
      <c r="AJI211" s="2071"/>
      <c r="AJJ211" s="2071"/>
      <c r="AJK211" s="2071"/>
      <c r="AJL211" s="2071"/>
      <c r="AJM211" s="2071"/>
      <c r="AJN211" s="2071"/>
      <c r="AJO211" s="2071"/>
      <c r="AJP211" s="2071"/>
      <c r="AJQ211" s="2071"/>
      <c r="AJR211" s="2071"/>
      <c r="AJS211" s="2071"/>
      <c r="AJT211" s="2071"/>
      <c r="AJU211" s="2071"/>
      <c r="AJV211" s="2071"/>
      <c r="AJW211" s="2071"/>
      <c r="AJX211" s="2071"/>
      <c r="AJY211" s="2071"/>
      <c r="AJZ211" s="2071"/>
      <c r="AKA211" s="2071"/>
      <c r="AKB211" s="2071"/>
      <c r="AKC211" s="2071"/>
      <c r="AKD211" s="2071"/>
      <c r="AKE211" s="2071"/>
      <c r="AKF211" s="2071"/>
      <c r="AKG211" s="2071"/>
      <c r="AKH211" s="2071"/>
      <c r="AKI211" s="2071"/>
      <c r="AKJ211" s="2071"/>
      <c r="AKK211" s="2071"/>
      <c r="AKL211" s="2071"/>
      <c r="AKM211" s="2071"/>
      <c r="AKN211" s="2071"/>
      <c r="AKO211" s="2071"/>
      <c r="AKP211" s="2071"/>
      <c r="AKQ211" s="2071"/>
      <c r="AKR211" s="2071"/>
      <c r="AKS211" s="2071"/>
      <c r="AKT211" s="2071"/>
      <c r="AKU211" s="2071"/>
      <c r="AKV211" s="2071"/>
      <c r="AKW211" s="2071"/>
      <c r="AKX211" s="2071"/>
      <c r="AKY211" s="2071"/>
      <c r="AKZ211" s="2071"/>
      <c r="ALA211" s="2071"/>
      <c r="ALB211" s="2071"/>
      <c r="ALC211" s="2071"/>
      <c r="ALD211" s="2071"/>
      <c r="ALE211" s="2071"/>
      <c r="ALF211" s="2071"/>
      <c r="ALG211" s="2071"/>
      <c r="ALH211" s="2071"/>
      <c r="ALI211" s="2071"/>
      <c r="ALJ211" s="2071"/>
      <c r="ALK211" s="2071"/>
      <c r="ALL211" s="2071"/>
      <c r="ALM211" s="2071"/>
      <c r="ALN211" s="2071"/>
      <c r="ALO211" s="2071"/>
      <c r="ALP211" s="2071"/>
      <c r="ALQ211" s="2071"/>
      <c r="ALR211" s="2071"/>
      <c r="ALS211" s="2071"/>
      <c r="ALT211" s="2071"/>
      <c r="ALU211" s="2071"/>
      <c r="ALV211" s="2071"/>
      <c r="ALW211" s="2071"/>
      <c r="ALX211" s="2071"/>
      <c r="ALY211" s="2071"/>
      <c r="ALZ211" s="2071"/>
      <c r="AMA211" s="2071"/>
      <c r="AMB211" s="2071"/>
      <c r="AMC211" s="2071"/>
      <c r="AMD211" s="2071"/>
      <c r="AME211" s="2071"/>
      <c r="AMF211" s="2071"/>
      <c r="AMG211" s="2071"/>
      <c r="AMH211" s="2071"/>
      <c r="AMI211" s="2071"/>
      <c r="AMJ211" s="2071"/>
      <c r="AMK211" s="2071"/>
      <c r="AML211" s="2071"/>
      <c r="AMM211" s="2071"/>
      <c r="AMN211" s="2071"/>
      <c r="AMO211" s="2071"/>
      <c r="AMP211" s="2071"/>
      <c r="AMQ211" s="2071"/>
      <c r="AMR211" s="2071"/>
      <c r="AMS211" s="2071"/>
      <c r="AMT211" s="2071"/>
      <c r="AMU211" s="2071"/>
      <c r="AMV211" s="2071"/>
      <c r="AMW211" s="2071"/>
      <c r="AMX211" s="2071"/>
      <c r="AMY211" s="2071"/>
      <c r="AMZ211" s="2071"/>
      <c r="ANA211" s="2071"/>
      <c r="ANB211" s="2071"/>
      <c r="ANC211" s="2071"/>
      <c r="AND211" s="2071"/>
      <c r="ANE211" s="2071"/>
      <c r="ANF211" s="2071"/>
      <c r="ANG211" s="2071"/>
      <c r="ANH211" s="2071"/>
      <c r="ANI211" s="2071"/>
      <c r="ANJ211" s="2071"/>
      <c r="ANK211" s="2071"/>
      <c r="ANL211" s="2071"/>
      <c r="ANM211" s="2071"/>
      <c r="ANN211" s="2071"/>
      <c r="ANO211" s="2071"/>
      <c r="ANP211" s="2071"/>
      <c r="ANQ211" s="2071"/>
      <c r="ANR211" s="2071"/>
      <c r="ANS211" s="2071"/>
      <c r="ANT211" s="2071"/>
      <c r="ANU211" s="2071"/>
      <c r="ANV211" s="2071"/>
      <c r="ANW211" s="2071"/>
      <c r="ANX211" s="2071"/>
      <c r="ANY211" s="2071"/>
      <c r="ANZ211" s="2071"/>
      <c r="AOA211" s="2071"/>
      <c r="AOB211" s="2071"/>
      <c r="AOC211" s="2071"/>
      <c r="AOD211" s="2071"/>
      <c r="AOE211" s="2071"/>
      <c r="AOF211" s="2071"/>
      <c r="AOG211" s="2071"/>
      <c r="AOH211" s="2071"/>
      <c r="AOI211" s="2071"/>
      <c r="AOJ211" s="2071"/>
      <c r="AOK211" s="2071"/>
      <c r="AOL211" s="2071"/>
      <c r="AOM211" s="2071"/>
      <c r="AON211" s="2071"/>
      <c r="AOO211" s="2071"/>
      <c r="AOP211" s="2071"/>
      <c r="AOQ211" s="2071"/>
      <c r="AOR211" s="2071"/>
      <c r="AOS211" s="2071"/>
      <c r="AOT211" s="2071"/>
      <c r="AOU211" s="2071"/>
      <c r="AOV211" s="2071"/>
      <c r="AOW211" s="2071"/>
      <c r="AOX211" s="2071"/>
      <c r="AOY211" s="2071"/>
      <c r="AOZ211" s="2071"/>
      <c r="APA211" s="2071"/>
      <c r="APB211" s="2071"/>
      <c r="APC211" s="2071"/>
      <c r="APD211" s="2071"/>
      <c r="APE211" s="2071"/>
      <c r="APF211" s="2071"/>
      <c r="APG211" s="2071"/>
      <c r="APH211" s="2071"/>
      <c r="API211" s="2071"/>
      <c r="APJ211" s="2071"/>
      <c r="APK211" s="2071"/>
      <c r="APL211" s="2071"/>
      <c r="APM211" s="2071"/>
      <c r="APN211" s="2071"/>
      <c r="APO211" s="2071"/>
      <c r="APP211" s="2071"/>
      <c r="APQ211" s="2071"/>
      <c r="APR211" s="2071"/>
      <c r="APS211" s="2071"/>
      <c r="APT211" s="2071"/>
      <c r="APU211" s="2071"/>
      <c r="APV211" s="2071"/>
      <c r="APW211" s="2071"/>
      <c r="APX211" s="2071"/>
      <c r="APY211" s="2071"/>
      <c r="APZ211" s="2071"/>
      <c r="AQA211" s="2071"/>
      <c r="AQB211" s="2071"/>
      <c r="AQC211" s="2071"/>
      <c r="AQD211" s="2071"/>
      <c r="AQE211" s="2071"/>
      <c r="AQF211" s="2071"/>
      <c r="AQG211" s="2071"/>
      <c r="AQH211" s="2071"/>
      <c r="AQI211" s="2071"/>
      <c r="AQJ211" s="2071"/>
      <c r="AQK211" s="2071"/>
      <c r="AQL211" s="2071"/>
      <c r="AQM211" s="2071"/>
      <c r="AQN211" s="2071"/>
      <c r="AQO211" s="2071"/>
      <c r="AQP211" s="2071"/>
      <c r="AQQ211" s="2071"/>
      <c r="AQR211" s="2071"/>
      <c r="AQS211" s="2071"/>
      <c r="AQT211" s="2071"/>
      <c r="AQU211" s="2071"/>
      <c r="AQV211" s="2071"/>
      <c r="AQW211" s="2071"/>
      <c r="AQX211" s="2071"/>
      <c r="AQY211" s="2071"/>
      <c r="AQZ211" s="2071"/>
      <c r="ARA211" s="2071"/>
      <c r="ARB211" s="2071"/>
      <c r="ARC211" s="2071"/>
      <c r="ARD211" s="2071"/>
      <c r="ARE211" s="2071"/>
      <c r="ARF211" s="2071"/>
      <c r="ARG211" s="2071"/>
      <c r="ARH211" s="2071"/>
      <c r="ARI211" s="2071"/>
      <c r="ARJ211" s="2071"/>
      <c r="ARK211" s="2071"/>
      <c r="ARL211" s="2071"/>
      <c r="ARM211" s="2071"/>
      <c r="ARN211" s="2071"/>
      <c r="ARO211" s="2071"/>
      <c r="ARP211" s="2071"/>
      <c r="ARQ211" s="2071"/>
      <c r="ARR211" s="2071"/>
      <c r="ARS211" s="2071"/>
      <c r="ART211" s="2071"/>
      <c r="ARU211" s="2071"/>
      <c r="ARV211" s="2071"/>
      <c r="ARW211" s="2071"/>
      <c r="ARX211" s="2071"/>
      <c r="ARY211" s="2071"/>
      <c r="ARZ211" s="2071"/>
      <c r="ASA211" s="2071"/>
      <c r="ASB211" s="2071"/>
      <c r="ASC211" s="2071"/>
      <c r="ASD211" s="2071"/>
      <c r="ASE211" s="2071"/>
      <c r="ASF211" s="2071"/>
      <c r="ASG211" s="2071"/>
      <c r="ASH211" s="2071"/>
      <c r="ASI211" s="2071"/>
      <c r="ASJ211" s="2071"/>
      <c r="ASK211" s="2071"/>
      <c r="ASL211" s="2071"/>
      <c r="ASM211" s="2071"/>
      <c r="ASN211" s="2071"/>
      <c r="ASO211" s="2071"/>
      <c r="ASP211" s="2071"/>
      <c r="ASQ211" s="2071"/>
      <c r="ASR211" s="2071"/>
      <c r="ASS211" s="2071"/>
      <c r="AST211" s="2071"/>
      <c r="ASU211" s="2071"/>
      <c r="ASV211" s="2071"/>
      <c r="ASW211" s="2071"/>
      <c r="ASX211" s="2071"/>
      <c r="ASY211" s="2071"/>
      <c r="ASZ211" s="2071"/>
      <c r="ATA211" s="2071"/>
      <c r="ATB211" s="2071"/>
      <c r="ATC211" s="2071"/>
      <c r="ATD211" s="2071"/>
      <c r="ATE211" s="2071"/>
      <c r="ATF211" s="2071"/>
      <c r="ATG211" s="2071"/>
      <c r="ATH211" s="2071"/>
      <c r="ATI211" s="2071"/>
      <c r="ATJ211" s="2071"/>
      <c r="ATK211" s="2071"/>
      <c r="ATL211" s="2071"/>
      <c r="ATM211" s="2071"/>
      <c r="ATN211" s="2071"/>
      <c r="ATO211" s="2071"/>
      <c r="ATP211" s="2071"/>
      <c r="ATQ211" s="2071"/>
      <c r="ATR211" s="2071"/>
      <c r="ATS211" s="2071"/>
      <c r="ATT211" s="2071"/>
      <c r="ATU211" s="2071"/>
      <c r="ATV211" s="2071"/>
      <c r="ATW211" s="2071"/>
      <c r="ATX211" s="2071"/>
      <c r="ATY211" s="2071"/>
      <c r="ATZ211" s="2071"/>
      <c r="AUA211" s="2071"/>
      <c r="AUB211" s="2071"/>
      <c r="AUC211" s="2071"/>
      <c r="AUD211" s="2071"/>
      <c r="AUE211" s="2071"/>
      <c r="AUF211" s="2071"/>
      <c r="AUG211" s="2071"/>
      <c r="AUH211" s="2071"/>
      <c r="AUI211" s="2071"/>
      <c r="AUJ211" s="2071"/>
      <c r="AUK211" s="2071"/>
      <c r="AUL211" s="2071"/>
      <c r="AUM211" s="2071"/>
      <c r="AUN211" s="2071"/>
      <c r="AUO211" s="2071"/>
      <c r="AUP211" s="2071"/>
      <c r="AUQ211" s="2071"/>
      <c r="AUR211" s="2071"/>
      <c r="AUS211" s="2071"/>
      <c r="AUT211" s="2071"/>
      <c r="AUU211" s="2071"/>
      <c r="AUV211" s="2071"/>
      <c r="AUW211" s="2071"/>
      <c r="AUX211" s="2071"/>
      <c r="AUY211" s="2071"/>
      <c r="AUZ211" s="2071"/>
      <c r="AVA211" s="2071"/>
      <c r="AVB211" s="2071"/>
      <c r="AVC211" s="2071"/>
      <c r="AVD211" s="2071"/>
      <c r="AVE211" s="2071"/>
      <c r="AVF211" s="2071"/>
      <c r="AVG211" s="2071"/>
      <c r="AVH211" s="2071"/>
      <c r="AVI211" s="2071"/>
      <c r="AVJ211" s="2071"/>
      <c r="AVK211" s="2071"/>
      <c r="AVL211" s="2071"/>
      <c r="AVM211" s="2071"/>
      <c r="AVN211" s="2071"/>
      <c r="AVO211" s="2071"/>
      <c r="AVP211" s="2071"/>
      <c r="AVQ211" s="2071"/>
      <c r="AVR211" s="2071"/>
      <c r="AVS211" s="2071"/>
      <c r="AVT211" s="2071"/>
      <c r="AVU211" s="2071"/>
      <c r="AVV211" s="2071"/>
      <c r="AVW211" s="2071"/>
      <c r="AVX211" s="2071"/>
      <c r="AVY211" s="2071"/>
      <c r="AVZ211" s="2071"/>
      <c r="AWA211" s="2071"/>
      <c r="AWB211" s="2071"/>
      <c r="AWC211" s="2071"/>
      <c r="AWD211" s="2071"/>
      <c r="AWE211" s="2071"/>
      <c r="AWF211" s="2071"/>
      <c r="AWG211" s="2071"/>
      <c r="AWH211" s="2071"/>
      <c r="AWI211" s="2071"/>
      <c r="AWJ211" s="2071"/>
      <c r="AWK211" s="2071"/>
      <c r="AWL211" s="2071"/>
      <c r="AWM211" s="2071"/>
      <c r="AWN211" s="2071"/>
      <c r="AWO211" s="2071"/>
      <c r="AWP211" s="2071"/>
      <c r="AWQ211" s="2071"/>
      <c r="AWR211" s="2071"/>
      <c r="AWS211" s="2071"/>
      <c r="AWT211" s="2071"/>
      <c r="AWU211" s="2071"/>
      <c r="AWV211" s="2071"/>
      <c r="AWW211" s="2071"/>
      <c r="AWX211" s="2071"/>
      <c r="AWY211" s="2071"/>
      <c r="AWZ211" s="2071"/>
      <c r="AXA211" s="2071"/>
      <c r="AXB211" s="2071"/>
      <c r="AXC211" s="2071"/>
      <c r="AXD211" s="2071"/>
      <c r="AXE211" s="2071"/>
      <c r="AXF211" s="2071"/>
      <c r="AXG211" s="2071"/>
      <c r="AXH211" s="2071"/>
      <c r="AXI211" s="2071"/>
      <c r="AXJ211" s="2071"/>
    </row>
    <row r="212" spans="1:1310" s="2072" customFormat="1" ht="23.25" customHeight="1">
      <c r="A212" s="2073"/>
      <c r="B212" s="97"/>
      <c r="C212" s="98"/>
      <c r="D212" s="98"/>
      <c r="E212" s="98"/>
      <c r="F212" s="2078"/>
      <c r="G212" s="98"/>
      <c r="H212" s="98"/>
      <c r="I212" s="98"/>
      <c r="J212" s="2079"/>
      <c r="K212" s="98"/>
      <c r="L212" s="98"/>
      <c r="M212" s="98"/>
      <c r="N212" s="98"/>
      <c r="O212" s="98"/>
      <c r="P212" s="98"/>
      <c r="Q212" s="98"/>
      <c r="R212" s="1838"/>
      <c r="S212" s="1838"/>
      <c r="T212" s="1838"/>
      <c r="U212" s="1838"/>
      <c r="V212" s="1838"/>
      <c r="W212" s="1838"/>
      <c r="X212" s="1838"/>
      <c r="Y212" s="1838"/>
      <c r="Z212" s="1838"/>
      <c r="AA212" s="1838"/>
      <c r="AB212" s="1838"/>
      <c r="AC212" s="1838"/>
      <c r="AD212" s="2070"/>
      <c r="AE212" s="2070"/>
      <c r="AF212" s="2070"/>
      <c r="AG212" s="2070"/>
      <c r="AH212" s="2070"/>
      <c r="AI212" s="2070"/>
      <c r="AJ212" s="2070"/>
      <c r="AK212" s="2070"/>
      <c r="AL212" s="2070"/>
      <c r="AM212" s="2070"/>
      <c r="AN212" s="2070"/>
      <c r="AO212" s="2070"/>
      <c r="AP212" s="2070"/>
      <c r="AQ212" s="2070"/>
      <c r="AR212" s="2070"/>
      <c r="AS212" s="2070"/>
      <c r="AT212" s="2070"/>
      <c r="AU212" s="2070"/>
      <c r="AV212" s="2071"/>
      <c r="AW212" s="2071"/>
      <c r="AX212" s="2071"/>
      <c r="AY212" s="2071"/>
      <c r="AZ212" s="2071"/>
      <c r="BA212" s="2071"/>
      <c r="BB212" s="2071"/>
      <c r="BC212" s="2071"/>
      <c r="BD212" s="2071"/>
      <c r="BE212" s="2071"/>
      <c r="BF212" s="2071"/>
      <c r="BG212" s="2071"/>
      <c r="BH212" s="2071"/>
      <c r="BI212" s="2071"/>
      <c r="BJ212" s="2071"/>
      <c r="BK212" s="2071"/>
      <c r="BL212" s="2071"/>
      <c r="BM212" s="2071"/>
      <c r="BN212" s="2071"/>
      <c r="BO212" s="2071"/>
      <c r="BP212" s="2071"/>
      <c r="BQ212" s="2071"/>
      <c r="BR212" s="2071"/>
      <c r="BS212" s="2071"/>
      <c r="BT212" s="2071"/>
      <c r="BU212" s="2071"/>
      <c r="BV212" s="2071"/>
      <c r="BW212" s="2071"/>
      <c r="BX212" s="2071"/>
      <c r="BY212" s="2071"/>
      <c r="BZ212" s="2071"/>
      <c r="CA212" s="2071"/>
      <c r="CB212" s="2071"/>
      <c r="CC212" s="2071"/>
      <c r="CD212" s="2071"/>
      <c r="CE212" s="2071"/>
      <c r="CF212" s="2071"/>
      <c r="CG212" s="2071"/>
      <c r="CH212" s="2071"/>
      <c r="CI212" s="2071"/>
      <c r="CJ212" s="2071"/>
      <c r="CK212" s="2071"/>
      <c r="CL212" s="2071"/>
      <c r="CM212" s="2071"/>
      <c r="CN212" s="2071"/>
      <c r="CO212" s="2071"/>
      <c r="CP212" s="2071"/>
      <c r="CQ212" s="2071"/>
      <c r="CR212" s="2071"/>
      <c r="CS212" s="2071"/>
      <c r="CT212" s="2071"/>
      <c r="CU212" s="2071"/>
      <c r="CV212" s="2071"/>
      <c r="CW212" s="2071"/>
      <c r="CX212" s="2071"/>
      <c r="CY212" s="2071"/>
      <c r="CZ212" s="2071"/>
      <c r="DA212" s="2071"/>
      <c r="DB212" s="2071"/>
      <c r="DC212" s="2071"/>
      <c r="DD212" s="2071"/>
      <c r="DE212" s="2071"/>
      <c r="DF212" s="2071"/>
      <c r="DG212" s="2071"/>
      <c r="DH212" s="2071"/>
      <c r="DI212" s="2071"/>
      <c r="DJ212" s="2071"/>
      <c r="DK212" s="2071"/>
      <c r="DL212" s="2071"/>
      <c r="DM212" s="2071"/>
      <c r="DN212" s="2071"/>
      <c r="DO212" s="2071"/>
      <c r="DP212" s="2071"/>
      <c r="DQ212" s="2071"/>
      <c r="DR212" s="2071"/>
      <c r="DS212" s="2071"/>
      <c r="DT212" s="2071"/>
      <c r="DU212" s="2071"/>
      <c r="DV212" s="2071"/>
      <c r="DW212" s="2071"/>
      <c r="DX212" s="2071"/>
      <c r="DY212" s="2071"/>
      <c r="DZ212" s="2071"/>
      <c r="EA212" s="2071"/>
      <c r="EB212" s="2071"/>
      <c r="EC212" s="2071"/>
      <c r="ED212" s="2071"/>
      <c r="EE212" s="2071"/>
      <c r="EF212" s="2071"/>
      <c r="EG212" s="2071"/>
      <c r="EH212" s="2071"/>
      <c r="EI212" s="2071"/>
      <c r="EJ212" s="2071"/>
      <c r="EK212" s="2071"/>
      <c r="EL212" s="2071"/>
      <c r="EM212" s="2071"/>
      <c r="EN212" s="2071"/>
      <c r="EO212" s="2071"/>
      <c r="EP212" s="2071"/>
      <c r="EQ212" s="2071"/>
      <c r="ER212" s="2071"/>
      <c r="ES212" s="2071"/>
      <c r="ET212" s="2071"/>
      <c r="EU212" s="2071"/>
      <c r="EV212" s="2071"/>
      <c r="EW212" s="2071"/>
      <c r="EX212" s="2071"/>
      <c r="EY212" s="2071"/>
      <c r="EZ212" s="2071"/>
      <c r="FA212" s="2071"/>
      <c r="FB212" s="2071"/>
      <c r="FC212" s="2071"/>
      <c r="FD212" s="2071"/>
      <c r="FE212" s="2071"/>
      <c r="FF212" s="2071"/>
      <c r="FG212" s="2071"/>
      <c r="FH212" s="2071"/>
      <c r="FI212" s="2071"/>
      <c r="FJ212" s="2071"/>
      <c r="FK212" s="2071"/>
      <c r="FL212" s="2071"/>
      <c r="FM212" s="2071"/>
      <c r="FN212" s="2071"/>
      <c r="FO212" s="2071"/>
      <c r="FP212" s="2071"/>
      <c r="FQ212" s="2071"/>
      <c r="FR212" s="2071"/>
      <c r="FS212" s="2071"/>
      <c r="FT212" s="2071"/>
      <c r="FU212" s="2071"/>
      <c r="FV212" s="2071"/>
      <c r="FW212" s="2071"/>
      <c r="FX212" s="2071"/>
      <c r="FY212" s="2071"/>
      <c r="FZ212" s="2071"/>
      <c r="GA212" s="2071"/>
      <c r="GB212" s="2071"/>
      <c r="GC212" s="2071"/>
      <c r="GD212" s="2071"/>
      <c r="GE212" s="2071"/>
      <c r="GF212" s="2071"/>
      <c r="GG212" s="2071"/>
      <c r="GH212" s="2071"/>
      <c r="GI212" s="2071"/>
      <c r="GJ212" s="2071"/>
      <c r="GK212" s="2071"/>
      <c r="GL212" s="2071"/>
      <c r="GM212" s="2071"/>
      <c r="GN212" s="2071"/>
      <c r="GO212" s="2071"/>
      <c r="GP212" s="2071"/>
      <c r="GQ212" s="2071"/>
      <c r="GR212" s="2071"/>
      <c r="GS212" s="2071"/>
      <c r="GT212" s="2071"/>
      <c r="GU212" s="2071"/>
      <c r="GV212" s="2071"/>
      <c r="GW212" s="2071"/>
      <c r="GX212" s="2071"/>
      <c r="GY212" s="2071"/>
      <c r="GZ212" s="2071"/>
      <c r="HA212" s="2071"/>
      <c r="HB212" s="2071"/>
      <c r="HC212" s="2071"/>
      <c r="HD212" s="2071"/>
      <c r="HE212" s="2071"/>
      <c r="HF212" s="2071"/>
      <c r="HG212" s="2071"/>
      <c r="HH212" s="2071"/>
      <c r="HI212" s="2071"/>
      <c r="HJ212" s="2071"/>
      <c r="HK212" s="2071"/>
      <c r="HL212" s="2071"/>
      <c r="HM212" s="2071"/>
      <c r="HN212" s="2071"/>
      <c r="HO212" s="2071"/>
      <c r="HP212" s="2071"/>
      <c r="HQ212" s="2071"/>
      <c r="HR212" s="2071"/>
      <c r="HS212" s="2071"/>
      <c r="HT212" s="2071"/>
      <c r="HU212" s="2071"/>
      <c r="HV212" s="2071"/>
      <c r="HW212" s="2071"/>
      <c r="HX212" s="2071"/>
      <c r="HY212" s="2071"/>
      <c r="HZ212" s="2071"/>
      <c r="IA212" s="2071"/>
      <c r="IB212" s="2071"/>
      <c r="IC212" s="2071"/>
      <c r="ID212" s="2071"/>
      <c r="IE212" s="2071"/>
      <c r="IF212" s="2071"/>
      <c r="IG212" s="2071"/>
      <c r="IH212" s="2071"/>
      <c r="II212" s="2071"/>
      <c r="IJ212" s="2071"/>
      <c r="IK212" s="2071"/>
      <c r="IL212" s="2071"/>
      <c r="IM212" s="2071"/>
      <c r="IN212" s="2071"/>
      <c r="IO212" s="2071"/>
      <c r="IP212" s="2071"/>
      <c r="IQ212" s="2071"/>
      <c r="IR212" s="2071"/>
      <c r="IS212" s="2071"/>
      <c r="IT212" s="2071"/>
      <c r="IU212" s="2071"/>
      <c r="IV212" s="2071"/>
      <c r="IW212" s="2071"/>
      <c r="IX212" s="2071"/>
      <c r="IY212" s="2071"/>
      <c r="IZ212" s="2071"/>
      <c r="JA212" s="2071"/>
      <c r="JB212" s="2071"/>
      <c r="JC212" s="2071"/>
      <c r="JD212" s="2071"/>
      <c r="JE212" s="2071"/>
      <c r="JF212" s="2071"/>
      <c r="JG212" s="2071"/>
      <c r="JH212" s="2071"/>
      <c r="JI212" s="2071"/>
      <c r="JJ212" s="2071"/>
      <c r="JK212" s="2071"/>
      <c r="JL212" s="2071"/>
      <c r="JM212" s="2071"/>
      <c r="JN212" s="2071"/>
      <c r="JO212" s="2071"/>
      <c r="JP212" s="2071"/>
      <c r="JQ212" s="2071"/>
      <c r="JR212" s="2071"/>
      <c r="JS212" s="2071"/>
      <c r="JT212" s="2071"/>
      <c r="JU212" s="2071"/>
      <c r="JV212" s="2071"/>
      <c r="JW212" s="2071"/>
      <c r="JX212" s="2071"/>
      <c r="JY212" s="2071"/>
      <c r="JZ212" s="2071"/>
      <c r="KA212" s="2071"/>
      <c r="KB212" s="2071"/>
      <c r="KC212" s="2071"/>
      <c r="KD212" s="2071"/>
      <c r="KE212" s="2071"/>
      <c r="KF212" s="2071"/>
      <c r="KG212" s="2071"/>
      <c r="KH212" s="2071"/>
      <c r="KI212" s="2071"/>
      <c r="KJ212" s="2071"/>
      <c r="KK212" s="2071"/>
      <c r="KL212" s="2071"/>
      <c r="KM212" s="2071"/>
      <c r="KN212" s="2071"/>
      <c r="KO212" s="2071"/>
      <c r="KP212" s="2071"/>
      <c r="KQ212" s="2071"/>
      <c r="KR212" s="2071"/>
      <c r="KS212" s="2071"/>
      <c r="KT212" s="2071"/>
      <c r="KU212" s="2071"/>
      <c r="KV212" s="2071"/>
      <c r="KW212" s="2071"/>
      <c r="KX212" s="2071"/>
      <c r="KY212" s="2071"/>
      <c r="KZ212" s="2071"/>
      <c r="LA212" s="2071"/>
      <c r="LB212" s="2071"/>
      <c r="LC212" s="2071"/>
      <c r="LD212" s="2071"/>
      <c r="LE212" s="2071"/>
      <c r="LF212" s="2071"/>
      <c r="LG212" s="2071"/>
      <c r="LH212" s="2071"/>
      <c r="LI212" s="2071"/>
      <c r="LJ212" s="2071"/>
      <c r="LK212" s="2071"/>
      <c r="LL212" s="2071"/>
      <c r="LM212" s="2071"/>
      <c r="LN212" s="2071"/>
      <c r="LO212" s="2071"/>
      <c r="LP212" s="2071"/>
      <c r="LQ212" s="2071"/>
      <c r="LR212" s="2071"/>
      <c r="LS212" s="2071"/>
      <c r="LT212" s="2071"/>
      <c r="LU212" s="2071"/>
      <c r="LV212" s="2071"/>
      <c r="LW212" s="2071"/>
      <c r="LX212" s="2071"/>
      <c r="LY212" s="2071"/>
      <c r="LZ212" s="2071"/>
      <c r="MA212" s="2071"/>
      <c r="MB212" s="2071"/>
      <c r="MC212" s="2071"/>
      <c r="MD212" s="2071"/>
      <c r="ME212" s="2071"/>
      <c r="MF212" s="2071"/>
      <c r="MG212" s="2071"/>
      <c r="MH212" s="2071"/>
      <c r="MI212" s="2071"/>
      <c r="MJ212" s="2071"/>
      <c r="MK212" s="2071"/>
      <c r="ML212" s="2071"/>
      <c r="MM212" s="2071"/>
      <c r="MN212" s="2071"/>
      <c r="MO212" s="2071"/>
      <c r="MP212" s="2071"/>
      <c r="MQ212" s="2071"/>
      <c r="MR212" s="2071"/>
      <c r="MS212" s="2071"/>
      <c r="MT212" s="2071"/>
      <c r="MU212" s="2071"/>
      <c r="MV212" s="2071"/>
      <c r="MW212" s="2071"/>
      <c r="MX212" s="2071"/>
      <c r="MY212" s="2071"/>
      <c r="MZ212" s="2071"/>
      <c r="NA212" s="2071"/>
      <c r="NB212" s="2071"/>
      <c r="NC212" s="2071"/>
      <c r="ND212" s="2071"/>
      <c r="NE212" s="2071"/>
      <c r="NF212" s="2071"/>
      <c r="NG212" s="2071"/>
      <c r="NH212" s="2071"/>
      <c r="NI212" s="2071"/>
      <c r="NJ212" s="2071"/>
      <c r="NK212" s="2071"/>
      <c r="NL212" s="2071"/>
      <c r="NM212" s="2071"/>
      <c r="NN212" s="2071"/>
      <c r="NO212" s="2071"/>
      <c r="NP212" s="2071"/>
      <c r="NQ212" s="2071"/>
      <c r="NR212" s="2071"/>
      <c r="NS212" s="2071"/>
      <c r="NT212" s="2071"/>
      <c r="NU212" s="2071"/>
      <c r="NV212" s="2071"/>
      <c r="NW212" s="2071"/>
      <c r="NX212" s="2071"/>
      <c r="NY212" s="2071"/>
      <c r="NZ212" s="2071"/>
      <c r="OA212" s="2071"/>
      <c r="OB212" s="2071"/>
      <c r="OC212" s="2071"/>
      <c r="OD212" s="2071"/>
      <c r="OE212" s="2071"/>
      <c r="OF212" s="2071"/>
      <c r="OG212" s="2071"/>
      <c r="OH212" s="2071"/>
      <c r="OI212" s="2071"/>
      <c r="OJ212" s="2071"/>
      <c r="OK212" s="2071"/>
      <c r="OL212" s="2071"/>
      <c r="OM212" s="2071"/>
      <c r="ON212" s="2071"/>
      <c r="OO212" s="2071"/>
      <c r="OP212" s="2071"/>
      <c r="OQ212" s="2071"/>
      <c r="OR212" s="2071"/>
      <c r="OS212" s="2071"/>
      <c r="OT212" s="2071"/>
      <c r="OU212" s="2071"/>
      <c r="OV212" s="2071"/>
      <c r="OW212" s="2071"/>
      <c r="OX212" s="2071"/>
      <c r="OY212" s="2071"/>
      <c r="OZ212" s="2071"/>
      <c r="PA212" s="2071"/>
      <c r="PB212" s="2071"/>
      <c r="PC212" s="2071"/>
      <c r="PD212" s="2071"/>
      <c r="PE212" s="2071"/>
      <c r="PF212" s="2071"/>
      <c r="PG212" s="2071"/>
      <c r="PH212" s="2071"/>
      <c r="PI212" s="2071"/>
      <c r="PJ212" s="2071"/>
      <c r="PK212" s="2071"/>
      <c r="PL212" s="2071"/>
      <c r="PM212" s="2071"/>
      <c r="PN212" s="2071"/>
      <c r="PO212" s="2071"/>
      <c r="PP212" s="2071"/>
      <c r="PQ212" s="2071"/>
      <c r="PR212" s="2071"/>
      <c r="PS212" s="2071"/>
      <c r="PT212" s="2071"/>
      <c r="PU212" s="2071"/>
      <c r="PV212" s="2071"/>
      <c r="PW212" s="2071"/>
      <c r="PX212" s="2071"/>
      <c r="PY212" s="2071"/>
      <c r="PZ212" s="2071"/>
      <c r="QA212" s="2071"/>
      <c r="QB212" s="2071"/>
      <c r="QC212" s="2071"/>
      <c r="QD212" s="2071"/>
      <c r="QE212" s="2071"/>
      <c r="QF212" s="2071"/>
      <c r="QG212" s="2071"/>
      <c r="QH212" s="2071"/>
      <c r="QI212" s="2071"/>
      <c r="QJ212" s="2071"/>
      <c r="QK212" s="2071"/>
      <c r="QL212" s="2071"/>
      <c r="QM212" s="2071"/>
      <c r="QN212" s="2071"/>
      <c r="QO212" s="2071"/>
      <c r="QP212" s="2071"/>
      <c r="QQ212" s="2071"/>
      <c r="QR212" s="2071"/>
      <c r="QS212" s="2071"/>
      <c r="QT212" s="2071"/>
      <c r="QU212" s="2071"/>
      <c r="QV212" s="2071"/>
      <c r="QW212" s="2071"/>
      <c r="QX212" s="2071"/>
      <c r="QY212" s="2071"/>
      <c r="QZ212" s="2071"/>
      <c r="RA212" s="2071"/>
      <c r="RB212" s="2071"/>
      <c r="RC212" s="2071"/>
      <c r="RD212" s="2071"/>
      <c r="RE212" s="2071"/>
      <c r="RF212" s="2071"/>
      <c r="RG212" s="2071"/>
      <c r="RH212" s="2071"/>
      <c r="RI212" s="2071"/>
      <c r="RJ212" s="2071"/>
      <c r="RK212" s="2071"/>
      <c r="RL212" s="2071"/>
      <c r="RM212" s="2071"/>
      <c r="RN212" s="2071"/>
      <c r="RO212" s="2071"/>
      <c r="RP212" s="2071"/>
      <c r="RQ212" s="2071"/>
      <c r="RR212" s="2071"/>
      <c r="RS212" s="2071"/>
      <c r="RT212" s="2071"/>
      <c r="RU212" s="2071"/>
      <c r="RV212" s="2071"/>
      <c r="RW212" s="2071"/>
      <c r="RX212" s="2071"/>
      <c r="RY212" s="2071"/>
      <c r="RZ212" s="2071"/>
      <c r="SA212" s="2071"/>
      <c r="SB212" s="2071"/>
      <c r="SC212" s="2071"/>
      <c r="SD212" s="2071"/>
      <c r="SE212" s="2071"/>
      <c r="SF212" s="2071"/>
      <c r="SG212" s="2071"/>
      <c r="SH212" s="2071"/>
      <c r="SI212" s="2071"/>
      <c r="SJ212" s="2071"/>
      <c r="SK212" s="2071"/>
      <c r="SL212" s="2071"/>
      <c r="SM212" s="2071"/>
      <c r="SN212" s="2071"/>
      <c r="SO212" s="2071"/>
      <c r="SP212" s="2071"/>
      <c r="SQ212" s="2071"/>
      <c r="SR212" s="2071"/>
      <c r="SS212" s="2071"/>
      <c r="ST212" s="2071"/>
      <c r="SU212" s="2071"/>
      <c r="SV212" s="2071"/>
      <c r="SW212" s="2071"/>
      <c r="SX212" s="2071"/>
      <c r="SY212" s="2071"/>
      <c r="SZ212" s="2071"/>
      <c r="TA212" s="2071"/>
      <c r="TB212" s="2071"/>
      <c r="TC212" s="2071"/>
      <c r="TD212" s="2071"/>
      <c r="TE212" s="2071"/>
      <c r="TF212" s="2071"/>
      <c r="TG212" s="2071"/>
      <c r="TH212" s="2071"/>
      <c r="TI212" s="2071"/>
      <c r="TJ212" s="2071"/>
      <c r="TK212" s="2071"/>
      <c r="TL212" s="2071"/>
      <c r="TM212" s="2071"/>
      <c r="TN212" s="2071"/>
      <c r="TO212" s="2071"/>
      <c r="TP212" s="2071"/>
      <c r="TQ212" s="2071"/>
      <c r="TR212" s="2071"/>
      <c r="TS212" s="2071"/>
      <c r="TT212" s="2071"/>
      <c r="TU212" s="2071"/>
      <c r="TV212" s="2071"/>
      <c r="TW212" s="2071"/>
      <c r="TX212" s="2071"/>
      <c r="TY212" s="2071"/>
      <c r="TZ212" s="2071"/>
      <c r="UA212" s="2071"/>
      <c r="UB212" s="2071"/>
      <c r="UC212" s="2071"/>
      <c r="UD212" s="2071"/>
      <c r="UE212" s="2071"/>
      <c r="UF212" s="2071"/>
      <c r="UG212" s="2071"/>
      <c r="UH212" s="2071"/>
      <c r="UI212" s="2071"/>
      <c r="UJ212" s="2071"/>
      <c r="UK212" s="2071"/>
      <c r="UL212" s="2071"/>
      <c r="UM212" s="2071"/>
      <c r="UN212" s="2071"/>
      <c r="UO212" s="2071"/>
      <c r="UP212" s="2071"/>
      <c r="UQ212" s="2071"/>
      <c r="UR212" s="2071"/>
      <c r="US212" s="2071"/>
      <c r="UT212" s="2071"/>
      <c r="UU212" s="2071"/>
      <c r="UV212" s="2071"/>
      <c r="UW212" s="2071"/>
      <c r="UX212" s="2071"/>
      <c r="UY212" s="2071"/>
      <c r="UZ212" s="2071"/>
      <c r="VA212" s="2071"/>
      <c r="VB212" s="2071"/>
      <c r="VC212" s="2071"/>
      <c r="VD212" s="2071"/>
      <c r="VE212" s="2071"/>
      <c r="VF212" s="2071"/>
      <c r="VG212" s="2071"/>
      <c r="VH212" s="2071"/>
      <c r="VI212" s="2071"/>
      <c r="VJ212" s="2071"/>
      <c r="VK212" s="2071"/>
      <c r="VL212" s="2071"/>
      <c r="VM212" s="2071"/>
      <c r="VN212" s="2071"/>
      <c r="VO212" s="2071"/>
      <c r="VP212" s="2071"/>
      <c r="VQ212" s="2071"/>
      <c r="VR212" s="2071"/>
      <c r="VS212" s="2071"/>
      <c r="VT212" s="2071"/>
      <c r="VU212" s="2071"/>
      <c r="VV212" s="2071"/>
      <c r="VW212" s="2071"/>
      <c r="VX212" s="2071"/>
      <c r="VY212" s="2071"/>
      <c r="VZ212" s="2071"/>
      <c r="WA212" s="2071"/>
      <c r="WB212" s="2071"/>
      <c r="WC212" s="2071"/>
      <c r="WD212" s="2071"/>
      <c r="WE212" s="2071"/>
      <c r="WF212" s="2071"/>
      <c r="WG212" s="2071"/>
      <c r="WH212" s="2071"/>
      <c r="WI212" s="2071"/>
      <c r="WJ212" s="2071"/>
      <c r="WK212" s="2071"/>
      <c r="WL212" s="2071"/>
      <c r="WM212" s="2071"/>
      <c r="WN212" s="2071"/>
      <c r="WO212" s="2071"/>
      <c r="WP212" s="2071"/>
      <c r="WQ212" s="2071"/>
      <c r="WR212" s="2071"/>
      <c r="WS212" s="2071"/>
      <c r="WT212" s="2071"/>
      <c r="WU212" s="2071"/>
      <c r="WV212" s="2071"/>
      <c r="WW212" s="2071"/>
      <c r="WX212" s="2071"/>
      <c r="WY212" s="2071"/>
      <c r="WZ212" s="2071"/>
      <c r="XA212" s="2071"/>
      <c r="XB212" s="2071"/>
      <c r="XC212" s="2071"/>
      <c r="XD212" s="2071"/>
      <c r="XE212" s="2071"/>
      <c r="XF212" s="2071"/>
      <c r="XG212" s="2071"/>
      <c r="XH212" s="2071"/>
      <c r="XI212" s="2071"/>
      <c r="XJ212" s="2071"/>
      <c r="XK212" s="2071"/>
      <c r="XL212" s="2071"/>
      <c r="XM212" s="2071"/>
      <c r="XN212" s="2071"/>
      <c r="XO212" s="2071"/>
      <c r="XP212" s="2071"/>
      <c r="XQ212" s="2071"/>
      <c r="XR212" s="2071"/>
      <c r="XS212" s="2071"/>
      <c r="XT212" s="2071"/>
      <c r="XU212" s="2071"/>
      <c r="XV212" s="2071"/>
      <c r="XW212" s="2071"/>
      <c r="XX212" s="2071"/>
      <c r="XY212" s="2071"/>
      <c r="XZ212" s="2071"/>
      <c r="YA212" s="2071"/>
      <c r="YB212" s="2071"/>
      <c r="YC212" s="2071"/>
      <c r="YD212" s="2071"/>
      <c r="YE212" s="2071"/>
      <c r="YF212" s="2071"/>
      <c r="YG212" s="2071"/>
      <c r="YH212" s="2071"/>
      <c r="YI212" s="2071"/>
      <c r="YJ212" s="2071"/>
      <c r="YK212" s="2071"/>
      <c r="YL212" s="2071"/>
      <c r="YM212" s="2071"/>
      <c r="YN212" s="2071"/>
      <c r="YO212" s="2071"/>
      <c r="YP212" s="2071"/>
      <c r="YQ212" s="2071"/>
      <c r="YR212" s="2071"/>
      <c r="YS212" s="2071"/>
      <c r="YT212" s="2071"/>
      <c r="YU212" s="2071"/>
      <c r="YV212" s="2071"/>
      <c r="YW212" s="2071"/>
      <c r="YX212" s="2071"/>
      <c r="YY212" s="2071"/>
      <c r="YZ212" s="2071"/>
      <c r="ZA212" s="2071"/>
      <c r="ZB212" s="2071"/>
      <c r="ZC212" s="2071"/>
      <c r="ZD212" s="2071"/>
      <c r="ZE212" s="2071"/>
      <c r="ZF212" s="2071"/>
      <c r="ZG212" s="2071"/>
      <c r="ZH212" s="2071"/>
      <c r="ZI212" s="2071"/>
      <c r="ZJ212" s="2071"/>
      <c r="ZK212" s="2071"/>
      <c r="ZL212" s="2071"/>
      <c r="ZM212" s="2071"/>
      <c r="ZN212" s="2071"/>
      <c r="ZO212" s="2071"/>
      <c r="ZP212" s="2071"/>
      <c r="ZQ212" s="2071"/>
      <c r="ZR212" s="2071"/>
      <c r="ZS212" s="2071"/>
      <c r="ZT212" s="2071"/>
      <c r="ZU212" s="2071"/>
      <c r="ZV212" s="2071"/>
      <c r="ZW212" s="2071"/>
      <c r="ZX212" s="2071"/>
      <c r="ZY212" s="2071"/>
      <c r="ZZ212" s="2071"/>
      <c r="AAA212" s="2071"/>
      <c r="AAB212" s="2071"/>
      <c r="AAC212" s="2071"/>
      <c r="AAD212" s="2071"/>
      <c r="AAE212" s="2071"/>
      <c r="AAF212" s="2071"/>
      <c r="AAG212" s="2071"/>
      <c r="AAH212" s="2071"/>
      <c r="AAI212" s="2071"/>
      <c r="AAJ212" s="2071"/>
      <c r="AAK212" s="2071"/>
      <c r="AAL212" s="2071"/>
      <c r="AAM212" s="2071"/>
      <c r="AAN212" s="2071"/>
      <c r="AAO212" s="2071"/>
      <c r="AAP212" s="2071"/>
      <c r="AAQ212" s="2071"/>
      <c r="AAR212" s="2071"/>
      <c r="AAS212" s="2071"/>
      <c r="AAT212" s="2071"/>
      <c r="AAU212" s="2071"/>
      <c r="AAV212" s="2071"/>
      <c r="AAW212" s="2071"/>
      <c r="AAX212" s="2071"/>
      <c r="AAY212" s="2071"/>
      <c r="AAZ212" s="2071"/>
      <c r="ABA212" s="2071"/>
      <c r="ABB212" s="2071"/>
      <c r="ABC212" s="2071"/>
      <c r="ABD212" s="2071"/>
      <c r="ABE212" s="2071"/>
      <c r="ABF212" s="2071"/>
      <c r="ABG212" s="2071"/>
      <c r="ABH212" s="2071"/>
      <c r="ABI212" s="2071"/>
      <c r="ABJ212" s="2071"/>
      <c r="ABK212" s="2071"/>
      <c r="ABL212" s="2071"/>
      <c r="ABM212" s="2071"/>
      <c r="ABN212" s="2071"/>
      <c r="ABO212" s="2071"/>
      <c r="ABP212" s="2071"/>
      <c r="ABQ212" s="2071"/>
      <c r="ABR212" s="2071"/>
      <c r="ABS212" s="2071"/>
      <c r="ABT212" s="2071"/>
      <c r="ABU212" s="2071"/>
      <c r="ABV212" s="2071"/>
      <c r="ABW212" s="2071"/>
      <c r="ABX212" s="2071"/>
      <c r="ABY212" s="2071"/>
      <c r="ABZ212" s="2071"/>
      <c r="ACA212" s="2071"/>
      <c r="ACB212" s="2071"/>
      <c r="ACC212" s="2071"/>
      <c r="ACD212" s="2071"/>
      <c r="ACE212" s="2071"/>
      <c r="ACF212" s="2071"/>
      <c r="ACG212" s="2071"/>
      <c r="ACH212" s="2071"/>
      <c r="ACI212" s="2071"/>
      <c r="ACJ212" s="2071"/>
      <c r="ACK212" s="2071"/>
      <c r="ACL212" s="2071"/>
      <c r="ACM212" s="2071"/>
      <c r="ACN212" s="2071"/>
      <c r="ACO212" s="2071"/>
      <c r="ACP212" s="2071"/>
      <c r="ACQ212" s="2071"/>
      <c r="ACR212" s="2071"/>
      <c r="ACS212" s="2071"/>
      <c r="ACT212" s="2071"/>
      <c r="ACU212" s="2071"/>
      <c r="ACV212" s="2071"/>
      <c r="ACW212" s="2071"/>
      <c r="ACX212" s="2071"/>
      <c r="ACY212" s="2071"/>
      <c r="ACZ212" s="2071"/>
      <c r="ADA212" s="2071"/>
      <c r="ADB212" s="2071"/>
      <c r="ADC212" s="2071"/>
      <c r="ADD212" s="2071"/>
      <c r="ADE212" s="2071"/>
      <c r="ADF212" s="2071"/>
      <c r="ADG212" s="2071"/>
      <c r="ADH212" s="2071"/>
      <c r="ADI212" s="2071"/>
      <c r="ADJ212" s="2071"/>
      <c r="ADK212" s="2071"/>
      <c r="ADL212" s="2071"/>
      <c r="ADM212" s="2071"/>
      <c r="ADN212" s="2071"/>
      <c r="ADO212" s="2071"/>
      <c r="ADP212" s="2071"/>
      <c r="ADQ212" s="2071"/>
      <c r="ADR212" s="2071"/>
      <c r="ADS212" s="2071"/>
      <c r="ADT212" s="2071"/>
      <c r="ADU212" s="2071"/>
      <c r="ADV212" s="2071"/>
      <c r="ADW212" s="2071"/>
      <c r="ADX212" s="2071"/>
      <c r="ADY212" s="2071"/>
      <c r="ADZ212" s="2071"/>
      <c r="AEA212" s="2071"/>
      <c r="AEB212" s="2071"/>
      <c r="AEC212" s="2071"/>
      <c r="AED212" s="2071"/>
      <c r="AEE212" s="2071"/>
      <c r="AEF212" s="2071"/>
      <c r="AEG212" s="2071"/>
      <c r="AEH212" s="2071"/>
      <c r="AEI212" s="2071"/>
      <c r="AEJ212" s="2071"/>
      <c r="AEK212" s="2071"/>
      <c r="AEL212" s="2071"/>
      <c r="AEM212" s="2071"/>
      <c r="AEN212" s="2071"/>
      <c r="AEO212" s="2071"/>
      <c r="AEP212" s="2071"/>
      <c r="AEQ212" s="2071"/>
      <c r="AER212" s="2071"/>
      <c r="AES212" s="2071"/>
      <c r="AET212" s="2071"/>
      <c r="AEU212" s="2071"/>
      <c r="AEV212" s="2071"/>
      <c r="AEW212" s="2071"/>
      <c r="AEX212" s="2071"/>
      <c r="AEY212" s="2071"/>
      <c r="AEZ212" s="2071"/>
      <c r="AFA212" s="2071"/>
      <c r="AFB212" s="2071"/>
      <c r="AFC212" s="2071"/>
      <c r="AFD212" s="2071"/>
      <c r="AFE212" s="2071"/>
      <c r="AFF212" s="2071"/>
      <c r="AFG212" s="2071"/>
      <c r="AFH212" s="2071"/>
      <c r="AFI212" s="2071"/>
      <c r="AFJ212" s="2071"/>
      <c r="AFK212" s="2071"/>
      <c r="AFL212" s="2071"/>
      <c r="AFM212" s="2071"/>
      <c r="AFN212" s="2071"/>
      <c r="AFO212" s="2071"/>
      <c r="AFP212" s="2071"/>
      <c r="AFQ212" s="2071"/>
      <c r="AFR212" s="2071"/>
      <c r="AFS212" s="2071"/>
      <c r="AFT212" s="2071"/>
      <c r="AFU212" s="2071"/>
      <c r="AFV212" s="2071"/>
      <c r="AFW212" s="2071"/>
      <c r="AFX212" s="2071"/>
      <c r="AFY212" s="2071"/>
      <c r="AFZ212" s="2071"/>
      <c r="AGA212" s="2071"/>
      <c r="AGB212" s="2071"/>
      <c r="AGC212" s="2071"/>
      <c r="AGD212" s="2071"/>
      <c r="AGE212" s="2071"/>
      <c r="AGF212" s="2071"/>
      <c r="AGG212" s="2071"/>
      <c r="AGH212" s="2071"/>
      <c r="AGI212" s="2071"/>
      <c r="AGJ212" s="2071"/>
      <c r="AGK212" s="2071"/>
      <c r="AGL212" s="2071"/>
      <c r="AGM212" s="2071"/>
      <c r="AGN212" s="2071"/>
      <c r="AGO212" s="2071"/>
      <c r="AGP212" s="2071"/>
      <c r="AGQ212" s="2071"/>
      <c r="AGR212" s="2071"/>
      <c r="AGS212" s="2071"/>
      <c r="AGT212" s="2071"/>
      <c r="AGU212" s="2071"/>
      <c r="AGV212" s="2071"/>
      <c r="AGW212" s="2071"/>
      <c r="AGX212" s="2071"/>
      <c r="AGY212" s="2071"/>
      <c r="AGZ212" s="2071"/>
      <c r="AHA212" s="2071"/>
      <c r="AHB212" s="2071"/>
      <c r="AHC212" s="2071"/>
      <c r="AHD212" s="2071"/>
      <c r="AHE212" s="2071"/>
      <c r="AHF212" s="2071"/>
      <c r="AHG212" s="2071"/>
      <c r="AHH212" s="2071"/>
      <c r="AHI212" s="2071"/>
      <c r="AHJ212" s="2071"/>
      <c r="AHK212" s="2071"/>
      <c r="AHL212" s="2071"/>
      <c r="AHM212" s="2071"/>
      <c r="AHN212" s="2071"/>
      <c r="AHO212" s="2071"/>
      <c r="AHP212" s="2071"/>
      <c r="AHQ212" s="2071"/>
      <c r="AHR212" s="2071"/>
      <c r="AHS212" s="2071"/>
      <c r="AHT212" s="2071"/>
      <c r="AHU212" s="2071"/>
      <c r="AHV212" s="2071"/>
      <c r="AHW212" s="2071"/>
      <c r="AHX212" s="2071"/>
      <c r="AHY212" s="2071"/>
      <c r="AHZ212" s="2071"/>
      <c r="AIA212" s="2071"/>
      <c r="AIB212" s="2071"/>
      <c r="AIC212" s="2071"/>
      <c r="AID212" s="2071"/>
      <c r="AIE212" s="2071"/>
      <c r="AIF212" s="2071"/>
      <c r="AIG212" s="2071"/>
      <c r="AIH212" s="2071"/>
      <c r="AII212" s="2071"/>
      <c r="AIJ212" s="2071"/>
      <c r="AIK212" s="2071"/>
      <c r="AIL212" s="2071"/>
      <c r="AIM212" s="2071"/>
      <c r="AIN212" s="2071"/>
      <c r="AIO212" s="2071"/>
      <c r="AIP212" s="2071"/>
      <c r="AIQ212" s="2071"/>
      <c r="AIR212" s="2071"/>
      <c r="AIS212" s="2071"/>
      <c r="AIT212" s="2071"/>
      <c r="AIU212" s="2071"/>
      <c r="AIV212" s="2071"/>
      <c r="AIW212" s="2071"/>
      <c r="AIX212" s="2071"/>
      <c r="AIY212" s="2071"/>
      <c r="AIZ212" s="2071"/>
      <c r="AJA212" s="2071"/>
      <c r="AJB212" s="2071"/>
      <c r="AJC212" s="2071"/>
      <c r="AJD212" s="2071"/>
      <c r="AJE212" s="2071"/>
      <c r="AJF212" s="2071"/>
      <c r="AJG212" s="2071"/>
      <c r="AJH212" s="2071"/>
      <c r="AJI212" s="2071"/>
      <c r="AJJ212" s="2071"/>
      <c r="AJK212" s="2071"/>
      <c r="AJL212" s="2071"/>
      <c r="AJM212" s="2071"/>
      <c r="AJN212" s="2071"/>
      <c r="AJO212" s="2071"/>
      <c r="AJP212" s="2071"/>
      <c r="AJQ212" s="2071"/>
      <c r="AJR212" s="2071"/>
      <c r="AJS212" s="2071"/>
      <c r="AJT212" s="2071"/>
      <c r="AJU212" s="2071"/>
      <c r="AJV212" s="2071"/>
      <c r="AJW212" s="2071"/>
      <c r="AJX212" s="2071"/>
      <c r="AJY212" s="2071"/>
      <c r="AJZ212" s="2071"/>
      <c r="AKA212" s="2071"/>
      <c r="AKB212" s="2071"/>
      <c r="AKC212" s="2071"/>
      <c r="AKD212" s="2071"/>
      <c r="AKE212" s="2071"/>
      <c r="AKF212" s="2071"/>
      <c r="AKG212" s="2071"/>
      <c r="AKH212" s="2071"/>
      <c r="AKI212" s="2071"/>
      <c r="AKJ212" s="2071"/>
      <c r="AKK212" s="2071"/>
      <c r="AKL212" s="2071"/>
      <c r="AKM212" s="2071"/>
      <c r="AKN212" s="2071"/>
      <c r="AKO212" s="2071"/>
      <c r="AKP212" s="2071"/>
      <c r="AKQ212" s="2071"/>
      <c r="AKR212" s="2071"/>
      <c r="AKS212" s="2071"/>
      <c r="AKT212" s="2071"/>
      <c r="AKU212" s="2071"/>
      <c r="AKV212" s="2071"/>
      <c r="AKW212" s="2071"/>
      <c r="AKX212" s="2071"/>
      <c r="AKY212" s="2071"/>
      <c r="AKZ212" s="2071"/>
      <c r="ALA212" s="2071"/>
      <c r="ALB212" s="2071"/>
      <c r="ALC212" s="2071"/>
      <c r="ALD212" s="2071"/>
      <c r="ALE212" s="2071"/>
      <c r="ALF212" s="2071"/>
      <c r="ALG212" s="2071"/>
      <c r="ALH212" s="2071"/>
      <c r="ALI212" s="2071"/>
      <c r="ALJ212" s="2071"/>
      <c r="ALK212" s="2071"/>
      <c r="ALL212" s="2071"/>
      <c r="ALM212" s="2071"/>
      <c r="ALN212" s="2071"/>
      <c r="ALO212" s="2071"/>
      <c r="ALP212" s="2071"/>
      <c r="ALQ212" s="2071"/>
      <c r="ALR212" s="2071"/>
      <c r="ALS212" s="2071"/>
      <c r="ALT212" s="2071"/>
      <c r="ALU212" s="2071"/>
      <c r="ALV212" s="2071"/>
      <c r="ALW212" s="2071"/>
      <c r="ALX212" s="2071"/>
      <c r="ALY212" s="2071"/>
      <c r="ALZ212" s="2071"/>
      <c r="AMA212" s="2071"/>
      <c r="AMB212" s="2071"/>
      <c r="AMC212" s="2071"/>
      <c r="AMD212" s="2071"/>
      <c r="AME212" s="2071"/>
      <c r="AMF212" s="2071"/>
      <c r="AMG212" s="2071"/>
      <c r="AMH212" s="2071"/>
      <c r="AMI212" s="2071"/>
      <c r="AMJ212" s="2071"/>
      <c r="AMK212" s="2071"/>
      <c r="AML212" s="2071"/>
      <c r="AMM212" s="2071"/>
      <c r="AMN212" s="2071"/>
      <c r="AMO212" s="2071"/>
      <c r="AMP212" s="2071"/>
      <c r="AMQ212" s="2071"/>
      <c r="AMR212" s="2071"/>
      <c r="AMS212" s="2071"/>
      <c r="AMT212" s="2071"/>
      <c r="AMU212" s="2071"/>
      <c r="AMV212" s="2071"/>
      <c r="AMW212" s="2071"/>
      <c r="AMX212" s="2071"/>
      <c r="AMY212" s="2071"/>
      <c r="AMZ212" s="2071"/>
      <c r="ANA212" s="2071"/>
      <c r="ANB212" s="2071"/>
      <c r="ANC212" s="2071"/>
      <c r="AND212" s="2071"/>
      <c r="ANE212" s="2071"/>
      <c r="ANF212" s="2071"/>
      <c r="ANG212" s="2071"/>
      <c r="ANH212" s="2071"/>
      <c r="ANI212" s="2071"/>
      <c r="ANJ212" s="2071"/>
      <c r="ANK212" s="2071"/>
      <c r="ANL212" s="2071"/>
      <c r="ANM212" s="2071"/>
      <c r="ANN212" s="2071"/>
      <c r="ANO212" s="2071"/>
      <c r="ANP212" s="2071"/>
      <c r="ANQ212" s="2071"/>
      <c r="ANR212" s="2071"/>
      <c r="ANS212" s="2071"/>
      <c r="ANT212" s="2071"/>
      <c r="ANU212" s="2071"/>
      <c r="ANV212" s="2071"/>
      <c r="ANW212" s="2071"/>
      <c r="ANX212" s="2071"/>
      <c r="ANY212" s="2071"/>
      <c r="ANZ212" s="2071"/>
      <c r="AOA212" s="2071"/>
      <c r="AOB212" s="2071"/>
      <c r="AOC212" s="2071"/>
      <c r="AOD212" s="2071"/>
      <c r="AOE212" s="2071"/>
      <c r="AOF212" s="2071"/>
      <c r="AOG212" s="2071"/>
      <c r="AOH212" s="2071"/>
      <c r="AOI212" s="2071"/>
      <c r="AOJ212" s="2071"/>
      <c r="AOK212" s="2071"/>
      <c r="AOL212" s="2071"/>
      <c r="AOM212" s="2071"/>
      <c r="AON212" s="2071"/>
      <c r="AOO212" s="2071"/>
      <c r="AOP212" s="2071"/>
      <c r="AOQ212" s="2071"/>
      <c r="AOR212" s="2071"/>
      <c r="AOS212" s="2071"/>
      <c r="AOT212" s="2071"/>
      <c r="AOU212" s="2071"/>
      <c r="AOV212" s="2071"/>
      <c r="AOW212" s="2071"/>
      <c r="AOX212" s="2071"/>
      <c r="AOY212" s="2071"/>
      <c r="AOZ212" s="2071"/>
      <c r="APA212" s="2071"/>
      <c r="APB212" s="2071"/>
      <c r="APC212" s="2071"/>
      <c r="APD212" s="2071"/>
      <c r="APE212" s="2071"/>
      <c r="APF212" s="2071"/>
      <c r="APG212" s="2071"/>
      <c r="APH212" s="2071"/>
      <c r="API212" s="2071"/>
      <c r="APJ212" s="2071"/>
      <c r="APK212" s="2071"/>
      <c r="APL212" s="2071"/>
      <c r="APM212" s="2071"/>
      <c r="APN212" s="2071"/>
      <c r="APO212" s="2071"/>
      <c r="APP212" s="2071"/>
      <c r="APQ212" s="2071"/>
      <c r="APR212" s="2071"/>
      <c r="APS212" s="2071"/>
      <c r="APT212" s="2071"/>
      <c r="APU212" s="2071"/>
      <c r="APV212" s="2071"/>
      <c r="APW212" s="2071"/>
      <c r="APX212" s="2071"/>
      <c r="APY212" s="2071"/>
      <c r="APZ212" s="2071"/>
      <c r="AQA212" s="2071"/>
      <c r="AQB212" s="2071"/>
      <c r="AQC212" s="2071"/>
      <c r="AQD212" s="2071"/>
      <c r="AQE212" s="2071"/>
      <c r="AQF212" s="2071"/>
      <c r="AQG212" s="2071"/>
      <c r="AQH212" s="2071"/>
      <c r="AQI212" s="2071"/>
      <c r="AQJ212" s="2071"/>
      <c r="AQK212" s="2071"/>
      <c r="AQL212" s="2071"/>
      <c r="AQM212" s="2071"/>
      <c r="AQN212" s="2071"/>
      <c r="AQO212" s="2071"/>
      <c r="AQP212" s="2071"/>
      <c r="AQQ212" s="2071"/>
      <c r="AQR212" s="2071"/>
      <c r="AQS212" s="2071"/>
      <c r="AQT212" s="2071"/>
      <c r="AQU212" s="2071"/>
      <c r="AQV212" s="2071"/>
      <c r="AQW212" s="2071"/>
      <c r="AQX212" s="2071"/>
      <c r="AQY212" s="2071"/>
      <c r="AQZ212" s="2071"/>
      <c r="ARA212" s="2071"/>
      <c r="ARB212" s="2071"/>
      <c r="ARC212" s="2071"/>
      <c r="ARD212" s="2071"/>
      <c r="ARE212" s="2071"/>
      <c r="ARF212" s="2071"/>
      <c r="ARG212" s="2071"/>
      <c r="ARH212" s="2071"/>
      <c r="ARI212" s="2071"/>
      <c r="ARJ212" s="2071"/>
      <c r="ARK212" s="2071"/>
      <c r="ARL212" s="2071"/>
      <c r="ARM212" s="2071"/>
      <c r="ARN212" s="2071"/>
      <c r="ARO212" s="2071"/>
      <c r="ARP212" s="2071"/>
      <c r="ARQ212" s="2071"/>
      <c r="ARR212" s="2071"/>
      <c r="ARS212" s="2071"/>
      <c r="ART212" s="2071"/>
      <c r="ARU212" s="2071"/>
      <c r="ARV212" s="2071"/>
      <c r="ARW212" s="2071"/>
      <c r="ARX212" s="2071"/>
      <c r="ARY212" s="2071"/>
      <c r="ARZ212" s="2071"/>
      <c r="ASA212" s="2071"/>
      <c r="ASB212" s="2071"/>
      <c r="ASC212" s="2071"/>
      <c r="ASD212" s="2071"/>
      <c r="ASE212" s="2071"/>
      <c r="ASF212" s="2071"/>
      <c r="ASG212" s="2071"/>
      <c r="ASH212" s="2071"/>
      <c r="ASI212" s="2071"/>
      <c r="ASJ212" s="2071"/>
      <c r="ASK212" s="2071"/>
      <c r="ASL212" s="2071"/>
      <c r="ASM212" s="2071"/>
      <c r="ASN212" s="2071"/>
      <c r="ASO212" s="2071"/>
      <c r="ASP212" s="2071"/>
      <c r="ASQ212" s="2071"/>
      <c r="ASR212" s="2071"/>
      <c r="ASS212" s="2071"/>
      <c r="AST212" s="2071"/>
      <c r="ASU212" s="2071"/>
      <c r="ASV212" s="2071"/>
      <c r="ASW212" s="2071"/>
      <c r="ASX212" s="2071"/>
      <c r="ASY212" s="2071"/>
      <c r="ASZ212" s="2071"/>
      <c r="ATA212" s="2071"/>
      <c r="ATB212" s="2071"/>
      <c r="ATC212" s="2071"/>
      <c r="ATD212" s="2071"/>
      <c r="ATE212" s="2071"/>
      <c r="ATF212" s="2071"/>
      <c r="ATG212" s="2071"/>
      <c r="ATH212" s="2071"/>
      <c r="ATI212" s="2071"/>
      <c r="ATJ212" s="2071"/>
      <c r="ATK212" s="2071"/>
      <c r="ATL212" s="2071"/>
      <c r="ATM212" s="2071"/>
      <c r="ATN212" s="2071"/>
      <c r="ATO212" s="2071"/>
      <c r="ATP212" s="2071"/>
      <c r="ATQ212" s="2071"/>
      <c r="ATR212" s="2071"/>
      <c r="ATS212" s="2071"/>
      <c r="ATT212" s="2071"/>
      <c r="ATU212" s="2071"/>
      <c r="ATV212" s="2071"/>
      <c r="ATW212" s="2071"/>
      <c r="ATX212" s="2071"/>
      <c r="ATY212" s="2071"/>
      <c r="ATZ212" s="2071"/>
      <c r="AUA212" s="2071"/>
      <c r="AUB212" s="2071"/>
      <c r="AUC212" s="2071"/>
      <c r="AUD212" s="2071"/>
      <c r="AUE212" s="2071"/>
      <c r="AUF212" s="2071"/>
      <c r="AUG212" s="2071"/>
      <c r="AUH212" s="2071"/>
      <c r="AUI212" s="2071"/>
      <c r="AUJ212" s="2071"/>
      <c r="AUK212" s="2071"/>
      <c r="AUL212" s="2071"/>
      <c r="AUM212" s="2071"/>
      <c r="AUN212" s="2071"/>
      <c r="AUO212" s="2071"/>
      <c r="AUP212" s="2071"/>
      <c r="AUQ212" s="2071"/>
      <c r="AUR212" s="2071"/>
      <c r="AUS212" s="2071"/>
      <c r="AUT212" s="2071"/>
      <c r="AUU212" s="2071"/>
      <c r="AUV212" s="2071"/>
      <c r="AUW212" s="2071"/>
      <c r="AUX212" s="2071"/>
      <c r="AUY212" s="2071"/>
      <c r="AUZ212" s="2071"/>
      <c r="AVA212" s="2071"/>
      <c r="AVB212" s="2071"/>
      <c r="AVC212" s="2071"/>
      <c r="AVD212" s="2071"/>
      <c r="AVE212" s="2071"/>
      <c r="AVF212" s="2071"/>
      <c r="AVG212" s="2071"/>
      <c r="AVH212" s="2071"/>
      <c r="AVI212" s="2071"/>
      <c r="AVJ212" s="2071"/>
      <c r="AVK212" s="2071"/>
      <c r="AVL212" s="2071"/>
      <c r="AVM212" s="2071"/>
      <c r="AVN212" s="2071"/>
      <c r="AVO212" s="2071"/>
      <c r="AVP212" s="2071"/>
      <c r="AVQ212" s="2071"/>
      <c r="AVR212" s="2071"/>
      <c r="AVS212" s="2071"/>
      <c r="AVT212" s="2071"/>
      <c r="AVU212" s="2071"/>
      <c r="AVV212" s="2071"/>
      <c r="AVW212" s="2071"/>
      <c r="AVX212" s="2071"/>
      <c r="AVY212" s="2071"/>
      <c r="AVZ212" s="2071"/>
      <c r="AWA212" s="2071"/>
      <c r="AWB212" s="2071"/>
      <c r="AWC212" s="2071"/>
      <c r="AWD212" s="2071"/>
      <c r="AWE212" s="2071"/>
      <c r="AWF212" s="2071"/>
      <c r="AWG212" s="2071"/>
      <c r="AWH212" s="2071"/>
      <c r="AWI212" s="2071"/>
      <c r="AWJ212" s="2071"/>
      <c r="AWK212" s="2071"/>
      <c r="AWL212" s="2071"/>
      <c r="AWM212" s="2071"/>
      <c r="AWN212" s="2071"/>
      <c r="AWO212" s="2071"/>
      <c r="AWP212" s="2071"/>
      <c r="AWQ212" s="2071"/>
      <c r="AWR212" s="2071"/>
      <c r="AWS212" s="2071"/>
      <c r="AWT212" s="2071"/>
      <c r="AWU212" s="2071"/>
      <c r="AWV212" s="2071"/>
      <c r="AWW212" s="2071"/>
      <c r="AWX212" s="2071"/>
      <c r="AWY212" s="2071"/>
      <c r="AWZ212" s="2071"/>
      <c r="AXA212" s="2071"/>
      <c r="AXB212" s="2071"/>
      <c r="AXC212" s="2071"/>
      <c r="AXD212" s="2071"/>
      <c r="AXE212" s="2071"/>
      <c r="AXF212" s="2071"/>
      <c r="AXG212" s="2071"/>
      <c r="AXH212" s="2071"/>
      <c r="AXI212" s="2071"/>
      <c r="AXJ212" s="2071"/>
    </row>
    <row r="213" spans="1:1310" s="2072" customFormat="1" ht="120.75" customHeight="1">
      <c r="A213" s="2073"/>
      <c r="B213" s="99"/>
      <c r="C213" s="99"/>
      <c r="D213" s="99"/>
      <c r="E213" s="99"/>
      <c r="F213" s="2080"/>
      <c r="G213" s="4486" t="s">
        <v>900</v>
      </c>
      <c r="H213" s="4486"/>
      <c r="I213" s="4486"/>
      <c r="J213" s="2076"/>
      <c r="K213" s="2081"/>
      <c r="L213" s="99"/>
      <c r="M213" s="99"/>
      <c r="N213" s="99"/>
      <c r="O213" s="99"/>
      <c r="P213" s="99"/>
      <c r="Q213" s="99"/>
      <c r="R213" s="1838"/>
      <c r="S213" s="1838"/>
      <c r="T213" s="1838"/>
      <c r="U213" s="1838"/>
      <c r="V213" s="1838"/>
      <c r="W213" s="1838"/>
      <c r="X213" s="1838"/>
      <c r="Y213" s="1838"/>
      <c r="Z213" s="1838"/>
      <c r="AA213" s="1838"/>
      <c r="AB213" s="1838"/>
      <c r="AC213" s="1838"/>
      <c r="AD213" s="2070"/>
      <c r="AE213" s="2070"/>
      <c r="AF213" s="2070"/>
      <c r="AG213" s="2070"/>
      <c r="AH213" s="2070"/>
      <c r="AI213" s="2070"/>
      <c r="AJ213" s="2070"/>
      <c r="AK213" s="2070"/>
      <c r="AL213" s="2070"/>
      <c r="AM213" s="2070"/>
      <c r="AN213" s="2070"/>
      <c r="AO213" s="2070"/>
      <c r="AP213" s="2070"/>
      <c r="AQ213" s="2070"/>
      <c r="AR213" s="2070"/>
      <c r="AS213" s="2070"/>
      <c r="AT213" s="2070"/>
      <c r="AU213" s="2070"/>
      <c r="AV213" s="2071"/>
      <c r="AW213" s="2071"/>
      <c r="AX213" s="2071"/>
      <c r="AY213" s="2071"/>
      <c r="AZ213" s="2071"/>
      <c r="BA213" s="2071"/>
      <c r="BB213" s="2071"/>
      <c r="BC213" s="2071"/>
      <c r="BD213" s="2071"/>
      <c r="BE213" s="2071"/>
      <c r="BF213" s="2071"/>
      <c r="BG213" s="2071"/>
      <c r="BH213" s="2071"/>
      <c r="BI213" s="2071"/>
      <c r="BJ213" s="2071"/>
      <c r="BK213" s="2071"/>
      <c r="BL213" s="2071"/>
      <c r="BM213" s="2071"/>
      <c r="BN213" s="2071"/>
      <c r="BO213" s="2071"/>
      <c r="BP213" s="2071"/>
      <c r="BQ213" s="2071"/>
      <c r="BR213" s="2071"/>
      <c r="BS213" s="2071"/>
      <c r="BT213" s="2071"/>
      <c r="BU213" s="2071"/>
      <c r="BV213" s="2071"/>
      <c r="BW213" s="2071"/>
      <c r="BX213" s="2071"/>
      <c r="BY213" s="2071"/>
      <c r="BZ213" s="2071"/>
      <c r="CA213" s="2071"/>
      <c r="CB213" s="2071"/>
      <c r="CC213" s="2071"/>
      <c r="CD213" s="2071"/>
      <c r="CE213" s="2071"/>
      <c r="CF213" s="2071"/>
      <c r="CG213" s="2071"/>
      <c r="CH213" s="2071"/>
      <c r="CI213" s="2071"/>
      <c r="CJ213" s="2071"/>
      <c r="CK213" s="2071"/>
      <c r="CL213" s="2071"/>
      <c r="CM213" s="2071"/>
      <c r="CN213" s="2071"/>
      <c r="CO213" s="2071"/>
      <c r="CP213" s="2071"/>
      <c r="CQ213" s="2071"/>
      <c r="CR213" s="2071"/>
      <c r="CS213" s="2071"/>
      <c r="CT213" s="2071"/>
      <c r="CU213" s="2071"/>
      <c r="CV213" s="2071"/>
      <c r="CW213" s="2071"/>
      <c r="CX213" s="2071"/>
      <c r="CY213" s="2071"/>
      <c r="CZ213" s="2071"/>
      <c r="DA213" s="2071"/>
      <c r="DB213" s="2071"/>
      <c r="DC213" s="2071"/>
      <c r="DD213" s="2071"/>
      <c r="DE213" s="2071"/>
      <c r="DF213" s="2071"/>
      <c r="DG213" s="2071"/>
      <c r="DH213" s="2071"/>
      <c r="DI213" s="2071"/>
      <c r="DJ213" s="2071"/>
      <c r="DK213" s="2071"/>
      <c r="DL213" s="2071"/>
      <c r="DM213" s="2071"/>
      <c r="DN213" s="2071"/>
      <c r="DO213" s="2071"/>
      <c r="DP213" s="2071"/>
      <c r="DQ213" s="2071"/>
      <c r="DR213" s="2071"/>
      <c r="DS213" s="2071"/>
      <c r="DT213" s="2071"/>
      <c r="DU213" s="2071"/>
      <c r="DV213" s="2071"/>
      <c r="DW213" s="2071"/>
      <c r="DX213" s="2071"/>
      <c r="DY213" s="2071"/>
      <c r="DZ213" s="2071"/>
      <c r="EA213" s="2071"/>
      <c r="EB213" s="2071"/>
      <c r="EC213" s="2071"/>
      <c r="ED213" s="2071"/>
      <c r="EE213" s="2071"/>
      <c r="EF213" s="2071"/>
      <c r="EG213" s="2071"/>
      <c r="EH213" s="2071"/>
      <c r="EI213" s="2071"/>
      <c r="EJ213" s="2071"/>
      <c r="EK213" s="2071"/>
      <c r="EL213" s="2071"/>
      <c r="EM213" s="2071"/>
      <c r="EN213" s="2071"/>
      <c r="EO213" s="2071"/>
      <c r="EP213" s="2071"/>
      <c r="EQ213" s="2071"/>
      <c r="ER213" s="2071"/>
      <c r="ES213" s="2071"/>
      <c r="ET213" s="2071"/>
      <c r="EU213" s="2071"/>
      <c r="EV213" s="2071"/>
      <c r="EW213" s="2071"/>
      <c r="EX213" s="2071"/>
      <c r="EY213" s="2071"/>
      <c r="EZ213" s="2071"/>
      <c r="FA213" s="2071"/>
      <c r="FB213" s="2071"/>
      <c r="FC213" s="2071"/>
      <c r="FD213" s="2071"/>
      <c r="FE213" s="2071"/>
      <c r="FF213" s="2071"/>
      <c r="FG213" s="2071"/>
      <c r="FH213" s="2071"/>
      <c r="FI213" s="2071"/>
      <c r="FJ213" s="2071"/>
      <c r="FK213" s="2071"/>
      <c r="FL213" s="2071"/>
      <c r="FM213" s="2071"/>
      <c r="FN213" s="2071"/>
      <c r="FO213" s="2071"/>
      <c r="FP213" s="2071"/>
      <c r="FQ213" s="2071"/>
      <c r="FR213" s="2071"/>
      <c r="FS213" s="2071"/>
      <c r="FT213" s="2071"/>
      <c r="FU213" s="2071"/>
      <c r="FV213" s="2071"/>
      <c r="FW213" s="2071"/>
      <c r="FX213" s="2071"/>
      <c r="FY213" s="2071"/>
      <c r="FZ213" s="2071"/>
      <c r="GA213" s="2071"/>
      <c r="GB213" s="2071"/>
      <c r="GC213" s="2071"/>
      <c r="GD213" s="2071"/>
      <c r="GE213" s="2071"/>
      <c r="GF213" s="2071"/>
      <c r="GG213" s="2071"/>
      <c r="GH213" s="2071"/>
      <c r="GI213" s="2071"/>
      <c r="GJ213" s="2071"/>
      <c r="GK213" s="2071"/>
      <c r="GL213" s="2071"/>
      <c r="GM213" s="2071"/>
      <c r="GN213" s="2071"/>
      <c r="GO213" s="2071"/>
      <c r="GP213" s="2071"/>
      <c r="GQ213" s="2071"/>
      <c r="GR213" s="2071"/>
      <c r="GS213" s="2071"/>
      <c r="GT213" s="2071"/>
      <c r="GU213" s="2071"/>
      <c r="GV213" s="2071"/>
      <c r="GW213" s="2071"/>
      <c r="GX213" s="2071"/>
      <c r="GY213" s="2071"/>
      <c r="GZ213" s="2071"/>
      <c r="HA213" s="2071"/>
      <c r="HB213" s="2071"/>
      <c r="HC213" s="2071"/>
      <c r="HD213" s="2071"/>
      <c r="HE213" s="2071"/>
      <c r="HF213" s="2071"/>
      <c r="HG213" s="2071"/>
      <c r="HH213" s="2071"/>
      <c r="HI213" s="2071"/>
      <c r="HJ213" s="2071"/>
      <c r="HK213" s="2071"/>
      <c r="HL213" s="2071"/>
      <c r="HM213" s="2071"/>
      <c r="HN213" s="2071"/>
      <c r="HO213" s="2071"/>
      <c r="HP213" s="2071"/>
      <c r="HQ213" s="2071"/>
      <c r="HR213" s="2071"/>
      <c r="HS213" s="2071"/>
      <c r="HT213" s="2071"/>
      <c r="HU213" s="2071"/>
      <c r="HV213" s="2071"/>
      <c r="HW213" s="2071"/>
      <c r="HX213" s="2071"/>
      <c r="HY213" s="2071"/>
      <c r="HZ213" s="2071"/>
      <c r="IA213" s="2071"/>
      <c r="IB213" s="2071"/>
      <c r="IC213" s="2071"/>
      <c r="ID213" s="2071"/>
      <c r="IE213" s="2071"/>
      <c r="IF213" s="2071"/>
      <c r="IG213" s="2071"/>
      <c r="IH213" s="2071"/>
      <c r="II213" s="2071"/>
      <c r="IJ213" s="2071"/>
      <c r="IK213" s="2071"/>
      <c r="IL213" s="2071"/>
      <c r="IM213" s="2071"/>
      <c r="IN213" s="2071"/>
      <c r="IO213" s="2071"/>
      <c r="IP213" s="2071"/>
      <c r="IQ213" s="2071"/>
      <c r="IR213" s="2071"/>
      <c r="IS213" s="2071"/>
      <c r="IT213" s="2071"/>
      <c r="IU213" s="2071"/>
      <c r="IV213" s="2071"/>
      <c r="IW213" s="2071"/>
      <c r="IX213" s="2071"/>
      <c r="IY213" s="2071"/>
      <c r="IZ213" s="2071"/>
      <c r="JA213" s="2071"/>
      <c r="JB213" s="2071"/>
      <c r="JC213" s="2071"/>
      <c r="JD213" s="2071"/>
      <c r="JE213" s="2071"/>
      <c r="JF213" s="2071"/>
      <c r="JG213" s="2071"/>
      <c r="JH213" s="2071"/>
      <c r="JI213" s="2071"/>
      <c r="JJ213" s="2071"/>
      <c r="JK213" s="2071"/>
      <c r="JL213" s="2071"/>
      <c r="JM213" s="2071"/>
      <c r="JN213" s="2071"/>
      <c r="JO213" s="2071"/>
      <c r="JP213" s="2071"/>
      <c r="JQ213" s="2071"/>
      <c r="JR213" s="2071"/>
      <c r="JS213" s="2071"/>
      <c r="JT213" s="2071"/>
      <c r="JU213" s="2071"/>
      <c r="JV213" s="2071"/>
      <c r="JW213" s="2071"/>
      <c r="JX213" s="2071"/>
      <c r="JY213" s="2071"/>
      <c r="JZ213" s="2071"/>
      <c r="KA213" s="2071"/>
      <c r="KB213" s="2071"/>
      <c r="KC213" s="2071"/>
      <c r="KD213" s="2071"/>
      <c r="KE213" s="2071"/>
      <c r="KF213" s="2071"/>
      <c r="KG213" s="2071"/>
      <c r="KH213" s="2071"/>
      <c r="KI213" s="2071"/>
      <c r="KJ213" s="2071"/>
      <c r="KK213" s="2071"/>
      <c r="KL213" s="2071"/>
      <c r="KM213" s="2071"/>
      <c r="KN213" s="2071"/>
      <c r="KO213" s="2071"/>
      <c r="KP213" s="2071"/>
      <c r="KQ213" s="2071"/>
      <c r="KR213" s="2071"/>
      <c r="KS213" s="2071"/>
      <c r="KT213" s="2071"/>
      <c r="KU213" s="2071"/>
      <c r="KV213" s="2071"/>
      <c r="KW213" s="2071"/>
      <c r="KX213" s="2071"/>
      <c r="KY213" s="2071"/>
      <c r="KZ213" s="2071"/>
      <c r="LA213" s="2071"/>
      <c r="LB213" s="2071"/>
      <c r="LC213" s="2071"/>
      <c r="LD213" s="2071"/>
      <c r="LE213" s="2071"/>
      <c r="LF213" s="2071"/>
      <c r="LG213" s="2071"/>
      <c r="LH213" s="2071"/>
      <c r="LI213" s="2071"/>
      <c r="LJ213" s="2071"/>
      <c r="LK213" s="2071"/>
      <c r="LL213" s="2071"/>
      <c r="LM213" s="2071"/>
      <c r="LN213" s="2071"/>
      <c r="LO213" s="2071"/>
      <c r="LP213" s="2071"/>
      <c r="LQ213" s="2071"/>
      <c r="LR213" s="2071"/>
      <c r="LS213" s="2071"/>
      <c r="LT213" s="2071"/>
      <c r="LU213" s="2071"/>
      <c r="LV213" s="2071"/>
      <c r="LW213" s="2071"/>
      <c r="LX213" s="2071"/>
      <c r="LY213" s="2071"/>
      <c r="LZ213" s="2071"/>
      <c r="MA213" s="2071"/>
      <c r="MB213" s="2071"/>
      <c r="MC213" s="2071"/>
      <c r="MD213" s="2071"/>
      <c r="ME213" s="2071"/>
      <c r="MF213" s="2071"/>
      <c r="MG213" s="2071"/>
      <c r="MH213" s="2071"/>
      <c r="MI213" s="2071"/>
      <c r="MJ213" s="2071"/>
      <c r="MK213" s="2071"/>
      <c r="ML213" s="2071"/>
      <c r="MM213" s="2071"/>
      <c r="MN213" s="2071"/>
      <c r="MO213" s="2071"/>
      <c r="MP213" s="2071"/>
      <c r="MQ213" s="2071"/>
      <c r="MR213" s="2071"/>
      <c r="MS213" s="2071"/>
      <c r="MT213" s="2071"/>
      <c r="MU213" s="2071"/>
      <c r="MV213" s="2071"/>
      <c r="MW213" s="2071"/>
      <c r="MX213" s="2071"/>
      <c r="MY213" s="2071"/>
      <c r="MZ213" s="2071"/>
      <c r="NA213" s="2071"/>
      <c r="NB213" s="2071"/>
      <c r="NC213" s="2071"/>
      <c r="ND213" s="2071"/>
      <c r="NE213" s="2071"/>
      <c r="NF213" s="2071"/>
      <c r="NG213" s="2071"/>
      <c r="NH213" s="2071"/>
      <c r="NI213" s="2071"/>
      <c r="NJ213" s="2071"/>
      <c r="NK213" s="2071"/>
      <c r="NL213" s="2071"/>
      <c r="NM213" s="2071"/>
      <c r="NN213" s="2071"/>
      <c r="NO213" s="2071"/>
      <c r="NP213" s="2071"/>
      <c r="NQ213" s="2071"/>
      <c r="NR213" s="2071"/>
      <c r="NS213" s="2071"/>
      <c r="NT213" s="2071"/>
      <c r="NU213" s="2071"/>
      <c r="NV213" s="2071"/>
      <c r="NW213" s="2071"/>
      <c r="NX213" s="2071"/>
      <c r="NY213" s="2071"/>
      <c r="NZ213" s="2071"/>
      <c r="OA213" s="2071"/>
      <c r="OB213" s="2071"/>
      <c r="OC213" s="2071"/>
      <c r="OD213" s="2071"/>
      <c r="OE213" s="2071"/>
      <c r="OF213" s="2071"/>
      <c r="OG213" s="2071"/>
      <c r="OH213" s="2071"/>
      <c r="OI213" s="2071"/>
      <c r="OJ213" s="2071"/>
      <c r="OK213" s="2071"/>
      <c r="OL213" s="2071"/>
      <c r="OM213" s="2071"/>
      <c r="ON213" s="2071"/>
      <c r="OO213" s="2071"/>
      <c r="OP213" s="2071"/>
      <c r="OQ213" s="2071"/>
      <c r="OR213" s="2071"/>
      <c r="OS213" s="2071"/>
      <c r="OT213" s="2071"/>
      <c r="OU213" s="2071"/>
      <c r="OV213" s="2071"/>
      <c r="OW213" s="2071"/>
      <c r="OX213" s="2071"/>
      <c r="OY213" s="2071"/>
      <c r="OZ213" s="2071"/>
      <c r="PA213" s="2071"/>
      <c r="PB213" s="2071"/>
      <c r="PC213" s="2071"/>
      <c r="PD213" s="2071"/>
      <c r="PE213" s="2071"/>
      <c r="PF213" s="2071"/>
      <c r="PG213" s="2071"/>
      <c r="PH213" s="2071"/>
      <c r="PI213" s="2071"/>
      <c r="PJ213" s="2071"/>
      <c r="PK213" s="2071"/>
      <c r="PL213" s="2071"/>
      <c r="PM213" s="2071"/>
      <c r="PN213" s="2071"/>
      <c r="PO213" s="2071"/>
      <c r="PP213" s="2071"/>
      <c r="PQ213" s="2071"/>
      <c r="PR213" s="2071"/>
      <c r="PS213" s="2071"/>
      <c r="PT213" s="2071"/>
      <c r="PU213" s="2071"/>
      <c r="PV213" s="2071"/>
      <c r="PW213" s="2071"/>
      <c r="PX213" s="2071"/>
      <c r="PY213" s="2071"/>
      <c r="PZ213" s="2071"/>
      <c r="QA213" s="2071"/>
      <c r="QB213" s="2071"/>
      <c r="QC213" s="2071"/>
      <c r="QD213" s="2071"/>
      <c r="QE213" s="2071"/>
      <c r="QF213" s="2071"/>
      <c r="QG213" s="2071"/>
      <c r="QH213" s="2071"/>
      <c r="QI213" s="2071"/>
      <c r="QJ213" s="2071"/>
      <c r="QK213" s="2071"/>
      <c r="QL213" s="2071"/>
      <c r="QM213" s="2071"/>
      <c r="QN213" s="2071"/>
      <c r="QO213" s="2071"/>
      <c r="QP213" s="2071"/>
      <c r="QQ213" s="2071"/>
      <c r="QR213" s="2071"/>
      <c r="QS213" s="2071"/>
      <c r="QT213" s="2071"/>
      <c r="QU213" s="2071"/>
      <c r="QV213" s="2071"/>
      <c r="QW213" s="2071"/>
      <c r="QX213" s="2071"/>
      <c r="QY213" s="2071"/>
      <c r="QZ213" s="2071"/>
      <c r="RA213" s="2071"/>
      <c r="RB213" s="2071"/>
      <c r="RC213" s="2071"/>
      <c r="RD213" s="2071"/>
      <c r="RE213" s="2071"/>
      <c r="RF213" s="2071"/>
      <c r="RG213" s="2071"/>
      <c r="RH213" s="2071"/>
      <c r="RI213" s="2071"/>
      <c r="RJ213" s="2071"/>
      <c r="RK213" s="2071"/>
      <c r="RL213" s="2071"/>
      <c r="RM213" s="2071"/>
      <c r="RN213" s="2071"/>
      <c r="RO213" s="2071"/>
      <c r="RP213" s="2071"/>
      <c r="RQ213" s="2071"/>
      <c r="RR213" s="2071"/>
      <c r="RS213" s="2071"/>
      <c r="RT213" s="2071"/>
      <c r="RU213" s="2071"/>
      <c r="RV213" s="2071"/>
      <c r="RW213" s="2071"/>
      <c r="RX213" s="2071"/>
      <c r="RY213" s="2071"/>
      <c r="RZ213" s="2071"/>
      <c r="SA213" s="2071"/>
      <c r="SB213" s="2071"/>
      <c r="SC213" s="2071"/>
      <c r="SD213" s="2071"/>
      <c r="SE213" s="2071"/>
      <c r="SF213" s="2071"/>
      <c r="SG213" s="2071"/>
      <c r="SH213" s="2071"/>
      <c r="SI213" s="2071"/>
      <c r="SJ213" s="2071"/>
      <c r="SK213" s="2071"/>
      <c r="SL213" s="2071"/>
      <c r="SM213" s="2071"/>
      <c r="SN213" s="2071"/>
      <c r="SO213" s="2071"/>
      <c r="SP213" s="2071"/>
      <c r="SQ213" s="2071"/>
      <c r="SR213" s="2071"/>
      <c r="SS213" s="2071"/>
      <c r="ST213" s="2071"/>
      <c r="SU213" s="2071"/>
      <c r="SV213" s="2071"/>
      <c r="SW213" s="2071"/>
      <c r="SX213" s="2071"/>
      <c r="SY213" s="2071"/>
      <c r="SZ213" s="2071"/>
      <c r="TA213" s="2071"/>
      <c r="TB213" s="2071"/>
      <c r="TC213" s="2071"/>
      <c r="TD213" s="2071"/>
      <c r="TE213" s="2071"/>
      <c r="TF213" s="2071"/>
      <c r="TG213" s="2071"/>
      <c r="TH213" s="2071"/>
      <c r="TI213" s="2071"/>
      <c r="TJ213" s="2071"/>
      <c r="TK213" s="2071"/>
      <c r="TL213" s="2071"/>
      <c r="TM213" s="2071"/>
      <c r="TN213" s="2071"/>
      <c r="TO213" s="2071"/>
      <c r="TP213" s="2071"/>
      <c r="TQ213" s="2071"/>
      <c r="TR213" s="2071"/>
      <c r="TS213" s="2071"/>
      <c r="TT213" s="2071"/>
      <c r="TU213" s="2071"/>
      <c r="TV213" s="2071"/>
      <c r="TW213" s="2071"/>
      <c r="TX213" s="2071"/>
      <c r="TY213" s="2071"/>
      <c r="TZ213" s="2071"/>
      <c r="UA213" s="2071"/>
      <c r="UB213" s="2071"/>
      <c r="UC213" s="2071"/>
      <c r="UD213" s="2071"/>
      <c r="UE213" s="2071"/>
      <c r="UF213" s="2071"/>
      <c r="UG213" s="2071"/>
      <c r="UH213" s="2071"/>
      <c r="UI213" s="2071"/>
      <c r="UJ213" s="2071"/>
      <c r="UK213" s="2071"/>
      <c r="UL213" s="2071"/>
      <c r="UM213" s="2071"/>
      <c r="UN213" s="2071"/>
      <c r="UO213" s="2071"/>
      <c r="UP213" s="2071"/>
      <c r="UQ213" s="2071"/>
      <c r="UR213" s="2071"/>
      <c r="US213" s="2071"/>
      <c r="UT213" s="2071"/>
      <c r="UU213" s="2071"/>
      <c r="UV213" s="2071"/>
      <c r="UW213" s="2071"/>
      <c r="UX213" s="2071"/>
      <c r="UY213" s="2071"/>
      <c r="UZ213" s="2071"/>
      <c r="VA213" s="2071"/>
      <c r="VB213" s="2071"/>
      <c r="VC213" s="2071"/>
      <c r="VD213" s="2071"/>
      <c r="VE213" s="2071"/>
      <c r="VF213" s="2071"/>
      <c r="VG213" s="2071"/>
      <c r="VH213" s="2071"/>
      <c r="VI213" s="2071"/>
      <c r="VJ213" s="2071"/>
      <c r="VK213" s="2071"/>
      <c r="VL213" s="2071"/>
      <c r="VM213" s="2071"/>
      <c r="VN213" s="2071"/>
      <c r="VO213" s="2071"/>
      <c r="VP213" s="2071"/>
      <c r="VQ213" s="2071"/>
      <c r="VR213" s="2071"/>
      <c r="VS213" s="2071"/>
      <c r="VT213" s="2071"/>
      <c r="VU213" s="2071"/>
      <c r="VV213" s="2071"/>
      <c r="VW213" s="2071"/>
      <c r="VX213" s="2071"/>
      <c r="VY213" s="2071"/>
      <c r="VZ213" s="2071"/>
      <c r="WA213" s="2071"/>
      <c r="WB213" s="2071"/>
      <c r="WC213" s="2071"/>
      <c r="WD213" s="2071"/>
      <c r="WE213" s="2071"/>
      <c r="WF213" s="2071"/>
      <c r="WG213" s="2071"/>
      <c r="WH213" s="2071"/>
      <c r="WI213" s="2071"/>
      <c r="WJ213" s="2071"/>
      <c r="WK213" s="2071"/>
      <c r="WL213" s="2071"/>
      <c r="WM213" s="2071"/>
      <c r="WN213" s="2071"/>
      <c r="WO213" s="2071"/>
      <c r="WP213" s="2071"/>
      <c r="WQ213" s="2071"/>
      <c r="WR213" s="2071"/>
      <c r="WS213" s="2071"/>
      <c r="WT213" s="2071"/>
      <c r="WU213" s="2071"/>
      <c r="WV213" s="2071"/>
      <c r="WW213" s="2071"/>
      <c r="WX213" s="2071"/>
      <c r="WY213" s="2071"/>
      <c r="WZ213" s="2071"/>
      <c r="XA213" s="2071"/>
      <c r="XB213" s="2071"/>
      <c r="XC213" s="2071"/>
      <c r="XD213" s="2071"/>
      <c r="XE213" s="2071"/>
      <c r="XF213" s="2071"/>
      <c r="XG213" s="2071"/>
      <c r="XH213" s="2071"/>
      <c r="XI213" s="2071"/>
      <c r="XJ213" s="2071"/>
      <c r="XK213" s="2071"/>
      <c r="XL213" s="2071"/>
      <c r="XM213" s="2071"/>
      <c r="XN213" s="2071"/>
      <c r="XO213" s="2071"/>
      <c r="XP213" s="2071"/>
      <c r="XQ213" s="2071"/>
      <c r="XR213" s="2071"/>
      <c r="XS213" s="2071"/>
      <c r="XT213" s="2071"/>
      <c r="XU213" s="2071"/>
      <c r="XV213" s="2071"/>
      <c r="XW213" s="2071"/>
      <c r="XX213" s="2071"/>
      <c r="XY213" s="2071"/>
      <c r="XZ213" s="2071"/>
      <c r="YA213" s="2071"/>
      <c r="YB213" s="2071"/>
      <c r="YC213" s="2071"/>
      <c r="YD213" s="2071"/>
      <c r="YE213" s="2071"/>
      <c r="YF213" s="2071"/>
      <c r="YG213" s="2071"/>
      <c r="YH213" s="2071"/>
      <c r="YI213" s="2071"/>
      <c r="YJ213" s="2071"/>
      <c r="YK213" s="2071"/>
      <c r="YL213" s="2071"/>
      <c r="YM213" s="2071"/>
      <c r="YN213" s="2071"/>
      <c r="YO213" s="2071"/>
      <c r="YP213" s="2071"/>
      <c r="YQ213" s="2071"/>
      <c r="YR213" s="2071"/>
      <c r="YS213" s="2071"/>
      <c r="YT213" s="2071"/>
      <c r="YU213" s="2071"/>
      <c r="YV213" s="2071"/>
      <c r="YW213" s="2071"/>
      <c r="YX213" s="2071"/>
      <c r="YY213" s="2071"/>
      <c r="YZ213" s="2071"/>
      <c r="ZA213" s="2071"/>
      <c r="ZB213" s="2071"/>
      <c r="ZC213" s="2071"/>
      <c r="ZD213" s="2071"/>
      <c r="ZE213" s="2071"/>
      <c r="ZF213" s="2071"/>
      <c r="ZG213" s="2071"/>
      <c r="ZH213" s="2071"/>
      <c r="ZI213" s="2071"/>
      <c r="ZJ213" s="2071"/>
      <c r="ZK213" s="2071"/>
      <c r="ZL213" s="2071"/>
      <c r="ZM213" s="2071"/>
      <c r="ZN213" s="2071"/>
      <c r="ZO213" s="2071"/>
      <c r="ZP213" s="2071"/>
      <c r="ZQ213" s="2071"/>
      <c r="ZR213" s="2071"/>
      <c r="ZS213" s="2071"/>
      <c r="ZT213" s="2071"/>
      <c r="ZU213" s="2071"/>
      <c r="ZV213" s="2071"/>
      <c r="ZW213" s="2071"/>
      <c r="ZX213" s="2071"/>
      <c r="ZY213" s="2071"/>
      <c r="ZZ213" s="2071"/>
      <c r="AAA213" s="2071"/>
      <c r="AAB213" s="2071"/>
      <c r="AAC213" s="2071"/>
      <c r="AAD213" s="2071"/>
      <c r="AAE213" s="2071"/>
      <c r="AAF213" s="2071"/>
      <c r="AAG213" s="2071"/>
      <c r="AAH213" s="2071"/>
      <c r="AAI213" s="2071"/>
      <c r="AAJ213" s="2071"/>
      <c r="AAK213" s="2071"/>
      <c r="AAL213" s="2071"/>
      <c r="AAM213" s="2071"/>
      <c r="AAN213" s="2071"/>
      <c r="AAO213" s="2071"/>
      <c r="AAP213" s="2071"/>
      <c r="AAQ213" s="2071"/>
      <c r="AAR213" s="2071"/>
      <c r="AAS213" s="2071"/>
      <c r="AAT213" s="2071"/>
      <c r="AAU213" s="2071"/>
      <c r="AAV213" s="2071"/>
      <c r="AAW213" s="2071"/>
      <c r="AAX213" s="2071"/>
      <c r="AAY213" s="2071"/>
      <c r="AAZ213" s="2071"/>
      <c r="ABA213" s="2071"/>
      <c r="ABB213" s="2071"/>
      <c r="ABC213" s="2071"/>
      <c r="ABD213" s="2071"/>
      <c r="ABE213" s="2071"/>
      <c r="ABF213" s="2071"/>
      <c r="ABG213" s="2071"/>
      <c r="ABH213" s="2071"/>
      <c r="ABI213" s="2071"/>
      <c r="ABJ213" s="2071"/>
      <c r="ABK213" s="2071"/>
      <c r="ABL213" s="2071"/>
      <c r="ABM213" s="2071"/>
      <c r="ABN213" s="2071"/>
      <c r="ABO213" s="2071"/>
      <c r="ABP213" s="2071"/>
      <c r="ABQ213" s="2071"/>
      <c r="ABR213" s="2071"/>
      <c r="ABS213" s="2071"/>
      <c r="ABT213" s="2071"/>
      <c r="ABU213" s="2071"/>
      <c r="ABV213" s="2071"/>
      <c r="ABW213" s="2071"/>
      <c r="ABX213" s="2071"/>
      <c r="ABY213" s="2071"/>
      <c r="ABZ213" s="2071"/>
      <c r="ACA213" s="2071"/>
      <c r="ACB213" s="2071"/>
      <c r="ACC213" s="2071"/>
      <c r="ACD213" s="2071"/>
      <c r="ACE213" s="2071"/>
      <c r="ACF213" s="2071"/>
      <c r="ACG213" s="2071"/>
      <c r="ACH213" s="2071"/>
      <c r="ACI213" s="2071"/>
      <c r="ACJ213" s="2071"/>
      <c r="ACK213" s="2071"/>
      <c r="ACL213" s="2071"/>
      <c r="ACM213" s="2071"/>
      <c r="ACN213" s="2071"/>
      <c r="ACO213" s="2071"/>
      <c r="ACP213" s="2071"/>
      <c r="ACQ213" s="2071"/>
      <c r="ACR213" s="2071"/>
      <c r="ACS213" s="2071"/>
      <c r="ACT213" s="2071"/>
      <c r="ACU213" s="2071"/>
      <c r="ACV213" s="2071"/>
      <c r="ACW213" s="2071"/>
      <c r="ACX213" s="2071"/>
      <c r="ACY213" s="2071"/>
      <c r="ACZ213" s="2071"/>
      <c r="ADA213" s="2071"/>
      <c r="ADB213" s="2071"/>
      <c r="ADC213" s="2071"/>
      <c r="ADD213" s="2071"/>
      <c r="ADE213" s="2071"/>
      <c r="ADF213" s="2071"/>
      <c r="ADG213" s="2071"/>
      <c r="ADH213" s="2071"/>
      <c r="ADI213" s="2071"/>
      <c r="ADJ213" s="2071"/>
      <c r="ADK213" s="2071"/>
      <c r="ADL213" s="2071"/>
      <c r="ADM213" s="2071"/>
      <c r="ADN213" s="2071"/>
      <c r="ADO213" s="2071"/>
      <c r="ADP213" s="2071"/>
      <c r="ADQ213" s="2071"/>
      <c r="ADR213" s="2071"/>
      <c r="ADS213" s="2071"/>
      <c r="ADT213" s="2071"/>
      <c r="ADU213" s="2071"/>
      <c r="ADV213" s="2071"/>
      <c r="ADW213" s="2071"/>
      <c r="ADX213" s="2071"/>
      <c r="ADY213" s="2071"/>
      <c r="ADZ213" s="2071"/>
      <c r="AEA213" s="2071"/>
      <c r="AEB213" s="2071"/>
      <c r="AEC213" s="2071"/>
      <c r="AED213" s="2071"/>
      <c r="AEE213" s="2071"/>
      <c r="AEF213" s="2071"/>
      <c r="AEG213" s="2071"/>
      <c r="AEH213" s="2071"/>
      <c r="AEI213" s="2071"/>
      <c r="AEJ213" s="2071"/>
      <c r="AEK213" s="2071"/>
      <c r="AEL213" s="2071"/>
      <c r="AEM213" s="2071"/>
      <c r="AEN213" s="2071"/>
      <c r="AEO213" s="2071"/>
      <c r="AEP213" s="2071"/>
      <c r="AEQ213" s="2071"/>
      <c r="AER213" s="2071"/>
      <c r="AES213" s="2071"/>
      <c r="AET213" s="2071"/>
      <c r="AEU213" s="2071"/>
      <c r="AEV213" s="2071"/>
      <c r="AEW213" s="2071"/>
      <c r="AEX213" s="2071"/>
      <c r="AEY213" s="2071"/>
      <c r="AEZ213" s="2071"/>
      <c r="AFA213" s="2071"/>
      <c r="AFB213" s="2071"/>
      <c r="AFC213" s="2071"/>
      <c r="AFD213" s="2071"/>
      <c r="AFE213" s="2071"/>
      <c r="AFF213" s="2071"/>
      <c r="AFG213" s="2071"/>
      <c r="AFH213" s="2071"/>
      <c r="AFI213" s="2071"/>
      <c r="AFJ213" s="2071"/>
      <c r="AFK213" s="2071"/>
      <c r="AFL213" s="2071"/>
      <c r="AFM213" s="2071"/>
      <c r="AFN213" s="2071"/>
      <c r="AFO213" s="2071"/>
      <c r="AFP213" s="2071"/>
      <c r="AFQ213" s="2071"/>
      <c r="AFR213" s="2071"/>
      <c r="AFS213" s="2071"/>
      <c r="AFT213" s="2071"/>
      <c r="AFU213" s="2071"/>
      <c r="AFV213" s="2071"/>
      <c r="AFW213" s="2071"/>
      <c r="AFX213" s="2071"/>
      <c r="AFY213" s="2071"/>
      <c r="AFZ213" s="2071"/>
      <c r="AGA213" s="2071"/>
      <c r="AGB213" s="2071"/>
      <c r="AGC213" s="2071"/>
      <c r="AGD213" s="2071"/>
      <c r="AGE213" s="2071"/>
      <c r="AGF213" s="2071"/>
      <c r="AGG213" s="2071"/>
      <c r="AGH213" s="2071"/>
      <c r="AGI213" s="2071"/>
      <c r="AGJ213" s="2071"/>
      <c r="AGK213" s="2071"/>
      <c r="AGL213" s="2071"/>
      <c r="AGM213" s="2071"/>
      <c r="AGN213" s="2071"/>
      <c r="AGO213" s="2071"/>
      <c r="AGP213" s="2071"/>
      <c r="AGQ213" s="2071"/>
      <c r="AGR213" s="2071"/>
      <c r="AGS213" s="2071"/>
      <c r="AGT213" s="2071"/>
      <c r="AGU213" s="2071"/>
      <c r="AGV213" s="2071"/>
      <c r="AGW213" s="2071"/>
      <c r="AGX213" s="2071"/>
      <c r="AGY213" s="2071"/>
      <c r="AGZ213" s="2071"/>
      <c r="AHA213" s="2071"/>
      <c r="AHB213" s="2071"/>
      <c r="AHC213" s="2071"/>
      <c r="AHD213" s="2071"/>
      <c r="AHE213" s="2071"/>
      <c r="AHF213" s="2071"/>
      <c r="AHG213" s="2071"/>
      <c r="AHH213" s="2071"/>
      <c r="AHI213" s="2071"/>
      <c r="AHJ213" s="2071"/>
      <c r="AHK213" s="2071"/>
      <c r="AHL213" s="2071"/>
      <c r="AHM213" s="2071"/>
      <c r="AHN213" s="2071"/>
      <c r="AHO213" s="2071"/>
      <c r="AHP213" s="2071"/>
      <c r="AHQ213" s="2071"/>
      <c r="AHR213" s="2071"/>
      <c r="AHS213" s="2071"/>
      <c r="AHT213" s="2071"/>
      <c r="AHU213" s="2071"/>
      <c r="AHV213" s="2071"/>
      <c r="AHW213" s="2071"/>
      <c r="AHX213" s="2071"/>
      <c r="AHY213" s="2071"/>
      <c r="AHZ213" s="2071"/>
      <c r="AIA213" s="2071"/>
      <c r="AIB213" s="2071"/>
      <c r="AIC213" s="2071"/>
      <c r="AID213" s="2071"/>
      <c r="AIE213" s="2071"/>
      <c r="AIF213" s="2071"/>
      <c r="AIG213" s="2071"/>
      <c r="AIH213" s="2071"/>
      <c r="AII213" s="2071"/>
      <c r="AIJ213" s="2071"/>
      <c r="AIK213" s="2071"/>
      <c r="AIL213" s="2071"/>
      <c r="AIM213" s="2071"/>
      <c r="AIN213" s="2071"/>
      <c r="AIO213" s="2071"/>
      <c r="AIP213" s="2071"/>
      <c r="AIQ213" s="2071"/>
      <c r="AIR213" s="2071"/>
      <c r="AIS213" s="2071"/>
      <c r="AIT213" s="2071"/>
      <c r="AIU213" s="2071"/>
      <c r="AIV213" s="2071"/>
      <c r="AIW213" s="2071"/>
      <c r="AIX213" s="2071"/>
      <c r="AIY213" s="2071"/>
      <c r="AIZ213" s="2071"/>
      <c r="AJA213" s="2071"/>
      <c r="AJB213" s="2071"/>
      <c r="AJC213" s="2071"/>
      <c r="AJD213" s="2071"/>
      <c r="AJE213" s="2071"/>
      <c r="AJF213" s="2071"/>
      <c r="AJG213" s="2071"/>
      <c r="AJH213" s="2071"/>
      <c r="AJI213" s="2071"/>
      <c r="AJJ213" s="2071"/>
      <c r="AJK213" s="2071"/>
      <c r="AJL213" s="2071"/>
      <c r="AJM213" s="2071"/>
      <c r="AJN213" s="2071"/>
      <c r="AJO213" s="2071"/>
      <c r="AJP213" s="2071"/>
      <c r="AJQ213" s="2071"/>
      <c r="AJR213" s="2071"/>
      <c r="AJS213" s="2071"/>
      <c r="AJT213" s="2071"/>
      <c r="AJU213" s="2071"/>
      <c r="AJV213" s="2071"/>
      <c r="AJW213" s="2071"/>
      <c r="AJX213" s="2071"/>
      <c r="AJY213" s="2071"/>
      <c r="AJZ213" s="2071"/>
      <c r="AKA213" s="2071"/>
      <c r="AKB213" s="2071"/>
      <c r="AKC213" s="2071"/>
      <c r="AKD213" s="2071"/>
      <c r="AKE213" s="2071"/>
      <c r="AKF213" s="2071"/>
      <c r="AKG213" s="2071"/>
      <c r="AKH213" s="2071"/>
      <c r="AKI213" s="2071"/>
      <c r="AKJ213" s="2071"/>
      <c r="AKK213" s="2071"/>
      <c r="AKL213" s="2071"/>
      <c r="AKM213" s="2071"/>
      <c r="AKN213" s="2071"/>
      <c r="AKO213" s="2071"/>
      <c r="AKP213" s="2071"/>
      <c r="AKQ213" s="2071"/>
      <c r="AKR213" s="2071"/>
      <c r="AKS213" s="2071"/>
      <c r="AKT213" s="2071"/>
      <c r="AKU213" s="2071"/>
      <c r="AKV213" s="2071"/>
      <c r="AKW213" s="2071"/>
      <c r="AKX213" s="2071"/>
      <c r="AKY213" s="2071"/>
      <c r="AKZ213" s="2071"/>
      <c r="ALA213" s="2071"/>
      <c r="ALB213" s="2071"/>
      <c r="ALC213" s="2071"/>
      <c r="ALD213" s="2071"/>
      <c r="ALE213" s="2071"/>
      <c r="ALF213" s="2071"/>
      <c r="ALG213" s="2071"/>
      <c r="ALH213" s="2071"/>
      <c r="ALI213" s="2071"/>
      <c r="ALJ213" s="2071"/>
      <c r="ALK213" s="2071"/>
      <c r="ALL213" s="2071"/>
      <c r="ALM213" s="2071"/>
      <c r="ALN213" s="2071"/>
      <c r="ALO213" s="2071"/>
      <c r="ALP213" s="2071"/>
      <c r="ALQ213" s="2071"/>
      <c r="ALR213" s="2071"/>
      <c r="ALS213" s="2071"/>
      <c r="ALT213" s="2071"/>
      <c r="ALU213" s="2071"/>
      <c r="ALV213" s="2071"/>
      <c r="ALW213" s="2071"/>
      <c r="ALX213" s="2071"/>
      <c r="ALY213" s="2071"/>
      <c r="ALZ213" s="2071"/>
      <c r="AMA213" s="2071"/>
      <c r="AMB213" s="2071"/>
      <c r="AMC213" s="2071"/>
      <c r="AMD213" s="2071"/>
      <c r="AME213" s="2071"/>
      <c r="AMF213" s="2071"/>
      <c r="AMG213" s="2071"/>
      <c r="AMH213" s="2071"/>
      <c r="AMI213" s="2071"/>
      <c r="AMJ213" s="2071"/>
      <c r="AMK213" s="2071"/>
      <c r="AML213" s="2071"/>
      <c r="AMM213" s="2071"/>
      <c r="AMN213" s="2071"/>
      <c r="AMO213" s="2071"/>
      <c r="AMP213" s="2071"/>
      <c r="AMQ213" s="2071"/>
      <c r="AMR213" s="2071"/>
      <c r="AMS213" s="2071"/>
      <c r="AMT213" s="2071"/>
      <c r="AMU213" s="2071"/>
      <c r="AMV213" s="2071"/>
      <c r="AMW213" s="2071"/>
      <c r="AMX213" s="2071"/>
      <c r="AMY213" s="2071"/>
      <c r="AMZ213" s="2071"/>
      <c r="ANA213" s="2071"/>
      <c r="ANB213" s="2071"/>
      <c r="ANC213" s="2071"/>
      <c r="AND213" s="2071"/>
      <c r="ANE213" s="2071"/>
      <c r="ANF213" s="2071"/>
      <c r="ANG213" s="2071"/>
      <c r="ANH213" s="2071"/>
      <c r="ANI213" s="2071"/>
      <c r="ANJ213" s="2071"/>
      <c r="ANK213" s="2071"/>
      <c r="ANL213" s="2071"/>
      <c r="ANM213" s="2071"/>
      <c r="ANN213" s="2071"/>
      <c r="ANO213" s="2071"/>
      <c r="ANP213" s="2071"/>
      <c r="ANQ213" s="2071"/>
      <c r="ANR213" s="2071"/>
      <c r="ANS213" s="2071"/>
      <c r="ANT213" s="2071"/>
      <c r="ANU213" s="2071"/>
      <c r="ANV213" s="2071"/>
      <c r="ANW213" s="2071"/>
      <c r="ANX213" s="2071"/>
      <c r="ANY213" s="2071"/>
      <c r="ANZ213" s="2071"/>
      <c r="AOA213" s="2071"/>
      <c r="AOB213" s="2071"/>
      <c r="AOC213" s="2071"/>
      <c r="AOD213" s="2071"/>
      <c r="AOE213" s="2071"/>
      <c r="AOF213" s="2071"/>
      <c r="AOG213" s="2071"/>
      <c r="AOH213" s="2071"/>
      <c r="AOI213" s="2071"/>
      <c r="AOJ213" s="2071"/>
      <c r="AOK213" s="2071"/>
      <c r="AOL213" s="2071"/>
      <c r="AOM213" s="2071"/>
      <c r="AON213" s="2071"/>
      <c r="AOO213" s="2071"/>
      <c r="AOP213" s="2071"/>
      <c r="AOQ213" s="2071"/>
      <c r="AOR213" s="2071"/>
      <c r="AOS213" s="2071"/>
      <c r="AOT213" s="2071"/>
      <c r="AOU213" s="2071"/>
      <c r="AOV213" s="2071"/>
      <c r="AOW213" s="2071"/>
      <c r="AOX213" s="2071"/>
      <c r="AOY213" s="2071"/>
      <c r="AOZ213" s="2071"/>
      <c r="APA213" s="2071"/>
      <c r="APB213" s="2071"/>
      <c r="APC213" s="2071"/>
      <c r="APD213" s="2071"/>
      <c r="APE213" s="2071"/>
      <c r="APF213" s="2071"/>
      <c r="APG213" s="2071"/>
      <c r="APH213" s="2071"/>
      <c r="API213" s="2071"/>
      <c r="APJ213" s="2071"/>
      <c r="APK213" s="2071"/>
      <c r="APL213" s="2071"/>
      <c r="APM213" s="2071"/>
      <c r="APN213" s="2071"/>
      <c r="APO213" s="2071"/>
      <c r="APP213" s="2071"/>
      <c r="APQ213" s="2071"/>
      <c r="APR213" s="2071"/>
      <c r="APS213" s="2071"/>
      <c r="APT213" s="2071"/>
      <c r="APU213" s="2071"/>
      <c r="APV213" s="2071"/>
      <c r="APW213" s="2071"/>
      <c r="APX213" s="2071"/>
      <c r="APY213" s="2071"/>
      <c r="APZ213" s="2071"/>
      <c r="AQA213" s="2071"/>
      <c r="AQB213" s="2071"/>
      <c r="AQC213" s="2071"/>
      <c r="AQD213" s="2071"/>
      <c r="AQE213" s="2071"/>
      <c r="AQF213" s="2071"/>
      <c r="AQG213" s="2071"/>
      <c r="AQH213" s="2071"/>
      <c r="AQI213" s="2071"/>
      <c r="AQJ213" s="2071"/>
      <c r="AQK213" s="2071"/>
      <c r="AQL213" s="2071"/>
      <c r="AQM213" s="2071"/>
      <c r="AQN213" s="2071"/>
      <c r="AQO213" s="2071"/>
      <c r="AQP213" s="2071"/>
      <c r="AQQ213" s="2071"/>
      <c r="AQR213" s="2071"/>
      <c r="AQS213" s="2071"/>
      <c r="AQT213" s="2071"/>
      <c r="AQU213" s="2071"/>
      <c r="AQV213" s="2071"/>
      <c r="AQW213" s="2071"/>
      <c r="AQX213" s="2071"/>
      <c r="AQY213" s="2071"/>
      <c r="AQZ213" s="2071"/>
      <c r="ARA213" s="2071"/>
      <c r="ARB213" s="2071"/>
      <c r="ARC213" s="2071"/>
      <c r="ARD213" s="2071"/>
      <c r="ARE213" s="2071"/>
      <c r="ARF213" s="2071"/>
      <c r="ARG213" s="2071"/>
      <c r="ARH213" s="2071"/>
      <c r="ARI213" s="2071"/>
      <c r="ARJ213" s="2071"/>
      <c r="ARK213" s="2071"/>
      <c r="ARL213" s="2071"/>
      <c r="ARM213" s="2071"/>
      <c r="ARN213" s="2071"/>
      <c r="ARO213" s="2071"/>
      <c r="ARP213" s="2071"/>
      <c r="ARQ213" s="2071"/>
      <c r="ARR213" s="2071"/>
      <c r="ARS213" s="2071"/>
      <c r="ART213" s="2071"/>
      <c r="ARU213" s="2071"/>
      <c r="ARV213" s="2071"/>
      <c r="ARW213" s="2071"/>
      <c r="ARX213" s="2071"/>
      <c r="ARY213" s="2071"/>
      <c r="ARZ213" s="2071"/>
      <c r="ASA213" s="2071"/>
      <c r="ASB213" s="2071"/>
      <c r="ASC213" s="2071"/>
      <c r="ASD213" s="2071"/>
      <c r="ASE213" s="2071"/>
      <c r="ASF213" s="2071"/>
      <c r="ASG213" s="2071"/>
      <c r="ASH213" s="2071"/>
      <c r="ASI213" s="2071"/>
      <c r="ASJ213" s="2071"/>
      <c r="ASK213" s="2071"/>
      <c r="ASL213" s="2071"/>
      <c r="ASM213" s="2071"/>
      <c r="ASN213" s="2071"/>
      <c r="ASO213" s="2071"/>
      <c r="ASP213" s="2071"/>
      <c r="ASQ213" s="2071"/>
      <c r="ASR213" s="2071"/>
      <c r="ASS213" s="2071"/>
      <c r="AST213" s="2071"/>
      <c r="ASU213" s="2071"/>
      <c r="ASV213" s="2071"/>
      <c r="ASW213" s="2071"/>
      <c r="ASX213" s="2071"/>
      <c r="ASY213" s="2071"/>
      <c r="ASZ213" s="2071"/>
      <c r="ATA213" s="2071"/>
      <c r="ATB213" s="2071"/>
      <c r="ATC213" s="2071"/>
      <c r="ATD213" s="2071"/>
      <c r="ATE213" s="2071"/>
      <c r="ATF213" s="2071"/>
      <c r="ATG213" s="2071"/>
      <c r="ATH213" s="2071"/>
      <c r="ATI213" s="2071"/>
      <c r="ATJ213" s="2071"/>
      <c r="ATK213" s="2071"/>
      <c r="ATL213" s="2071"/>
      <c r="ATM213" s="2071"/>
      <c r="ATN213" s="2071"/>
      <c r="ATO213" s="2071"/>
      <c r="ATP213" s="2071"/>
      <c r="ATQ213" s="2071"/>
      <c r="ATR213" s="2071"/>
      <c r="ATS213" s="2071"/>
      <c r="ATT213" s="2071"/>
      <c r="ATU213" s="2071"/>
      <c r="ATV213" s="2071"/>
      <c r="ATW213" s="2071"/>
      <c r="ATX213" s="2071"/>
      <c r="ATY213" s="2071"/>
      <c r="ATZ213" s="2071"/>
      <c r="AUA213" s="2071"/>
      <c r="AUB213" s="2071"/>
      <c r="AUC213" s="2071"/>
      <c r="AUD213" s="2071"/>
      <c r="AUE213" s="2071"/>
      <c r="AUF213" s="2071"/>
      <c r="AUG213" s="2071"/>
      <c r="AUH213" s="2071"/>
      <c r="AUI213" s="2071"/>
      <c r="AUJ213" s="2071"/>
      <c r="AUK213" s="2071"/>
      <c r="AUL213" s="2071"/>
      <c r="AUM213" s="2071"/>
      <c r="AUN213" s="2071"/>
      <c r="AUO213" s="2071"/>
      <c r="AUP213" s="2071"/>
      <c r="AUQ213" s="2071"/>
      <c r="AUR213" s="2071"/>
      <c r="AUS213" s="2071"/>
      <c r="AUT213" s="2071"/>
      <c r="AUU213" s="2071"/>
      <c r="AUV213" s="2071"/>
      <c r="AUW213" s="2071"/>
      <c r="AUX213" s="2071"/>
      <c r="AUY213" s="2071"/>
      <c r="AUZ213" s="2071"/>
      <c r="AVA213" s="2071"/>
      <c r="AVB213" s="2071"/>
      <c r="AVC213" s="2071"/>
      <c r="AVD213" s="2071"/>
      <c r="AVE213" s="2071"/>
      <c r="AVF213" s="2071"/>
      <c r="AVG213" s="2071"/>
      <c r="AVH213" s="2071"/>
      <c r="AVI213" s="2071"/>
      <c r="AVJ213" s="2071"/>
      <c r="AVK213" s="2071"/>
      <c r="AVL213" s="2071"/>
      <c r="AVM213" s="2071"/>
      <c r="AVN213" s="2071"/>
      <c r="AVO213" s="2071"/>
      <c r="AVP213" s="2071"/>
      <c r="AVQ213" s="2071"/>
      <c r="AVR213" s="2071"/>
      <c r="AVS213" s="2071"/>
      <c r="AVT213" s="2071"/>
      <c r="AVU213" s="2071"/>
      <c r="AVV213" s="2071"/>
      <c r="AVW213" s="2071"/>
      <c r="AVX213" s="2071"/>
      <c r="AVY213" s="2071"/>
      <c r="AVZ213" s="2071"/>
      <c r="AWA213" s="2071"/>
      <c r="AWB213" s="2071"/>
      <c r="AWC213" s="2071"/>
      <c r="AWD213" s="2071"/>
      <c r="AWE213" s="2071"/>
      <c r="AWF213" s="2071"/>
      <c r="AWG213" s="2071"/>
      <c r="AWH213" s="2071"/>
      <c r="AWI213" s="2071"/>
      <c r="AWJ213" s="2071"/>
      <c r="AWK213" s="2071"/>
      <c r="AWL213" s="2071"/>
      <c r="AWM213" s="2071"/>
      <c r="AWN213" s="2071"/>
      <c r="AWO213" s="2071"/>
      <c r="AWP213" s="2071"/>
      <c r="AWQ213" s="2071"/>
      <c r="AWR213" s="2071"/>
      <c r="AWS213" s="2071"/>
      <c r="AWT213" s="2071"/>
      <c r="AWU213" s="2071"/>
      <c r="AWV213" s="2071"/>
      <c r="AWW213" s="2071"/>
      <c r="AWX213" s="2071"/>
      <c r="AWY213" s="2071"/>
      <c r="AWZ213" s="2071"/>
      <c r="AXA213" s="2071"/>
      <c r="AXB213" s="2071"/>
      <c r="AXC213" s="2071"/>
      <c r="AXD213" s="2071"/>
      <c r="AXE213" s="2071"/>
      <c r="AXF213" s="2071"/>
      <c r="AXG213" s="2071"/>
      <c r="AXH213" s="2071"/>
      <c r="AXI213" s="2071"/>
      <c r="AXJ213" s="2071"/>
    </row>
    <row r="214" spans="1:1310" s="2072" customFormat="1" ht="56.25" customHeight="1">
      <c r="A214" s="2073"/>
      <c r="B214" s="4476" t="s">
        <v>901</v>
      </c>
      <c r="C214" s="4476"/>
      <c r="D214" s="4476"/>
      <c r="E214" s="4476"/>
      <c r="F214" s="2075"/>
      <c r="G214" s="4477" t="s">
        <v>901</v>
      </c>
      <c r="H214" s="4477"/>
      <c r="I214" s="4477"/>
      <c r="J214" s="2077"/>
      <c r="K214" s="4478" t="s">
        <v>902</v>
      </c>
      <c r="L214" s="4478"/>
      <c r="M214" s="4478"/>
      <c r="N214" s="2077"/>
      <c r="O214" s="4479" t="s">
        <v>903</v>
      </c>
      <c r="P214" s="4479"/>
      <c r="Q214" s="4479"/>
      <c r="R214" s="1838"/>
      <c r="S214" s="1838"/>
      <c r="T214" s="1838"/>
      <c r="U214" s="1838"/>
      <c r="V214" s="1838"/>
      <c r="W214" s="1838"/>
      <c r="X214" s="1838"/>
      <c r="Y214" s="1838"/>
      <c r="Z214" s="1838"/>
      <c r="AA214" s="1838"/>
      <c r="AB214" s="1838"/>
      <c r="AC214" s="1838"/>
      <c r="AD214" s="2070"/>
      <c r="AE214" s="2070"/>
      <c r="AF214" s="2070"/>
      <c r="AG214" s="2070"/>
      <c r="AH214" s="2070"/>
      <c r="AI214" s="2070"/>
      <c r="AJ214" s="2070"/>
      <c r="AK214" s="2070"/>
      <c r="AL214" s="2070"/>
      <c r="AM214" s="2070"/>
      <c r="AN214" s="2070"/>
      <c r="AO214" s="2070"/>
      <c r="AP214" s="2070"/>
      <c r="AQ214" s="2070"/>
      <c r="AR214" s="2070"/>
      <c r="AS214" s="2070"/>
      <c r="AT214" s="2070"/>
      <c r="AU214" s="2070"/>
      <c r="AV214" s="2071"/>
      <c r="AW214" s="2071"/>
      <c r="AX214" s="2071"/>
      <c r="AY214" s="2071"/>
      <c r="AZ214" s="2071"/>
      <c r="BA214" s="2071"/>
      <c r="BB214" s="2071"/>
      <c r="BC214" s="2071"/>
      <c r="BD214" s="2071"/>
      <c r="BE214" s="2071"/>
      <c r="BF214" s="2071"/>
      <c r="BG214" s="2071"/>
      <c r="BH214" s="2071"/>
      <c r="BI214" s="2071"/>
      <c r="BJ214" s="2071"/>
      <c r="BK214" s="2071"/>
      <c r="BL214" s="2071"/>
      <c r="BM214" s="2071"/>
      <c r="BN214" s="2071"/>
      <c r="BO214" s="2071"/>
      <c r="BP214" s="2071"/>
      <c r="BQ214" s="2071"/>
      <c r="BR214" s="2071"/>
      <c r="BS214" s="2071"/>
      <c r="BT214" s="2071"/>
      <c r="BU214" s="2071"/>
      <c r="BV214" s="2071"/>
      <c r="BW214" s="2071"/>
      <c r="BX214" s="2071"/>
      <c r="BY214" s="2071"/>
      <c r="BZ214" s="2071"/>
      <c r="CA214" s="2071"/>
      <c r="CB214" s="2071"/>
      <c r="CC214" s="2071"/>
      <c r="CD214" s="2071"/>
      <c r="CE214" s="2071"/>
      <c r="CF214" s="2071"/>
      <c r="CG214" s="2071"/>
      <c r="CH214" s="2071"/>
      <c r="CI214" s="2071"/>
      <c r="CJ214" s="2071"/>
      <c r="CK214" s="2071"/>
      <c r="CL214" s="2071"/>
      <c r="CM214" s="2071"/>
      <c r="CN214" s="2071"/>
      <c r="CO214" s="2071"/>
      <c r="CP214" s="2071"/>
      <c r="CQ214" s="2071"/>
      <c r="CR214" s="2071"/>
      <c r="CS214" s="2071"/>
      <c r="CT214" s="2071"/>
      <c r="CU214" s="2071"/>
      <c r="CV214" s="2071"/>
      <c r="CW214" s="2071"/>
      <c r="CX214" s="2071"/>
      <c r="CY214" s="2071"/>
      <c r="CZ214" s="2071"/>
      <c r="DA214" s="2071"/>
      <c r="DB214" s="2071"/>
      <c r="DC214" s="2071"/>
      <c r="DD214" s="2071"/>
      <c r="DE214" s="2071"/>
      <c r="DF214" s="2071"/>
      <c r="DG214" s="2071"/>
      <c r="DH214" s="2071"/>
      <c r="DI214" s="2071"/>
      <c r="DJ214" s="2071"/>
      <c r="DK214" s="2071"/>
      <c r="DL214" s="2071"/>
      <c r="DM214" s="2071"/>
      <c r="DN214" s="2071"/>
      <c r="DO214" s="2071"/>
      <c r="DP214" s="2071"/>
      <c r="DQ214" s="2071"/>
      <c r="DR214" s="2071"/>
      <c r="DS214" s="2071"/>
      <c r="DT214" s="2071"/>
      <c r="DU214" s="2071"/>
      <c r="DV214" s="2071"/>
      <c r="DW214" s="2071"/>
      <c r="DX214" s="2071"/>
      <c r="DY214" s="2071"/>
      <c r="DZ214" s="2071"/>
      <c r="EA214" s="2071"/>
      <c r="EB214" s="2071"/>
      <c r="EC214" s="2071"/>
      <c r="ED214" s="2071"/>
      <c r="EE214" s="2071"/>
      <c r="EF214" s="2071"/>
      <c r="EG214" s="2071"/>
      <c r="EH214" s="2071"/>
      <c r="EI214" s="2071"/>
      <c r="EJ214" s="2071"/>
      <c r="EK214" s="2071"/>
      <c r="EL214" s="2071"/>
      <c r="EM214" s="2071"/>
      <c r="EN214" s="2071"/>
      <c r="EO214" s="2071"/>
      <c r="EP214" s="2071"/>
      <c r="EQ214" s="2071"/>
      <c r="ER214" s="2071"/>
      <c r="ES214" s="2071"/>
      <c r="ET214" s="2071"/>
      <c r="EU214" s="2071"/>
      <c r="EV214" s="2071"/>
      <c r="EW214" s="2071"/>
      <c r="EX214" s="2071"/>
      <c r="EY214" s="2071"/>
      <c r="EZ214" s="2071"/>
      <c r="FA214" s="2071"/>
      <c r="FB214" s="2071"/>
      <c r="FC214" s="2071"/>
      <c r="FD214" s="2071"/>
      <c r="FE214" s="2071"/>
      <c r="FF214" s="2071"/>
      <c r="FG214" s="2071"/>
      <c r="FH214" s="2071"/>
      <c r="FI214" s="2071"/>
      <c r="FJ214" s="2071"/>
      <c r="FK214" s="2071"/>
      <c r="FL214" s="2071"/>
      <c r="FM214" s="2071"/>
      <c r="FN214" s="2071"/>
      <c r="FO214" s="2071"/>
      <c r="FP214" s="2071"/>
      <c r="FQ214" s="2071"/>
      <c r="FR214" s="2071"/>
      <c r="FS214" s="2071"/>
      <c r="FT214" s="2071"/>
      <c r="FU214" s="2071"/>
      <c r="FV214" s="2071"/>
      <c r="FW214" s="2071"/>
      <c r="FX214" s="2071"/>
      <c r="FY214" s="2071"/>
      <c r="FZ214" s="2071"/>
      <c r="GA214" s="2071"/>
      <c r="GB214" s="2071"/>
      <c r="GC214" s="2071"/>
      <c r="GD214" s="2071"/>
      <c r="GE214" s="2071"/>
      <c r="GF214" s="2071"/>
      <c r="GG214" s="2071"/>
      <c r="GH214" s="2071"/>
      <c r="GI214" s="2071"/>
      <c r="GJ214" s="2071"/>
      <c r="GK214" s="2071"/>
      <c r="GL214" s="2071"/>
      <c r="GM214" s="2071"/>
      <c r="GN214" s="2071"/>
      <c r="GO214" s="2071"/>
      <c r="GP214" s="2071"/>
      <c r="GQ214" s="2071"/>
      <c r="GR214" s="2071"/>
      <c r="GS214" s="2071"/>
      <c r="GT214" s="2071"/>
      <c r="GU214" s="2071"/>
      <c r="GV214" s="2071"/>
      <c r="GW214" s="2071"/>
      <c r="GX214" s="2071"/>
      <c r="GY214" s="2071"/>
      <c r="GZ214" s="2071"/>
      <c r="HA214" s="2071"/>
      <c r="HB214" s="2071"/>
      <c r="HC214" s="2071"/>
      <c r="HD214" s="2071"/>
      <c r="HE214" s="2071"/>
      <c r="HF214" s="2071"/>
      <c r="HG214" s="2071"/>
      <c r="HH214" s="2071"/>
      <c r="HI214" s="2071"/>
      <c r="HJ214" s="2071"/>
      <c r="HK214" s="2071"/>
      <c r="HL214" s="2071"/>
      <c r="HM214" s="2071"/>
      <c r="HN214" s="2071"/>
      <c r="HO214" s="2071"/>
      <c r="HP214" s="2071"/>
      <c r="HQ214" s="2071"/>
      <c r="HR214" s="2071"/>
      <c r="HS214" s="2071"/>
      <c r="HT214" s="2071"/>
      <c r="HU214" s="2071"/>
      <c r="HV214" s="2071"/>
      <c r="HW214" s="2071"/>
      <c r="HX214" s="2071"/>
      <c r="HY214" s="2071"/>
      <c r="HZ214" s="2071"/>
      <c r="IA214" s="2071"/>
      <c r="IB214" s="2071"/>
      <c r="IC214" s="2071"/>
      <c r="ID214" s="2071"/>
      <c r="IE214" s="2071"/>
      <c r="IF214" s="2071"/>
      <c r="IG214" s="2071"/>
      <c r="IH214" s="2071"/>
      <c r="II214" s="2071"/>
      <c r="IJ214" s="2071"/>
      <c r="IK214" s="2071"/>
      <c r="IL214" s="2071"/>
      <c r="IM214" s="2071"/>
      <c r="IN214" s="2071"/>
      <c r="IO214" s="2071"/>
      <c r="IP214" s="2071"/>
      <c r="IQ214" s="2071"/>
      <c r="IR214" s="2071"/>
      <c r="IS214" s="2071"/>
      <c r="IT214" s="2071"/>
      <c r="IU214" s="2071"/>
      <c r="IV214" s="2071"/>
      <c r="IW214" s="2071"/>
      <c r="IX214" s="2071"/>
      <c r="IY214" s="2071"/>
      <c r="IZ214" s="2071"/>
      <c r="JA214" s="2071"/>
      <c r="JB214" s="2071"/>
      <c r="JC214" s="2071"/>
      <c r="JD214" s="2071"/>
      <c r="JE214" s="2071"/>
      <c r="JF214" s="2071"/>
      <c r="JG214" s="2071"/>
      <c r="JH214" s="2071"/>
      <c r="JI214" s="2071"/>
      <c r="JJ214" s="2071"/>
      <c r="JK214" s="2071"/>
      <c r="JL214" s="2071"/>
      <c r="JM214" s="2071"/>
      <c r="JN214" s="2071"/>
      <c r="JO214" s="2071"/>
      <c r="JP214" s="2071"/>
      <c r="JQ214" s="2071"/>
      <c r="JR214" s="2071"/>
      <c r="JS214" s="2071"/>
      <c r="JT214" s="2071"/>
      <c r="JU214" s="2071"/>
      <c r="JV214" s="2071"/>
      <c r="JW214" s="2071"/>
      <c r="JX214" s="2071"/>
      <c r="JY214" s="2071"/>
      <c r="JZ214" s="2071"/>
      <c r="KA214" s="2071"/>
      <c r="KB214" s="2071"/>
      <c r="KC214" s="2071"/>
      <c r="KD214" s="2071"/>
      <c r="KE214" s="2071"/>
      <c r="KF214" s="2071"/>
      <c r="KG214" s="2071"/>
      <c r="KH214" s="2071"/>
      <c r="KI214" s="2071"/>
      <c r="KJ214" s="2071"/>
      <c r="KK214" s="2071"/>
      <c r="KL214" s="2071"/>
      <c r="KM214" s="2071"/>
      <c r="KN214" s="2071"/>
      <c r="KO214" s="2071"/>
      <c r="KP214" s="2071"/>
      <c r="KQ214" s="2071"/>
      <c r="KR214" s="2071"/>
      <c r="KS214" s="2071"/>
      <c r="KT214" s="2071"/>
      <c r="KU214" s="2071"/>
      <c r="KV214" s="2071"/>
      <c r="KW214" s="2071"/>
      <c r="KX214" s="2071"/>
      <c r="KY214" s="2071"/>
      <c r="KZ214" s="2071"/>
      <c r="LA214" s="2071"/>
      <c r="LB214" s="2071"/>
      <c r="LC214" s="2071"/>
      <c r="LD214" s="2071"/>
      <c r="LE214" s="2071"/>
      <c r="LF214" s="2071"/>
      <c r="LG214" s="2071"/>
      <c r="LH214" s="2071"/>
      <c r="LI214" s="2071"/>
      <c r="LJ214" s="2071"/>
      <c r="LK214" s="2071"/>
      <c r="LL214" s="2071"/>
      <c r="LM214" s="2071"/>
      <c r="LN214" s="2071"/>
      <c r="LO214" s="2071"/>
      <c r="LP214" s="2071"/>
      <c r="LQ214" s="2071"/>
      <c r="LR214" s="2071"/>
      <c r="LS214" s="2071"/>
      <c r="LT214" s="2071"/>
      <c r="LU214" s="2071"/>
      <c r="LV214" s="2071"/>
      <c r="LW214" s="2071"/>
      <c r="LX214" s="2071"/>
      <c r="LY214" s="2071"/>
      <c r="LZ214" s="2071"/>
      <c r="MA214" s="2071"/>
      <c r="MB214" s="2071"/>
      <c r="MC214" s="2071"/>
      <c r="MD214" s="2071"/>
      <c r="ME214" s="2071"/>
      <c r="MF214" s="2071"/>
      <c r="MG214" s="2071"/>
      <c r="MH214" s="2071"/>
      <c r="MI214" s="2071"/>
      <c r="MJ214" s="2071"/>
      <c r="MK214" s="2071"/>
      <c r="ML214" s="2071"/>
      <c r="MM214" s="2071"/>
      <c r="MN214" s="2071"/>
      <c r="MO214" s="2071"/>
      <c r="MP214" s="2071"/>
      <c r="MQ214" s="2071"/>
      <c r="MR214" s="2071"/>
      <c r="MS214" s="2071"/>
      <c r="MT214" s="2071"/>
      <c r="MU214" s="2071"/>
      <c r="MV214" s="2071"/>
      <c r="MW214" s="2071"/>
      <c r="MX214" s="2071"/>
      <c r="MY214" s="2071"/>
      <c r="MZ214" s="2071"/>
      <c r="NA214" s="2071"/>
      <c r="NB214" s="2071"/>
      <c r="NC214" s="2071"/>
      <c r="ND214" s="2071"/>
      <c r="NE214" s="2071"/>
      <c r="NF214" s="2071"/>
      <c r="NG214" s="2071"/>
      <c r="NH214" s="2071"/>
      <c r="NI214" s="2071"/>
      <c r="NJ214" s="2071"/>
      <c r="NK214" s="2071"/>
      <c r="NL214" s="2071"/>
      <c r="NM214" s="2071"/>
      <c r="NN214" s="2071"/>
      <c r="NO214" s="2071"/>
      <c r="NP214" s="2071"/>
      <c r="NQ214" s="2071"/>
      <c r="NR214" s="2071"/>
      <c r="NS214" s="2071"/>
      <c r="NT214" s="2071"/>
      <c r="NU214" s="2071"/>
      <c r="NV214" s="2071"/>
      <c r="NW214" s="2071"/>
      <c r="NX214" s="2071"/>
      <c r="NY214" s="2071"/>
      <c r="NZ214" s="2071"/>
      <c r="OA214" s="2071"/>
      <c r="OB214" s="2071"/>
      <c r="OC214" s="2071"/>
      <c r="OD214" s="2071"/>
      <c r="OE214" s="2071"/>
      <c r="OF214" s="2071"/>
      <c r="OG214" s="2071"/>
      <c r="OH214" s="2071"/>
      <c r="OI214" s="2071"/>
      <c r="OJ214" s="2071"/>
      <c r="OK214" s="2071"/>
      <c r="OL214" s="2071"/>
      <c r="OM214" s="2071"/>
      <c r="ON214" s="2071"/>
      <c r="OO214" s="2071"/>
      <c r="OP214" s="2071"/>
      <c r="OQ214" s="2071"/>
      <c r="OR214" s="2071"/>
      <c r="OS214" s="2071"/>
      <c r="OT214" s="2071"/>
      <c r="OU214" s="2071"/>
      <c r="OV214" s="2071"/>
      <c r="OW214" s="2071"/>
      <c r="OX214" s="2071"/>
      <c r="OY214" s="2071"/>
      <c r="OZ214" s="2071"/>
      <c r="PA214" s="2071"/>
      <c r="PB214" s="2071"/>
      <c r="PC214" s="2071"/>
      <c r="PD214" s="2071"/>
      <c r="PE214" s="2071"/>
      <c r="PF214" s="2071"/>
      <c r="PG214" s="2071"/>
      <c r="PH214" s="2071"/>
      <c r="PI214" s="2071"/>
      <c r="PJ214" s="2071"/>
      <c r="PK214" s="2071"/>
      <c r="PL214" s="2071"/>
      <c r="PM214" s="2071"/>
      <c r="PN214" s="2071"/>
      <c r="PO214" s="2071"/>
      <c r="PP214" s="2071"/>
      <c r="PQ214" s="2071"/>
      <c r="PR214" s="2071"/>
      <c r="PS214" s="2071"/>
      <c r="PT214" s="2071"/>
      <c r="PU214" s="2071"/>
      <c r="PV214" s="2071"/>
      <c r="PW214" s="2071"/>
      <c r="PX214" s="2071"/>
      <c r="PY214" s="2071"/>
      <c r="PZ214" s="2071"/>
      <c r="QA214" s="2071"/>
      <c r="QB214" s="2071"/>
      <c r="QC214" s="2071"/>
      <c r="QD214" s="2071"/>
      <c r="QE214" s="2071"/>
      <c r="QF214" s="2071"/>
      <c r="QG214" s="2071"/>
      <c r="QH214" s="2071"/>
      <c r="QI214" s="2071"/>
      <c r="QJ214" s="2071"/>
      <c r="QK214" s="2071"/>
      <c r="QL214" s="2071"/>
      <c r="QM214" s="2071"/>
      <c r="QN214" s="2071"/>
      <c r="QO214" s="2071"/>
      <c r="QP214" s="2071"/>
      <c r="QQ214" s="2071"/>
      <c r="QR214" s="2071"/>
      <c r="QS214" s="2071"/>
      <c r="QT214" s="2071"/>
      <c r="QU214" s="2071"/>
      <c r="QV214" s="2071"/>
      <c r="QW214" s="2071"/>
      <c r="QX214" s="2071"/>
      <c r="QY214" s="2071"/>
      <c r="QZ214" s="2071"/>
      <c r="RA214" s="2071"/>
      <c r="RB214" s="2071"/>
      <c r="RC214" s="2071"/>
      <c r="RD214" s="2071"/>
      <c r="RE214" s="2071"/>
      <c r="RF214" s="2071"/>
      <c r="RG214" s="2071"/>
      <c r="RH214" s="2071"/>
      <c r="RI214" s="2071"/>
      <c r="RJ214" s="2071"/>
      <c r="RK214" s="2071"/>
      <c r="RL214" s="2071"/>
      <c r="RM214" s="2071"/>
      <c r="RN214" s="2071"/>
      <c r="RO214" s="2071"/>
      <c r="RP214" s="2071"/>
      <c r="RQ214" s="2071"/>
      <c r="RR214" s="2071"/>
      <c r="RS214" s="2071"/>
      <c r="RT214" s="2071"/>
      <c r="RU214" s="2071"/>
      <c r="RV214" s="2071"/>
      <c r="RW214" s="2071"/>
      <c r="RX214" s="2071"/>
      <c r="RY214" s="2071"/>
      <c r="RZ214" s="2071"/>
      <c r="SA214" s="2071"/>
      <c r="SB214" s="2071"/>
      <c r="SC214" s="2071"/>
      <c r="SD214" s="2071"/>
      <c r="SE214" s="2071"/>
      <c r="SF214" s="2071"/>
      <c r="SG214" s="2071"/>
      <c r="SH214" s="2071"/>
      <c r="SI214" s="2071"/>
      <c r="SJ214" s="2071"/>
      <c r="SK214" s="2071"/>
      <c r="SL214" s="2071"/>
      <c r="SM214" s="2071"/>
      <c r="SN214" s="2071"/>
      <c r="SO214" s="2071"/>
      <c r="SP214" s="2071"/>
      <c r="SQ214" s="2071"/>
      <c r="SR214" s="2071"/>
      <c r="SS214" s="2071"/>
      <c r="ST214" s="2071"/>
      <c r="SU214" s="2071"/>
      <c r="SV214" s="2071"/>
      <c r="SW214" s="2071"/>
      <c r="SX214" s="2071"/>
      <c r="SY214" s="2071"/>
      <c r="SZ214" s="2071"/>
      <c r="TA214" s="2071"/>
      <c r="TB214" s="2071"/>
      <c r="TC214" s="2071"/>
      <c r="TD214" s="2071"/>
      <c r="TE214" s="2071"/>
      <c r="TF214" s="2071"/>
      <c r="TG214" s="2071"/>
      <c r="TH214" s="2071"/>
      <c r="TI214" s="2071"/>
      <c r="TJ214" s="2071"/>
      <c r="TK214" s="2071"/>
      <c r="TL214" s="2071"/>
      <c r="TM214" s="2071"/>
      <c r="TN214" s="2071"/>
      <c r="TO214" s="2071"/>
      <c r="TP214" s="2071"/>
      <c r="TQ214" s="2071"/>
      <c r="TR214" s="2071"/>
      <c r="TS214" s="2071"/>
      <c r="TT214" s="2071"/>
      <c r="TU214" s="2071"/>
      <c r="TV214" s="2071"/>
      <c r="TW214" s="2071"/>
      <c r="TX214" s="2071"/>
      <c r="TY214" s="2071"/>
      <c r="TZ214" s="2071"/>
      <c r="UA214" s="2071"/>
      <c r="UB214" s="2071"/>
      <c r="UC214" s="2071"/>
      <c r="UD214" s="2071"/>
      <c r="UE214" s="2071"/>
      <c r="UF214" s="2071"/>
      <c r="UG214" s="2071"/>
      <c r="UH214" s="2071"/>
      <c r="UI214" s="2071"/>
      <c r="UJ214" s="2071"/>
      <c r="UK214" s="2071"/>
      <c r="UL214" s="2071"/>
      <c r="UM214" s="2071"/>
      <c r="UN214" s="2071"/>
      <c r="UO214" s="2071"/>
      <c r="UP214" s="2071"/>
      <c r="UQ214" s="2071"/>
      <c r="UR214" s="2071"/>
      <c r="US214" s="2071"/>
      <c r="UT214" s="2071"/>
      <c r="UU214" s="2071"/>
      <c r="UV214" s="2071"/>
      <c r="UW214" s="2071"/>
      <c r="UX214" s="2071"/>
      <c r="UY214" s="2071"/>
      <c r="UZ214" s="2071"/>
      <c r="VA214" s="2071"/>
      <c r="VB214" s="2071"/>
      <c r="VC214" s="2071"/>
      <c r="VD214" s="2071"/>
      <c r="VE214" s="2071"/>
      <c r="VF214" s="2071"/>
      <c r="VG214" s="2071"/>
      <c r="VH214" s="2071"/>
      <c r="VI214" s="2071"/>
      <c r="VJ214" s="2071"/>
      <c r="VK214" s="2071"/>
      <c r="VL214" s="2071"/>
      <c r="VM214" s="2071"/>
      <c r="VN214" s="2071"/>
      <c r="VO214" s="2071"/>
      <c r="VP214" s="2071"/>
      <c r="VQ214" s="2071"/>
      <c r="VR214" s="2071"/>
      <c r="VS214" s="2071"/>
      <c r="VT214" s="2071"/>
      <c r="VU214" s="2071"/>
      <c r="VV214" s="2071"/>
      <c r="VW214" s="2071"/>
      <c r="VX214" s="2071"/>
      <c r="VY214" s="2071"/>
      <c r="VZ214" s="2071"/>
      <c r="WA214" s="2071"/>
      <c r="WB214" s="2071"/>
      <c r="WC214" s="2071"/>
      <c r="WD214" s="2071"/>
      <c r="WE214" s="2071"/>
      <c r="WF214" s="2071"/>
      <c r="WG214" s="2071"/>
      <c r="WH214" s="2071"/>
      <c r="WI214" s="2071"/>
      <c r="WJ214" s="2071"/>
      <c r="WK214" s="2071"/>
      <c r="WL214" s="2071"/>
      <c r="WM214" s="2071"/>
      <c r="WN214" s="2071"/>
      <c r="WO214" s="2071"/>
      <c r="WP214" s="2071"/>
      <c r="WQ214" s="2071"/>
      <c r="WR214" s="2071"/>
      <c r="WS214" s="2071"/>
      <c r="WT214" s="2071"/>
      <c r="WU214" s="2071"/>
      <c r="WV214" s="2071"/>
      <c r="WW214" s="2071"/>
      <c r="WX214" s="2071"/>
      <c r="WY214" s="2071"/>
      <c r="WZ214" s="2071"/>
      <c r="XA214" s="2071"/>
      <c r="XB214" s="2071"/>
      <c r="XC214" s="2071"/>
      <c r="XD214" s="2071"/>
      <c r="XE214" s="2071"/>
      <c r="XF214" s="2071"/>
      <c r="XG214" s="2071"/>
      <c r="XH214" s="2071"/>
      <c r="XI214" s="2071"/>
      <c r="XJ214" s="2071"/>
      <c r="XK214" s="2071"/>
      <c r="XL214" s="2071"/>
      <c r="XM214" s="2071"/>
      <c r="XN214" s="2071"/>
      <c r="XO214" s="2071"/>
      <c r="XP214" s="2071"/>
      <c r="XQ214" s="2071"/>
      <c r="XR214" s="2071"/>
      <c r="XS214" s="2071"/>
      <c r="XT214" s="2071"/>
      <c r="XU214" s="2071"/>
      <c r="XV214" s="2071"/>
      <c r="XW214" s="2071"/>
      <c r="XX214" s="2071"/>
      <c r="XY214" s="2071"/>
      <c r="XZ214" s="2071"/>
      <c r="YA214" s="2071"/>
      <c r="YB214" s="2071"/>
      <c r="YC214" s="2071"/>
      <c r="YD214" s="2071"/>
      <c r="YE214" s="2071"/>
      <c r="YF214" s="2071"/>
      <c r="YG214" s="2071"/>
      <c r="YH214" s="2071"/>
      <c r="YI214" s="2071"/>
      <c r="YJ214" s="2071"/>
      <c r="YK214" s="2071"/>
      <c r="YL214" s="2071"/>
      <c r="YM214" s="2071"/>
      <c r="YN214" s="2071"/>
      <c r="YO214" s="2071"/>
      <c r="YP214" s="2071"/>
      <c r="YQ214" s="2071"/>
      <c r="YR214" s="2071"/>
      <c r="YS214" s="2071"/>
      <c r="YT214" s="2071"/>
      <c r="YU214" s="2071"/>
      <c r="YV214" s="2071"/>
      <c r="YW214" s="2071"/>
      <c r="YX214" s="2071"/>
      <c r="YY214" s="2071"/>
      <c r="YZ214" s="2071"/>
      <c r="ZA214" s="2071"/>
      <c r="ZB214" s="2071"/>
      <c r="ZC214" s="2071"/>
      <c r="ZD214" s="2071"/>
      <c r="ZE214" s="2071"/>
      <c r="ZF214" s="2071"/>
      <c r="ZG214" s="2071"/>
      <c r="ZH214" s="2071"/>
      <c r="ZI214" s="2071"/>
      <c r="ZJ214" s="2071"/>
      <c r="ZK214" s="2071"/>
      <c r="ZL214" s="2071"/>
      <c r="ZM214" s="2071"/>
      <c r="ZN214" s="2071"/>
      <c r="ZO214" s="2071"/>
      <c r="ZP214" s="2071"/>
      <c r="ZQ214" s="2071"/>
      <c r="ZR214" s="2071"/>
      <c r="ZS214" s="2071"/>
      <c r="ZT214" s="2071"/>
      <c r="ZU214" s="2071"/>
      <c r="ZV214" s="2071"/>
      <c r="ZW214" s="2071"/>
      <c r="ZX214" s="2071"/>
      <c r="ZY214" s="2071"/>
      <c r="ZZ214" s="2071"/>
      <c r="AAA214" s="2071"/>
      <c r="AAB214" s="2071"/>
      <c r="AAC214" s="2071"/>
      <c r="AAD214" s="2071"/>
      <c r="AAE214" s="2071"/>
      <c r="AAF214" s="2071"/>
      <c r="AAG214" s="2071"/>
      <c r="AAH214" s="2071"/>
      <c r="AAI214" s="2071"/>
      <c r="AAJ214" s="2071"/>
      <c r="AAK214" s="2071"/>
      <c r="AAL214" s="2071"/>
      <c r="AAM214" s="2071"/>
      <c r="AAN214" s="2071"/>
      <c r="AAO214" s="2071"/>
      <c r="AAP214" s="2071"/>
      <c r="AAQ214" s="2071"/>
      <c r="AAR214" s="2071"/>
      <c r="AAS214" s="2071"/>
      <c r="AAT214" s="2071"/>
      <c r="AAU214" s="2071"/>
      <c r="AAV214" s="2071"/>
      <c r="AAW214" s="2071"/>
      <c r="AAX214" s="2071"/>
      <c r="AAY214" s="2071"/>
      <c r="AAZ214" s="2071"/>
      <c r="ABA214" s="2071"/>
      <c r="ABB214" s="2071"/>
      <c r="ABC214" s="2071"/>
      <c r="ABD214" s="2071"/>
      <c r="ABE214" s="2071"/>
      <c r="ABF214" s="2071"/>
      <c r="ABG214" s="2071"/>
      <c r="ABH214" s="2071"/>
      <c r="ABI214" s="2071"/>
      <c r="ABJ214" s="2071"/>
      <c r="ABK214" s="2071"/>
      <c r="ABL214" s="2071"/>
      <c r="ABM214" s="2071"/>
      <c r="ABN214" s="2071"/>
      <c r="ABO214" s="2071"/>
      <c r="ABP214" s="2071"/>
      <c r="ABQ214" s="2071"/>
      <c r="ABR214" s="2071"/>
      <c r="ABS214" s="2071"/>
      <c r="ABT214" s="2071"/>
      <c r="ABU214" s="2071"/>
      <c r="ABV214" s="2071"/>
      <c r="ABW214" s="2071"/>
      <c r="ABX214" s="2071"/>
      <c r="ABY214" s="2071"/>
      <c r="ABZ214" s="2071"/>
      <c r="ACA214" s="2071"/>
      <c r="ACB214" s="2071"/>
      <c r="ACC214" s="2071"/>
      <c r="ACD214" s="2071"/>
      <c r="ACE214" s="2071"/>
      <c r="ACF214" s="2071"/>
      <c r="ACG214" s="2071"/>
      <c r="ACH214" s="2071"/>
      <c r="ACI214" s="2071"/>
      <c r="ACJ214" s="2071"/>
      <c r="ACK214" s="2071"/>
      <c r="ACL214" s="2071"/>
      <c r="ACM214" s="2071"/>
      <c r="ACN214" s="2071"/>
      <c r="ACO214" s="2071"/>
      <c r="ACP214" s="2071"/>
      <c r="ACQ214" s="2071"/>
      <c r="ACR214" s="2071"/>
      <c r="ACS214" s="2071"/>
      <c r="ACT214" s="2071"/>
      <c r="ACU214" s="2071"/>
      <c r="ACV214" s="2071"/>
      <c r="ACW214" s="2071"/>
      <c r="ACX214" s="2071"/>
      <c r="ACY214" s="2071"/>
      <c r="ACZ214" s="2071"/>
      <c r="ADA214" s="2071"/>
      <c r="ADB214" s="2071"/>
      <c r="ADC214" s="2071"/>
      <c r="ADD214" s="2071"/>
      <c r="ADE214" s="2071"/>
      <c r="ADF214" s="2071"/>
      <c r="ADG214" s="2071"/>
      <c r="ADH214" s="2071"/>
      <c r="ADI214" s="2071"/>
      <c r="ADJ214" s="2071"/>
      <c r="ADK214" s="2071"/>
      <c r="ADL214" s="2071"/>
      <c r="ADM214" s="2071"/>
      <c r="ADN214" s="2071"/>
      <c r="ADO214" s="2071"/>
      <c r="ADP214" s="2071"/>
      <c r="ADQ214" s="2071"/>
      <c r="ADR214" s="2071"/>
      <c r="ADS214" s="2071"/>
      <c r="ADT214" s="2071"/>
      <c r="ADU214" s="2071"/>
      <c r="ADV214" s="2071"/>
      <c r="ADW214" s="2071"/>
      <c r="ADX214" s="2071"/>
      <c r="ADY214" s="2071"/>
      <c r="ADZ214" s="2071"/>
      <c r="AEA214" s="2071"/>
      <c r="AEB214" s="2071"/>
      <c r="AEC214" s="2071"/>
      <c r="AED214" s="2071"/>
      <c r="AEE214" s="2071"/>
      <c r="AEF214" s="2071"/>
      <c r="AEG214" s="2071"/>
      <c r="AEH214" s="2071"/>
      <c r="AEI214" s="2071"/>
      <c r="AEJ214" s="2071"/>
      <c r="AEK214" s="2071"/>
      <c r="AEL214" s="2071"/>
      <c r="AEM214" s="2071"/>
      <c r="AEN214" s="2071"/>
      <c r="AEO214" s="2071"/>
      <c r="AEP214" s="2071"/>
      <c r="AEQ214" s="2071"/>
      <c r="AER214" s="2071"/>
      <c r="AES214" s="2071"/>
      <c r="AET214" s="2071"/>
      <c r="AEU214" s="2071"/>
      <c r="AEV214" s="2071"/>
      <c r="AEW214" s="2071"/>
      <c r="AEX214" s="2071"/>
      <c r="AEY214" s="2071"/>
      <c r="AEZ214" s="2071"/>
      <c r="AFA214" s="2071"/>
      <c r="AFB214" s="2071"/>
      <c r="AFC214" s="2071"/>
      <c r="AFD214" s="2071"/>
      <c r="AFE214" s="2071"/>
      <c r="AFF214" s="2071"/>
      <c r="AFG214" s="2071"/>
      <c r="AFH214" s="2071"/>
      <c r="AFI214" s="2071"/>
      <c r="AFJ214" s="2071"/>
      <c r="AFK214" s="2071"/>
      <c r="AFL214" s="2071"/>
      <c r="AFM214" s="2071"/>
      <c r="AFN214" s="2071"/>
      <c r="AFO214" s="2071"/>
      <c r="AFP214" s="2071"/>
      <c r="AFQ214" s="2071"/>
      <c r="AFR214" s="2071"/>
      <c r="AFS214" s="2071"/>
      <c r="AFT214" s="2071"/>
      <c r="AFU214" s="2071"/>
      <c r="AFV214" s="2071"/>
      <c r="AFW214" s="2071"/>
      <c r="AFX214" s="2071"/>
      <c r="AFY214" s="2071"/>
      <c r="AFZ214" s="2071"/>
      <c r="AGA214" s="2071"/>
      <c r="AGB214" s="2071"/>
      <c r="AGC214" s="2071"/>
      <c r="AGD214" s="2071"/>
      <c r="AGE214" s="2071"/>
      <c r="AGF214" s="2071"/>
      <c r="AGG214" s="2071"/>
      <c r="AGH214" s="2071"/>
      <c r="AGI214" s="2071"/>
      <c r="AGJ214" s="2071"/>
      <c r="AGK214" s="2071"/>
      <c r="AGL214" s="2071"/>
      <c r="AGM214" s="2071"/>
      <c r="AGN214" s="2071"/>
      <c r="AGO214" s="2071"/>
      <c r="AGP214" s="2071"/>
      <c r="AGQ214" s="2071"/>
      <c r="AGR214" s="2071"/>
      <c r="AGS214" s="2071"/>
      <c r="AGT214" s="2071"/>
      <c r="AGU214" s="2071"/>
      <c r="AGV214" s="2071"/>
      <c r="AGW214" s="2071"/>
      <c r="AGX214" s="2071"/>
      <c r="AGY214" s="2071"/>
      <c r="AGZ214" s="2071"/>
      <c r="AHA214" s="2071"/>
      <c r="AHB214" s="2071"/>
      <c r="AHC214" s="2071"/>
      <c r="AHD214" s="2071"/>
      <c r="AHE214" s="2071"/>
      <c r="AHF214" s="2071"/>
      <c r="AHG214" s="2071"/>
      <c r="AHH214" s="2071"/>
      <c r="AHI214" s="2071"/>
      <c r="AHJ214" s="2071"/>
      <c r="AHK214" s="2071"/>
      <c r="AHL214" s="2071"/>
      <c r="AHM214" s="2071"/>
      <c r="AHN214" s="2071"/>
      <c r="AHO214" s="2071"/>
      <c r="AHP214" s="2071"/>
      <c r="AHQ214" s="2071"/>
      <c r="AHR214" s="2071"/>
      <c r="AHS214" s="2071"/>
      <c r="AHT214" s="2071"/>
      <c r="AHU214" s="2071"/>
      <c r="AHV214" s="2071"/>
      <c r="AHW214" s="2071"/>
      <c r="AHX214" s="2071"/>
      <c r="AHY214" s="2071"/>
      <c r="AHZ214" s="2071"/>
      <c r="AIA214" s="2071"/>
      <c r="AIB214" s="2071"/>
      <c r="AIC214" s="2071"/>
      <c r="AID214" s="2071"/>
      <c r="AIE214" s="2071"/>
      <c r="AIF214" s="2071"/>
      <c r="AIG214" s="2071"/>
      <c r="AIH214" s="2071"/>
      <c r="AII214" s="2071"/>
      <c r="AIJ214" s="2071"/>
      <c r="AIK214" s="2071"/>
      <c r="AIL214" s="2071"/>
      <c r="AIM214" s="2071"/>
      <c r="AIN214" s="2071"/>
      <c r="AIO214" s="2071"/>
      <c r="AIP214" s="2071"/>
      <c r="AIQ214" s="2071"/>
      <c r="AIR214" s="2071"/>
      <c r="AIS214" s="2071"/>
      <c r="AIT214" s="2071"/>
      <c r="AIU214" s="2071"/>
      <c r="AIV214" s="2071"/>
      <c r="AIW214" s="2071"/>
      <c r="AIX214" s="2071"/>
      <c r="AIY214" s="2071"/>
      <c r="AIZ214" s="2071"/>
      <c r="AJA214" s="2071"/>
      <c r="AJB214" s="2071"/>
      <c r="AJC214" s="2071"/>
      <c r="AJD214" s="2071"/>
      <c r="AJE214" s="2071"/>
      <c r="AJF214" s="2071"/>
      <c r="AJG214" s="2071"/>
      <c r="AJH214" s="2071"/>
      <c r="AJI214" s="2071"/>
      <c r="AJJ214" s="2071"/>
      <c r="AJK214" s="2071"/>
      <c r="AJL214" s="2071"/>
      <c r="AJM214" s="2071"/>
      <c r="AJN214" s="2071"/>
      <c r="AJO214" s="2071"/>
      <c r="AJP214" s="2071"/>
      <c r="AJQ214" s="2071"/>
      <c r="AJR214" s="2071"/>
      <c r="AJS214" s="2071"/>
      <c r="AJT214" s="2071"/>
      <c r="AJU214" s="2071"/>
      <c r="AJV214" s="2071"/>
      <c r="AJW214" s="2071"/>
      <c r="AJX214" s="2071"/>
      <c r="AJY214" s="2071"/>
      <c r="AJZ214" s="2071"/>
      <c r="AKA214" s="2071"/>
      <c r="AKB214" s="2071"/>
      <c r="AKC214" s="2071"/>
      <c r="AKD214" s="2071"/>
      <c r="AKE214" s="2071"/>
      <c r="AKF214" s="2071"/>
      <c r="AKG214" s="2071"/>
      <c r="AKH214" s="2071"/>
      <c r="AKI214" s="2071"/>
      <c r="AKJ214" s="2071"/>
      <c r="AKK214" s="2071"/>
      <c r="AKL214" s="2071"/>
      <c r="AKM214" s="2071"/>
      <c r="AKN214" s="2071"/>
      <c r="AKO214" s="2071"/>
      <c r="AKP214" s="2071"/>
      <c r="AKQ214" s="2071"/>
      <c r="AKR214" s="2071"/>
      <c r="AKS214" s="2071"/>
      <c r="AKT214" s="2071"/>
      <c r="AKU214" s="2071"/>
      <c r="AKV214" s="2071"/>
      <c r="AKW214" s="2071"/>
      <c r="AKX214" s="2071"/>
      <c r="AKY214" s="2071"/>
      <c r="AKZ214" s="2071"/>
      <c r="ALA214" s="2071"/>
      <c r="ALB214" s="2071"/>
      <c r="ALC214" s="2071"/>
      <c r="ALD214" s="2071"/>
      <c r="ALE214" s="2071"/>
      <c r="ALF214" s="2071"/>
      <c r="ALG214" s="2071"/>
      <c r="ALH214" s="2071"/>
      <c r="ALI214" s="2071"/>
      <c r="ALJ214" s="2071"/>
      <c r="ALK214" s="2071"/>
      <c r="ALL214" s="2071"/>
      <c r="ALM214" s="2071"/>
      <c r="ALN214" s="2071"/>
      <c r="ALO214" s="2071"/>
      <c r="ALP214" s="2071"/>
      <c r="ALQ214" s="2071"/>
      <c r="ALR214" s="2071"/>
      <c r="ALS214" s="2071"/>
      <c r="ALT214" s="2071"/>
      <c r="ALU214" s="2071"/>
      <c r="ALV214" s="2071"/>
      <c r="ALW214" s="2071"/>
      <c r="ALX214" s="2071"/>
      <c r="ALY214" s="2071"/>
      <c r="ALZ214" s="2071"/>
      <c r="AMA214" s="2071"/>
      <c r="AMB214" s="2071"/>
      <c r="AMC214" s="2071"/>
      <c r="AMD214" s="2071"/>
      <c r="AME214" s="2071"/>
      <c r="AMF214" s="2071"/>
      <c r="AMG214" s="2071"/>
      <c r="AMH214" s="2071"/>
      <c r="AMI214" s="2071"/>
      <c r="AMJ214" s="2071"/>
      <c r="AMK214" s="2071"/>
      <c r="AML214" s="2071"/>
      <c r="AMM214" s="2071"/>
      <c r="AMN214" s="2071"/>
      <c r="AMO214" s="2071"/>
      <c r="AMP214" s="2071"/>
      <c r="AMQ214" s="2071"/>
      <c r="AMR214" s="2071"/>
      <c r="AMS214" s="2071"/>
      <c r="AMT214" s="2071"/>
      <c r="AMU214" s="2071"/>
      <c r="AMV214" s="2071"/>
      <c r="AMW214" s="2071"/>
      <c r="AMX214" s="2071"/>
      <c r="AMY214" s="2071"/>
      <c r="AMZ214" s="2071"/>
      <c r="ANA214" s="2071"/>
      <c r="ANB214" s="2071"/>
      <c r="ANC214" s="2071"/>
      <c r="AND214" s="2071"/>
      <c r="ANE214" s="2071"/>
      <c r="ANF214" s="2071"/>
      <c r="ANG214" s="2071"/>
      <c r="ANH214" s="2071"/>
      <c r="ANI214" s="2071"/>
      <c r="ANJ214" s="2071"/>
      <c r="ANK214" s="2071"/>
      <c r="ANL214" s="2071"/>
      <c r="ANM214" s="2071"/>
      <c r="ANN214" s="2071"/>
      <c r="ANO214" s="2071"/>
      <c r="ANP214" s="2071"/>
      <c r="ANQ214" s="2071"/>
      <c r="ANR214" s="2071"/>
      <c r="ANS214" s="2071"/>
      <c r="ANT214" s="2071"/>
      <c r="ANU214" s="2071"/>
      <c r="ANV214" s="2071"/>
      <c r="ANW214" s="2071"/>
      <c r="ANX214" s="2071"/>
      <c r="ANY214" s="2071"/>
      <c r="ANZ214" s="2071"/>
      <c r="AOA214" s="2071"/>
      <c r="AOB214" s="2071"/>
      <c r="AOC214" s="2071"/>
      <c r="AOD214" s="2071"/>
      <c r="AOE214" s="2071"/>
      <c r="AOF214" s="2071"/>
      <c r="AOG214" s="2071"/>
      <c r="AOH214" s="2071"/>
      <c r="AOI214" s="2071"/>
      <c r="AOJ214" s="2071"/>
      <c r="AOK214" s="2071"/>
      <c r="AOL214" s="2071"/>
      <c r="AOM214" s="2071"/>
      <c r="AON214" s="2071"/>
      <c r="AOO214" s="2071"/>
      <c r="AOP214" s="2071"/>
      <c r="AOQ214" s="2071"/>
      <c r="AOR214" s="2071"/>
      <c r="AOS214" s="2071"/>
      <c r="AOT214" s="2071"/>
      <c r="AOU214" s="2071"/>
      <c r="AOV214" s="2071"/>
      <c r="AOW214" s="2071"/>
      <c r="AOX214" s="2071"/>
      <c r="AOY214" s="2071"/>
      <c r="AOZ214" s="2071"/>
      <c r="APA214" s="2071"/>
      <c r="APB214" s="2071"/>
      <c r="APC214" s="2071"/>
      <c r="APD214" s="2071"/>
      <c r="APE214" s="2071"/>
      <c r="APF214" s="2071"/>
      <c r="APG214" s="2071"/>
      <c r="APH214" s="2071"/>
      <c r="API214" s="2071"/>
      <c r="APJ214" s="2071"/>
      <c r="APK214" s="2071"/>
      <c r="APL214" s="2071"/>
      <c r="APM214" s="2071"/>
      <c r="APN214" s="2071"/>
      <c r="APO214" s="2071"/>
      <c r="APP214" s="2071"/>
      <c r="APQ214" s="2071"/>
      <c r="APR214" s="2071"/>
      <c r="APS214" s="2071"/>
      <c r="APT214" s="2071"/>
      <c r="APU214" s="2071"/>
      <c r="APV214" s="2071"/>
      <c r="APW214" s="2071"/>
      <c r="APX214" s="2071"/>
      <c r="APY214" s="2071"/>
      <c r="APZ214" s="2071"/>
      <c r="AQA214" s="2071"/>
      <c r="AQB214" s="2071"/>
      <c r="AQC214" s="2071"/>
      <c r="AQD214" s="2071"/>
      <c r="AQE214" s="2071"/>
      <c r="AQF214" s="2071"/>
      <c r="AQG214" s="2071"/>
      <c r="AQH214" s="2071"/>
      <c r="AQI214" s="2071"/>
      <c r="AQJ214" s="2071"/>
      <c r="AQK214" s="2071"/>
      <c r="AQL214" s="2071"/>
      <c r="AQM214" s="2071"/>
      <c r="AQN214" s="2071"/>
      <c r="AQO214" s="2071"/>
      <c r="AQP214" s="2071"/>
      <c r="AQQ214" s="2071"/>
      <c r="AQR214" s="2071"/>
      <c r="AQS214" s="2071"/>
      <c r="AQT214" s="2071"/>
      <c r="AQU214" s="2071"/>
      <c r="AQV214" s="2071"/>
      <c r="AQW214" s="2071"/>
      <c r="AQX214" s="2071"/>
      <c r="AQY214" s="2071"/>
      <c r="AQZ214" s="2071"/>
      <c r="ARA214" s="2071"/>
      <c r="ARB214" s="2071"/>
      <c r="ARC214" s="2071"/>
      <c r="ARD214" s="2071"/>
      <c r="ARE214" s="2071"/>
      <c r="ARF214" s="2071"/>
      <c r="ARG214" s="2071"/>
      <c r="ARH214" s="2071"/>
      <c r="ARI214" s="2071"/>
      <c r="ARJ214" s="2071"/>
      <c r="ARK214" s="2071"/>
      <c r="ARL214" s="2071"/>
      <c r="ARM214" s="2071"/>
      <c r="ARN214" s="2071"/>
      <c r="ARO214" s="2071"/>
      <c r="ARP214" s="2071"/>
      <c r="ARQ214" s="2071"/>
      <c r="ARR214" s="2071"/>
      <c r="ARS214" s="2071"/>
      <c r="ART214" s="2071"/>
      <c r="ARU214" s="2071"/>
      <c r="ARV214" s="2071"/>
      <c r="ARW214" s="2071"/>
      <c r="ARX214" s="2071"/>
      <c r="ARY214" s="2071"/>
      <c r="ARZ214" s="2071"/>
      <c r="ASA214" s="2071"/>
      <c r="ASB214" s="2071"/>
      <c r="ASC214" s="2071"/>
      <c r="ASD214" s="2071"/>
      <c r="ASE214" s="2071"/>
      <c r="ASF214" s="2071"/>
      <c r="ASG214" s="2071"/>
      <c r="ASH214" s="2071"/>
      <c r="ASI214" s="2071"/>
      <c r="ASJ214" s="2071"/>
      <c r="ASK214" s="2071"/>
      <c r="ASL214" s="2071"/>
      <c r="ASM214" s="2071"/>
      <c r="ASN214" s="2071"/>
      <c r="ASO214" s="2071"/>
      <c r="ASP214" s="2071"/>
      <c r="ASQ214" s="2071"/>
      <c r="ASR214" s="2071"/>
      <c r="ASS214" s="2071"/>
      <c r="AST214" s="2071"/>
      <c r="ASU214" s="2071"/>
      <c r="ASV214" s="2071"/>
      <c r="ASW214" s="2071"/>
      <c r="ASX214" s="2071"/>
      <c r="ASY214" s="2071"/>
      <c r="ASZ214" s="2071"/>
      <c r="ATA214" s="2071"/>
      <c r="ATB214" s="2071"/>
      <c r="ATC214" s="2071"/>
      <c r="ATD214" s="2071"/>
      <c r="ATE214" s="2071"/>
      <c r="ATF214" s="2071"/>
      <c r="ATG214" s="2071"/>
      <c r="ATH214" s="2071"/>
      <c r="ATI214" s="2071"/>
      <c r="ATJ214" s="2071"/>
      <c r="ATK214" s="2071"/>
      <c r="ATL214" s="2071"/>
      <c r="ATM214" s="2071"/>
      <c r="ATN214" s="2071"/>
      <c r="ATO214" s="2071"/>
      <c r="ATP214" s="2071"/>
      <c r="ATQ214" s="2071"/>
      <c r="ATR214" s="2071"/>
      <c r="ATS214" s="2071"/>
      <c r="ATT214" s="2071"/>
      <c r="ATU214" s="2071"/>
      <c r="ATV214" s="2071"/>
      <c r="ATW214" s="2071"/>
      <c r="ATX214" s="2071"/>
      <c r="ATY214" s="2071"/>
      <c r="ATZ214" s="2071"/>
      <c r="AUA214" s="2071"/>
      <c r="AUB214" s="2071"/>
      <c r="AUC214" s="2071"/>
      <c r="AUD214" s="2071"/>
      <c r="AUE214" s="2071"/>
      <c r="AUF214" s="2071"/>
      <c r="AUG214" s="2071"/>
      <c r="AUH214" s="2071"/>
      <c r="AUI214" s="2071"/>
      <c r="AUJ214" s="2071"/>
      <c r="AUK214" s="2071"/>
      <c r="AUL214" s="2071"/>
      <c r="AUM214" s="2071"/>
      <c r="AUN214" s="2071"/>
      <c r="AUO214" s="2071"/>
      <c r="AUP214" s="2071"/>
      <c r="AUQ214" s="2071"/>
      <c r="AUR214" s="2071"/>
      <c r="AUS214" s="2071"/>
      <c r="AUT214" s="2071"/>
      <c r="AUU214" s="2071"/>
      <c r="AUV214" s="2071"/>
      <c r="AUW214" s="2071"/>
      <c r="AUX214" s="2071"/>
      <c r="AUY214" s="2071"/>
      <c r="AUZ214" s="2071"/>
      <c r="AVA214" s="2071"/>
      <c r="AVB214" s="2071"/>
      <c r="AVC214" s="2071"/>
      <c r="AVD214" s="2071"/>
      <c r="AVE214" s="2071"/>
      <c r="AVF214" s="2071"/>
      <c r="AVG214" s="2071"/>
      <c r="AVH214" s="2071"/>
      <c r="AVI214" s="2071"/>
      <c r="AVJ214" s="2071"/>
      <c r="AVK214" s="2071"/>
      <c r="AVL214" s="2071"/>
      <c r="AVM214" s="2071"/>
      <c r="AVN214" s="2071"/>
      <c r="AVO214" s="2071"/>
      <c r="AVP214" s="2071"/>
      <c r="AVQ214" s="2071"/>
      <c r="AVR214" s="2071"/>
      <c r="AVS214" s="2071"/>
      <c r="AVT214" s="2071"/>
      <c r="AVU214" s="2071"/>
      <c r="AVV214" s="2071"/>
      <c r="AVW214" s="2071"/>
      <c r="AVX214" s="2071"/>
      <c r="AVY214" s="2071"/>
      <c r="AVZ214" s="2071"/>
      <c r="AWA214" s="2071"/>
      <c r="AWB214" s="2071"/>
      <c r="AWC214" s="2071"/>
      <c r="AWD214" s="2071"/>
      <c r="AWE214" s="2071"/>
      <c r="AWF214" s="2071"/>
      <c r="AWG214" s="2071"/>
      <c r="AWH214" s="2071"/>
      <c r="AWI214" s="2071"/>
      <c r="AWJ214" s="2071"/>
      <c r="AWK214" s="2071"/>
      <c r="AWL214" s="2071"/>
      <c r="AWM214" s="2071"/>
      <c r="AWN214" s="2071"/>
      <c r="AWO214" s="2071"/>
      <c r="AWP214" s="2071"/>
      <c r="AWQ214" s="2071"/>
      <c r="AWR214" s="2071"/>
      <c r="AWS214" s="2071"/>
      <c r="AWT214" s="2071"/>
      <c r="AWU214" s="2071"/>
      <c r="AWV214" s="2071"/>
      <c r="AWW214" s="2071"/>
      <c r="AWX214" s="2071"/>
      <c r="AWY214" s="2071"/>
      <c r="AWZ214" s="2071"/>
      <c r="AXA214" s="2071"/>
      <c r="AXB214" s="2071"/>
      <c r="AXC214" s="2071"/>
      <c r="AXD214" s="2071"/>
      <c r="AXE214" s="2071"/>
      <c r="AXF214" s="2071"/>
      <c r="AXG214" s="2071"/>
      <c r="AXH214" s="2071"/>
      <c r="AXI214" s="2071"/>
      <c r="AXJ214" s="2071"/>
    </row>
    <row r="215" spans="1:1310" s="2072" customFormat="1" ht="23.25" customHeight="1">
      <c r="A215" s="2073"/>
      <c r="B215" s="100"/>
      <c r="C215" s="100"/>
      <c r="D215" s="100"/>
      <c r="E215" s="100"/>
      <c r="F215" s="100"/>
      <c r="G215" s="100"/>
      <c r="H215" s="100"/>
      <c r="I215" s="100"/>
      <c r="J215" s="100"/>
      <c r="K215" s="100"/>
      <c r="L215" s="100"/>
      <c r="M215" s="100"/>
      <c r="N215" s="100"/>
      <c r="O215" s="100"/>
      <c r="P215" s="100"/>
      <c r="Q215" s="100"/>
      <c r="R215" s="1838"/>
      <c r="S215" s="1838"/>
      <c r="T215" s="1838"/>
      <c r="U215" s="1838"/>
      <c r="V215" s="1838"/>
      <c r="W215" s="1838"/>
      <c r="X215" s="1838"/>
      <c r="Y215" s="1838"/>
      <c r="Z215" s="1838"/>
      <c r="AA215" s="1838"/>
      <c r="AB215" s="1838"/>
      <c r="AC215" s="1838"/>
      <c r="AD215" s="2070"/>
      <c r="AE215" s="2070"/>
      <c r="AF215" s="2070"/>
      <c r="AG215" s="2070"/>
      <c r="AH215" s="2070"/>
      <c r="AI215" s="2070"/>
      <c r="AJ215" s="2070"/>
      <c r="AK215" s="2070"/>
      <c r="AL215" s="2070"/>
      <c r="AM215" s="2070"/>
      <c r="AN215" s="2070"/>
      <c r="AO215" s="2070"/>
      <c r="AP215" s="2070"/>
      <c r="AQ215" s="2070"/>
      <c r="AR215" s="2070"/>
      <c r="AS215" s="2070"/>
      <c r="AT215" s="2070"/>
      <c r="AU215" s="2070"/>
      <c r="AV215" s="2071"/>
      <c r="AW215" s="2071"/>
      <c r="AX215" s="2071"/>
      <c r="AY215" s="2071"/>
      <c r="AZ215" s="2071"/>
      <c r="BA215" s="2071"/>
      <c r="BB215" s="2071"/>
      <c r="BC215" s="2071"/>
      <c r="BD215" s="2071"/>
      <c r="BE215" s="2071"/>
      <c r="BF215" s="2071"/>
      <c r="BG215" s="2071"/>
      <c r="BH215" s="2071"/>
      <c r="BI215" s="2071"/>
      <c r="BJ215" s="2071"/>
      <c r="BK215" s="2071"/>
      <c r="BL215" s="2071"/>
      <c r="BM215" s="2071"/>
      <c r="BN215" s="2071"/>
      <c r="BO215" s="2071"/>
      <c r="BP215" s="2071"/>
      <c r="BQ215" s="2071"/>
      <c r="BR215" s="2071"/>
      <c r="BS215" s="2071"/>
      <c r="BT215" s="2071"/>
      <c r="BU215" s="2071"/>
      <c r="BV215" s="2071"/>
      <c r="BW215" s="2071"/>
      <c r="BX215" s="2071"/>
      <c r="BY215" s="2071"/>
      <c r="BZ215" s="2071"/>
      <c r="CA215" s="2071"/>
      <c r="CB215" s="2071"/>
      <c r="CC215" s="2071"/>
      <c r="CD215" s="2071"/>
      <c r="CE215" s="2071"/>
      <c r="CF215" s="2071"/>
      <c r="CG215" s="2071"/>
      <c r="CH215" s="2071"/>
      <c r="CI215" s="2071"/>
      <c r="CJ215" s="2071"/>
      <c r="CK215" s="2071"/>
      <c r="CL215" s="2071"/>
      <c r="CM215" s="2071"/>
      <c r="CN215" s="2071"/>
      <c r="CO215" s="2071"/>
      <c r="CP215" s="2071"/>
      <c r="CQ215" s="2071"/>
      <c r="CR215" s="2071"/>
      <c r="CS215" s="2071"/>
      <c r="CT215" s="2071"/>
      <c r="CU215" s="2071"/>
      <c r="CV215" s="2071"/>
      <c r="CW215" s="2071"/>
      <c r="CX215" s="2071"/>
      <c r="CY215" s="2071"/>
      <c r="CZ215" s="2071"/>
      <c r="DA215" s="2071"/>
      <c r="DB215" s="2071"/>
      <c r="DC215" s="2071"/>
      <c r="DD215" s="2071"/>
      <c r="DE215" s="2071"/>
      <c r="DF215" s="2071"/>
      <c r="DG215" s="2071"/>
      <c r="DH215" s="2071"/>
      <c r="DI215" s="2071"/>
      <c r="DJ215" s="2071"/>
      <c r="DK215" s="2071"/>
      <c r="DL215" s="2071"/>
      <c r="DM215" s="2071"/>
      <c r="DN215" s="2071"/>
      <c r="DO215" s="2071"/>
      <c r="DP215" s="2071"/>
      <c r="DQ215" s="2071"/>
      <c r="DR215" s="2071"/>
      <c r="DS215" s="2071"/>
      <c r="DT215" s="2071"/>
      <c r="DU215" s="2071"/>
      <c r="DV215" s="2071"/>
      <c r="DW215" s="2071"/>
      <c r="DX215" s="2071"/>
      <c r="DY215" s="2071"/>
      <c r="DZ215" s="2071"/>
      <c r="EA215" s="2071"/>
      <c r="EB215" s="2071"/>
      <c r="EC215" s="2071"/>
      <c r="ED215" s="2071"/>
      <c r="EE215" s="2071"/>
      <c r="EF215" s="2071"/>
      <c r="EG215" s="2071"/>
      <c r="EH215" s="2071"/>
      <c r="EI215" s="2071"/>
      <c r="EJ215" s="2071"/>
      <c r="EK215" s="2071"/>
      <c r="EL215" s="2071"/>
      <c r="EM215" s="2071"/>
      <c r="EN215" s="2071"/>
      <c r="EO215" s="2071"/>
      <c r="EP215" s="2071"/>
      <c r="EQ215" s="2071"/>
      <c r="ER215" s="2071"/>
      <c r="ES215" s="2071"/>
      <c r="ET215" s="2071"/>
      <c r="EU215" s="2071"/>
      <c r="EV215" s="2071"/>
      <c r="EW215" s="2071"/>
      <c r="EX215" s="2071"/>
      <c r="EY215" s="2071"/>
      <c r="EZ215" s="2071"/>
      <c r="FA215" s="2071"/>
      <c r="FB215" s="2071"/>
      <c r="FC215" s="2071"/>
      <c r="FD215" s="2071"/>
      <c r="FE215" s="2071"/>
      <c r="FF215" s="2071"/>
      <c r="FG215" s="2071"/>
      <c r="FH215" s="2071"/>
      <c r="FI215" s="2071"/>
      <c r="FJ215" s="2071"/>
      <c r="FK215" s="2071"/>
      <c r="FL215" s="2071"/>
      <c r="FM215" s="2071"/>
      <c r="FN215" s="2071"/>
      <c r="FO215" s="2071"/>
      <c r="FP215" s="2071"/>
      <c r="FQ215" s="2071"/>
      <c r="FR215" s="2071"/>
      <c r="FS215" s="2071"/>
      <c r="FT215" s="2071"/>
      <c r="FU215" s="2071"/>
      <c r="FV215" s="2071"/>
      <c r="FW215" s="2071"/>
      <c r="FX215" s="2071"/>
      <c r="FY215" s="2071"/>
      <c r="FZ215" s="2071"/>
      <c r="GA215" s="2071"/>
      <c r="GB215" s="2071"/>
      <c r="GC215" s="2071"/>
      <c r="GD215" s="2071"/>
      <c r="GE215" s="2071"/>
      <c r="GF215" s="2071"/>
      <c r="GG215" s="2071"/>
      <c r="GH215" s="2071"/>
      <c r="GI215" s="2071"/>
      <c r="GJ215" s="2071"/>
      <c r="GK215" s="2071"/>
      <c r="GL215" s="2071"/>
      <c r="GM215" s="2071"/>
      <c r="GN215" s="2071"/>
      <c r="GO215" s="2071"/>
      <c r="GP215" s="2071"/>
      <c r="GQ215" s="2071"/>
      <c r="GR215" s="2071"/>
      <c r="GS215" s="2071"/>
      <c r="GT215" s="2071"/>
      <c r="GU215" s="2071"/>
      <c r="GV215" s="2071"/>
      <c r="GW215" s="2071"/>
      <c r="GX215" s="2071"/>
      <c r="GY215" s="2071"/>
      <c r="GZ215" s="2071"/>
      <c r="HA215" s="2071"/>
      <c r="HB215" s="2071"/>
      <c r="HC215" s="2071"/>
      <c r="HD215" s="2071"/>
      <c r="HE215" s="2071"/>
      <c r="HF215" s="2071"/>
      <c r="HG215" s="2071"/>
      <c r="HH215" s="2071"/>
      <c r="HI215" s="2071"/>
      <c r="HJ215" s="2071"/>
      <c r="HK215" s="2071"/>
      <c r="HL215" s="2071"/>
      <c r="HM215" s="2071"/>
      <c r="HN215" s="2071"/>
      <c r="HO215" s="2071"/>
      <c r="HP215" s="2071"/>
      <c r="HQ215" s="2071"/>
      <c r="HR215" s="2071"/>
      <c r="HS215" s="2071"/>
      <c r="HT215" s="2071"/>
      <c r="HU215" s="2071"/>
      <c r="HV215" s="2071"/>
      <c r="HW215" s="2071"/>
      <c r="HX215" s="2071"/>
      <c r="HY215" s="2071"/>
      <c r="HZ215" s="2071"/>
      <c r="IA215" s="2071"/>
      <c r="IB215" s="2071"/>
      <c r="IC215" s="2071"/>
      <c r="ID215" s="2071"/>
      <c r="IE215" s="2071"/>
      <c r="IF215" s="2071"/>
      <c r="IG215" s="2071"/>
      <c r="IH215" s="2071"/>
      <c r="II215" s="2071"/>
      <c r="IJ215" s="2071"/>
      <c r="IK215" s="2071"/>
      <c r="IL215" s="2071"/>
      <c r="IM215" s="2071"/>
      <c r="IN215" s="2071"/>
      <c r="IO215" s="2071"/>
      <c r="IP215" s="2071"/>
      <c r="IQ215" s="2071"/>
      <c r="IR215" s="2071"/>
      <c r="IS215" s="2071"/>
      <c r="IT215" s="2071"/>
      <c r="IU215" s="2071"/>
      <c r="IV215" s="2071"/>
      <c r="IW215" s="2071"/>
      <c r="IX215" s="2071"/>
      <c r="IY215" s="2071"/>
      <c r="IZ215" s="2071"/>
      <c r="JA215" s="2071"/>
      <c r="JB215" s="2071"/>
      <c r="JC215" s="2071"/>
      <c r="JD215" s="2071"/>
      <c r="JE215" s="2071"/>
      <c r="JF215" s="2071"/>
      <c r="JG215" s="2071"/>
      <c r="JH215" s="2071"/>
      <c r="JI215" s="2071"/>
      <c r="JJ215" s="2071"/>
      <c r="JK215" s="2071"/>
      <c r="JL215" s="2071"/>
      <c r="JM215" s="2071"/>
      <c r="JN215" s="2071"/>
      <c r="JO215" s="2071"/>
      <c r="JP215" s="2071"/>
      <c r="JQ215" s="2071"/>
      <c r="JR215" s="2071"/>
      <c r="JS215" s="2071"/>
      <c r="JT215" s="2071"/>
      <c r="JU215" s="2071"/>
      <c r="JV215" s="2071"/>
      <c r="JW215" s="2071"/>
      <c r="JX215" s="2071"/>
      <c r="JY215" s="2071"/>
      <c r="JZ215" s="2071"/>
      <c r="KA215" s="2071"/>
      <c r="KB215" s="2071"/>
      <c r="KC215" s="2071"/>
      <c r="KD215" s="2071"/>
      <c r="KE215" s="2071"/>
      <c r="KF215" s="2071"/>
      <c r="KG215" s="2071"/>
      <c r="KH215" s="2071"/>
      <c r="KI215" s="2071"/>
      <c r="KJ215" s="2071"/>
      <c r="KK215" s="2071"/>
      <c r="KL215" s="2071"/>
      <c r="KM215" s="2071"/>
      <c r="KN215" s="2071"/>
      <c r="KO215" s="2071"/>
      <c r="KP215" s="2071"/>
      <c r="KQ215" s="2071"/>
      <c r="KR215" s="2071"/>
      <c r="KS215" s="2071"/>
      <c r="KT215" s="2071"/>
      <c r="KU215" s="2071"/>
      <c r="KV215" s="2071"/>
      <c r="KW215" s="2071"/>
      <c r="KX215" s="2071"/>
      <c r="KY215" s="2071"/>
      <c r="KZ215" s="2071"/>
      <c r="LA215" s="2071"/>
      <c r="LB215" s="2071"/>
      <c r="LC215" s="2071"/>
      <c r="LD215" s="2071"/>
      <c r="LE215" s="2071"/>
      <c r="LF215" s="2071"/>
      <c r="LG215" s="2071"/>
      <c r="LH215" s="2071"/>
      <c r="LI215" s="2071"/>
      <c r="LJ215" s="2071"/>
      <c r="LK215" s="2071"/>
      <c r="LL215" s="2071"/>
      <c r="LM215" s="2071"/>
      <c r="LN215" s="2071"/>
      <c r="LO215" s="2071"/>
      <c r="LP215" s="2071"/>
      <c r="LQ215" s="2071"/>
      <c r="LR215" s="2071"/>
      <c r="LS215" s="2071"/>
      <c r="LT215" s="2071"/>
      <c r="LU215" s="2071"/>
      <c r="LV215" s="2071"/>
      <c r="LW215" s="2071"/>
      <c r="LX215" s="2071"/>
      <c r="LY215" s="2071"/>
      <c r="LZ215" s="2071"/>
      <c r="MA215" s="2071"/>
      <c r="MB215" s="2071"/>
      <c r="MC215" s="2071"/>
      <c r="MD215" s="2071"/>
      <c r="ME215" s="2071"/>
      <c r="MF215" s="2071"/>
      <c r="MG215" s="2071"/>
      <c r="MH215" s="2071"/>
      <c r="MI215" s="2071"/>
      <c r="MJ215" s="2071"/>
      <c r="MK215" s="2071"/>
      <c r="ML215" s="2071"/>
      <c r="MM215" s="2071"/>
      <c r="MN215" s="2071"/>
      <c r="MO215" s="2071"/>
      <c r="MP215" s="2071"/>
      <c r="MQ215" s="2071"/>
      <c r="MR215" s="2071"/>
      <c r="MS215" s="2071"/>
      <c r="MT215" s="2071"/>
      <c r="MU215" s="2071"/>
      <c r="MV215" s="2071"/>
      <c r="MW215" s="2071"/>
      <c r="MX215" s="2071"/>
      <c r="MY215" s="2071"/>
      <c r="MZ215" s="2071"/>
      <c r="NA215" s="2071"/>
      <c r="NB215" s="2071"/>
      <c r="NC215" s="2071"/>
      <c r="ND215" s="2071"/>
      <c r="NE215" s="2071"/>
      <c r="NF215" s="2071"/>
      <c r="NG215" s="2071"/>
      <c r="NH215" s="2071"/>
      <c r="NI215" s="2071"/>
      <c r="NJ215" s="2071"/>
      <c r="NK215" s="2071"/>
      <c r="NL215" s="2071"/>
      <c r="NM215" s="2071"/>
      <c r="NN215" s="2071"/>
      <c r="NO215" s="2071"/>
      <c r="NP215" s="2071"/>
      <c r="NQ215" s="2071"/>
      <c r="NR215" s="2071"/>
      <c r="NS215" s="2071"/>
      <c r="NT215" s="2071"/>
      <c r="NU215" s="2071"/>
      <c r="NV215" s="2071"/>
      <c r="NW215" s="2071"/>
      <c r="NX215" s="2071"/>
      <c r="NY215" s="2071"/>
      <c r="NZ215" s="2071"/>
      <c r="OA215" s="2071"/>
      <c r="OB215" s="2071"/>
      <c r="OC215" s="2071"/>
      <c r="OD215" s="2071"/>
      <c r="OE215" s="2071"/>
      <c r="OF215" s="2071"/>
      <c r="OG215" s="2071"/>
      <c r="OH215" s="2071"/>
      <c r="OI215" s="2071"/>
      <c r="OJ215" s="2071"/>
      <c r="OK215" s="2071"/>
      <c r="OL215" s="2071"/>
      <c r="OM215" s="2071"/>
      <c r="ON215" s="2071"/>
      <c r="OO215" s="2071"/>
      <c r="OP215" s="2071"/>
      <c r="OQ215" s="2071"/>
      <c r="OR215" s="2071"/>
      <c r="OS215" s="2071"/>
      <c r="OT215" s="2071"/>
      <c r="OU215" s="2071"/>
      <c r="OV215" s="2071"/>
      <c r="OW215" s="2071"/>
      <c r="OX215" s="2071"/>
      <c r="OY215" s="2071"/>
      <c r="OZ215" s="2071"/>
      <c r="PA215" s="2071"/>
      <c r="PB215" s="2071"/>
      <c r="PC215" s="2071"/>
      <c r="PD215" s="2071"/>
      <c r="PE215" s="2071"/>
      <c r="PF215" s="2071"/>
      <c r="PG215" s="2071"/>
      <c r="PH215" s="2071"/>
      <c r="PI215" s="2071"/>
      <c r="PJ215" s="2071"/>
      <c r="PK215" s="2071"/>
      <c r="PL215" s="2071"/>
      <c r="PM215" s="2071"/>
      <c r="PN215" s="2071"/>
      <c r="PO215" s="2071"/>
      <c r="PP215" s="2071"/>
      <c r="PQ215" s="2071"/>
      <c r="PR215" s="2071"/>
      <c r="PS215" s="2071"/>
      <c r="PT215" s="2071"/>
      <c r="PU215" s="2071"/>
      <c r="PV215" s="2071"/>
      <c r="PW215" s="2071"/>
      <c r="PX215" s="2071"/>
      <c r="PY215" s="2071"/>
      <c r="PZ215" s="2071"/>
      <c r="QA215" s="2071"/>
      <c r="QB215" s="2071"/>
      <c r="QC215" s="2071"/>
      <c r="QD215" s="2071"/>
      <c r="QE215" s="2071"/>
      <c r="QF215" s="2071"/>
      <c r="QG215" s="2071"/>
      <c r="QH215" s="2071"/>
      <c r="QI215" s="2071"/>
      <c r="QJ215" s="2071"/>
      <c r="QK215" s="2071"/>
      <c r="QL215" s="2071"/>
      <c r="QM215" s="2071"/>
      <c r="QN215" s="2071"/>
      <c r="QO215" s="2071"/>
      <c r="QP215" s="2071"/>
      <c r="QQ215" s="2071"/>
      <c r="QR215" s="2071"/>
      <c r="QS215" s="2071"/>
      <c r="QT215" s="2071"/>
      <c r="QU215" s="2071"/>
      <c r="QV215" s="2071"/>
      <c r="QW215" s="2071"/>
      <c r="QX215" s="2071"/>
      <c r="QY215" s="2071"/>
      <c r="QZ215" s="2071"/>
      <c r="RA215" s="2071"/>
      <c r="RB215" s="2071"/>
      <c r="RC215" s="2071"/>
      <c r="RD215" s="2071"/>
      <c r="RE215" s="2071"/>
      <c r="RF215" s="2071"/>
      <c r="RG215" s="2071"/>
      <c r="RH215" s="2071"/>
      <c r="RI215" s="2071"/>
      <c r="RJ215" s="2071"/>
      <c r="RK215" s="2071"/>
      <c r="RL215" s="2071"/>
      <c r="RM215" s="2071"/>
      <c r="RN215" s="2071"/>
      <c r="RO215" s="2071"/>
      <c r="RP215" s="2071"/>
      <c r="RQ215" s="2071"/>
      <c r="RR215" s="2071"/>
      <c r="RS215" s="2071"/>
      <c r="RT215" s="2071"/>
      <c r="RU215" s="2071"/>
      <c r="RV215" s="2071"/>
      <c r="RW215" s="2071"/>
      <c r="RX215" s="2071"/>
      <c r="RY215" s="2071"/>
      <c r="RZ215" s="2071"/>
      <c r="SA215" s="2071"/>
      <c r="SB215" s="2071"/>
      <c r="SC215" s="2071"/>
      <c r="SD215" s="2071"/>
      <c r="SE215" s="2071"/>
      <c r="SF215" s="2071"/>
      <c r="SG215" s="2071"/>
      <c r="SH215" s="2071"/>
      <c r="SI215" s="2071"/>
      <c r="SJ215" s="2071"/>
      <c r="SK215" s="2071"/>
      <c r="SL215" s="2071"/>
      <c r="SM215" s="2071"/>
      <c r="SN215" s="2071"/>
      <c r="SO215" s="2071"/>
      <c r="SP215" s="2071"/>
      <c r="SQ215" s="2071"/>
      <c r="SR215" s="2071"/>
      <c r="SS215" s="2071"/>
      <c r="ST215" s="2071"/>
      <c r="SU215" s="2071"/>
      <c r="SV215" s="2071"/>
      <c r="SW215" s="2071"/>
      <c r="SX215" s="2071"/>
      <c r="SY215" s="2071"/>
      <c r="SZ215" s="2071"/>
      <c r="TA215" s="2071"/>
      <c r="TB215" s="2071"/>
      <c r="TC215" s="2071"/>
      <c r="TD215" s="2071"/>
      <c r="TE215" s="2071"/>
      <c r="TF215" s="2071"/>
      <c r="TG215" s="2071"/>
      <c r="TH215" s="2071"/>
      <c r="TI215" s="2071"/>
      <c r="TJ215" s="2071"/>
      <c r="TK215" s="2071"/>
      <c r="TL215" s="2071"/>
      <c r="TM215" s="2071"/>
      <c r="TN215" s="2071"/>
      <c r="TO215" s="2071"/>
      <c r="TP215" s="2071"/>
      <c r="TQ215" s="2071"/>
      <c r="TR215" s="2071"/>
      <c r="TS215" s="2071"/>
      <c r="TT215" s="2071"/>
      <c r="TU215" s="2071"/>
      <c r="TV215" s="2071"/>
      <c r="TW215" s="2071"/>
      <c r="TX215" s="2071"/>
      <c r="TY215" s="2071"/>
      <c r="TZ215" s="2071"/>
      <c r="UA215" s="2071"/>
      <c r="UB215" s="2071"/>
      <c r="UC215" s="2071"/>
      <c r="UD215" s="2071"/>
      <c r="UE215" s="2071"/>
      <c r="UF215" s="2071"/>
      <c r="UG215" s="2071"/>
      <c r="UH215" s="2071"/>
      <c r="UI215" s="2071"/>
      <c r="UJ215" s="2071"/>
      <c r="UK215" s="2071"/>
      <c r="UL215" s="2071"/>
      <c r="UM215" s="2071"/>
      <c r="UN215" s="2071"/>
      <c r="UO215" s="2071"/>
      <c r="UP215" s="2071"/>
      <c r="UQ215" s="2071"/>
      <c r="UR215" s="2071"/>
      <c r="US215" s="2071"/>
      <c r="UT215" s="2071"/>
      <c r="UU215" s="2071"/>
      <c r="UV215" s="2071"/>
      <c r="UW215" s="2071"/>
      <c r="UX215" s="2071"/>
      <c r="UY215" s="2071"/>
      <c r="UZ215" s="2071"/>
      <c r="VA215" s="2071"/>
      <c r="VB215" s="2071"/>
      <c r="VC215" s="2071"/>
      <c r="VD215" s="2071"/>
      <c r="VE215" s="2071"/>
      <c r="VF215" s="2071"/>
      <c r="VG215" s="2071"/>
      <c r="VH215" s="2071"/>
      <c r="VI215" s="2071"/>
      <c r="VJ215" s="2071"/>
      <c r="VK215" s="2071"/>
      <c r="VL215" s="2071"/>
      <c r="VM215" s="2071"/>
      <c r="VN215" s="2071"/>
      <c r="VO215" s="2071"/>
      <c r="VP215" s="2071"/>
      <c r="VQ215" s="2071"/>
      <c r="VR215" s="2071"/>
      <c r="VS215" s="2071"/>
      <c r="VT215" s="2071"/>
      <c r="VU215" s="2071"/>
      <c r="VV215" s="2071"/>
      <c r="VW215" s="2071"/>
      <c r="VX215" s="2071"/>
      <c r="VY215" s="2071"/>
      <c r="VZ215" s="2071"/>
      <c r="WA215" s="2071"/>
      <c r="WB215" s="2071"/>
      <c r="WC215" s="2071"/>
      <c r="WD215" s="2071"/>
      <c r="WE215" s="2071"/>
      <c r="WF215" s="2071"/>
      <c r="WG215" s="2071"/>
      <c r="WH215" s="2071"/>
      <c r="WI215" s="2071"/>
      <c r="WJ215" s="2071"/>
      <c r="WK215" s="2071"/>
      <c r="WL215" s="2071"/>
      <c r="WM215" s="2071"/>
      <c r="WN215" s="2071"/>
      <c r="WO215" s="2071"/>
      <c r="WP215" s="2071"/>
      <c r="WQ215" s="2071"/>
      <c r="WR215" s="2071"/>
      <c r="WS215" s="2071"/>
      <c r="WT215" s="2071"/>
      <c r="WU215" s="2071"/>
      <c r="WV215" s="2071"/>
      <c r="WW215" s="2071"/>
      <c r="WX215" s="2071"/>
      <c r="WY215" s="2071"/>
      <c r="WZ215" s="2071"/>
      <c r="XA215" s="2071"/>
      <c r="XB215" s="2071"/>
      <c r="XC215" s="2071"/>
      <c r="XD215" s="2071"/>
      <c r="XE215" s="2071"/>
      <c r="XF215" s="2071"/>
      <c r="XG215" s="2071"/>
      <c r="XH215" s="2071"/>
      <c r="XI215" s="2071"/>
      <c r="XJ215" s="2071"/>
      <c r="XK215" s="2071"/>
      <c r="XL215" s="2071"/>
      <c r="XM215" s="2071"/>
      <c r="XN215" s="2071"/>
      <c r="XO215" s="2071"/>
      <c r="XP215" s="2071"/>
      <c r="XQ215" s="2071"/>
      <c r="XR215" s="2071"/>
      <c r="XS215" s="2071"/>
      <c r="XT215" s="2071"/>
      <c r="XU215" s="2071"/>
      <c r="XV215" s="2071"/>
      <c r="XW215" s="2071"/>
      <c r="XX215" s="2071"/>
      <c r="XY215" s="2071"/>
      <c r="XZ215" s="2071"/>
      <c r="YA215" s="2071"/>
      <c r="YB215" s="2071"/>
      <c r="YC215" s="2071"/>
      <c r="YD215" s="2071"/>
      <c r="YE215" s="2071"/>
      <c r="YF215" s="2071"/>
      <c r="YG215" s="2071"/>
      <c r="YH215" s="2071"/>
      <c r="YI215" s="2071"/>
      <c r="YJ215" s="2071"/>
      <c r="YK215" s="2071"/>
      <c r="YL215" s="2071"/>
      <c r="YM215" s="2071"/>
      <c r="YN215" s="2071"/>
      <c r="YO215" s="2071"/>
      <c r="YP215" s="2071"/>
      <c r="YQ215" s="2071"/>
      <c r="YR215" s="2071"/>
      <c r="YS215" s="2071"/>
      <c r="YT215" s="2071"/>
      <c r="YU215" s="2071"/>
      <c r="YV215" s="2071"/>
      <c r="YW215" s="2071"/>
      <c r="YX215" s="2071"/>
      <c r="YY215" s="2071"/>
      <c r="YZ215" s="2071"/>
      <c r="ZA215" s="2071"/>
      <c r="ZB215" s="2071"/>
      <c r="ZC215" s="2071"/>
      <c r="ZD215" s="2071"/>
      <c r="ZE215" s="2071"/>
      <c r="ZF215" s="2071"/>
      <c r="ZG215" s="2071"/>
      <c r="ZH215" s="2071"/>
      <c r="ZI215" s="2071"/>
      <c r="ZJ215" s="2071"/>
      <c r="ZK215" s="2071"/>
      <c r="ZL215" s="2071"/>
      <c r="ZM215" s="2071"/>
      <c r="ZN215" s="2071"/>
      <c r="ZO215" s="2071"/>
      <c r="ZP215" s="2071"/>
      <c r="ZQ215" s="2071"/>
      <c r="ZR215" s="2071"/>
      <c r="ZS215" s="2071"/>
      <c r="ZT215" s="2071"/>
      <c r="ZU215" s="2071"/>
      <c r="ZV215" s="2071"/>
      <c r="ZW215" s="2071"/>
      <c r="ZX215" s="2071"/>
      <c r="ZY215" s="2071"/>
      <c r="ZZ215" s="2071"/>
      <c r="AAA215" s="2071"/>
      <c r="AAB215" s="2071"/>
      <c r="AAC215" s="2071"/>
      <c r="AAD215" s="2071"/>
      <c r="AAE215" s="2071"/>
      <c r="AAF215" s="2071"/>
      <c r="AAG215" s="2071"/>
      <c r="AAH215" s="2071"/>
      <c r="AAI215" s="2071"/>
      <c r="AAJ215" s="2071"/>
      <c r="AAK215" s="2071"/>
      <c r="AAL215" s="2071"/>
      <c r="AAM215" s="2071"/>
      <c r="AAN215" s="2071"/>
      <c r="AAO215" s="2071"/>
      <c r="AAP215" s="2071"/>
      <c r="AAQ215" s="2071"/>
      <c r="AAR215" s="2071"/>
      <c r="AAS215" s="2071"/>
      <c r="AAT215" s="2071"/>
      <c r="AAU215" s="2071"/>
      <c r="AAV215" s="2071"/>
      <c r="AAW215" s="2071"/>
      <c r="AAX215" s="2071"/>
      <c r="AAY215" s="2071"/>
      <c r="AAZ215" s="2071"/>
      <c r="ABA215" s="2071"/>
      <c r="ABB215" s="2071"/>
      <c r="ABC215" s="2071"/>
      <c r="ABD215" s="2071"/>
      <c r="ABE215" s="2071"/>
      <c r="ABF215" s="2071"/>
      <c r="ABG215" s="2071"/>
      <c r="ABH215" s="2071"/>
      <c r="ABI215" s="2071"/>
      <c r="ABJ215" s="2071"/>
      <c r="ABK215" s="2071"/>
      <c r="ABL215" s="2071"/>
      <c r="ABM215" s="2071"/>
      <c r="ABN215" s="2071"/>
      <c r="ABO215" s="2071"/>
      <c r="ABP215" s="2071"/>
      <c r="ABQ215" s="2071"/>
      <c r="ABR215" s="2071"/>
      <c r="ABS215" s="2071"/>
      <c r="ABT215" s="2071"/>
      <c r="ABU215" s="2071"/>
      <c r="ABV215" s="2071"/>
      <c r="ABW215" s="2071"/>
      <c r="ABX215" s="2071"/>
      <c r="ABY215" s="2071"/>
      <c r="ABZ215" s="2071"/>
      <c r="ACA215" s="2071"/>
      <c r="ACB215" s="2071"/>
      <c r="ACC215" s="2071"/>
      <c r="ACD215" s="2071"/>
      <c r="ACE215" s="2071"/>
      <c r="ACF215" s="2071"/>
      <c r="ACG215" s="2071"/>
      <c r="ACH215" s="2071"/>
      <c r="ACI215" s="2071"/>
      <c r="ACJ215" s="2071"/>
      <c r="ACK215" s="2071"/>
      <c r="ACL215" s="2071"/>
      <c r="ACM215" s="2071"/>
      <c r="ACN215" s="2071"/>
      <c r="ACO215" s="2071"/>
      <c r="ACP215" s="2071"/>
      <c r="ACQ215" s="2071"/>
      <c r="ACR215" s="2071"/>
      <c r="ACS215" s="2071"/>
      <c r="ACT215" s="2071"/>
      <c r="ACU215" s="2071"/>
      <c r="ACV215" s="2071"/>
      <c r="ACW215" s="2071"/>
      <c r="ACX215" s="2071"/>
      <c r="ACY215" s="2071"/>
      <c r="ACZ215" s="2071"/>
      <c r="ADA215" s="2071"/>
      <c r="ADB215" s="2071"/>
      <c r="ADC215" s="2071"/>
      <c r="ADD215" s="2071"/>
      <c r="ADE215" s="2071"/>
      <c r="ADF215" s="2071"/>
      <c r="ADG215" s="2071"/>
      <c r="ADH215" s="2071"/>
      <c r="ADI215" s="2071"/>
      <c r="ADJ215" s="2071"/>
      <c r="ADK215" s="2071"/>
      <c r="ADL215" s="2071"/>
      <c r="ADM215" s="2071"/>
      <c r="ADN215" s="2071"/>
      <c r="ADO215" s="2071"/>
      <c r="ADP215" s="2071"/>
      <c r="ADQ215" s="2071"/>
      <c r="ADR215" s="2071"/>
      <c r="ADS215" s="2071"/>
      <c r="ADT215" s="2071"/>
      <c r="ADU215" s="2071"/>
      <c r="ADV215" s="2071"/>
      <c r="ADW215" s="2071"/>
      <c r="ADX215" s="2071"/>
      <c r="ADY215" s="2071"/>
      <c r="ADZ215" s="2071"/>
      <c r="AEA215" s="2071"/>
      <c r="AEB215" s="2071"/>
      <c r="AEC215" s="2071"/>
      <c r="AED215" s="2071"/>
      <c r="AEE215" s="2071"/>
      <c r="AEF215" s="2071"/>
      <c r="AEG215" s="2071"/>
      <c r="AEH215" s="2071"/>
      <c r="AEI215" s="2071"/>
      <c r="AEJ215" s="2071"/>
      <c r="AEK215" s="2071"/>
      <c r="AEL215" s="2071"/>
      <c r="AEM215" s="2071"/>
      <c r="AEN215" s="2071"/>
      <c r="AEO215" s="2071"/>
      <c r="AEP215" s="2071"/>
      <c r="AEQ215" s="2071"/>
      <c r="AER215" s="2071"/>
      <c r="AES215" s="2071"/>
      <c r="AET215" s="2071"/>
      <c r="AEU215" s="2071"/>
      <c r="AEV215" s="2071"/>
      <c r="AEW215" s="2071"/>
      <c r="AEX215" s="2071"/>
      <c r="AEY215" s="2071"/>
      <c r="AEZ215" s="2071"/>
      <c r="AFA215" s="2071"/>
      <c r="AFB215" s="2071"/>
      <c r="AFC215" s="2071"/>
      <c r="AFD215" s="2071"/>
      <c r="AFE215" s="2071"/>
      <c r="AFF215" s="2071"/>
      <c r="AFG215" s="2071"/>
      <c r="AFH215" s="2071"/>
      <c r="AFI215" s="2071"/>
      <c r="AFJ215" s="2071"/>
      <c r="AFK215" s="2071"/>
      <c r="AFL215" s="2071"/>
      <c r="AFM215" s="2071"/>
      <c r="AFN215" s="2071"/>
      <c r="AFO215" s="2071"/>
      <c r="AFP215" s="2071"/>
      <c r="AFQ215" s="2071"/>
      <c r="AFR215" s="2071"/>
      <c r="AFS215" s="2071"/>
      <c r="AFT215" s="2071"/>
      <c r="AFU215" s="2071"/>
      <c r="AFV215" s="2071"/>
      <c r="AFW215" s="2071"/>
      <c r="AFX215" s="2071"/>
      <c r="AFY215" s="2071"/>
      <c r="AFZ215" s="2071"/>
      <c r="AGA215" s="2071"/>
      <c r="AGB215" s="2071"/>
      <c r="AGC215" s="2071"/>
      <c r="AGD215" s="2071"/>
      <c r="AGE215" s="2071"/>
      <c r="AGF215" s="2071"/>
      <c r="AGG215" s="2071"/>
      <c r="AGH215" s="2071"/>
      <c r="AGI215" s="2071"/>
      <c r="AGJ215" s="2071"/>
      <c r="AGK215" s="2071"/>
      <c r="AGL215" s="2071"/>
      <c r="AGM215" s="2071"/>
      <c r="AGN215" s="2071"/>
      <c r="AGO215" s="2071"/>
      <c r="AGP215" s="2071"/>
      <c r="AGQ215" s="2071"/>
      <c r="AGR215" s="2071"/>
      <c r="AGS215" s="2071"/>
      <c r="AGT215" s="2071"/>
      <c r="AGU215" s="2071"/>
      <c r="AGV215" s="2071"/>
      <c r="AGW215" s="2071"/>
      <c r="AGX215" s="2071"/>
      <c r="AGY215" s="2071"/>
      <c r="AGZ215" s="2071"/>
      <c r="AHA215" s="2071"/>
      <c r="AHB215" s="2071"/>
      <c r="AHC215" s="2071"/>
      <c r="AHD215" s="2071"/>
      <c r="AHE215" s="2071"/>
      <c r="AHF215" s="2071"/>
      <c r="AHG215" s="2071"/>
      <c r="AHH215" s="2071"/>
      <c r="AHI215" s="2071"/>
      <c r="AHJ215" s="2071"/>
      <c r="AHK215" s="2071"/>
      <c r="AHL215" s="2071"/>
      <c r="AHM215" s="2071"/>
      <c r="AHN215" s="2071"/>
      <c r="AHO215" s="2071"/>
      <c r="AHP215" s="2071"/>
      <c r="AHQ215" s="2071"/>
      <c r="AHR215" s="2071"/>
      <c r="AHS215" s="2071"/>
      <c r="AHT215" s="2071"/>
      <c r="AHU215" s="2071"/>
      <c r="AHV215" s="2071"/>
      <c r="AHW215" s="2071"/>
      <c r="AHX215" s="2071"/>
      <c r="AHY215" s="2071"/>
      <c r="AHZ215" s="2071"/>
      <c r="AIA215" s="2071"/>
      <c r="AIB215" s="2071"/>
      <c r="AIC215" s="2071"/>
      <c r="AID215" s="2071"/>
      <c r="AIE215" s="2071"/>
      <c r="AIF215" s="2071"/>
      <c r="AIG215" s="2071"/>
      <c r="AIH215" s="2071"/>
      <c r="AII215" s="2071"/>
      <c r="AIJ215" s="2071"/>
      <c r="AIK215" s="2071"/>
      <c r="AIL215" s="2071"/>
      <c r="AIM215" s="2071"/>
      <c r="AIN215" s="2071"/>
      <c r="AIO215" s="2071"/>
      <c r="AIP215" s="2071"/>
      <c r="AIQ215" s="2071"/>
      <c r="AIR215" s="2071"/>
      <c r="AIS215" s="2071"/>
      <c r="AIT215" s="2071"/>
      <c r="AIU215" s="2071"/>
      <c r="AIV215" s="2071"/>
      <c r="AIW215" s="2071"/>
      <c r="AIX215" s="2071"/>
      <c r="AIY215" s="2071"/>
      <c r="AIZ215" s="2071"/>
      <c r="AJA215" s="2071"/>
      <c r="AJB215" s="2071"/>
      <c r="AJC215" s="2071"/>
      <c r="AJD215" s="2071"/>
      <c r="AJE215" s="2071"/>
      <c r="AJF215" s="2071"/>
      <c r="AJG215" s="2071"/>
      <c r="AJH215" s="2071"/>
      <c r="AJI215" s="2071"/>
      <c r="AJJ215" s="2071"/>
      <c r="AJK215" s="2071"/>
      <c r="AJL215" s="2071"/>
      <c r="AJM215" s="2071"/>
      <c r="AJN215" s="2071"/>
      <c r="AJO215" s="2071"/>
      <c r="AJP215" s="2071"/>
      <c r="AJQ215" s="2071"/>
      <c r="AJR215" s="2071"/>
      <c r="AJS215" s="2071"/>
      <c r="AJT215" s="2071"/>
      <c r="AJU215" s="2071"/>
      <c r="AJV215" s="2071"/>
      <c r="AJW215" s="2071"/>
      <c r="AJX215" s="2071"/>
      <c r="AJY215" s="2071"/>
      <c r="AJZ215" s="2071"/>
      <c r="AKA215" s="2071"/>
      <c r="AKB215" s="2071"/>
      <c r="AKC215" s="2071"/>
      <c r="AKD215" s="2071"/>
      <c r="AKE215" s="2071"/>
      <c r="AKF215" s="2071"/>
      <c r="AKG215" s="2071"/>
      <c r="AKH215" s="2071"/>
      <c r="AKI215" s="2071"/>
      <c r="AKJ215" s="2071"/>
      <c r="AKK215" s="2071"/>
      <c r="AKL215" s="2071"/>
      <c r="AKM215" s="2071"/>
      <c r="AKN215" s="2071"/>
      <c r="AKO215" s="2071"/>
      <c r="AKP215" s="2071"/>
      <c r="AKQ215" s="2071"/>
      <c r="AKR215" s="2071"/>
      <c r="AKS215" s="2071"/>
      <c r="AKT215" s="2071"/>
      <c r="AKU215" s="2071"/>
      <c r="AKV215" s="2071"/>
      <c r="AKW215" s="2071"/>
      <c r="AKX215" s="2071"/>
      <c r="AKY215" s="2071"/>
      <c r="AKZ215" s="2071"/>
      <c r="ALA215" s="2071"/>
      <c r="ALB215" s="2071"/>
      <c r="ALC215" s="2071"/>
      <c r="ALD215" s="2071"/>
      <c r="ALE215" s="2071"/>
      <c r="ALF215" s="2071"/>
      <c r="ALG215" s="2071"/>
      <c r="ALH215" s="2071"/>
      <c r="ALI215" s="2071"/>
      <c r="ALJ215" s="2071"/>
      <c r="ALK215" s="2071"/>
      <c r="ALL215" s="2071"/>
      <c r="ALM215" s="2071"/>
      <c r="ALN215" s="2071"/>
      <c r="ALO215" s="2071"/>
      <c r="ALP215" s="2071"/>
      <c r="ALQ215" s="2071"/>
      <c r="ALR215" s="2071"/>
      <c r="ALS215" s="2071"/>
      <c r="ALT215" s="2071"/>
      <c r="ALU215" s="2071"/>
      <c r="ALV215" s="2071"/>
      <c r="ALW215" s="2071"/>
      <c r="ALX215" s="2071"/>
      <c r="ALY215" s="2071"/>
      <c r="ALZ215" s="2071"/>
      <c r="AMA215" s="2071"/>
      <c r="AMB215" s="2071"/>
      <c r="AMC215" s="2071"/>
      <c r="AMD215" s="2071"/>
      <c r="AME215" s="2071"/>
      <c r="AMF215" s="2071"/>
      <c r="AMG215" s="2071"/>
      <c r="AMH215" s="2071"/>
      <c r="AMI215" s="2071"/>
      <c r="AMJ215" s="2071"/>
      <c r="AMK215" s="2071"/>
      <c r="AML215" s="2071"/>
      <c r="AMM215" s="2071"/>
      <c r="AMN215" s="2071"/>
      <c r="AMO215" s="2071"/>
      <c r="AMP215" s="2071"/>
      <c r="AMQ215" s="2071"/>
      <c r="AMR215" s="2071"/>
      <c r="AMS215" s="2071"/>
      <c r="AMT215" s="2071"/>
      <c r="AMU215" s="2071"/>
      <c r="AMV215" s="2071"/>
      <c r="AMW215" s="2071"/>
      <c r="AMX215" s="2071"/>
      <c r="AMY215" s="2071"/>
      <c r="AMZ215" s="2071"/>
      <c r="ANA215" s="2071"/>
      <c r="ANB215" s="2071"/>
      <c r="ANC215" s="2071"/>
      <c r="AND215" s="2071"/>
      <c r="ANE215" s="2071"/>
      <c r="ANF215" s="2071"/>
      <c r="ANG215" s="2071"/>
      <c r="ANH215" s="2071"/>
      <c r="ANI215" s="2071"/>
      <c r="ANJ215" s="2071"/>
      <c r="ANK215" s="2071"/>
      <c r="ANL215" s="2071"/>
      <c r="ANM215" s="2071"/>
      <c r="ANN215" s="2071"/>
      <c r="ANO215" s="2071"/>
      <c r="ANP215" s="2071"/>
      <c r="ANQ215" s="2071"/>
      <c r="ANR215" s="2071"/>
      <c r="ANS215" s="2071"/>
      <c r="ANT215" s="2071"/>
      <c r="ANU215" s="2071"/>
      <c r="ANV215" s="2071"/>
      <c r="ANW215" s="2071"/>
      <c r="ANX215" s="2071"/>
      <c r="ANY215" s="2071"/>
      <c r="ANZ215" s="2071"/>
      <c r="AOA215" s="2071"/>
      <c r="AOB215" s="2071"/>
      <c r="AOC215" s="2071"/>
      <c r="AOD215" s="2071"/>
      <c r="AOE215" s="2071"/>
      <c r="AOF215" s="2071"/>
      <c r="AOG215" s="2071"/>
      <c r="AOH215" s="2071"/>
      <c r="AOI215" s="2071"/>
      <c r="AOJ215" s="2071"/>
      <c r="AOK215" s="2071"/>
      <c r="AOL215" s="2071"/>
      <c r="AOM215" s="2071"/>
      <c r="AON215" s="2071"/>
      <c r="AOO215" s="2071"/>
      <c r="AOP215" s="2071"/>
      <c r="AOQ215" s="2071"/>
      <c r="AOR215" s="2071"/>
      <c r="AOS215" s="2071"/>
      <c r="AOT215" s="2071"/>
      <c r="AOU215" s="2071"/>
      <c r="AOV215" s="2071"/>
      <c r="AOW215" s="2071"/>
      <c r="AOX215" s="2071"/>
      <c r="AOY215" s="2071"/>
      <c r="AOZ215" s="2071"/>
      <c r="APA215" s="2071"/>
      <c r="APB215" s="2071"/>
      <c r="APC215" s="2071"/>
      <c r="APD215" s="2071"/>
      <c r="APE215" s="2071"/>
      <c r="APF215" s="2071"/>
      <c r="APG215" s="2071"/>
      <c r="APH215" s="2071"/>
      <c r="API215" s="2071"/>
      <c r="APJ215" s="2071"/>
      <c r="APK215" s="2071"/>
      <c r="APL215" s="2071"/>
      <c r="APM215" s="2071"/>
      <c r="APN215" s="2071"/>
      <c r="APO215" s="2071"/>
      <c r="APP215" s="2071"/>
      <c r="APQ215" s="2071"/>
      <c r="APR215" s="2071"/>
      <c r="APS215" s="2071"/>
      <c r="APT215" s="2071"/>
      <c r="APU215" s="2071"/>
      <c r="APV215" s="2071"/>
      <c r="APW215" s="2071"/>
      <c r="APX215" s="2071"/>
      <c r="APY215" s="2071"/>
      <c r="APZ215" s="2071"/>
      <c r="AQA215" s="2071"/>
      <c r="AQB215" s="2071"/>
      <c r="AQC215" s="2071"/>
      <c r="AQD215" s="2071"/>
      <c r="AQE215" s="2071"/>
      <c r="AQF215" s="2071"/>
      <c r="AQG215" s="2071"/>
      <c r="AQH215" s="2071"/>
      <c r="AQI215" s="2071"/>
      <c r="AQJ215" s="2071"/>
      <c r="AQK215" s="2071"/>
      <c r="AQL215" s="2071"/>
      <c r="AQM215" s="2071"/>
      <c r="AQN215" s="2071"/>
      <c r="AQO215" s="2071"/>
      <c r="AQP215" s="2071"/>
      <c r="AQQ215" s="2071"/>
      <c r="AQR215" s="2071"/>
      <c r="AQS215" s="2071"/>
      <c r="AQT215" s="2071"/>
      <c r="AQU215" s="2071"/>
      <c r="AQV215" s="2071"/>
      <c r="AQW215" s="2071"/>
      <c r="AQX215" s="2071"/>
      <c r="AQY215" s="2071"/>
      <c r="AQZ215" s="2071"/>
      <c r="ARA215" s="2071"/>
      <c r="ARB215" s="2071"/>
      <c r="ARC215" s="2071"/>
      <c r="ARD215" s="2071"/>
      <c r="ARE215" s="2071"/>
      <c r="ARF215" s="2071"/>
      <c r="ARG215" s="2071"/>
      <c r="ARH215" s="2071"/>
      <c r="ARI215" s="2071"/>
      <c r="ARJ215" s="2071"/>
      <c r="ARK215" s="2071"/>
      <c r="ARL215" s="2071"/>
      <c r="ARM215" s="2071"/>
      <c r="ARN215" s="2071"/>
      <c r="ARO215" s="2071"/>
      <c r="ARP215" s="2071"/>
      <c r="ARQ215" s="2071"/>
      <c r="ARR215" s="2071"/>
      <c r="ARS215" s="2071"/>
      <c r="ART215" s="2071"/>
      <c r="ARU215" s="2071"/>
      <c r="ARV215" s="2071"/>
      <c r="ARW215" s="2071"/>
      <c r="ARX215" s="2071"/>
      <c r="ARY215" s="2071"/>
      <c r="ARZ215" s="2071"/>
      <c r="ASA215" s="2071"/>
      <c r="ASB215" s="2071"/>
      <c r="ASC215" s="2071"/>
      <c r="ASD215" s="2071"/>
      <c r="ASE215" s="2071"/>
      <c r="ASF215" s="2071"/>
      <c r="ASG215" s="2071"/>
      <c r="ASH215" s="2071"/>
      <c r="ASI215" s="2071"/>
      <c r="ASJ215" s="2071"/>
      <c r="ASK215" s="2071"/>
      <c r="ASL215" s="2071"/>
      <c r="ASM215" s="2071"/>
      <c r="ASN215" s="2071"/>
      <c r="ASO215" s="2071"/>
      <c r="ASP215" s="2071"/>
      <c r="ASQ215" s="2071"/>
      <c r="ASR215" s="2071"/>
      <c r="ASS215" s="2071"/>
      <c r="AST215" s="2071"/>
      <c r="ASU215" s="2071"/>
      <c r="ASV215" s="2071"/>
      <c r="ASW215" s="2071"/>
      <c r="ASX215" s="2071"/>
      <c r="ASY215" s="2071"/>
      <c r="ASZ215" s="2071"/>
      <c r="ATA215" s="2071"/>
      <c r="ATB215" s="2071"/>
      <c r="ATC215" s="2071"/>
      <c r="ATD215" s="2071"/>
      <c r="ATE215" s="2071"/>
      <c r="ATF215" s="2071"/>
      <c r="ATG215" s="2071"/>
      <c r="ATH215" s="2071"/>
      <c r="ATI215" s="2071"/>
      <c r="ATJ215" s="2071"/>
      <c r="ATK215" s="2071"/>
      <c r="ATL215" s="2071"/>
      <c r="ATM215" s="2071"/>
      <c r="ATN215" s="2071"/>
      <c r="ATO215" s="2071"/>
      <c r="ATP215" s="2071"/>
      <c r="ATQ215" s="2071"/>
      <c r="ATR215" s="2071"/>
      <c r="ATS215" s="2071"/>
      <c r="ATT215" s="2071"/>
      <c r="ATU215" s="2071"/>
      <c r="ATV215" s="2071"/>
      <c r="ATW215" s="2071"/>
      <c r="ATX215" s="2071"/>
      <c r="ATY215" s="2071"/>
      <c r="ATZ215" s="2071"/>
      <c r="AUA215" s="2071"/>
      <c r="AUB215" s="2071"/>
      <c r="AUC215" s="2071"/>
      <c r="AUD215" s="2071"/>
      <c r="AUE215" s="2071"/>
      <c r="AUF215" s="2071"/>
      <c r="AUG215" s="2071"/>
      <c r="AUH215" s="2071"/>
      <c r="AUI215" s="2071"/>
      <c r="AUJ215" s="2071"/>
      <c r="AUK215" s="2071"/>
      <c r="AUL215" s="2071"/>
      <c r="AUM215" s="2071"/>
      <c r="AUN215" s="2071"/>
      <c r="AUO215" s="2071"/>
      <c r="AUP215" s="2071"/>
      <c r="AUQ215" s="2071"/>
      <c r="AUR215" s="2071"/>
      <c r="AUS215" s="2071"/>
      <c r="AUT215" s="2071"/>
      <c r="AUU215" s="2071"/>
      <c r="AUV215" s="2071"/>
      <c r="AUW215" s="2071"/>
      <c r="AUX215" s="2071"/>
      <c r="AUY215" s="2071"/>
      <c r="AUZ215" s="2071"/>
      <c r="AVA215" s="2071"/>
      <c r="AVB215" s="2071"/>
      <c r="AVC215" s="2071"/>
      <c r="AVD215" s="2071"/>
      <c r="AVE215" s="2071"/>
      <c r="AVF215" s="2071"/>
      <c r="AVG215" s="2071"/>
      <c r="AVH215" s="2071"/>
      <c r="AVI215" s="2071"/>
      <c r="AVJ215" s="2071"/>
      <c r="AVK215" s="2071"/>
      <c r="AVL215" s="2071"/>
      <c r="AVM215" s="2071"/>
      <c r="AVN215" s="2071"/>
      <c r="AVO215" s="2071"/>
      <c r="AVP215" s="2071"/>
      <c r="AVQ215" s="2071"/>
      <c r="AVR215" s="2071"/>
      <c r="AVS215" s="2071"/>
      <c r="AVT215" s="2071"/>
      <c r="AVU215" s="2071"/>
      <c r="AVV215" s="2071"/>
      <c r="AVW215" s="2071"/>
      <c r="AVX215" s="2071"/>
      <c r="AVY215" s="2071"/>
      <c r="AVZ215" s="2071"/>
      <c r="AWA215" s="2071"/>
      <c r="AWB215" s="2071"/>
      <c r="AWC215" s="2071"/>
      <c r="AWD215" s="2071"/>
      <c r="AWE215" s="2071"/>
      <c r="AWF215" s="2071"/>
      <c r="AWG215" s="2071"/>
      <c r="AWH215" s="2071"/>
      <c r="AWI215" s="2071"/>
      <c r="AWJ215" s="2071"/>
      <c r="AWK215" s="2071"/>
      <c r="AWL215" s="2071"/>
      <c r="AWM215" s="2071"/>
      <c r="AWN215" s="2071"/>
      <c r="AWO215" s="2071"/>
      <c r="AWP215" s="2071"/>
      <c r="AWQ215" s="2071"/>
      <c r="AWR215" s="2071"/>
      <c r="AWS215" s="2071"/>
      <c r="AWT215" s="2071"/>
      <c r="AWU215" s="2071"/>
      <c r="AWV215" s="2071"/>
      <c r="AWW215" s="2071"/>
      <c r="AWX215" s="2071"/>
      <c r="AWY215" s="2071"/>
      <c r="AWZ215" s="2071"/>
      <c r="AXA215" s="2071"/>
      <c r="AXB215" s="2071"/>
      <c r="AXC215" s="2071"/>
      <c r="AXD215" s="2071"/>
      <c r="AXE215" s="2071"/>
      <c r="AXF215" s="2071"/>
      <c r="AXG215" s="2071"/>
      <c r="AXH215" s="2071"/>
      <c r="AXI215" s="2071"/>
      <c r="AXJ215" s="2071"/>
    </row>
    <row r="216" spans="1:1310" ht="20.100000000000001" customHeight="1">
      <c r="A216" s="2073"/>
      <c r="B216" s="1201"/>
      <c r="C216" s="1201"/>
      <c r="D216" s="1201"/>
      <c r="E216" s="63"/>
      <c r="F216" s="63"/>
      <c r="G216" s="1201"/>
      <c r="H216" s="1201"/>
      <c r="I216" s="1201"/>
      <c r="J216" s="1201"/>
      <c r="K216" s="1201"/>
      <c r="L216" s="1201"/>
      <c r="M216" s="1201"/>
      <c r="N216" s="1201"/>
      <c r="O216" s="1201"/>
      <c r="P216" s="1201"/>
      <c r="Q216" s="1201"/>
    </row>
    <row r="217" spans="1:1310" ht="20.100000000000001" customHeight="1">
      <c r="A217" s="2073"/>
      <c r="B217" s="4480" t="s">
        <v>904</v>
      </c>
      <c r="C217" s="4480"/>
      <c r="D217" s="4480"/>
      <c r="E217" s="101" t="s">
        <v>905</v>
      </c>
      <c r="F217" s="102"/>
      <c r="G217" s="101" t="s">
        <v>906</v>
      </c>
      <c r="H217" s="103"/>
      <c r="I217" s="1201"/>
      <c r="J217" s="101" t="s">
        <v>907</v>
      </c>
      <c r="K217" s="103"/>
      <c r="L217" s="1201"/>
      <c r="M217" s="104" t="s">
        <v>908</v>
      </c>
      <c r="Q217" s="1201"/>
    </row>
    <row r="218" spans="1:1310" ht="20.100000000000001" customHeight="1">
      <c r="A218" s="2073"/>
      <c r="B218" s="1201"/>
      <c r="C218" s="1201"/>
      <c r="D218" s="1201"/>
      <c r="E218" s="63"/>
      <c r="F218" s="63"/>
      <c r="G218" s="1201"/>
      <c r="H218" s="1201"/>
      <c r="I218" s="1201"/>
      <c r="J218" s="1201"/>
      <c r="K218" s="1201"/>
      <c r="L218" s="1201"/>
      <c r="M218" s="1201"/>
      <c r="N218" s="1201"/>
      <c r="O218" s="1201"/>
      <c r="P218" s="1201"/>
      <c r="Q218" s="1201"/>
    </row>
    <row r="219" spans="1:1310" s="2072" customFormat="1" ht="23.25" customHeight="1">
      <c r="A219" s="2073"/>
      <c r="B219" s="100"/>
      <c r="C219" s="100"/>
      <c r="D219" s="100"/>
      <c r="E219" s="100"/>
      <c r="F219" s="100"/>
      <c r="G219" s="100"/>
      <c r="H219" s="100"/>
      <c r="I219" s="100"/>
      <c r="J219" s="100"/>
      <c r="K219" s="100"/>
      <c r="L219" s="100"/>
      <c r="M219" s="100"/>
      <c r="N219" s="100"/>
      <c r="O219" s="100"/>
      <c r="P219" s="100"/>
      <c r="Q219" s="100"/>
      <c r="R219" s="1838"/>
      <c r="S219" s="1838"/>
      <c r="T219" s="1838"/>
      <c r="U219" s="1838"/>
      <c r="V219" s="1838"/>
      <c r="W219" s="1838"/>
      <c r="X219" s="1838"/>
      <c r="Y219" s="1838"/>
      <c r="Z219" s="1838"/>
      <c r="AA219" s="1838"/>
      <c r="AB219" s="1838"/>
      <c r="AC219" s="1838"/>
      <c r="AD219" s="2070"/>
      <c r="AE219" s="2070"/>
      <c r="AF219" s="2070"/>
      <c r="AG219" s="2070"/>
      <c r="AH219" s="2070"/>
      <c r="AI219" s="2070"/>
      <c r="AJ219" s="2070"/>
      <c r="AK219" s="2070"/>
      <c r="AL219" s="2070"/>
      <c r="AM219" s="2070"/>
      <c r="AN219" s="2070"/>
      <c r="AO219" s="2070"/>
      <c r="AP219" s="2070"/>
      <c r="AQ219" s="2070"/>
      <c r="AR219" s="2070"/>
      <c r="AS219" s="2070"/>
      <c r="AT219" s="2070"/>
      <c r="AU219" s="2070"/>
      <c r="AV219" s="2071"/>
      <c r="AW219" s="2071"/>
      <c r="AX219" s="2071"/>
      <c r="AY219" s="2071"/>
      <c r="AZ219" s="2071"/>
      <c r="BA219" s="2071"/>
      <c r="BB219" s="2071"/>
      <c r="BC219" s="2071"/>
      <c r="BD219" s="2071"/>
      <c r="BE219" s="2071"/>
      <c r="BF219" s="2071"/>
      <c r="BG219" s="2071"/>
      <c r="BH219" s="2071"/>
      <c r="BI219" s="2071"/>
      <c r="BJ219" s="2071"/>
      <c r="BK219" s="2071"/>
      <c r="BL219" s="2071"/>
      <c r="BM219" s="2071"/>
      <c r="BN219" s="2071"/>
      <c r="BO219" s="2071"/>
      <c r="BP219" s="2071"/>
      <c r="BQ219" s="2071"/>
      <c r="BR219" s="2071"/>
      <c r="BS219" s="2071"/>
      <c r="BT219" s="2071"/>
      <c r="BU219" s="2071"/>
      <c r="BV219" s="2071"/>
      <c r="BW219" s="2071"/>
      <c r="BX219" s="2071"/>
      <c r="BY219" s="2071"/>
      <c r="BZ219" s="2071"/>
      <c r="CA219" s="2071"/>
      <c r="CB219" s="2071"/>
      <c r="CC219" s="2071"/>
      <c r="CD219" s="2071"/>
      <c r="CE219" s="2071"/>
      <c r="CF219" s="2071"/>
      <c r="CG219" s="2071"/>
      <c r="CH219" s="2071"/>
      <c r="CI219" s="2071"/>
      <c r="CJ219" s="2071"/>
      <c r="CK219" s="2071"/>
      <c r="CL219" s="2071"/>
      <c r="CM219" s="2071"/>
      <c r="CN219" s="2071"/>
      <c r="CO219" s="2071"/>
      <c r="CP219" s="2071"/>
      <c r="CQ219" s="2071"/>
      <c r="CR219" s="2071"/>
      <c r="CS219" s="2071"/>
      <c r="CT219" s="2071"/>
      <c r="CU219" s="2071"/>
      <c r="CV219" s="2071"/>
      <c r="CW219" s="2071"/>
      <c r="CX219" s="2071"/>
      <c r="CY219" s="2071"/>
      <c r="CZ219" s="2071"/>
      <c r="DA219" s="2071"/>
      <c r="DB219" s="2071"/>
      <c r="DC219" s="2071"/>
      <c r="DD219" s="2071"/>
      <c r="DE219" s="2071"/>
      <c r="DF219" s="2071"/>
      <c r="DG219" s="2071"/>
      <c r="DH219" s="2071"/>
      <c r="DI219" s="2071"/>
      <c r="DJ219" s="2071"/>
      <c r="DK219" s="2071"/>
      <c r="DL219" s="2071"/>
      <c r="DM219" s="2071"/>
      <c r="DN219" s="2071"/>
      <c r="DO219" s="2071"/>
      <c r="DP219" s="2071"/>
      <c r="DQ219" s="2071"/>
      <c r="DR219" s="2071"/>
      <c r="DS219" s="2071"/>
      <c r="DT219" s="2071"/>
      <c r="DU219" s="2071"/>
      <c r="DV219" s="2071"/>
      <c r="DW219" s="2071"/>
      <c r="DX219" s="2071"/>
      <c r="DY219" s="2071"/>
      <c r="DZ219" s="2071"/>
      <c r="EA219" s="2071"/>
      <c r="EB219" s="2071"/>
      <c r="EC219" s="2071"/>
      <c r="ED219" s="2071"/>
      <c r="EE219" s="2071"/>
      <c r="EF219" s="2071"/>
      <c r="EG219" s="2071"/>
      <c r="EH219" s="2071"/>
      <c r="EI219" s="2071"/>
      <c r="EJ219" s="2071"/>
      <c r="EK219" s="2071"/>
      <c r="EL219" s="2071"/>
      <c r="EM219" s="2071"/>
      <c r="EN219" s="2071"/>
      <c r="EO219" s="2071"/>
      <c r="EP219" s="2071"/>
      <c r="EQ219" s="2071"/>
      <c r="ER219" s="2071"/>
      <c r="ES219" s="2071"/>
      <c r="ET219" s="2071"/>
      <c r="EU219" s="2071"/>
      <c r="EV219" s="2071"/>
      <c r="EW219" s="2071"/>
      <c r="EX219" s="2071"/>
      <c r="EY219" s="2071"/>
      <c r="EZ219" s="2071"/>
      <c r="FA219" s="2071"/>
      <c r="FB219" s="2071"/>
      <c r="FC219" s="2071"/>
      <c r="FD219" s="2071"/>
      <c r="FE219" s="2071"/>
      <c r="FF219" s="2071"/>
      <c r="FG219" s="2071"/>
      <c r="FH219" s="2071"/>
      <c r="FI219" s="2071"/>
      <c r="FJ219" s="2071"/>
      <c r="FK219" s="2071"/>
      <c r="FL219" s="2071"/>
      <c r="FM219" s="2071"/>
      <c r="FN219" s="2071"/>
      <c r="FO219" s="2071"/>
      <c r="FP219" s="2071"/>
      <c r="FQ219" s="2071"/>
      <c r="FR219" s="2071"/>
      <c r="FS219" s="2071"/>
      <c r="FT219" s="2071"/>
      <c r="FU219" s="2071"/>
      <c r="FV219" s="2071"/>
      <c r="FW219" s="2071"/>
      <c r="FX219" s="2071"/>
      <c r="FY219" s="2071"/>
      <c r="FZ219" s="2071"/>
      <c r="GA219" s="2071"/>
      <c r="GB219" s="2071"/>
      <c r="GC219" s="2071"/>
      <c r="GD219" s="2071"/>
      <c r="GE219" s="2071"/>
      <c r="GF219" s="2071"/>
      <c r="GG219" s="2071"/>
      <c r="GH219" s="2071"/>
      <c r="GI219" s="2071"/>
      <c r="GJ219" s="2071"/>
      <c r="GK219" s="2071"/>
      <c r="GL219" s="2071"/>
      <c r="GM219" s="2071"/>
      <c r="GN219" s="2071"/>
      <c r="GO219" s="2071"/>
      <c r="GP219" s="2071"/>
      <c r="GQ219" s="2071"/>
      <c r="GR219" s="2071"/>
      <c r="GS219" s="2071"/>
      <c r="GT219" s="2071"/>
      <c r="GU219" s="2071"/>
      <c r="GV219" s="2071"/>
      <c r="GW219" s="2071"/>
      <c r="GX219" s="2071"/>
      <c r="GY219" s="2071"/>
      <c r="GZ219" s="2071"/>
      <c r="HA219" s="2071"/>
      <c r="HB219" s="2071"/>
      <c r="HC219" s="2071"/>
      <c r="HD219" s="2071"/>
      <c r="HE219" s="2071"/>
      <c r="HF219" s="2071"/>
      <c r="HG219" s="2071"/>
      <c r="HH219" s="2071"/>
      <c r="HI219" s="2071"/>
      <c r="HJ219" s="2071"/>
      <c r="HK219" s="2071"/>
      <c r="HL219" s="2071"/>
      <c r="HM219" s="2071"/>
      <c r="HN219" s="2071"/>
      <c r="HO219" s="2071"/>
      <c r="HP219" s="2071"/>
      <c r="HQ219" s="2071"/>
      <c r="HR219" s="2071"/>
      <c r="HS219" s="2071"/>
      <c r="HT219" s="2071"/>
      <c r="HU219" s="2071"/>
      <c r="HV219" s="2071"/>
      <c r="HW219" s="2071"/>
      <c r="HX219" s="2071"/>
      <c r="HY219" s="2071"/>
      <c r="HZ219" s="2071"/>
      <c r="IA219" s="2071"/>
      <c r="IB219" s="2071"/>
      <c r="IC219" s="2071"/>
      <c r="ID219" s="2071"/>
      <c r="IE219" s="2071"/>
      <c r="IF219" s="2071"/>
      <c r="IG219" s="2071"/>
      <c r="IH219" s="2071"/>
      <c r="II219" s="2071"/>
      <c r="IJ219" s="2071"/>
      <c r="IK219" s="2071"/>
      <c r="IL219" s="2071"/>
      <c r="IM219" s="2071"/>
      <c r="IN219" s="2071"/>
      <c r="IO219" s="2071"/>
      <c r="IP219" s="2071"/>
      <c r="IQ219" s="2071"/>
      <c r="IR219" s="2071"/>
      <c r="IS219" s="2071"/>
      <c r="IT219" s="2071"/>
      <c r="IU219" s="2071"/>
      <c r="IV219" s="2071"/>
      <c r="IW219" s="2071"/>
      <c r="IX219" s="2071"/>
      <c r="IY219" s="2071"/>
      <c r="IZ219" s="2071"/>
      <c r="JA219" s="2071"/>
      <c r="JB219" s="2071"/>
      <c r="JC219" s="2071"/>
      <c r="JD219" s="2071"/>
      <c r="JE219" s="2071"/>
      <c r="JF219" s="2071"/>
      <c r="JG219" s="2071"/>
      <c r="JH219" s="2071"/>
      <c r="JI219" s="2071"/>
      <c r="JJ219" s="2071"/>
      <c r="JK219" s="2071"/>
      <c r="JL219" s="2071"/>
      <c r="JM219" s="2071"/>
      <c r="JN219" s="2071"/>
      <c r="JO219" s="2071"/>
      <c r="JP219" s="2071"/>
      <c r="JQ219" s="2071"/>
      <c r="JR219" s="2071"/>
      <c r="JS219" s="2071"/>
      <c r="JT219" s="2071"/>
      <c r="JU219" s="2071"/>
      <c r="JV219" s="2071"/>
      <c r="JW219" s="2071"/>
      <c r="JX219" s="2071"/>
      <c r="JY219" s="2071"/>
      <c r="JZ219" s="2071"/>
      <c r="KA219" s="2071"/>
      <c r="KB219" s="2071"/>
      <c r="KC219" s="2071"/>
      <c r="KD219" s="2071"/>
      <c r="KE219" s="2071"/>
      <c r="KF219" s="2071"/>
      <c r="KG219" s="2071"/>
      <c r="KH219" s="2071"/>
      <c r="KI219" s="2071"/>
      <c r="KJ219" s="2071"/>
      <c r="KK219" s="2071"/>
      <c r="KL219" s="2071"/>
      <c r="KM219" s="2071"/>
      <c r="KN219" s="2071"/>
      <c r="KO219" s="2071"/>
      <c r="KP219" s="2071"/>
      <c r="KQ219" s="2071"/>
      <c r="KR219" s="2071"/>
      <c r="KS219" s="2071"/>
      <c r="KT219" s="2071"/>
      <c r="KU219" s="2071"/>
      <c r="KV219" s="2071"/>
      <c r="KW219" s="2071"/>
      <c r="KX219" s="2071"/>
      <c r="KY219" s="2071"/>
      <c r="KZ219" s="2071"/>
      <c r="LA219" s="2071"/>
      <c r="LB219" s="2071"/>
      <c r="LC219" s="2071"/>
      <c r="LD219" s="2071"/>
      <c r="LE219" s="2071"/>
      <c r="LF219" s="2071"/>
      <c r="LG219" s="2071"/>
      <c r="LH219" s="2071"/>
      <c r="LI219" s="2071"/>
      <c r="LJ219" s="2071"/>
      <c r="LK219" s="2071"/>
      <c r="LL219" s="2071"/>
      <c r="LM219" s="2071"/>
      <c r="LN219" s="2071"/>
      <c r="LO219" s="2071"/>
      <c r="LP219" s="2071"/>
      <c r="LQ219" s="2071"/>
      <c r="LR219" s="2071"/>
      <c r="LS219" s="2071"/>
      <c r="LT219" s="2071"/>
      <c r="LU219" s="2071"/>
      <c r="LV219" s="2071"/>
      <c r="LW219" s="2071"/>
      <c r="LX219" s="2071"/>
      <c r="LY219" s="2071"/>
      <c r="LZ219" s="2071"/>
      <c r="MA219" s="2071"/>
      <c r="MB219" s="2071"/>
      <c r="MC219" s="2071"/>
      <c r="MD219" s="2071"/>
      <c r="ME219" s="2071"/>
      <c r="MF219" s="2071"/>
      <c r="MG219" s="2071"/>
      <c r="MH219" s="2071"/>
      <c r="MI219" s="2071"/>
      <c r="MJ219" s="2071"/>
      <c r="MK219" s="2071"/>
      <c r="ML219" s="2071"/>
      <c r="MM219" s="2071"/>
      <c r="MN219" s="2071"/>
      <c r="MO219" s="2071"/>
      <c r="MP219" s="2071"/>
      <c r="MQ219" s="2071"/>
      <c r="MR219" s="2071"/>
      <c r="MS219" s="2071"/>
      <c r="MT219" s="2071"/>
      <c r="MU219" s="2071"/>
      <c r="MV219" s="2071"/>
      <c r="MW219" s="2071"/>
      <c r="MX219" s="2071"/>
      <c r="MY219" s="2071"/>
      <c r="MZ219" s="2071"/>
      <c r="NA219" s="2071"/>
      <c r="NB219" s="2071"/>
      <c r="NC219" s="2071"/>
      <c r="ND219" s="2071"/>
      <c r="NE219" s="2071"/>
      <c r="NF219" s="2071"/>
      <c r="NG219" s="2071"/>
      <c r="NH219" s="2071"/>
      <c r="NI219" s="2071"/>
      <c r="NJ219" s="2071"/>
      <c r="NK219" s="2071"/>
      <c r="NL219" s="2071"/>
      <c r="NM219" s="2071"/>
      <c r="NN219" s="2071"/>
      <c r="NO219" s="2071"/>
      <c r="NP219" s="2071"/>
      <c r="NQ219" s="2071"/>
      <c r="NR219" s="2071"/>
      <c r="NS219" s="2071"/>
      <c r="NT219" s="2071"/>
      <c r="NU219" s="2071"/>
      <c r="NV219" s="2071"/>
      <c r="NW219" s="2071"/>
      <c r="NX219" s="2071"/>
      <c r="NY219" s="2071"/>
      <c r="NZ219" s="2071"/>
      <c r="OA219" s="2071"/>
      <c r="OB219" s="2071"/>
      <c r="OC219" s="2071"/>
      <c r="OD219" s="2071"/>
      <c r="OE219" s="2071"/>
      <c r="OF219" s="2071"/>
      <c r="OG219" s="2071"/>
      <c r="OH219" s="2071"/>
      <c r="OI219" s="2071"/>
      <c r="OJ219" s="2071"/>
      <c r="OK219" s="2071"/>
      <c r="OL219" s="2071"/>
      <c r="OM219" s="2071"/>
      <c r="ON219" s="2071"/>
      <c r="OO219" s="2071"/>
      <c r="OP219" s="2071"/>
      <c r="OQ219" s="2071"/>
      <c r="OR219" s="2071"/>
      <c r="OS219" s="2071"/>
      <c r="OT219" s="2071"/>
      <c r="OU219" s="2071"/>
      <c r="OV219" s="2071"/>
      <c r="OW219" s="2071"/>
      <c r="OX219" s="2071"/>
      <c r="OY219" s="2071"/>
      <c r="OZ219" s="2071"/>
      <c r="PA219" s="2071"/>
      <c r="PB219" s="2071"/>
      <c r="PC219" s="2071"/>
      <c r="PD219" s="2071"/>
      <c r="PE219" s="2071"/>
      <c r="PF219" s="2071"/>
      <c r="PG219" s="2071"/>
      <c r="PH219" s="2071"/>
      <c r="PI219" s="2071"/>
      <c r="PJ219" s="2071"/>
      <c r="PK219" s="2071"/>
      <c r="PL219" s="2071"/>
      <c r="PM219" s="2071"/>
      <c r="PN219" s="2071"/>
      <c r="PO219" s="2071"/>
      <c r="PP219" s="2071"/>
      <c r="PQ219" s="2071"/>
      <c r="PR219" s="2071"/>
      <c r="PS219" s="2071"/>
      <c r="PT219" s="2071"/>
      <c r="PU219" s="2071"/>
      <c r="PV219" s="2071"/>
      <c r="PW219" s="2071"/>
      <c r="PX219" s="2071"/>
      <c r="PY219" s="2071"/>
      <c r="PZ219" s="2071"/>
      <c r="QA219" s="2071"/>
      <c r="QB219" s="2071"/>
      <c r="QC219" s="2071"/>
      <c r="QD219" s="2071"/>
      <c r="QE219" s="2071"/>
      <c r="QF219" s="2071"/>
      <c r="QG219" s="2071"/>
      <c r="QH219" s="2071"/>
      <c r="QI219" s="2071"/>
      <c r="QJ219" s="2071"/>
      <c r="QK219" s="2071"/>
      <c r="QL219" s="2071"/>
      <c r="QM219" s="2071"/>
      <c r="QN219" s="2071"/>
      <c r="QO219" s="2071"/>
      <c r="QP219" s="2071"/>
      <c r="QQ219" s="2071"/>
      <c r="QR219" s="2071"/>
      <c r="QS219" s="2071"/>
      <c r="QT219" s="2071"/>
      <c r="QU219" s="2071"/>
      <c r="QV219" s="2071"/>
      <c r="QW219" s="2071"/>
      <c r="QX219" s="2071"/>
      <c r="QY219" s="2071"/>
      <c r="QZ219" s="2071"/>
      <c r="RA219" s="2071"/>
      <c r="RB219" s="2071"/>
      <c r="RC219" s="2071"/>
      <c r="RD219" s="2071"/>
      <c r="RE219" s="2071"/>
      <c r="RF219" s="2071"/>
      <c r="RG219" s="2071"/>
      <c r="RH219" s="2071"/>
      <c r="RI219" s="2071"/>
      <c r="RJ219" s="2071"/>
      <c r="RK219" s="2071"/>
      <c r="RL219" s="2071"/>
      <c r="RM219" s="2071"/>
      <c r="RN219" s="2071"/>
      <c r="RO219" s="2071"/>
      <c r="RP219" s="2071"/>
      <c r="RQ219" s="2071"/>
      <c r="RR219" s="2071"/>
      <c r="RS219" s="2071"/>
      <c r="RT219" s="2071"/>
      <c r="RU219" s="2071"/>
      <c r="RV219" s="2071"/>
      <c r="RW219" s="2071"/>
      <c r="RX219" s="2071"/>
      <c r="RY219" s="2071"/>
      <c r="RZ219" s="2071"/>
      <c r="SA219" s="2071"/>
      <c r="SB219" s="2071"/>
      <c r="SC219" s="2071"/>
      <c r="SD219" s="2071"/>
      <c r="SE219" s="2071"/>
      <c r="SF219" s="2071"/>
      <c r="SG219" s="2071"/>
      <c r="SH219" s="2071"/>
      <c r="SI219" s="2071"/>
      <c r="SJ219" s="2071"/>
      <c r="SK219" s="2071"/>
      <c r="SL219" s="2071"/>
      <c r="SM219" s="2071"/>
      <c r="SN219" s="2071"/>
      <c r="SO219" s="2071"/>
      <c r="SP219" s="2071"/>
      <c r="SQ219" s="2071"/>
      <c r="SR219" s="2071"/>
      <c r="SS219" s="2071"/>
      <c r="ST219" s="2071"/>
      <c r="SU219" s="2071"/>
      <c r="SV219" s="2071"/>
      <c r="SW219" s="2071"/>
      <c r="SX219" s="2071"/>
      <c r="SY219" s="2071"/>
      <c r="SZ219" s="2071"/>
      <c r="TA219" s="2071"/>
      <c r="TB219" s="2071"/>
      <c r="TC219" s="2071"/>
      <c r="TD219" s="2071"/>
      <c r="TE219" s="2071"/>
      <c r="TF219" s="2071"/>
      <c r="TG219" s="2071"/>
      <c r="TH219" s="2071"/>
      <c r="TI219" s="2071"/>
      <c r="TJ219" s="2071"/>
      <c r="TK219" s="2071"/>
      <c r="TL219" s="2071"/>
      <c r="TM219" s="2071"/>
      <c r="TN219" s="2071"/>
      <c r="TO219" s="2071"/>
      <c r="TP219" s="2071"/>
      <c r="TQ219" s="2071"/>
      <c r="TR219" s="2071"/>
      <c r="TS219" s="2071"/>
      <c r="TT219" s="2071"/>
      <c r="TU219" s="2071"/>
      <c r="TV219" s="2071"/>
      <c r="TW219" s="2071"/>
      <c r="TX219" s="2071"/>
      <c r="TY219" s="2071"/>
      <c r="TZ219" s="2071"/>
      <c r="UA219" s="2071"/>
      <c r="UB219" s="2071"/>
      <c r="UC219" s="2071"/>
      <c r="UD219" s="2071"/>
      <c r="UE219" s="2071"/>
      <c r="UF219" s="2071"/>
      <c r="UG219" s="2071"/>
      <c r="UH219" s="2071"/>
      <c r="UI219" s="2071"/>
      <c r="UJ219" s="2071"/>
      <c r="UK219" s="2071"/>
      <c r="UL219" s="2071"/>
      <c r="UM219" s="2071"/>
      <c r="UN219" s="2071"/>
      <c r="UO219" s="2071"/>
      <c r="UP219" s="2071"/>
      <c r="UQ219" s="2071"/>
      <c r="UR219" s="2071"/>
      <c r="US219" s="2071"/>
      <c r="UT219" s="2071"/>
      <c r="UU219" s="2071"/>
      <c r="UV219" s="2071"/>
      <c r="UW219" s="2071"/>
      <c r="UX219" s="2071"/>
      <c r="UY219" s="2071"/>
      <c r="UZ219" s="2071"/>
      <c r="VA219" s="2071"/>
      <c r="VB219" s="2071"/>
      <c r="VC219" s="2071"/>
      <c r="VD219" s="2071"/>
      <c r="VE219" s="2071"/>
      <c r="VF219" s="2071"/>
      <c r="VG219" s="2071"/>
      <c r="VH219" s="2071"/>
      <c r="VI219" s="2071"/>
      <c r="VJ219" s="2071"/>
      <c r="VK219" s="2071"/>
      <c r="VL219" s="2071"/>
      <c r="VM219" s="2071"/>
      <c r="VN219" s="2071"/>
      <c r="VO219" s="2071"/>
      <c r="VP219" s="2071"/>
      <c r="VQ219" s="2071"/>
      <c r="VR219" s="2071"/>
      <c r="VS219" s="2071"/>
      <c r="VT219" s="2071"/>
      <c r="VU219" s="2071"/>
      <c r="VV219" s="2071"/>
      <c r="VW219" s="2071"/>
      <c r="VX219" s="2071"/>
      <c r="VY219" s="2071"/>
      <c r="VZ219" s="2071"/>
      <c r="WA219" s="2071"/>
      <c r="WB219" s="2071"/>
      <c r="WC219" s="2071"/>
      <c r="WD219" s="2071"/>
      <c r="WE219" s="2071"/>
      <c r="WF219" s="2071"/>
      <c r="WG219" s="2071"/>
      <c r="WH219" s="2071"/>
      <c r="WI219" s="2071"/>
      <c r="WJ219" s="2071"/>
      <c r="WK219" s="2071"/>
      <c r="WL219" s="2071"/>
      <c r="WM219" s="2071"/>
      <c r="WN219" s="2071"/>
      <c r="WO219" s="2071"/>
      <c r="WP219" s="2071"/>
      <c r="WQ219" s="2071"/>
      <c r="WR219" s="2071"/>
      <c r="WS219" s="2071"/>
      <c r="WT219" s="2071"/>
      <c r="WU219" s="2071"/>
      <c r="WV219" s="2071"/>
      <c r="WW219" s="2071"/>
      <c r="WX219" s="2071"/>
      <c r="WY219" s="2071"/>
      <c r="WZ219" s="2071"/>
      <c r="XA219" s="2071"/>
      <c r="XB219" s="2071"/>
      <c r="XC219" s="2071"/>
      <c r="XD219" s="2071"/>
      <c r="XE219" s="2071"/>
      <c r="XF219" s="2071"/>
      <c r="XG219" s="2071"/>
      <c r="XH219" s="2071"/>
      <c r="XI219" s="2071"/>
      <c r="XJ219" s="2071"/>
      <c r="XK219" s="2071"/>
      <c r="XL219" s="2071"/>
      <c r="XM219" s="2071"/>
      <c r="XN219" s="2071"/>
      <c r="XO219" s="2071"/>
      <c r="XP219" s="2071"/>
      <c r="XQ219" s="2071"/>
      <c r="XR219" s="2071"/>
      <c r="XS219" s="2071"/>
      <c r="XT219" s="2071"/>
      <c r="XU219" s="2071"/>
      <c r="XV219" s="2071"/>
      <c r="XW219" s="2071"/>
      <c r="XX219" s="2071"/>
      <c r="XY219" s="2071"/>
      <c r="XZ219" s="2071"/>
      <c r="YA219" s="2071"/>
      <c r="YB219" s="2071"/>
      <c r="YC219" s="2071"/>
      <c r="YD219" s="2071"/>
      <c r="YE219" s="2071"/>
      <c r="YF219" s="2071"/>
      <c r="YG219" s="2071"/>
      <c r="YH219" s="2071"/>
      <c r="YI219" s="2071"/>
      <c r="YJ219" s="2071"/>
      <c r="YK219" s="2071"/>
      <c r="YL219" s="2071"/>
      <c r="YM219" s="2071"/>
      <c r="YN219" s="2071"/>
      <c r="YO219" s="2071"/>
      <c r="YP219" s="2071"/>
      <c r="YQ219" s="2071"/>
      <c r="YR219" s="2071"/>
      <c r="YS219" s="2071"/>
      <c r="YT219" s="2071"/>
      <c r="YU219" s="2071"/>
      <c r="YV219" s="2071"/>
      <c r="YW219" s="2071"/>
      <c r="YX219" s="2071"/>
      <c r="YY219" s="2071"/>
      <c r="YZ219" s="2071"/>
      <c r="ZA219" s="2071"/>
      <c r="ZB219" s="2071"/>
      <c r="ZC219" s="2071"/>
      <c r="ZD219" s="2071"/>
      <c r="ZE219" s="2071"/>
      <c r="ZF219" s="2071"/>
      <c r="ZG219" s="2071"/>
      <c r="ZH219" s="2071"/>
      <c r="ZI219" s="2071"/>
      <c r="ZJ219" s="2071"/>
      <c r="ZK219" s="2071"/>
      <c r="ZL219" s="2071"/>
      <c r="ZM219" s="2071"/>
      <c r="ZN219" s="2071"/>
      <c r="ZO219" s="2071"/>
      <c r="ZP219" s="2071"/>
      <c r="ZQ219" s="2071"/>
      <c r="ZR219" s="2071"/>
      <c r="ZS219" s="2071"/>
      <c r="ZT219" s="2071"/>
      <c r="ZU219" s="2071"/>
      <c r="ZV219" s="2071"/>
      <c r="ZW219" s="2071"/>
      <c r="ZX219" s="2071"/>
      <c r="ZY219" s="2071"/>
      <c r="ZZ219" s="2071"/>
      <c r="AAA219" s="2071"/>
      <c r="AAB219" s="2071"/>
      <c r="AAC219" s="2071"/>
      <c r="AAD219" s="2071"/>
      <c r="AAE219" s="2071"/>
      <c r="AAF219" s="2071"/>
      <c r="AAG219" s="2071"/>
      <c r="AAH219" s="2071"/>
      <c r="AAI219" s="2071"/>
      <c r="AAJ219" s="2071"/>
      <c r="AAK219" s="2071"/>
      <c r="AAL219" s="2071"/>
      <c r="AAM219" s="2071"/>
      <c r="AAN219" s="2071"/>
      <c r="AAO219" s="2071"/>
      <c r="AAP219" s="2071"/>
      <c r="AAQ219" s="2071"/>
      <c r="AAR219" s="2071"/>
      <c r="AAS219" s="2071"/>
      <c r="AAT219" s="2071"/>
      <c r="AAU219" s="2071"/>
      <c r="AAV219" s="2071"/>
      <c r="AAW219" s="2071"/>
      <c r="AAX219" s="2071"/>
      <c r="AAY219" s="2071"/>
      <c r="AAZ219" s="2071"/>
      <c r="ABA219" s="2071"/>
      <c r="ABB219" s="2071"/>
      <c r="ABC219" s="2071"/>
      <c r="ABD219" s="2071"/>
      <c r="ABE219" s="2071"/>
      <c r="ABF219" s="2071"/>
      <c r="ABG219" s="2071"/>
      <c r="ABH219" s="2071"/>
      <c r="ABI219" s="2071"/>
      <c r="ABJ219" s="2071"/>
      <c r="ABK219" s="2071"/>
      <c r="ABL219" s="2071"/>
      <c r="ABM219" s="2071"/>
      <c r="ABN219" s="2071"/>
      <c r="ABO219" s="2071"/>
      <c r="ABP219" s="2071"/>
      <c r="ABQ219" s="2071"/>
      <c r="ABR219" s="2071"/>
      <c r="ABS219" s="2071"/>
      <c r="ABT219" s="2071"/>
      <c r="ABU219" s="2071"/>
      <c r="ABV219" s="2071"/>
      <c r="ABW219" s="2071"/>
      <c r="ABX219" s="2071"/>
      <c r="ABY219" s="2071"/>
      <c r="ABZ219" s="2071"/>
      <c r="ACA219" s="2071"/>
      <c r="ACB219" s="2071"/>
      <c r="ACC219" s="2071"/>
      <c r="ACD219" s="2071"/>
      <c r="ACE219" s="2071"/>
      <c r="ACF219" s="2071"/>
      <c r="ACG219" s="2071"/>
      <c r="ACH219" s="2071"/>
      <c r="ACI219" s="2071"/>
      <c r="ACJ219" s="2071"/>
      <c r="ACK219" s="2071"/>
      <c r="ACL219" s="2071"/>
      <c r="ACM219" s="2071"/>
      <c r="ACN219" s="2071"/>
      <c r="ACO219" s="2071"/>
      <c r="ACP219" s="2071"/>
      <c r="ACQ219" s="2071"/>
      <c r="ACR219" s="2071"/>
      <c r="ACS219" s="2071"/>
      <c r="ACT219" s="2071"/>
      <c r="ACU219" s="2071"/>
      <c r="ACV219" s="2071"/>
      <c r="ACW219" s="2071"/>
      <c r="ACX219" s="2071"/>
      <c r="ACY219" s="2071"/>
      <c r="ACZ219" s="2071"/>
      <c r="ADA219" s="2071"/>
      <c r="ADB219" s="2071"/>
      <c r="ADC219" s="2071"/>
      <c r="ADD219" s="2071"/>
      <c r="ADE219" s="2071"/>
      <c r="ADF219" s="2071"/>
      <c r="ADG219" s="2071"/>
      <c r="ADH219" s="2071"/>
      <c r="ADI219" s="2071"/>
      <c r="ADJ219" s="2071"/>
      <c r="ADK219" s="2071"/>
      <c r="ADL219" s="2071"/>
      <c r="ADM219" s="2071"/>
      <c r="ADN219" s="2071"/>
      <c r="ADO219" s="2071"/>
      <c r="ADP219" s="2071"/>
      <c r="ADQ219" s="2071"/>
      <c r="ADR219" s="2071"/>
      <c r="ADS219" s="2071"/>
      <c r="ADT219" s="2071"/>
      <c r="ADU219" s="2071"/>
      <c r="ADV219" s="2071"/>
      <c r="ADW219" s="2071"/>
      <c r="ADX219" s="2071"/>
      <c r="ADY219" s="2071"/>
      <c r="ADZ219" s="2071"/>
      <c r="AEA219" s="2071"/>
      <c r="AEB219" s="2071"/>
      <c r="AEC219" s="2071"/>
      <c r="AED219" s="2071"/>
      <c r="AEE219" s="2071"/>
      <c r="AEF219" s="2071"/>
      <c r="AEG219" s="2071"/>
      <c r="AEH219" s="2071"/>
      <c r="AEI219" s="2071"/>
      <c r="AEJ219" s="2071"/>
      <c r="AEK219" s="2071"/>
      <c r="AEL219" s="2071"/>
      <c r="AEM219" s="2071"/>
      <c r="AEN219" s="2071"/>
      <c r="AEO219" s="2071"/>
      <c r="AEP219" s="2071"/>
      <c r="AEQ219" s="2071"/>
      <c r="AER219" s="2071"/>
      <c r="AES219" s="2071"/>
      <c r="AET219" s="2071"/>
      <c r="AEU219" s="2071"/>
      <c r="AEV219" s="2071"/>
      <c r="AEW219" s="2071"/>
      <c r="AEX219" s="2071"/>
      <c r="AEY219" s="2071"/>
      <c r="AEZ219" s="2071"/>
      <c r="AFA219" s="2071"/>
      <c r="AFB219" s="2071"/>
      <c r="AFC219" s="2071"/>
      <c r="AFD219" s="2071"/>
      <c r="AFE219" s="2071"/>
      <c r="AFF219" s="2071"/>
      <c r="AFG219" s="2071"/>
      <c r="AFH219" s="2071"/>
      <c r="AFI219" s="2071"/>
      <c r="AFJ219" s="2071"/>
      <c r="AFK219" s="2071"/>
      <c r="AFL219" s="2071"/>
      <c r="AFM219" s="2071"/>
      <c r="AFN219" s="2071"/>
      <c r="AFO219" s="2071"/>
      <c r="AFP219" s="2071"/>
      <c r="AFQ219" s="2071"/>
      <c r="AFR219" s="2071"/>
      <c r="AFS219" s="2071"/>
      <c r="AFT219" s="2071"/>
      <c r="AFU219" s="2071"/>
      <c r="AFV219" s="2071"/>
      <c r="AFW219" s="2071"/>
      <c r="AFX219" s="2071"/>
      <c r="AFY219" s="2071"/>
      <c r="AFZ219" s="2071"/>
      <c r="AGA219" s="2071"/>
      <c r="AGB219" s="2071"/>
      <c r="AGC219" s="2071"/>
      <c r="AGD219" s="2071"/>
      <c r="AGE219" s="2071"/>
      <c r="AGF219" s="2071"/>
      <c r="AGG219" s="2071"/>
      <c r="AGH219" s="2071"/>
      <c r="AGI219" s="2071"/>
      <c r="AGJ219" s="2071"/>
      <c r="AGK219" s="2071"/>
      <c r="AGL219" s="2071"/>
      <c r="AGM219" s="2071"/>
      <c r="AGN219" s="2071"/>
      <c r="AGO219" s="2071"/>
      <c r="AGP219" s="2071"/>
      <c r="AGQ219" s="2071"/>
      <c r="AGR219" s="2071"/>
      <c r="AGS219" s="2071"/>
      <c r="AGT219" s="2071"/>
      <c r="AGU219" s="2071"/>
      <c r="AGV219" s="2071"/>
      <c r="AGW219" s="2071"/>
      <c r="AGX219" s="2071"/>
      <c r="AGY219" s="2071"/>
      <c r="AGZ219" s="2071"/>
      <c r="AHA219" s="2071"/>
      <c r="AHB219" s="2071"/>
      <c r="AHC219" s="2071"/>
      <c r="AHD219" s="2071"/>
      <c r="AHE219" s="2071"/>
      <c r="AHF219" s="2071"/>
      <c r="AHG219" s="2071"/>
      <c r="AHH219" s="2071"/>
      <c r="AHI219" s="2071"/>
      <c r="AHJ219" s="2071"/>
      <c r="AHK219" s="2071"/>
      <c r="AHL219" s="2071"/>
      <c r="AHM219" s="2071"/>
      <c r="AHN219" s="2071"/>
      <c r="AHO219" s="2071"/>
      <c r="AHP219" s="2071"/>
      <c r="AHQ219" s="2071"/>
      <c r="AHR219" s="2071"/>
      <c r="AHS219" s="2071"/>
      <c r="AHT219" s="2071"/>
      <c r="AHU219" s="2071"/>
      <c r="AHV219" s="2071"/>
      <c r="AHW219" s="2071"/>
      <c r="AHX219" s="2071"/>
      <c r="AHY219" s="2071"/>
      <c r="AHZ219" s="2071"/>
      <c r="AIA219" s="2071"/>
      <c r="AIB219" s="2071"/>
      <c r="AIC219" s="2071"/>
      <c r="AID219" s="2071"/>
      <c r="AIE219" s="2071"/>
      <c r="AIF219" s="2071"/>
      <c r="AIG219" s="2071"/>
      <c r="AIH219" s="2071"/>
      <c r="AII219" s="2071"/>
      <c r="AIJ219" s="2071"/>
      <c r="AIK219" s="2071"/>
      <c r="AIL219" s="2071"/>
      <c r="AIM219" s="2071"/>
      <c r="AIN219" s="2071"/>
      <c r="AIO219" s="2071"/>
      <c r="AIP219" s="2071"/>
      <c r="AIQ219" s="2071"/>
      <c r="AIR219" s="2071"/>
      <c r="AIS219" s="2071"/>
      <c r="AIT219" s="2071"/>
      <c r="AIU219" s="2071"/>
      <c r="AIV219" s="2071"/>
      <c r="AIW219" s="2071"/>
      <c r="AIX219" s="2071"/>
      <c r="AIY219" s="2071"/>
      <c r="AIZ219" s="2071"/>
      <c r="AJA219" s="2071"/>
      <c r="AJB219" s="2071"/>
      <c r="AJC219" s="2071"/>
      <c r="AJD219" s="2071"/>
      <c r="AJE219" s="2071"/>
      <c r="AJF219" s="2071"/>
      <c r="AJG219" s="2071"/>
      <c r="AJH219" s="2071"/>
      <c r="AJI219" s="2071"/>
      <c r="AJJ219" s="2071"/>
      <c r="AJK219" s="2071"/>
      <c r="AJL219" s="2071"/>
      <c r="AJM219" s="2071"/>
      <c r="AJN219" s="2071"/>
      <c r="AJO219" s="2071"/>
      <c r="AJP219" s="2071"/>
      <c r="AJQ219" s="2071"/>
      <c r="AJR219" s="2071"/>
      <c r="AJS219" s="2071"/>
      <c r="AJT219" s="2071"/>
      <c r="AJU219" s="2071"/>
      <c r="AJV219" s="2071"/>
      <c r="AJW219" s="2071"/>
      <c r="AJX219" s="2071"/>
      <c r="AJY219" s="2071"/>
      <c r="AJZ219" s="2071"/>
      <c r="AKA219" s="2071"/>
      <c r="AKB219" s="2071"/>
      <c r="AKC219" s="2071"/>
      <c r="AKD219" s="2071"/>
      <c r="AKE219" s="2071"/>
      <c r="AKF219" s="2071"/>
      <c r="AKG219" s="2071"/>
      <c r="AKH219" s="2071"/>
      <c r="AKI219" s="2071"/>
      <c r="AKJ219" s="2071"/>
      <c r="AKK219" s="2071"/>
      <c r="AKL219" s="2071"/>
      <c r="AKM219" s="2071"/>
      <c r="AKN219" s="2071"/>
      <c r="AKO219" s="2071"/>
      <c r="AKP219" s="2071"/>
      <c r="AKQ219" s="2071"/>
      <c r="AKR219" s="2071"/>
      <c r="AKS219" s="2071"/>
      <c r="AKT219" s="2071"/>
      <c r="AKU219" s="2071"/>
      <c r="AKV219" s="2071"/>
      <c r="AKW219" s="2071"/>
      <c r="AKX219" s="2071"/>
      <c r="AKY219" s="2071"/>
      <c r="AKZ219" s="2071"/>
      <c r="ALA219" s="2071"/>
      <c r="ALB219" s="2071"/>
      <c r="ALC219" s="2071"/>
      <c r="ALD219" s="2071"/>
      <c r="ALE219" s="2071"/>
      <c r="ALF219" s="2071"/>
      <c r="ALG219" s="2071"/>
      <c r="ALH219" s="2071"/>
      <c r="ALI219" s="2071"/>
      <c r="ALJ219" s="2071"/>
      <c r="ALK219" s="2071"/>
      <c r="ALL219" s="2071"/>
      <c r="ALM219" s="2071"/>
      <c r="ALN219" s="2071"/>
      <c r="ALO219" s="2071"/>
      <c r="ALP219" s="2071"/>
      <c r="ALQ219" s="2071"/>
      <c r="ALR219" s="2071"/>
      <c r="ALS219" s="2071"/>
      <c r="ALT219" s="2071"/>
      <c r="ALU219" s="2071"/>
      <c r="ALV219" s="2071"/>
      <c r="ALW219" s="2071"/>
      <c r="ALX219" s="2071"/>
      <c r="ALY219" s="2071"/>
      <c r="ALZ219" s="2071"/>
      <c r="AMA219" s="2071"/>
      <c r="AMB219" s="2071"/>
      <c r="AMC219" s="2071"/>
      <c r="AMD219" s="2071"/>
      <c r="AME219" s="2071"/>
      <c r="AMF219" s="2071"/>
      <c r="AMG219" s="2071"/>
      <c r="AMH219" s="2071"/>
      <c r="AMI219" s="2071"/>
      <c r="AMJ219" s="2071"/>
      <c r="AMK219" s="2071"/>
      <c r="AML219" s="2071"/>
      <c r="AMM219" s="2071"/>
      <c r="AMN219" s="2071"/>
      <c r="AMO219" s="2071"/>
      <c r="AMP219" s="2071"/>
      <c r="AMQ219" s="2071"/>
      <c r="AMR219" s="2071"/>
      <c r="AMS219" s="2071"/>
      <c r="AMT219" s="2071"/>
      <c r="AMU219" s="2071"/>
      <c r="AMV219" s="2071"/>
      <c r="AMW219" s="2071"/>
      <c r="AMX219" s="2071"/>
      <c r="AMY219" s="2071"/>
      <c r="AMZ219" s="2071"/>
      <c r="ANA219" s="2071"/>
      <c r="ANB219" s="2071"/>
      <c r="ANC219" s="2071"/>
      <c r="AND219" s="2071"/>
      <c r="ANE219" s="2071"/>
      <c r="ANF219" s="2071"/>
      <c r="ANG219" s="2071"/>
      <c r="ANH219" s="2071"/>
      <c r="ANI219" s="2071"/>
      <c r="ANJ219" s="2071"/>
      <c r="ANK219" s="2071"/>
      <c r="ANL219" s="2071"/>
      <c r="ANM219" s="2071"/>
      <c r="ANN219" s="2071"/>
      <c r="ANO219" s="2071"/>
      <c r="ANP219" s="2071"/>
      <c r="ANQ219" s="2071"/>
      <c r="ANR219" s="2071"/>
      <c r="ANS219" s="2071"/>
      <c r="ANT219" s="2071"/>
      <c r="ANU219" s="2071"/>
      <c r="ANV219" s="2071"/>
      <c r="ANW219" s="2071"/>
      <c r="ANX219" s="2071"/>
      <c r="ANY219" s="2071"/>
      <c r="ANZ219" s="2071"/>
      <c r="AOA219" s="2071"/>
      <c r="AOB219" s="2071"/>
      <c r="AOC219" s="2071"/>
      <c r="AOD219" s="2071"/>
      <c r="AOE219" s="2071"/>
      <c r="AOF219" s="2071"/>
      <c r="AOG219" s="2071"/>
      <c r="AOH219" s="2071"/>
      <c r="AOI219" s="2071"/>
      <c r="AOJ219" s="2071"/>
      <c r="AOK219" s="2071"/>
      <c r="AOL219" s="2071"/>
      <c r="AOM219" s="2071"/>
      <c r="AON219" s="2071"/>
      <c r="AOO219" s="2071"/>
      <c r="AOP219" s="2071"/>
      <c r="AOQ219" s="2071"/>
      <c r="AOR219" s="2071"/>
      <c r="AOS219" s="2071"/>
      <c r="AOT219" s="2071"/>
      <c r="AOU219" s="2071"/>
      <c r="AOV219" s="2071"/>
      <c r="AOW219" s="2071"/>
      <c r="AOX219" s="2071"/>
      <c r="AOY219" s="2071"/>
      <c r="AOZ219" s="2071"/>
      <c r="APA219" s="2071"/>
      <c r="APB219" s="2071"/>
      <c r="APC219" s="2071"/>
      <c r="APD219" s="2071"/>
      <c r="APE219" s="2071"/>
      <c r="APF219" s="2071"/>
      <c r="APG219" s="2071"/>
      <c r="APH219" s="2071"/>
      <c r="API219" s="2071"/>
      <c r="APJ219" s="2071"/>
      <c r="APK219" s="2071"/>
      <c r="APL219" s="2071"/>
      <c r="APM219" s="2071"/>
      <c r="APN219" s="2071"/>
      <c r="APO219" s="2071"/>
      <c r="APP219" s="2071"/>
      <c r="APQ219" s="2071"/>
      <c r="APR219" s="2071"/>
      <c r="APS219" s="2071"/>
      <c r="APT219" s="2071"/>
      <c r="APU219" s="2071"/>
      <c r="APV219" s="2071"/>
      <c r="APW219" s="2071"/>
      <c r="APX219" s="2071"/>
      <c r="APY219" s="2071"/>
      <c r="APZ219" s="2071"/>
      <c r="AQA219" s="2071"/>
      <c r="AQB219" s="2071"/>
      <c r="AQC219" s="2071"/>
      <c r="AQD219" s="2071"/>
      <c r="AQE219" s="2071"/>
      <c r="AQF219" s="2071"/>
      <c r="AQG219" s="2071"/>
      <c r="AQH219" s="2071"/>
      <c r="AQI219" s="2071"/>
      <c r="AQJ219" s="2071"/>
      <c r="AQK219" s="2071"/>
      <c r="AQL219" s="2071"/>
      <c r="AQM219" s="2071"/>
      <c r="AQN219" s="2071"/>
      <c r="AQO219" s="2071"/>
      <c r="AQP219" s="2071"/>
      <c r="AQQ219" s="2071"/>
      <c r="AQR219" s="2071"/>
      <c r="AQS219" s="2071"/>
      <c r="AQT219" s="2071"/>
      <c r="AQU219" s="2071"/>
      <c r="AQV219" s="2071"/>
      <c r="AQW219" s="2071"/>
      <c r="AQX219" s="2071"/>
      <c r="AQY219" s="2071"/>
      <c r="AQZ219" s="2071"/>
      <c r="ARA219" s="2071"/>
      <c r="ARB219" s="2071"/>
      <c r="ARC219" s="2071"/>
      <c r="ARD219" s="2071"/>
      <c r="ARE219" s="2071"/>
      <c r="ARF219" s="2071"/>
      <c r="ARG219" s="2071"/>
      <c r="ARH219" s="2071"/>
      <c r="ARI219" s="2071"/>
      <c r="ARJ219" s="2071"/>
      <c r="ARK219" s="2071"/>
      <c r="ARL219" s="2071"/>
      <c r="ARM219" s="2071"/>
      <c r="ARN219" s="2071"/>
      <c r="ARO219" s="2071"/>
      <c r="ARP219" s="2071"/>
      <c r="ARQ219" s="2071"/>
      <c r="ARR219" s="2071"/>
      <c r="ARS219" s="2071"/>
      <c r="ART219" s="2071"/>
      <c r="ARU219" s="2071"/>
      <c r="ARV219" s="2071"/>
      <c r="ARW219" s="2071"/>
      <c r="ARX219" s="2071"/>
      <c r="ARY219" s="2071"/>
      <c r="ARZ219" s="2071"/>
      <c r="ASA219" s="2071"/>
      <c r="ASB219" s="2071"/>
      <c r="ASC219" s="2071"/>
      <c r="ASD219" s="2071"/>
      <c r="ASE219" s="2071"/>
      <c r="ASF219" s="2071"/>
      <c r="ASG219" s="2071"/>
      <c r="ASH219" s="2071"/>
      <c r="ASI219" s="2071"/>
      <c r="ASJ219" s="2071"/>
      <c r="ASK219" s="2071"/>
      <c r="ASL219" s="2071"/>
      <c r="ASM219" s="2071"/>
      <c r="ASN219" s="2071"/>
      <c r="ASO219" s="2071"/>
      <c r="ASP219" s="2071"/>
      <c r="ASQ219" s="2071"/>
      <c r="ASR219" s="2071"/>
      <c r="ASS219" s="2071"/>
      <c r="AST219" s="2071"/>
      <c r="ASU219" s="2071"/>
      <c r="ASV219" s="2071"/>
      <c r="ASW219" s="2071"/>
      <c r="ASX219" s="2071"/>
      <c r="ASY219" s="2071"/>
      <c r="ASZ219" s="2071"/>
      <c r="ATA219" s="2071"/>
      <c r="ATB219" s="2071"/>
      <c r="ATC219" s="2071"/>
      <c r="ATD219" s="2071"/>
      <c r="ATE219" s="2071"/>
      <c r="ATF219" s="2071"/>
      <c r="ATG219" s="2071"/>
      <c r="ATH219" s="2071"/>
      <c r="ATI219" s="2071"/>
      <c r="ATJ219" s="2071"/>
      <c r="ATK219" s="2071"/>
      <c r="ATL219" s="2071"/>
      <c r="ATM219" s="2071"/>
      <c r="ATN219" s="2071"/>
      <c r="ATO219" s="2071"/>
      <c r="ATP219" s="2071"/>
      <c r="ATQ219" s="2071"/>
      <c r="ATR219" s="2071"/>
      <c r="ATS219" s="2071"/>
      <c r="ATT219" s="2071"/>
      <c r="ATU219" s="2071"/>
      <c r="ATV219" s="2071"/>
      <c r="ATW219" s="2071"/>
      <c r="ATX219" s="2071"/>
      <c r="ATY219" s="2071"/>
      <c r="ATZ219" s="2071"/>
      <c r="AUA219" s="2071"/>
      <c r="AUB219" s="2071"/>
      <c r="AUC219" s="2071"/>
      <c r="AUD219" s="2071"/>
      <c r="AUE219" s="2071"/>
      <c r="AUF219" s="2071"/>
      <c r="AUG219" s="2071"/>
      <c r="AUH219" s="2071"/>
      <c r="AUI219" s="2071"/>
      <c r="AUJ219" s="2071"/>
      <c r="AUK219" s="2071"/>
      <c r="AUL219" s="2071"/>
      <c r="AUM219" s="2071"/>
      <c r="AUN219" s="2071"/>
      <c r="AUO219" s="2071"/>
      <c r="AUP219" s="2071"/>
      <c r="AUQ219" s="2071"/>
      <c r="AUR219" s="2071"/>
      <c r="AUS219" s="2071"/>
      <c r="AUT219" s="2071"/>
      <c r="AUU219" s="2071"/>
      <c r="AUV219" s="2071"/>
      <c r="AUW219" s="2071"/>
      <c r="AUX219" s="2071"/>
      <c r="AUY219" s="2071"/>
      <c r="AUZ219" s="2071"/>
      <c r="AVA219" s="2071"/>
      <c r="AVB219" s="2071"/>
      <c r="AVC219" s="2071"/>
      <c r="AVD219" s="2071"/>
      <c r="AVE219" s="2071"/>
      <c r="AVF219" s="2071"/>
      <c r="AVG219" s="2071"/>
      <c r="AVH219" s="2071"/>
      <c r="AVI219" s="2071"/>
      <c r="AVJ219" s="2071"/>
      <c r="AVK219" s="2071"/>
      <c r="AVL219" s="2071"/>
      <c r="AVM219" s="2071"/>
      <c r="AVN219" s="2071"/>
      <c r="AVO219" s="2071"/>
      <c r="AVP219" s="2071"/>
      <c r="AVQ219" s="2071"/>
      <c r="AVR219" s="2071"/>
      <c r="AVS219" s="2071"/>
      <c r="AVT219" s="2071"/>
      <c r="AVU219" s="2071"/>
      <c r="AVV219" s="2071"/>
      <c r="AVW219" s="2071"/>
      <c r="AVX219" s="2071"/>
      <c r="AVY219" s="2071"/>
      <c r="AVZ219" s="2071"/>
      <c r="AWA219" s="2071"/>
      <c r="AWB219" s="2071"/>
      <c r="AWC219" s="2071"/>
      <c r="AWD219" s="2071"/>
      <c r="AWE219" s="2071"/>
      <c r="AWF219" s="2071"/>
      <c r="AWG219" s="2071"/>
      <c r="AWH219" s="2071"/>
      <c r="AWI219" s="2071"/>
      <c r="AWJ219" s="2071"/>
      <c r="AWK219" s="2071"/>
      <c r="AWL219" s="2071"/>
      <c r="AWM219" s="2071"/>
      <c r="AWN219" s="2071"/>
      <c r="AWO219" s="2071"/>
      <c r="AWP219" s="2071"/>
      <c r="AWQ219" s="2071"/>
      <c r="AWR219" s="2071"/>
      <c r="AWS219" s="2071"/>
      <c r="AWT219" s="2071"/>
      <c r="AWU219" s="2071"/>
      <c r="AWV219" s="2071"/>
      <c r="AWW219" s="2071"/>
      <c r="AWX219" s="2071"/>
      <c r="AWY219" s="2071"/>
      <c r="AWZ219" s="2071"/>
      <c r="AXA219" s="2071"/>
      <c r="AXB219" s="2071"/>
      <c r="AXC219" s="2071"/>
      <c r="AXD219" s="2071"/>
      <c r="AXE219" s="2071"/>
      <c r="AXF219" s="2071"/>
      <c r="AXG219" s="2071"/>
      <c r="AXH219" s="2071"/>
      <c r="AXI219" s="2071"/>
      <c r="AXJ219" s="2071"/>
    </row>
    <row r="220" spans="1:1310" ht="20.100000000000001" customHeight="1" thickBot="1">
      <c r="B220" s="1201"/>
      <c r="C220" s="1201"/>
      <c r="D220" s="1201"/>
      <c r="E220" s="63"/>
      <c r="F220" s="63"/>
      <c r="G220" s="1201"/>
      <c r="H220" s="1201"/>
      <c r="I220" s="1201"/>
      <c r="J220" s="1201"/>
      <c r="K220" s="1201"/>
      <c r="L220" s="1201"/>
      <c r="M220" s="1201"/>
      <c r="N220" s="1201"/>
      <c r="O220" s="1201"/>
      <c r="P220" s="1201"/>
      <c r="Q220" s="1201"/>
    </row>
    <row r="221" spans="1:1310" ht="20.100000000000001" customHeight="1">
      <c r="A221" s="2082" t="s">
        <v>909</v>
      </c>
      <c r="B221" s="4401" t="s">
        <v>910</v>
      </c>
      <c r="C221" s="4402"/>
      <c r="D221" s="4402"/>
      <c r="E221" s="4402"/>
      <c r="F221" s="4402"/>
      <c r="G221" s="4403"/>
      <c r="H221" s="1201"/>
      <c r="I221" s="4481" t="s">
        <v>911</v>
      </c>
      <c r="J221" s="4482"/>
      <c r="K221" s="4482"/>
      <c r="L221" s="4482"/>
      <c r="M221" s="4482"/>
      <c r="N221" s="4482"/>
      <c r="O221" s="4483"/>
      <c r="P221" s="1201"/>
      <c r="Q221" s="1201"/>
    </row>
    <row r="222" spans="1:1310" ht="20.100000000000001" customHeight="1">
      <c r="A222" s="4436" t="s">
        <v>910</v>
      </c>
      <c r="B222" s="4404"/>
      <c r="C222" s="4405"/>
      <c r="D222" s="4405"/>
      <c r="E222" s="4405"/>
      <c r="F222" s="4405"/>
      <c r="G222" s="4406"/>
      <c r="H222" s="1201"/>
      <c r="I222" s="2083" t="s">
        <v>912</v>
      </c>
      <c r="J222" s="1464"/>
      <c r="K222" s="1464"/>
      <c r="L222" s="2084" t="s">
        <v>913</v>
      </c>
      <c r="M222" s="1464"/>
      <c r="N222" s="1464"/>
      <c r="O222" s="2085"/>
      <c r="P222" s="1201"/>
      <c r="Q222" s="1201"/>
    </row>
    <row r="223" spans="1:1310" ht="20.100000000000001" customHeight="1">
      <c r="A223" s="4436"/>
      <c r="B223" s="106"/>
      <c r="C223" s="2012"/>
      <c r="D223" s="107"/>
      <c r="E223" s="2012"/>
      <c r="F223" s="107"/>
      <c r="G223" s="108"/>
      <c r="H223" s="1201"/>
      <c r="I223" s="2083" t="s">
        <v>914</v>
      </c>
      <c r="J223" s="1464"/>
      <c r="K223" s="1464"/>
      <c r="L223" s="2084" t="s">
        <v>915</v>
      </c>
      <c r="M223" s="1464"/>
      <c r="N223" s="1464"/>
      <c r="O223" s="2085"/>
      <c r="P223" s="1201"/>
      <c r="Q223" s="1201"/>
    </row>
    <row r="224" spans="1:1310" ht="20.100000000000001" customHeight="1">
      <c r="A224" s="4436"/>
      <c r="B224" s="109" t="s">
        <v>150</v>
      </c>
      <c r="C224" s="110" t="s">
        <v>916</v>
      </c>
      <c r="D224" s="1464"/>
      <c r="E224" s="1464"/>
      <c r="F224" s="1464"/>
      <c r="G224" s="2085"/>
      <c r="H224" s="1201"/>
      <c r="I224" s="2083" t="s">
        <v>917</v>
      </c>
      <c r="J224" s="1464"/>
      <c r="K224" s="1464"/>
      <c r="L224" s="1502"/>
      <c r="M224" s="1464"/>
      <c r="N224" s="1464"/>
      <c r="O224" s="2085"/>
      <c r="P224" s="1201"/>
      <c r="Q224" s="1201"/>
    </row>
    <row r="225" spans="1:17" ht="20.100000000000001" customHeight="1">
      <c r="A225" s="4436"/>
      <c r="B225" s="112" t="s">
        <v>152</v>
      </c>
      <c r="C225" s="110" t="s">
        <v>918</v>
      </c>
      <c r="D225" s="1464"/>
      <c r="E225" s="1464"/>
      <c r="F225" s="1464"/>
      <c r="G225" s="2085"/>
      <c r="H225" s="1201"/>
      <c r="I225" s="2083" t="s">
        <v>919</v>
      </c>
      <c r="J225" s="1464"/>
      <c r="K225" s="1464"/>
      <c r="L225" s="2084" t="s">
        <v>920</v>
      </c>
      <c r="M225" s="1464"/>
      <c r="N225" s="1464"/>
      <c r="O225" s="2085"/>
      <c r="P225" s="1201"/>
      <c r="Q225" s="1201"/>
    </row>
    <row r="226" spans="1:17" ht="20.100000000000001" customHeight="1">
      <c r="A226" s="4436"/>
      <c r="B226" s="113" t="s">
        <v>154</v>
      </c>
      <c r="C226" s="110" t="s">
        <v>921</v>
      </c>
      <c r="D226" s="1464"/>
      <c r="E226" s="1464"/>
      <c r="F226" s="1464"/>
      <c r="G226" s="2085"/>
      <c r="H226" s="1201"/>
      <c r="I226" s="2083" t="s">
        <v>922</v>
      </c>
      <c r="J226" s="1464"/>
      <c r="K226" s="1464"/>
      <c r="L226" s="2084" t="s">
        <v>923</v>
      </c>
      <c r="M226" s="1464"/>
      <c r="N226" s="1464"/>
      <c r="O226" s="2085"/>
      <c r="P226" s="1201"/>
      <c r="Q226" s="1201"/>
    </row>
    <row r="227" spans="1:17" ht="20.100000000000001" customHeight="1" thickBot="1">
      <c r="A227" s="4436"/>
      <c r="B227" s="2017"/>
      <c r="C227" s="1464"/>
      <c r="D227" s="1464"/>
      <c r="E227" s="1464"/>
      <c r="F227" s="1464"/>
      <c r="G227" s="2085"/>
      <c r="H227" s="1201"/>
      <c r="I227" s="2083"/>
      <c r="J227" s="1464"/>
      <c r="K227" s="1464"/>
      <c r="L227" s="2084" t="s">
        <v>924</v>
      </c>
      <c r="M227" s="1464"/>
      <c r="N227" s="1464"/>
      <c r="O227" s="2085"/>
      <c r="P227" s="1201"/>
      <c r="Q227" s="1201"/>
    </row>
    <row r="228" spans="1:17" ht="20.100000000000001" customHeight="1">
      <c r="A228" s="4436"/>
      <c r="B228" s="2086"/>
      <c r="C228" s="2087"/>
      <c r="D228" s="2088"/>
      <c r="E228" s="2087"/>
      <c r="F228" s="2088"/>
      <c r="G228" s="2089"/>
      <c r="H228" s="1201"/>
      <c r="I228" s="2017"/>
      <c r="J228" s="1464"/>
      <c r="K228" s="1464"/>
      <c r="L228" s="1464"/>
      <c r="M228" s="1464"/>
      <c r="N228" s="1464"/>
      <c r="O228" s="2085"/>
      <c r="P228" s="1201"/>
      <c r="Q228" s="1201"/>
    </row>
    <row r="229" spans="1:17" ht="20.100000000000001" customHeight="1">
      <c r="A229" s="4436"/>
      <c r="B229" s="4437" t="s">
        <v>925</v>
      </c>
      <c r="C229" s="4438"/>
      <c r="D229" s="4438"/>
      <c r="E229" s="4438"/>
      <c r="F229" s="4438"/>
      <c r="G229" s="4439"/>
      <c r="H229" s="1201"/>
      <c r="I229" s="2083" t="s">
        <v>926</v>
      </c>
      <c r="J229" s="1464"/>
      <c r="K229" s="1464"/>
      <c r="L229" s="114" t="s">
        <v>927</v>
      </c>
      <c r="M229" s="1464"/>
      <c r="N229" s="1464"/>
      <c r="O229" s="2085"/>
      <c r="P229" s="1201"/>
      <c r="Q229" s="1201"/>
    </row>
    <row r="230" spans="1:17" ht="20.100000000000001" customHeight="1">
      <c r="A230" s="4436"/>
      <c r="B230" s="115"/>
      <c r="C230" s="1464"/>
      <c r="D230" s="116"/>
      <c r="E230" s="1464"/>
      <c r="F230" s="116"/>
      <c r="G230" s="117"/>
      <c r="H230" s="1201"/>
      <c r="I230" s="2083" t="s">
        <v>928</v>
      </c>
      <c r="J230" s="1464"/>
      <c r="K230" s="1464"/>
      <c r="L230" s="118">
        <v>0</v>
      </c>
      <c r="M230" s="119">
        <v>0</v>
      </c>
      <c r="N230" s="120">
        <v>0</v>
      </c>
      <c r="O230" s="121">
        <v>0</v>
      </c>
      <c r="P230" s="1201"/>
      <c r="Q230" s="1201"/>
    </row>
    <row r="231" spans="1:17" ht="20.100000000000001" customHeight="1" thickBot="1">
      <c r="A231" s="4436"/>
      <c r="B231" s="109" t="s">
        <v>150</v>
      </c>
      <c r="C231" s="110" t="s">
        <v>929</v>
      </c>
      <c r="D231" s="1464"/>
      <c r="E231" s="1464"/>
      <c r="F231" s="1464"/>
      <c r="G231" s="2085"/>
      <c r="H231" s="1201"/>
      <c r="I231" s="2026"/>
      <c r="J231" s="2027"/>
      <c r="K231" s="2027"/>
      <c r="L231" s="2027"/>
      <c r="M231" s="2027"/>
      <c r="N231" s="2027"/>
      <c r="O231" s="2028"/>
      <c r="P231" s="1201"/>
      <c r="Q231" s="1201"/>
    </row>
    <row r="232" spans="1:17" ht="20.100000000000001" customHeight="1" thickBot="1">
      <c r="A232" s="4436"/>
      <c r="B232" s="112" t="s">
        <v>152</v>
      </c>
      <c r="C232" s="110" t="s">
        <v>930</v>
      </c>
      <c r="D232" s="1464"/>
      <c r="E232" s="1464"/>
      <c r="F232" s="1464"/>
      <c r="G232" s="2085"/>
      <c r="H232" s="1201"/>
      <c r="I232" s="1838"/>
      <c r="J232" s="1838"/>
      <c r="K232" s="1838"/>
      <c r="L232" s="1838"/>
      <c r="M232" s="1838"/>
      <c r="N232" s="1838"/>
      <c r="O232" s="1838"/>
      <c r="P232" s="1201"/>
      <c r="Q232" s="1201"/>
    </row>
    <row r="233" spans="1:17" ht="20.100000000000001" customHeight="1">
      <c r="A233" s="4436"/>
      <c r="B233" s="113" t="s">
        <v>154</v>
      </c>
      <c r="C233" s="110" t="s">
        <v>931</v>
      </c>
      <c r="D233" s="1464"/>
      <c r="E233" s="1464"/>
      <c r="F233" s="1464"/>
      <c r="G233" s="2085"/>
      <c r="H233" s="1201"/>
      <c r="I233" s="4440" t="s">
        <v>932</v>
      </c>
      <c r="J233" s="4441"/>
      <c r="K233" s="4441"/>
      <c r="L233" s="4441"/>
      <c r="M233" s="4441"/>
      <c r="N233" s="4441"/>
      <c r="O233" s="4442"/>
      <c r="P233" s="1201"/>
      <c r="Q233" s="1201"/>
    </row>
    <row r="234" spans="1:17" ht="20.100000000000001" customHeight="1">
      <c r="A234" s="4436"/>
      <c r="B234" s="2017"/>
      <c r="C234" s="1464"/>
      <c r="D234" s="1464"/>
      <c r="E234" s="1464"/>
      <c r="F234" s="1464"/>
      <c r="G234" s="2085"/>
      <c r="H234" s="1201"/>
      <c r="I234" s="4443" t="s">
        <v>933</v>
      </c>
      <c r="J234" s="4444">
        <v>8.35</v>
      </c>
      <c r="K234" s="4445" t="s">
        <v>934</v>
      </c>
      <c r="L234" s="4445"/>
      <c r="M234" s="4444">
        <v>0.25</v>
      </c>
      <c r="N234" s="4446">
        <f>IF(ISBLANK(M235),I238,M235)</f>
        <v>33.4</v>
      </c>
      <c r="O234" s="4447" t="s">
        <v>935</v>
      </c>
      <c r="P234" s="1201"/>
      <c r="Q234" s="1201"/>
    </row>
    <row r="235" spans="1:17" ht="20.100000000000001" customHeight="1">
      <c r="A235" s="4436"/>
      <c r="B235" s="122" t="s">
        <v>936</v>
      </c>
      <c r="C235" s="2090"/>
      <c r="D235" s="123"/>
      <c r="E235" s="2090"/>
      <c r="F235" s="4448">
        <f>3.14*(11*11)</f>
        <v>379.94</v>
      </c>
      <c r="G235" s="4449"/>
      <c r="H235" s="1201"/>
      <c r="I235" s="4443"/>
      <c r="J235" s="4444"/>
      <c r="K235" s="4445"/>
      <c r="L235" s="4445"/>
      <c r="M235" s="4444"/>
      <c r="N235" s="4446"/>
      <c r="O235" s="4447"/>
      <c r="P235" s="1201"/>
      <c r="Q235" s="1201"/>
    </row>
    <row r="236" spans="1:17" ht="20.100000000000001" customHeight="1">
      <c r="A236" s="4436"/>
      <c r="B236" s="124" t="s">
        <v>937</v>
      </c>
      <c r="C236" s="2091"/>
      <c r="D236" s="125"/>
      <c r="E236" s="2091"/>
      <c r="F236" s="4471" t="s">
        <v>938</v>
      </c>
      <c r="G236" s="4472"/>
      <c r="H236" s="1201"/>
      <c r="I236" s="4443"/>
      <c r="J236" s="4444"/>
      <c r="K236" s="4473" t="s">
        <v>939</v>
      </c>
      <c r="L236" s="4473"/>
      <c r="M236" s="4474">
        <v>70</v>
      </c>
      <c r="N236" s="4475">
        <f>J234/M236</f>
        <v>0.11928571428571429</v>
      </c>
      <c r="O236" s="4447" t="s">
        <v>940</v>
      </c>
      <c r="P236" s="1201"/>
      <c r="Q236" s="1201"/>
    </row>
    <row r="237" spans="1:17" ht="20.100000000000001" customHeight="1">
      <c r="A237" s="4436"/>
      <c r="B237" s="2092" t="s">
        <v>941</v>
      </c>
      <c r="C237" s="126" t="s">
        <v>942</v>
      </c>
      <c r="D237" s="1846"/>
      <c r="E237" s="126" t="s">
        <v>943</v>
      </c>
      <c r="F237" s="128" t="s">
        <v>944</v>
      </c>
      <c r="G237" s="1857"/>
      <c r="H237" s="1201"/>
      <c r="I237" s="4443"/>
      <c r="J237" s="4444"/>
      <c r="K237" s="4473"/>
      <c r="L237" s="4473"/>
      <c r="M237" s="4474"/>
      <c r="N237" s="4475"/>
      <c r="O237" s="4447"/>
      <c r="P237" s="1201"/>
      <c r="Q237" s="1201"/>
    </row>
    <row r="238" spans="1:17" ht="20.100000000000001" customHeight="1">
      <c r="A238" s="4436"/>
      <c r="B238" s="4456">
        <v>1</v>
      </c>
      <c r="C238" s="4458">
        <v>22</v>
      </c>
      <c r="D238" s="1502"/>
      <c r="E238" s="4422">
        <f>C238/2</f>
        <v>11</v>
      </c>
      <c r="F238" s="4427">
        <f>PI()*(E238^2)</f>
        <v>380.13271108436498</v>
      </c>
      <c r="G238" s="1862"/>
      <c r="H238" s="1201"/>
      <c r="I238" s="131">
        <f>IF(ISBLANK(M234),0,J234/M234)</f>
        <v>33.4</v>
      </c>
      <c r="J238" s="2093"/>
      <c r="K238" s="2093"/>
      <c r="L238" s="2093"/>
      <c r="M238" s="2093"/>
      <c r="N238" s="2093"/>
      <c r="O238" s="2094"/>
      <c r="P238" s="1201"/>
      <c r="Q238" s="1201"/>
    </row>
    <row r="239" spans="1:17" ht="20.100000000000001" customHeight="1" thickBot="1">
      <c r="A239" s="4436"/>
      <c r="B239" s="4456"/>
      <c r="C239" s="4458"/>
      <c r="D239" s="1502"/>
      <c r="E239" s="4422"/>
      <c r="F239" s="4427"/>
      <c r="G239" s="1862"/>
      <c r="H239" s="1201"/>
      <c r="I239" s="4428" t="s">
        <v>945</v>
      </c>
      <c r="J239" s="4429"/>
      <c r="K239" s="4429"/>
      <c r="L239" s="4429"/>
      <c r="M239" s="4429"/>
      <c r="N239" s="4429"/>
      <c r="O239" s="4430"/>
      <c r="P239" s="1201"/>
      <c r="Q239" s="1201"/>
    </row>
    <row r="240" spans="1:17" ht="20.100000000000001" customHeight="1">
      <c r="A240" s="4436"/>
      <c r="B240" s="2095"/>
      <c r="C240" s="132"/>
      <c r="D240" s="1502"/>
      <c r="E240" s="133"/>
      <c r="F240" s="134"/>
      <c r="G240" s="1862"/>
      <c r="H240" s="1201"/>
      <c r="I240" s="4450" t="s">
        <v>361</v>
      </c>
      <c r="J240" s="4451"/>
      <c r="K240" s="4451"/>
      <c r="L240" s="4451"/>
      <c r="M240" s="4451"/>
      <c r="N240" s="4451"/>
      <c r="O240" s="4452"/>
      <c r="P240" s="1201"/>
      <c r="Q240" s="1201"/>
    </row>
    <row r="241" spans="1:17" ht="20.100000000000001" customHeight="1" thickBot="1">
      <c r="A241" s="4436"/>
      <c r="B241" s="4456">
        <v>1</v>
      </c>
      <c r="C241" s="4458">
        <v>22</v>
      </c>
      <c r="D241" s="1502"/>
      <c r="E241" s="4422">
        <f>C241/2</f>
        <v>11</v>
      </c>
      <c r="F241" s="4427">
        <f>PI()*(E241^2)</f>
        <v>380.13271108436498</v>
      </c>
      <c r="G241" s="1862"/>
      <c r="H241" s="1201"/>
      <c r="I241" s="4453"/>
      <c r="J241" s="4454"/>
      <c r="K241" s="4454"/>
      <c r="L241" s="4454"/>
      <c r="M241" s="4454"/>
      <c r="N241" s="4454"/>
      <c r="O241" s="4455"/>
      <c r="P241" s="1201"/>
      <c r="Q241" s="1201"/>
    </row>
    <row r="242" spans="1:17" ht="20.100000000000001" customHeight="1" thickBot="1">
      <c r="A242" s="4436"/>
      <c r="B242" s="4457"/>
      <c r="C242" s="4459"/>
      <c r="D242" s="1502"/>
      <c r="E242" s="4460"/>
      <c r="F242" s="4461"/>
      <c r="G242" s="1862"/>
      <c r="H242" s="1201"/>
      <c r="P242" s="1201"/>
      <c r="Q242" s="1201"/>
    </row>
    <row r="243" spans="1:17" ht="20.100000000000001" customHeight="1">
      <c r="A243" s="4436"/>
      <c r="B243" s="4462" t="s">
        <v>946</v>
      </c>
      <c r="C243" s="4463"/>
      <c r="D243" s="4463"/>
      <c r="E243" s="4463"/>
      <c r="F243" s="4463"/>
      <c r="G243" s="4464"/>
      <c r="H243" s="1201"/>
      <c r="I243" s="4465" t="s">
        <v>947</v>
      </c>
      <c r="J243" s="4466"/>
      <c r="K243" s="4466"/>
      <c r="L243" s="4466"/>
      <c r="M243" s="4466"/>
      <c r="N243" s="4467"/>
      <c r="O243" s="1201"/>
      <c r="P243" s="1201"/>
      <c r="Q243" s="1201"/>
    </row>
    <row r="244" spans="1:17" ht="20.100000000000001" customHeight="1">
      <c r="A244" s="4436"/>
      <c r="B244" s="135" t="s">
        <v>948</v>
      </c>
      <c r="C244" s="2012"/>
      <c r="D244" s="136"/>
      <c r="E244" s="2012"/>
      <c r="F244" s="137"/>
      <c r="G244" s="138"/>
      <c r="H244" s="1201"/>
      <c r="I244" s="4468"/>
      <c r="J244" s="4469"/>
      <c r="K244" s="4469"/>
      <c r="L244" s="4469"/>
      <c r="M244" s="4469"/>
      <c r="N244" s="4470"/>
      <c r="O244" s="1201"/>
      <c r="P244" s="1201"/>
      <c r="Q244" s="1201"/>
    </row>
    <row r="245" spans="1:17" ht="20.100000000000001" customHeight="1">
      <c r="A245" s="4436"/>
      <c r="B245" s="4326" t="s">
        <v>361</v>
      </c>
      <c r="C245" s="4327"/>
      <c r="D245" s="4327"/>
      <c r="E245" s="4327"/>
      <c r="F245" s="4327"/>
      <c r="G245" s="4328"/>
      <c r="H245" s="1201"/>
      <c r="I245" s="4417" t="s">
        <v>949</v>
      </c>
      <c r="J245" s="4418"/>
      <c r="K245" s="4418"/>
      <c r="L245" s="4418"/>
      <c r="M245" s="4418"/>
      <c r="N245" s="4419"/>
      <c r="O245" s="1201"/>
      <c r="P245" s="1201"/>
      <c r="Q245" s="1201"/>
    </row>
    <row r="246" spans="1:17" ht="20.100000000000001" customHeight="1" thickBot="1">
      <c r="A246" s="4436"/>
      <c r="B246" s="4144"/>
      <c r="C246" s="4145"/>
      <c r="D246" s="4145"/>
      <c r="E246" s="4145"/>
      <c r="F246" s="4145"/>
      <c r="G246" s="4146"/>
      <c r="H246" s="1201"/>
      <c r="I246" s="4417"/>
      <c r="J246" s="4418"/>
      <c r="K246" s="4418"/>
      <c r="L246" s="4418"/>
      <c r="M246" s="4418"/>
      <c r="N246" s="4419"/>
      <c r="O246" s="1201"/>
      <c r="P246" s="1201"/>
      <c r="Q246" s="1201"/>
    </row>
    <row r="247" spans="1:17" ht="20.100000000000001" customHeight="1" thickBot="1">
      <c r="B247" s="1201"/>
      <c r="C247" s="1201"/>
      <c r="D247" s="1201"/>
      <c r="E247" s="63"/>
      <c r="F247" s="63"/>
      <c r="G247" s="1201"/>
      <c r="H247" s="1201"/>
      <c r="I247" s="4384" t="s">
        <v>941</v>
      </c>
      <c r="J247" s="4385" t="s">
        <v>942</v>
      </c>
      <c r="K247" s="4385" t="s">
        <v>943</v>
      </c>
      <c r="L247" s="4431" t="s">
        <v>950</v>
      </c>
      <c r="M247" s="4432" t="s">
        <v>951</v>
      </c>
      <c r="N247" s="4379" t="s">
        <v>952</v>
      </c>
      <c r="O247" s="1201"/>
      <c r="P247" s="1201"/>
      <c r="Q247" s="1201"/>
    </row>
    <row r="248" spans="1:17" ht="20.100000000000001" customHeight="1">
      <c r="A248" s="2096" t="s">
        <v>909</v>
      </c>
      <c r="B248" s="4433" t="s">
        <v>953</v>
      </c>
      <c r="C248" s="4434"/>
      <c r="D248" s="4434"/>
      <c r="E248" s="4434"/>
      <c r="F248" s="4434"/>
      <c r="G248" s="4435"/>
      <c r="H248" s="1201"/>
      <c r="I248" s="4384"/>
      <c r="J248" s="4385"/>
      <c r="K248" s="4385"/>
      <c r="L248" s="4431"/>
      <c r="M248" s="4432"/>
      <c r="N248" s="4379"/>
      <c r="O248" s="1201"/>
      <c r="P248" s="1201"/>
      <c r="Q248" s="1201"/>
    </row>
    <row r="249" spans="1:17" ht="20.100000000000001" customHeight="1">
      <c r="A249" s="4421" t="s">
        <v>953</v>
      </c>
      <c r="B249" s="4414" t="s">
        <v>954</v>
      </c>
      <c r="C249" s="4415"/>
      <c r="D249" s="4415"/>
      <c r="E249" s="4415"/>
      <c r="F249" s="4415"/>
      <c r="G249" s="4416"/>
      <c r="H249" s="1201"/>
      <c r="I249" s="4380">
        <v>1</v>
      </c>
      <c r="J249" s="4363">
        <v>22</v>
      </c>
      <c r="K249" s="4422">
        <f>J249/2</f>
        <v>11</v>
      </c>
      <c r="L249" s="4423">
        <v>0.15</v>
      </c>
      <c r="M249" s="4412">
        <f>(PI()*(K249^2)*I249)</f>
        <v>380.13271108436498</v>
      </c>
      <c r="N249" s="4413">
        <f>N253</f>
        <v>1.5783961298369786</v>
      </c>
      <c r="O249" s="1201"/>
      <c r="P249" s="1201"/>
      <c r="Q249" s="1201"/>
    </row>
    <row r="250" spans="1:17" ht="20.100000000000001" customHeight="1">
      <c r="A250" s="4421"/>
      <c r="B250" s="4414"/>
      <c r="C250" s="4415"/>
      <c r="D250" s="4415"/>
      <c r="E250" s="4415"/>
      <c r="F250" s="4415"/>
      <c r="G250" s="4416"/>
      <c r="H250" s="1201"/>
      <c r="I250" s="4380"/>
      <c r="J250" s="4363"/>
      <c r="K250" s="4422"/>
      <c r="L250" s="4423"/>
      <c r="M250" s="4412"/>
      <c r="N250" s="4413"/>
      <c r="O250" s="1201"/>
      <c r="P250" s="1201"/>
      <c r="Q250" s="1201"/>
    </row>
    <row r="251" spans="1:17" ht="20.100000000000001" customHeight="1">
      <c r="A251" s="4421"/>
      <c r="B251" s="4414" t="s">
        <v>955</v>
      </c>
      <c r="C251" s="4415"/>
      <c r="D251" s="4415"/>
      <c r="E251" s="4415"/>
      <c r="F251" s="4415"/>
      <c r="G251" s="4416"/>
      <c r="H251" s="1201"/>
      <c r="I251" s="4417" t="s">
        <v>956</v>
      </c>
      <c r="J251" s="4418"/>
      <c r="K251" s="4418"/>
      <c r="L251" s="4418"/>
      <c r="M251" s="4418"/>
      <c r="N251" s="4419"/>
      <c r="O251" s="1201"/>
      <c r="P251" s="1201"/>
      <c r="Q251" s="1201"/>
    </row>
    <row r="252" spans="1:17" ht="20.100000000000001" customHeight="1">
      <c r="A252" s="4421"/>
      <c r="B252" s="4414"/>
      <c r="C252" s="4415"/>
      <c r="D252" s="4415"/>
      <c r="E252" s="4415"/>
      <c r="F252" s="4415"/>
      <c r="G252" s="4416"/>
      <c r="H252" s="1201"/>
      <c r="I252" s="4417"/>
      <c r="J252" s="4418"/>
      <c r="K252" s="4418"/>
      <c r="L252" s="4418"/>
      <c r="M252" s="4418"/>
      <c r="N252" s="4419"/>
      <c r="O252" s="1201"/>
      <c r="P252" s="1201"/>
      <c r="Q252" s="1201"/>
    </row>
    <row r="253" spans="1:17" ht="20.100000000000001" customHeight="1">
      <c r="A253" s="4421"/>
      <c r="B253" s="4414"/>
      <c r="C253" s="4415"/>
      <c r="D253" s="4415"/>
      <c r="E253" s="4415"/>
      <c r="F253" s="4415"/>
      <c r="G253" s="4416"/>
      <c r="H253" s="1201"/>
      <c r="I253" s="4380">
        <v>1</v>
      </c>
      <c r="J253" s="4363">
        <v>30</v>
      </c>
      <c r="K253" s="4363">
        <v>20</v>
      </c>
      <c r="L253" s="4420">
        <f>(L249*N249)*I249</f>
        <v>0.2367594194755468</v>
      </c>
      <c r="M253" s="4412">
        <f>(J253*K253)*I253</f>
        <v>600</v>
      </c>
      <c r="N253" s="4413">
        <f>M253/M249</f>
        <v>1.5783961298369786</v>
      </c>
      <c r="O253" s="1201"/>
      <c r="P253" s="1201"/>
      <c r="Q253" s="1201"/>
    </row>
    <row r="254" spans="1:17" ht="20.100000000000001" customHeight="1">
      <c r="A254" s="4421"/>
      <c r="B254" s="2097"/>
      <c r="C254" s="2098"/>
      <c r="D254" s="2098"/>
      <c r="E254" s="2098"/>
      <c r="F254" s="2098"/>
      <c r="G254" s="1862"/>
      <c r="H254" s="1201"/>
      <c r="I254" s="4380"/>
      <c r="J254" s="4363"/>
      <c r="K254" s="4363"/>
      <c r="L254" s="4420"/>
      <c r="M254" s="4412"/>
      <c r="N254" s="4413"/>
      <c r="O254" s="1201"/>
      <c r="P254" s="1201"/>
      <c r="Q254" s="1201"/>
    </row>
    <row r="255" spans="1:17" ht="20.100000000000001" customHeight="1">
      <c r="A255" s="4421"/>
      <c r="B255" s="2097"/>
      <c r="C255" s="2098"/>
      <c r="D255" s="2098"/>
      <c r="E255" s="2098"/>
      <c r="F255" s="2098"/>
      <c r="G255" s="1862"/>
      <c r="H255" s="1201"/>
      <c r="I255" s="4424" t="s">
        <v>957</v>
      </c>
      <c r="J255" s="4425" t="s">
        <v>958</v>
      </c>
      <c r="K255" s="4425" t="s">
        <v>959</v>
      </c>
      <c r="L255" s="4426" t="s">
        <v>950</v>
      </c>
      <c r="M255" s="4393" t="s">
        <v>951</v>
      </c>
      <c r="N255" s="4394" t="s">
        <v>952</v>
      </c>
      <c r="O255" s="1201"/>
      <c r="P255" s="1201"/>
      <c r="Q255" s="1201"/>
    </row>
    <row r="256" spans="1:17" ht="20.100000000000001" customHeight="1">
      <c r="A256" s="4421"/>
      <c r="B256" s="2097"/>
      <c r="C256" s="2098"/>
      <c r="D256" s="2098"/>
      <c r="E256" s="2098"/>
      <c r="F256" s="2098"/>
      <c r="G256" s="1862"/>
      <c r="H256" s="1201"/>
      <c r="I256" s="4424"/>
      <c r="J256" s="4425"/>
      <c r="K256" s="4425"/>
      <c r="L256" s="4426"/>
      <c r="M256" s="4393"/>
      <c r="N256" s="4394"/>
      <c r="O256" s="1201"/>
      <c r="P256" s="1201"/>
      <c r="Q256" s="1201"/>
    </row>
    <row r="257" spans="1:17" ht="20.100000000000001" customHeight="1" thickBot="1">
      <c r="A257" s="4421"/>
      <c r="B257" s="2097"/>
      <c r="C257" s="2098"/>
      <c r="D257" s="2098"/>
      <c r="E257" s="2098"/>
      <c r="F257" s="2098"/>
      <c r="G257" s="1862"/>
      <c r="H257" s="1201"/>
      <c r="I257" s="139" t="s">
        <v>960</v>
      </c>
      <c r="J257" s="140"/>
      <c r="K257" s="140"/>
      <c r="L257" s="140"/>
      <c r="M257" s="140"/>
      <c r="N257" s="141"/>
      <c r="O257" s="1201"/>
      <c r="P257" s="1201"/>
      <c r="Q257" s="1201"/>
    </row>
    <row r="258" spans="1:17" ht="20.100000000000001" customHeight="1">
      <c r="A258" s="4421"/>
      <c r="B258" s="2097"/>
      <c r="C258" s="2098"/>
      <c r="D258" s="2098"/>
      <c r="E258" s="2098"/>
      <c r="F258" s="2098"/>
      <c r="G258" s="1862"/>
      <c r="H258" s="1201"/>
      <c r="I258" s="142" t="s">
        <v>961</v>
      </c>
      <c r="J258" s="2099" t="s">
        <v>962</v>
      </c>
      <c r="K258" s="143"/>
      <c r="L258" s="143"/>
      <c r="M258" s="143"/>
      <c r="N258" s="144"/>
      <c r="O258" s="1201"/>
      <c r="P258" s="1201"/>
      <c r="Q258" s="1201"/>
    </row>
    <row r="259" spans="1:17" ht="20.100000000000001" customHeight="1">
      <c r="A259" s="4421"/>
      <c r="B259" s="2097"/>
      <c r="C259" s="2098"/>
      <c r="D259" s="2098"/>
      <c r="E259" s="2098"/>
      <c r="F259" s="2098"/>
      <c r="G259" s="1862"/>
      <c r="H259" s="1201"/>
      <c r="I259" s="4395" t="s">
        <v>361</v>
      </c>
      <c r="J259" s="4396"/>
      <c r="K259" s="4396"/>
      <c r="L259" s="4396"/>
      <c r="M259" s="4396"/>
      <c r="N259" s="4397"/>
      <c r="O259" s="1201"/>
      <c r="P259" s="1201"/>
      <c r="Q259" s="1201"/>
    </row>
    <row r="260" spans="1:17" ht="20.100000000000001" customHeight="1" thickBot="1">
      <c r="A260" s="4421"/>
      <c r="B260" s="2097"/>
      <c r="C260" s="2098"/>
      <c r="D260" s="2098"/>
      <c r="E260" s="2098"/>
      <c r="F260" s="2098"/>
      <c r="G260" s="1862"/>
      <c r="H260" s="1201"/>
      <c r="I260" s="4398"/>
      <c r="J260" s="4399"/>
      <c r="K260" s="4399"/>
      <c r="L260" s="4399"/>
      <c r="M260" s="4399"/>
      <c r="N260" s="4400"/>
      <c r="O260" s="1201"/>
      <c r="P260" s="1201"/>
      <c r="Q260" s="1201"/>
    </row>
    <row r="261" spans="1:17" ht="20.100000000000001" customHeight="1" thickBot="1">
      <c r="A261" s="4421"/>
      <c r="B261" s="2097"/>
      <c r="C261" s="2098"/>
      <c r="D261" s="2098"/>
      <c r="E261" s="2098"/>
      <c r="F261" s="2098"/>
      <c r="G261" s="1862"/>
      <c r="H261" s="1201"/>
      <c r="I261" s="1201"/>
      <c r="J261" s="1201"/>
      <c r="K261" s="1201"/>
      <c r="L261" s="1201"/>
      <c r="M261" s="1201"/>
      <c r="N261" s="1201"/>
      <c r="O261" s="1201"/>
      <c r="P261" s="1201"/>
      <c r="Q261" s="1201"/>
    </row>
    <row r="262" spans="1:17" ht="20.100000000000001" customHeight="1">
      <c r="A262" s="4421"/>
      <c r="B262" s="2097"/>
      <c r="C262" s="2098"/>
      <c r="D262" s="2098"/>
      <c r="E262" s="2098"/>
      <c r="F262" s="2098"/>
      <c r="G262" s="1862"/>
      <c r="H262" s="1201"/>
      <c r="I262" s="4401" t="s">
        <v>963</v>
      </c>
      <c r="J262" s="4402"/>
      <c r="K262" s="4402"/>
      <c r="L262" s="4402"/>
      <c r="M262" s="4403"/>
      <c r="O262" s="1201"/>
      <c r="P262" s="1201"/>
      <c r="Q262" s="1201"/>
    </row>
    <row r="263" spans="1:17" ht="20.100000000000001" customHeight="1">
      <c r="A263" s="4421"/>
      <c r="B263" s="2097"/>
      <c r="C263" s="2098"/>
      <c r="D263" s="2098"/>
      <c r="E263" s="2098"/>
      <c r="F263" s="2098"/>
      <c r="G263" s="1862"/>
      <c r="H263" s="1201"/>
      <c r="I263" s="4404"/>
      <c r="J263" s="4405"/>
      <c r="K263" s="4405"/>
      <c r="L263" s="4405"/>
      <c r="M263" s="4406"/>
    </row>
    <row r="264" spans="1:17" ht="20.100000000000001" customHeight="1">
      <c r="A264" s="4421"/>
      <c r="B264" s="2097"/>
      <c r="C264" s="2098"/>
      <c r="D264" s="2098"/>
      <c r="E264" s="2098"/>
      <c r="F264" s="2098"/>
      <c r="G264" s="1862"/>
      <c r="H264" s="1201"/>
      <c r="I264" s="4404"/>
      <c r="J264" s="4405"/>
      <c r="K264" s="4405"/>
      <c r="L264" s="4405"/>
      <c r="M264" s="4406"/>
    </row>
    <row r="265" spans="1:17" ht="20.100000000000001" customHeight="1">
      <c r="A265" s="4421"/>
      <c r="B265" s="4407" t="s">
        <v>964</v>
      </c>
      <c r="C265" s="4408"/>
      <c r="D265" s="4408"/>
      <c r="E265" s="4408"/>
      <c r="F265" s="4408"/>
      <c r="G265" s="1862"/>
      <c r="H265" s="1201"/>
      <c r="I265" s="4384" t="s">
        <v>941</v>
      </c>
      <c r="J265" s="4385" t="s">
        <v>942</v>
      </c>
      <c r="K265" s="4385" t="s">
        <v>943</v>
      </c>
      <c r="L265" s="4385" t="s">
        <v>965</v>
      </c>
      <c r="M265" s="4379" t="s">
        <v>951</v>
      </c>
    </row>
    <row r="266" spans="1:17" ht="20.100000000000001" customHeight="1">
      <c r="A266" s="4421"/>
      <c r="B266" s="4407"/>
      <c r="C266" s="4408"/>
      <c r="D266" s="4408"/>
      <c r="E266" s="4408"/>
      <c r="F266" s="4408"/>
      <c r="G266" s="1862"/>
      <c r="H266" s="1201"/>
      <c r="I266" s="4384"/>
      <c r="J266" s="4385"/>
      <c r="K266" s="4385"/>
      <c r="L266" s="4385"/>
      <c r="M266" s="4379"/>
    </row>
    <row r="267" spans="1:17" ht="20.100000000000001" customHeight="1" thickBot="1">
      <c r="A267" s="4421"/>
      <c r="B267" s="4409"/>
      <c r="C267" s="4410"/>
      <c r="D267" s="4410"/>
      <c r="E267" s="4410"/>
      <c r="F267" s="4410"/>
      <c r="G267" s="2100"/>
      <c r="H267" s="1201"/>
      <c r="I267" s="4380">
        <v>1</v>
      </c>
      <c r="J267" s="4320">
        <v>22</v>
      </c>
      <c r="K267" s="4411">
        <f>J267/2</f>
        <v>11</v>
      </c>
      <c r="L267" s="4320">
        <v>1</v>
      </c>
      <c r="M267" s="4365">
        <f>((PI()*(K267^2)*L267))*I267</f>
        <v>380.13271108436498</v>
      </c>
    </row>
    <row r="268" spans="1:17" ht="20.100000000000001" customHeight="1">
      <c r="B268" s="1201"/>
      <c r="C268" s="1201"/>
      <c r="D268" s="1201"/>
      <c r="E268" s="63"/>
      <c r="F268" s="63"/>
      <c r="G268" s="1201"/>
      <c r="H268" s="1201"/>
      <c r="I268" s="4380"/>
      <c r="J268" s="4320"/>
      <c r="K268" s="4411"/>
      <c r="L268" s="4320"/>
      <c r="M268" s="4365"/>
    </row>
    <row r="269" spans="1:17" ht="20.100000000000001" customHeight="1">
      <c r="B269" s="4386" t="s">
        <v>966</v>
      </c>
      <c r="C269" s="4387"/>
      <c r="D269" s="4387"/>
      <c r="E269" s="4387"/>
      <c r="F269" s="4387"/>
      <c r="G269" s="4388"/>
      <c r="H269" s="1201"/>
      <c r="I269" s="4384" t="s">
        <v>941</v>
      </c>
      <c r="J269" s="4385" t="s">
        <v>942</v>
      </c>
      <c r="K269" s="4385" t="s">
        <v>965</v>
      </c>
      <c r="L269" s="4385"/>
      <c r="M269" s="4379" t="s">
        <v>951</v>
      </c>
    </row>
    <row r="270" spans="1:17" ht="20.100000000000001" customHeight="1">
      <c r="B270" s="4386"/>
      <c r="C270" s="4387"/>
      <c r="D270" s="4387"/>
      <c r="E270" s="4387"/>
      <c r="F270" s="4387"/>
      <c r="G270" s="4388"/>
      <c r="H270" s="1201"/>
      <c r="I270" s="4384"/>
      <c r="J270" s="4385"/>
      <c r="K270" s="4385"/>
      <c r="L270" s="4385"/>
      <c r="M270" s="4379"/>
    </row>
    <row r="271" spans="1:17" ht="20.100000000000001" customHeight="1">
      <c r="B271" s="4389" t="s">
        <v>957</v>
      </c>
      <c r="C271" s="4390" t="s">
        <v>958</v>
      </c>
      <c r="D271" s="4390" t="s">
        <v>959</v>
      </c>
      <c r="E271" s="4390" t="s">
        <v>965</v>
      </c>
      <c r="F271" s="4390" t="s">
        <v>951</v>
      </c>
      <c r="G271" s="4391"/>
      <c r="H271" s="1201"/>
      <c r="I271" s="4380">
        <v>1</v>
      </c>
      <c r="J271" s="4363">
        <v>22</v>
      </c>
      <c r="K271" s="4363">
        <v>1</v>
      </c>
      <c r="L271" s="4392"/>
      <c r="M271" s="4365">
        <f>(((J271/2)*(J271/2)*3.1416)*K271)*I271</f>
        <v>380.1336</v>
      </c>
    </row>
    <row r="272" spans="1:17" ht="20.100000000000001" customHeight="1">
      <c r="B272" s="4389"/>
      <c r="C272" s="4390"/>
      <c r="D272" s="4390"/>
      <c r="E272" s="4390"/>
      <c r="F272" s="4390"/>
      <c r="G272" s="4391"/>
      <c r="H272" s="1201"/>
      <c r="I272" s="4380"/>
      <c r="J272" s="4363"/>
      <c r="K272" s="4363"/>
      <c r="L272" s="4392"/>
      <c r="M272" s="4365"/>
    </row>
    <row r="273" spans="1:17" ht="20.100000000000001" customHeight="1">
      <c r="B273" s="4380">
        <v>1</v>
      </c>
      <c r="C273" s="4363">
        <v>30</v>
      </c>
      <c r="D273" s="4363">
        <v>20</v>
      </c>
      <c r="E273" s="4320">
        <v>1</v>
      </c>
      <c r="F273" s="4382">
        <f>((C273*D273)*E273)*B273</f>
        <v>600</v>
      </c>
      <c r="G273" s="4383"/>
      <c r="H273" s="1201"/>
      <c r="I273" s="4384" t="s">
        <v>941</v>
      </c>
      <c r="J273" s="4385" t="s">
        <v>942</v>
      </c>
      <c r="K273" s="4385" t="s">
        <v>965</v>
      </c>
      <c r="L273" s="4385" t="s">
        <v>939</v>
      </c>
      <c r="M273" s="4379" t="s">
        <v>951</v>
      </c>
    </row>
    <row r="274" spans="1:17" ht="20.100000000000001" customHeight="1">
      <c r="B274" s="4380"/>
      <c r="C274" s="4363"/>
      <c r="D274" s="4363"/>
      <c r="E274" s="4320"/>
      <c r="F274" s="4382"/>
      <c r="G274" s="4383"/>
      <c r="H274" s="1201"/>
      <c r="I274" s="4384"/>
      <c r="J274" s="4385"/>
      <c r="K274" s="4385"/>
      <c r="L274" s="4385"/>
      <c r="M274" s="4379"/>
    </row>
    <row r="275" spans="1:17" ht="20.100000000000001" customHeight="1">
      <c r="B275" s="4366" t="s">
        <v>960</v>
      </c>
      <c r="C275" s="4367"/>
      <c r="D275" s="4367"/>
      <c r="E275" s="4367"/>
      <c r="F275" s="4367"/>
      <c r="G275" s="4368"/>
      <c r="H275" s="1201"/>
      <c r="I275" s="4380">
        <v>1</v>
      </c>
      <c r="J275" s="4363">
        <v>22</v>
      </c>
      <c r="K275" s="4363">
        <v>1</v>
      </c>
      <c r="L275" s="4381">
        <v>3</v>
      </c>
      <c r="M275" s="4365">
        <f>(((J275/2)*(J275/2)*PI()*K275)*I275)/L275</f>
        <v>126.71090369478833</v>
      </c>
    </row>
    <row r="276" spans="1:17" ht="20.100000000000001" customHeight="1">
      <c r="B276" s="145" t="s">
        <v>361</v>
      </c>
      <c r="C276" s="146"/>
      <c r="D276" s="146"/>
      <c r="E276" s="146"/>
      <c r="F276" s="146"/>
      <c r="G276" s="147"/>
      <c r="H276" s="1201"/>
      <c r="I276" s="4380"/>
      <c r="J276" s="4363"/>
      <c r="K276" s="4363"/>
      <c r="L276" s="4381"/>
      <c r="M276" s="4365"/>
    </row>
    <row r="277" spans="1:17" ht="20.100000000000001" customHeight="1" thickBot="1">
      <c r="B277" s="148"/>
      <c r="C277" s="149"/>
      <c r="D277" s="149"/>
      <c r="E277" s="149"/>
      <c r="F277" s="149"/>
      <c r="G277" s="150"/>
      <c r="H277" s="1201"/>
      <c r="I277" s="4366" t="s">
        <v>960</v>
      </c>
      <c r="J277" s="4367"/>
      <c r="K277" s="4367"/>
      <c r="L277" s="4367"/>
      <c r="M277" s="4368"/>
    </row>
    <row r="278" spans="1:17" ht="20.100000000000001" customHeight="1">
      <c r="B278" s="1201"/>
      <c r="C278" s="1201"/>
      <c r="D278" s="1201"/>
      <c r="E278" s="63"/>
      <c r="F278" s="63"/>
      <c r="G278" s="1201"/>
      <c r="H278" s="1201"/>
      <c r="I278" s="4369" t="s">
        <v>361</v>
      </c>
      <c r="J278" s="4370"/>
      <c r="K278" s="4370"/>
      <c r="L278" s="4370"/>
      <c r="M278" s="4371"/>
    </row>
    <row r="279" spans="1:17" ht="20.100000000000001" customHeight="1" thickBot="1">
      <c r="B279" s="1201"/>
      <c r="C279" s="1201"/>
      <c r="D279" s="1201"/>
      <c r="E279" s="63"/>
      <c r="F279" s="63"/>
      <c r="G279" s="1201"/>
      <c r="H279" s="1201"/>
      <c r="I279" s="4372"/>
      <c r="J279" s="4373"/>
      <c r="K279" s="4373"/>
      <c r="L279" s="4373"/>
      <c r="M279" s="4374"/>
      <c r="N279" s="1201"/>
    </row>
    <row r="280" spans="1:17" ht="20.100000000000001" customHeight="1">
      <c r="A280" s="1201"/>
      <c r="B280" s="1201"/>
      <c r="C280" s="1201"/>
      <c r="D280" s="1201"/>
      <c r="E280" s="63"/>
      <c r="F280" s="63"/>
      <c r="G280" s="1201"/>
      <c r="H280" s="1201"/>
      <c r="I280" s="1201"/>
      <c r="J280" s="1201"/>
      <c r="K280" s="1201"/>
      <c r="L280" s="1201"/>
      <c r="M280" s="1201"/>
      <c r="N280" s="1201"/>
    </row>
    <row r="281" spans="1:17" ht="20.100000000000001" customHeight="1">
      <c r="B281" s="4375" t="s">
        <v>967</v>
      </c>
      <c r="C281" s="4376"/>
      <c r="D281" s="4376"/>
      <c r="E281" s="4376"/>
      <c r="F281" s="4376"/>
      <c r="G281" s="4376"/>
      <c r="H281" s="4376"/>
      <c r="I281" s="4376"/>
      <c r="J281" s="4376"/>
      <c r="K281" s="4376"/>
      <c r="L281" s="1201"/>
      <c r="M281" s="1201"/>
      <c r="N281" s="1201"/>
      <c r="O281" s="1201"/>
      <c r="P281" s="1201"/>
      <c r="Q281" s="1201"/>
    </row>
    <row r="282" spans="1:17" ht="20.100000000000001" customHeight="1">
      <c r="B282" s="4375"/>
      <c r="C282" s="4376"/>
      <c r="D282" s="4376"/>
      <c r="E282" s="4376"/>
      <c r="F282" s="4376"/>
      <c r="G282" s="4376"/>
      <c r="H282" s="4376"/>
      <c r="I282" s="4376"/>
      <c r="J282" s="4376"/>
      <c r="K282" s="4376"/>
      <c r="L282" s="1201"/>
      <c r="M282" s="1201"/>
      <c r="N282" s="1201"/>
      <c r="O282" s="1201"/>
      <c r="P282" s="1201"/>
      <c r="Q282" s="1201"/>
    </row>
    <row r="283" spans="1:17" ht="20.100000000000001" customHeight="1">
      <c r="B283" s="4377" t="s">
        <v>968</v>
      </c>
      <c r="C283" s="3821"/>
      <c r="D283" s="3821"/>
      <c r="E283" s="3821"/>
      <c r="F283" s="3821"/>
      <c r="G283" s="3821"/>
      <c r="H283" s="3821"/>
      <c r="I283" s="3821"/>
      <c r="J283" s="3821"/>
      <c r="K283" s="3822"/>
      <c r="L283" s="1201"/>
      <c r="M283" s="1201"/>
      <c r="N283" s="1201"/>
      <c r="O283" s="1201"/>
      <c r="P283" s="1201"/>
      <c r="Q283" s="1201"/>
    </row>
    <row r="284" spans="1:17" ht="20.100000000000001" customHeight="1">
      <c r="B284" s="2101"/>
      <c r="C284" s="4378" t="s">
        <v>941</v>
      </c>
      <c r="D284" s="4378"/>
      <c r="E284" s="4378" t="s">
        <v>942</v>
      </c>
      <c r="F284" s="4378"/>
      <c r="G284" s="4378" t="s">
        <v>965</v>
      </c>
      <c r="H284" s="4378"/>
      <c r="I284" s="4239" t="s">
        <v>969</v>
      </c>
      <c r="J284" s="4239"/>
      <c r="K284" s="151" t="s">
        <v>951</v>
      </c>
      <c r="L284" s="1201"/>
      <c r="M284" s="1201"/>
      <c r="N284" s="1201"/>
      <c r="O284" s="1201"/>
      <c r="P284" s="1201"/>
      <c r="Q284" s="1201"/>
    </row>
    <row r="285" spans="1:17" ht="20.100000000000001" customHeight="1">
      <c r="B285" s="4362" t="s">
        <v>150</v>
      </c>
      <c r="C285" s="4318">
        <v>1</v>
      </c>
      <c r="D285" s="4318"/>
      <c r="E285" s="4363">
        <v>26</v>
      </c>
      <c r="F285" s="4363"/>
      <c r="G285" s="4363">
        <v>4</v>
      </c>
      <c r="H285" s="4363"/>
      <c r="I285" s="4364">
        <f>(I289/K289)*K285</f>
        <v>0.47499999999999998</v>
      </c>
      <c r="J285" s="4364"/>
      <c r="K285" s="4365">
        <f>(((E285/2)*(E285/2)*PI())*G285)*C285</f>
        <v>2123.7166338267002</v>
      </c>
      <c r="L285" s="1201"/>
      <c r="M285" s="1201"/>
      <c r="N285" s="1201"/>
      <c r="O285" s="1201"/>
      <c r="P285" s="1201"/>
      <c r="Q285" s="1201"/>
    </row>
    <row r="286" spans="1:17" ht="20.100000000000001" customHeight="1">
      <c r="B286" s="4362"/>
      <c r="C286" s="4318"/>
      <c r="D286" s="4318"/>
      <c r="E286" s="4363"/>
      <c r="F286" s="4363"/>
      <c r="G286" s="4363"/>
      <c r="H286" s="4363"/>
      <c r="I286" s="4364"/>
      <c r="J286" s="4364"/>
      <c r="K286" s="4365"/>
      <c r="L286" s="1201"/>
      <c r="M286" s="1201"/>
      <c r="N286" s="1201"/>
      <c r="O286" s="1201"/>
      <c r="P286" s="1201"/>
      <c r="Q286" s="1201"/>
    </row>
    <row r="287" spans="1:17" ht="20.100000000000001" customHeight="1" thickBot="1">
      <c r="B287" s="2101"/>
      <c r="C287" s="152"/>
      <c r="D287" s="2012"/>
      <c r="E287" s="153"/>
      <c r="F287" s="2012"/>
      <c r="G287" s="153"/>
      <c r="H287" s="2012"/>
      <c r="I287" s="154"/>
      <c r="J287" s="2012"/>
      <c r="K287" s="151"/>
      <c r="L287" s="1201"/>
      <c r="M287" s="1201"/>
      <c r="N287" s="1201"/>
      <c r="O287" s="1201"/>
      <c r="P287" s="1201"/>
      <c r="Q287" s="1201"/>
    </row>
    <row r="288" spans="1:17" ht="20.100000000000001" customHeight="1">
      <c r="B288" s="4355" t="s">
        <v>970</v>
      </c>
      <c r="C288" s="4337"/>
      <c r="D288" s="4337"/>
      <c r="E288" s="4337"/>
      <c r="F288" s="4337"/>
      <c r="G288" s="4337"/>
      <c r="H288" s="4337"/>
      <c r="I288" s="4337"/>
      <c r="J288" s="4337"/>
      <c r="K288" s="4356"/>
      <c r="L288" s="1201"/>
      <c r="M288" s="1201"/>
      <c r="N288" s="1201"/>
      <c r="O288" s="1201"/>
      <c r="P288" s="1201"/>
      <c r="Q288" s="1201"/>
    </row>
    <row r="289" spans="2:17" ht="20.100000000000001" customHeight="1">
      <c r="B289" s="4357" t="s">
        <v>152</v>
      </c>
      <c r="C289" s="4358">
        <v>1</v>
      </c>
      <c r="D289" s="4358"/>
      <c r="E289" s="4359">
        <v>26</v>
      </c>
      <c r="F289" s="4359"/>
      <c r="G289" s="4359">
        <v>4</v>
      </c>
      <c r="H289" s="4359"/>
      <c r="I289" s="4360">
        <v>0.47499999999999998</v>
      </c>
      <c r="J289" s="4360"/>
      <c r="K289" s="4361">
        <f>(((E289/2)*(E289/2)*PI())*G289)*C289</f>
        <v>2123.7166338267002</v>
      </c>
      <c r="L289" s="1201"/>
      <c r="M289" s="1201"/>
      <c r="N289" s="1201"/>
      <c r="O289" s="1201"/>
      <c r="P289" s="1201"/>
      <c r="Q289" s="1201"/>
    </row>
    <row r="290" spans="2:17" ht="20.100000000000001" customHeight="1">
      <c r="B290" s="4357"/>
      <c r="C290" s="4358"/>
      <c r="D290" s="4358"/>
      <c r="E290" s="4359"/>
      <c r="F290" s="4359"/>
      <c r="G290" s="4359"/>
      <c r="H290" s="4359"/>
      <c r="I290" s="4360"/>
      <c r="J290" s="4360"/>
      <c r="K290" s="4361"/>
      <c r="L290" s="1201"/>
      <c r="M290" s="1201"/>
      <c r="N290" s="1201"/>
      <c r="O290" s="1201"/>
      <c r="P290" s="1201"/>
      <c r="Q290" s="1201"/>
    </row>
    <row r="291" spans="2:17" ht="20.100000000000001" customHeight="1">
      <c r="B291" s="4342" t="s">
        <v>971</v>
      </c>
      <c r="C291" s="4343"/>
      <c r="D291" s="4343"/>
      <c r="E291" s="4343"/>
      <c r="F291" s="4343"/>
      <c r="G291" s="4343"/>
      <c r="H291" s="4343"/>
      <c r="I291" s="4343"/>
      <c r="J291" s="4343"/>
      <c r="K291" s="4344"/>
      <c r="L291" s="1201"/>
      <c r="M291" s="1201"/>
      <c r="N291" s="1201"/>
      <c r="O291" s="1201"/>
      <c r="P291" s="1201"/>
      <c r="Q291" s="1201"/>
    </row>
    <row r="292" spans="2:17" ht="20.100000000000001" customHeight="1">
      <c r="B292" s="155" t="s">
        <v>150</v>
      </c>
      <c r="C292" s="4345" t="s">
        <v>972</v>
      </c>
      <c r="D292" s="4345"/>
      <c r="E292" s="4345"/>
      <c r="F292" s="4345"/>
      <c r="G292" s="4345"/>
      <c r="H292" s="4345"/>
      <c r="I292" s="4345"/>
      <c r="J292" s="4345"/>
      <c r="K292" s="4346"/>
      <c r="L292" s="1201"/>
      <c r="M292" s="1201"/>
      <c r="N292" s="1201"/>
      <c r="O292" s="1201"/>
      <c r="P292" s="1201"/>
      <c r="Q292" s="1201"/>
    </row>
    <row r="293" spans="2:17" ht="20.100000000000001" customHeight="1">
      <c r="B293" s="4347" t="s">
        <v>152</v>
      </c>
      <c r="C293" s="4348" t="s">
        <v>973</v>
      </c>
      <c r="D293" s="4348"/>
      <c r="E293" s="4348"/>
      <c r="F293" s="4348"/>
      <c r="G293" s="4348"/>
      <c r="H293" s="4348"/>
      <c r="I293" s="4348"/>
      <c r="J293" s="4348"/>
      <c r="K293" s="4349"/>
      <c r="L293" s="1201"/>
      <c r="M293" s="1201"/>
      <c r="N293" s="1201"/>
      <c r="O293" s="1201"/>
      <c r="P293" s="1201"/>
      <c r="Q293" s="1201"/>
    </row>
    <row r="294" spans="2:17" ht="20.100000000000001" customHeight="1">
      <c r="B294" s="4347"/>
      <c r="C294" s="4348"/>
      <c r="D294" s="4348"/>
      <c r="E294" s="4348"/>
      <c r="F294" s="4348"/>
      <c r="G294" s="4348"/>
      <c r="H294" s="4348"/>
      <c r="I294" s="4348"/>
      <c r="J294" s="4348"/>
      <c r="K294" s="4349"/>
      <c r="L294" s="1201"/>
      <c r="M294" s="1201"/>
      <c r="N294" s="1201"/>
      <c r="O294" s="1201"/>
      <c r="P294" s="1201"/>
      <c r="Q294" s="1201"/>
    </row>
    <row r="295" spans="2:17" ht="20.100000000000001" customHeight="1">
      <c r="B295" s="4350"/>
      <c r="C295" s="4351"/>
      <c r="D295" s="4351"/>
      <c r="E295" s="4351"/>
      <c r="F295" s="4351"/>
      <c r="G295" s="4351"/>
      <c r="H295" s="4351"/>
      <c r="I295" s="4351"/>
      <c r="J295" s="4351"/>
      <c r="K295" s="4352"/>
      <c r="L295" s="1201"/>
      <c r="M295" s="1201"/>
      <c r="N295" s="1201"/>
      <c r="O295" s="1201"/>
      <c r="P295" s="1201"/>
      <c r="Q295" s="1201"/>
    </row>
    <row r="296" spans="2:17" ht="20.100000000000001" customHeight="1">
      <c r="B296" s="4353" t="s">
        <v>974</v>
      </c>
      <c r="C296" s="4354"/>
      <c r="D296" s="4354"/>
      <c r="E296" s="4354"/>
      <c r="F296" s="2102"/>
      <c r="G296" s="2102"/>
      <c r="H296" s="2102"/>
      <c r="I296" s="1071" t="s">
        <v>975</v>
      </c>
      <c r="J296" s="156">
        <f>SUM(D297:D298,G297:G298,J297:J298)</f>
        <v>0.47500000000000003</v>
      </c>
      <c r="K296" s="2103"/>
      <c r="L296" s="1201"/>
      <c r="M296" s="1201"/>
      <c r="N296" s="1201"/>
      <c r="O296" s="1201"/>
      <c r="P296" s="1201"/>
      <c r="Q296" s="1201"/>
    </row>
    <row r="297" spans="2:17" ht="20.100000000000001" customHeight="1">
      <c r="B297" s="4338" t="s">
        <v>976</v>
      </c>
      <c r="C297" s="4339"/>
      <c r="D297" s="157">
        <v>0.25</v>
      </c>
      <c r="E297" s="4339" t="s">
        <v>977</v>
      </c>
      <c r="F297" s="4339"/>
      <c r="G297" s="157">
        <v>5.0000000000000001E-3</v>
      </c>
      <c r="H297" s="4339" t="s">
        <v>978</v>
      </c>
      <c r="I297" s="4339"/>
      <c r="J297" s="157">
        <v>2.5000000000000001E-2</v>
      </c>
      <c r="K297" s="2104"/>
      <c r="L297" s="1201"/>
      <c r="M297" s="1201"/>
      <c r="N297" s="1201"/>
      <c r="O297" s="1201"/>
      <c r="P297" s="1201"/>
      <c r="Q297" s="1201"/>
    </row>
    <row r="298" spans="2:17" ht="20.100000000000001" customHeight="1">
      <c r="B298" s="4340" t="s">
        <v>979</v>
      </c>
      <c r="C298" s="4341"/>
      <c r="D298" s="158">
        <v>0.125</v>
      </c>
      <c r="E298" s="4341" t="s">
        <v>980</v>
      </c>
      <c r="F298" s="4341"/>
      <c r="G298" s="158">
        <v>0.02</v>
      </c>
      <c r="H298" s="4341" t="s">
        <v>981</v>
      </c>
      <c r="I298" s="4341"/>
      <c r="J298" s="158">
        <v>0.05</v>
      </c>
      <c r="K298" s="2105"/>
      <c r="L298" s="1201"/>
      <c r="M298" s="1201"/>
      <c r="N298" s="1201"/>
      <c r="O298" s="1201"/>
      <c r="P298" s="1201"/>
      <c r="Q298" s="1201"/>
    </row>
    <row r="299" spans="2:17" ht="20.100000000000001" customHeight="1">
      <c r="B299" s="4326" t="s">
        <v>361</v>
      </c>
      <c r="C299" s="4327"/>
      <c r="D299" s="4327"/>
      <c r="E299" s="4327"/>
      <c r="F299" s="4327"/>
      <c r="G299" s="4327"/>
      <c r="H299" s="4327"/>
      <c r="I299" s="4327"/>
      <c r="J299" s="4327"/>
      <c r="K299" s="4328"/>
      <c r="L299" s="1201"/>
      <c r="M299" s="1201"/>
      <c r="N299" s="1201"/>
      <c r="O299" s="1201"/>
      <c r="P299" s="1201"/>
      <c r="Q299" s="1201"/>
    </row>
    <row r="300" spans="2:17" ht="20.100000000000001" customHeight="1" thickBot="1">
      <c r="B300" s="4144"/>
      <c r="C300" s="4145"/>
      <c r="D300" s="4145"/>
      <c r="E300" s="4145"/>
      <c r="F300" s="4145"/>
      <c r="G300" s="4145"/>
      <c r="H300" s="4145"/>
      <c r="I300" s="4145"/>
      <c r="J300" s="4145"/>
      <c r="K300" s="4146"/>
      <c r="L300" s="1201"/>
      <c r="M300" s="1201"/>
      <c r="N300" s="1201"/>
      <c r="O300" s="1201"/>
      <c r="P300" s="1201"/>
      <c r="Q300" s="1201"/>
    </row>
    <row r="301" spans="2:17" ht="20.100000000000001" customHeight="1" thickBot="1">
      <c r="B301" s="1201"/>
      <c r="C301" s="1201"/>
      <c r="D301" s="1201"/>
      <c r="E301" s="63"/>
      <c r="F301" s="63"/>
      <c r="G301" s="1201"/>
      <c r="H301" s="1201"/>
      <c r="I301" s="1201"/>
      <c r="J301" s="1201"/>
      <c r="K301" s="1201"/>
      <c r="L301" s="1201"/>
      <c r="M301" s="1201"/>
      <c r="N301" s="1201"/>
      <c r="O301" s="1201"/>
      <c r="P301" s="1201"/>
      <c r="Q301" s="1201"/>
    </row>
    <row r="302" spans="2:17" ht="20.100000000000001" customHeight="1">
      <c r="B302" s="4329" t="s">
        <v>982</v>
      </c>
      <c r="C302" s="4329"/>
      <c r="D302" s="4329"/>
      <c r="E302" s="4329"/>
      <c r="F302" s="4329"/>
      <c r="G302" s="4329"/>
      <c r="H302" s="4329"/>
      <c r="I302" s="4329"/>
      <c r="J302" s="4329"/>
      <c r="K302" s="4329"/>
      <c r="L302" s="4329"/>
      <c r="M302" s="4329"/>
      <c r="N302" s="4330"/>
      <c r="O302" s="1201"/>
      <c r="P302" s="1201"/>
      <c r="Q302" s="1201"/>
    </row>
    <row r="303" spans="2:17" ht="20.100000000000001" customHeight="1">
      <c r="B303" s="4331"/>
      <c r="C303" s="4331"/>
      <c r="D303" s="4331"/>
      <c r="E303" s="4331"/>
      <c r="F303" s="4331"/>
      <c r="G303" s="4331"/>
      <c r="H303" s="4331"/>
      <c r="I303" s="4331"/>
      <c r="J303" s="4331"/>
      <c r="K303" s="4331"/>
      <c r="L303" s="4331"/>
      <c r="M303" s="4331"/>
      <c r="N303" s="4332"/>
      <c r="O303" s="1201"/>
      <c r="P303" s="1201"/>
      <c r="Q303" s="1201"/>
    </row>
    <row r="304" spans="2:17" ht="20.100000000000001" customHeight="1">
      <c r="B304" s="4331"/>
      <c r="C304" s="4331"/>
      <c r="D304" s="4331"/>
      <c r="E304" s="4331"/>
      <c r="F304" s="4331"/>
      <c r="G304" s="4331"/>
      <c r="H304" s="4331"/>
      <c r="I304" s="4331"/>
      <c r="J304" s="4331"/>
      <c r="K304" s="4331"/>
      <c r="L304" s="4331"/>
      <c r="M304" s="4331"/>
      <c r="N304" s="4332"/>
      <c r="O304" s="1201"/>
      <c r="P304" s="1201"/>
      <c r="Q304" s="1201"/>
    </row>
    <row r="305" spans="2:17" ht="20.100000000000001" customHeight="1">
      <c r="B305" s="2106"/>
      <c r="C305" s="4333" t="s">
        <v>983</v>
      </c>
      <c r="D305" s="4333"/>
      <c r="E305" s="4333"/>
      <c r="F305" s="4333"/>
      <c r="G305" s="4333"/>
      <c r="H305" s="4333"/>
      <c r="I305" s="4333"/>
      <c r="J305" s="4333"/>
      <c r="K305" s="4333"/>
      <c r="L305" s="4333"/>
      <c r="M305" s="4333"/>
      <c r="N305" s="2085"/>
      <c r="O305" s="1201"/>
      <c r="P305" s="1201"/>
      <c r="Q305" s="1201"/>
    </row>
    <row r="306" spans="2:17" ht="20.100000000000001" customHeight="1">
      <c r="B306" s="2106"/>
      <c r="C306" s="4334" t="s">
        <v>984</v>
      </c>
      <c r="D306" s="4334"/>
      <c r="E306" s="4334"/>
      <c r="F306" s="4334"/>
      <c r="G306" s="4334"/>
      <c r="H306" s="4334"/>
      <c r="I306" s="4334"/>
      <c r="J306" s="4334"/>
      <c r="K306" s="4334"/>
      <c r="L306" s="4334"/>
      <c r="M306" s="4334"/>
      <c r="N306" s="2085"/>
      <c r="O306" s="1201"/>
      <c r="P306" s="1201"/>
      <c r="Q306" s="1201"/>
    </row>
    <row r="307" spans="2:17" ht="20.100000000000001" customHeight="1">
      <c r="B307" s="2106"/>
      <c r="C307" s="4335" t="s">
        <v>985</v>
      </c>
      <c r="D307" s="4335"/>
      <c r="E307" s="4335"/>
      <c r="F307" s="4335"/>
      <c r="G307" s="4335"/>
      <c r="H307" s="4335"/>
      <c r="I307" s="4335"/>
      <c r="J307" s="4335"/>
      <c r="K307" s="4335"/>
      <c r="L307" s="4335"/>
      <c r="M307" s="4335"/>
      <c r="N307" s="2085"/>
      <c r="O307" s="1201"/>
      <c r="P307" s="1201"/>
      <c r="Q307" s="1201"/>
    </row>
    <row r="308" spans="2:17" ht="20.100000000000001" customHeight="1" thickBot="1">
      <c r="B308" s="2106"/>
      <c r="C308" s="4336"/>
      <c r="D308" s="4336"/>
      <c r="E308" s="4336"/>
      <c r="F308" s="4336"/>
      <c r="G308" s="4336"/>
      <c r="H308" s="4336"/>
      <c r="I308" s="4336"/>
      <c r="J308" s="4336"/>
      <c r="K308" s="4336"/>
      <c r="L308" s="4336"/>
      <c r="M308" s="4336"/>
      <c r="N308" s="2085"/>
      <c r="O308" s="1201"/>
      <c r="P308" s="1201"/>
      <c r="Q308" s="1201"/>
    </row>
    <row r="309" spans="2:17" ht="20.100000000000001" customHeight="1">
      <c r="B309" s="2106"/>
      <c r="C309" s="159"/>
      <c r="D309" s="4337" t="s">
        <v>968</v>
      </c>
      <c r="E309" s="4337"/>
      <c r="F309" s="4337"/>
      <c r="G309" s="4337"/>
      <c r="H309" s="4337"/>
      <c r="I309" s="4337"/>
      <c r="J309" s="4337"/>
      <c r="K309" s="4337"/>
      <c r="L309" s="4337"/>
      <c r="M309" s="4337"/>
      <c r="N309" s="2085"/>
      <c r="O309" s="1201"/>
      <c r="P309" s="1201"/>
      <c r="Q309" s="1201"/>
    </row>
    <row r="310" spans="2:17" ht="20.100000000000001" customHeight="1">
      <c r="B310" s="2106"/>
      <c r="C310" s="4322" t="s">
        <v>986</v>
      </c>
      <c r="D310" s="4323" t="s">
        <v>987</v>
      </c>
      <c r="E310" s="4323" t="s">
        <v>988</v>
      </c>
      <c r="F310" s="4317" t="s">
        <v>989</v>
      </c>
      <c r="G310" s="4317" t="s">
        <v>990</v>
      </c>
      <c r="H310" s="4315" t="s">
        <v>991</v>
      </c>
      <c r="I310" s="4315" t="s">
        <v>992</v>
      </c>
      <c r="J310" s="1072"/>
      <c r="K310" s="1072"/>
      <c r="L310" s="4316" t="s">
        <v>993</v>
      </c>
      <c r="M310" s="4317" t="s">
        <v>994</v>
      </c>
      <c r="N310" s="2085"/>
      <c r="O310" s="1201"/>
      <c r="P310" s="1201"/>
      <c r="Q310" s="1201"/>
    </row>
    <row r="311" spans="2:17" ht="20.100000000000001" customHeight="1">
      <c r="B311" s="2106"/>
      <c r="C311" s="4322"/>
      <c r="D311" s="4323"/>
      <c r="E311" s="4323"/>
      <c r="F311" s="4317"/>
      <c r="G311" s="4317"/>
      <c r="H311" s="4315"/>
      <c r="I311" s="4315"/>
      <c r="J311" s="1072"/>
      <c r="K311" s="1072"/>
      <c r="L311" s="4316"/>
      <c r="M311" s="4317"/>
      <c r="N311" s="2085"/>
      <c r="O311" s="1201"/>
      <c r="P311" s="1201"/>
      <c r="Q311" s="1201"/>
    </row>
    <row r="312" spans="2:17" ht="20.100000000000001" customHeight="1">
      <c r="B312" s="2106"/>
      <c r="C312" s="4322"/>
      <c r="D312" s="4323"/>
      <c r="E312" s="4323"/>
      <c r="F312" s="4317"/>
      <c r="G312" s="4317"/>
      <c r="H312" s="4315"/>
      <c r="I312" s="4315"/>
      <c r="J312" s="1072"/>
      <c r="K312" s="1072"/>
      <c r="L312" s="4316"/>
      <c r="M312" s="4317"/>
      <c r="N312" s="2085"/>
      <c r="O312" s="1201"/>
      <c r="P312" s="1201"/>
      <c r="Q312" s="1201"/>
    </row>
    <row r="313" spans="2:17" ht="20.100000000000001" customHeight="1">
      <c r="B313" s="2106"/>
      <c r="C313" s="2107" t="s">
        <v>785</v>
      </c>
      <c r="D313" s="2107" t="s">
        <v>785</v>
      </c>
      <c r="E313" s="2107" t="s">
        <v>785</v>
      </c>
      <c r="F313" s="2107" t="s">
        <v>785</v>
      </c>
      <c r="G313" s="2107" t="s">
        <v>785</v>
      </c>
      <c r="H313" s="2107" t="s">
        <v>785</v>
      </c>
      <c r="I313" s="2107" t="s">
        <v>785</v>
      </c>
      <c r="J313" s="2107"/>
      <c r="K313" s="2107"/>
      <c r="L313" s="160"/>
      <c r="M313" s="161"/>
      <c r="N313" s="2085"/>
      <c r="O313" s="1201"/>
      <c r="P313" s="1201"/>
      <c r="Q313" s="1201"/>
    </row>
    <row r="314" spans="2:17" ht="20.100000000000001" customHeight="1">
      <c r="B314" s="2106"/>
      <c r="C314" s="4318">
        <v>1</v>
      </c>
      <c r="D314" s="4319">
        <v>32.5</v>
      </c>
      <c r="E314" s="4319">
        <v>53</v>
      </c>
      <c r="F314" s="4320">
        <v>2.5</v>
      </c>
      <c r="G314" s="4321">
        <v>2.5</v>
      </c>
      <c r="H314" s="4321">
        <v>5</v>
      </c>
      <c r="I314" s="4321">
        <v>5</v>
      </c>
      <c r="J314" s="162"/>
      <c r="K314" s="162"/>
      <c r="L314" s="4324">
        <f>(L321/M326)*M318</f>
        <v>1.7392499999999997</v>
      </c>
      <c r="M314" s="4325">
        <f>(M323/M326)*M318</f>
        <v>1.75</v>
      </c>
      <c r="N314" s="2085"/>
      <c r="O314" s="1201"/>
      <c r="P314" s="1201"/>
      <c r="Q314" s="1201"/>
    </row>
    <row r="315" spans="2:17" ht="20.100000000000001" customHeight="1">
      <c r="B315" s="2106"/>
      <c r="C315" s="4318"/>
      <c r="D315" s="4319"/>
      <c r="E315" s="4319"/>
      <c r="F315" s="4320"/>
      <c r="G315" s="4321"/>
      <c r="H315" s="4321"/>
      <c r="I315" s="4321"/>
      <c r="J315" s="162"/>
      <c r="K315" s="162"/>
      <c r="L315" s="4324"/>
      <c r="M315" s="4325"/>
      <c r="N315" s="2085"/>
      <c r="O315" s="1201"/>
      <c r="P315" s="1201"/>
      <c r="Q315" s="1201"/>
    </row>
    <row r="316" spans="2:17" ht="20.100000000000001" customHeight="1">
      <c r="B316" s="2106"/>
      <c r="C316" s="163" t="s">
        <v>150</v>
      </c>
      <c r="D316" s="163" t="s">
        <v>152</v>
      </c>
      <c r="E316" s="163" t="s">
        <v>154</v>
      </c>
      <c r="F316" s="163" t="s">
        <v>158</v>
      </c>
      <c r="G316" s="163" t="s">
        <v>155</v>
      </c>
      <c r="H316" s="163" t="s">
        <v>156</v>
      </c>
      <c r="I316" s="163" t="s">
        <v>157</v>
      </c>
      <c r="J316" s="163"/>
      <c r="K316" s="163"/>
      <c r="L316" s="163" t="s">
        <v>159</v>
      </c>
      <c r="M316" s="163" t="s">
        <v>160</v>
      </c>
      <c r="N316" s="2085"/>
      <c r="O316" s="1201"/>
      <c r="P316" s="1201"/>
      <c r="Q316" s="1201"/>
    </row>
    <row r="317" spans="2:17" ht="20.100000000000001" customHeight="1">
      <c r="B317" s="2106"/>
      <c r="C317" s="164">
        <f>(D314*E314)*C314</f>
        <v>1722.5</v>
      </c>
      <c r="D317" s="164">
        <f>((D314*F314)*2)*C314+((E314*F314)*2)*C314</f>
        <v>427.5</v>
      </c>
      <c r="E317" s="164">
        <f>((D314*H317)*2)*C314+((E314*H317)*2)*C314</f>
        <v>85.5</v>
      </c>
      <c r="F317" s="164">
        <f>((D314*I317)*2)*C314+((E314*I317)*2)*C314</f>
        <v>85.5</v>
      </c>
      <c r="G317" s="165">
        <f>G314/10</f>
        <v>0.25</v>
      </c>
      <c r="H317" s="165">
        <f>H314/10</f>
        <v>0.5</v>
      </c>
      <c r="I317" s="165">
        <f>I314/10</f>
        <v>0.5</v>
      </c>
      <c r="J317" s="165"/>
      <c r="K317" s="165"/>
      <c r="L317" s="164">
        <f>SUM(C317:F317)</f>
        <v>2321</v>
      </c>
      <c r="M317" s="166">
        <f>(C317*F314)/1000</f>
        <v>4.3062500000000004</v>
      </c>
      <c r="N317" s="2085"/>
      <c r="O317" s="1201"/>
      <c r="P317" s="1201"/>
      <c r="Q317" s="1201"/>
    </row>
    <row r="318" spans="2:17" ht="20.100000000000001" customHeight="1" thickBot="1">
      <c r="B318" s="2106"/>
      <c r="C318" s="167"/>
      <c r="D318" s="167"/>
      <c r="E318" s="167"/>
      <c r="F318" s="167"/>
      <c r="G318" s="168"/>
      <c r="H318" s="168"/>
      <c r="I318" s="169" t="s">
        <v>995</v>
      </c>
      <c r="J318" s="169"/>
      <c r="K318" s="169"/>
      <c r="L318" s="170" t="s">
        <v>161</v>
      </c>
      <c r="M318" s="171">
        <f>L317*G317</f>
        <v>580.25</v>
      </c>
      <c r="N318" s="2085"/>
      <c r="O318" s="1201"/>
      <c r="P318" s="1201"/>
      <c r="Q318" s="1201"/>
    </row>
    <row r="319" spans="2:17" ht="20.100000000000001" customHeight="1">
      <c r="B319" s="2106"/>
      <c r="C319" s="159"/>
      <c r="D319" s="4309" t="s">
        <v>970</v>
      </c>
      <c r="E319" s="4309"/>
      <c r="F319" s="4309"/>
      <c r="G319" s="4309"/>
      <c r="H319" s="4309"/>
      <c r="I319" s="4309"/>
      <c r="J319" s="4309"/>
      <c r="K319" s="4309"/>
      <c r="L319" s="4309"/>
      <c r="M319" s="4309"/>
      <c r="N319" s="2085"/>
      <c r="O319" s="1201"/>
      <c r="P319" s="1201"/>
      <c r="Q319" s="1201"/>
    </row>
    <row r="320" spans="2:17" ht="20.100000000000001" customHeight="1">
      <c r="B320" s="2106"/>
      <c r="C320" s="4310" t="s">
        <v>996</v>
      </c>
      <c r="D320" s="4310"/>
      <c r="E320" s="4310"/>
      <c r="F320" s="4310"/>
      <c r="G320" s="4310"/>
      <c r="H320" s="4310"/>
      <c r="I320" s="4310"/>
      <c r="J320" s="4310"/>
      <c r="K320" s="4310"/>
      <c r="L320" s="4310"/>
      <c r="M320" s="2108" t="s">
        <v>785</v>
      </c>
      <c r="N320" s="2085"/>
      <c r="O320" s="1201"/>
      <c r="P320" s="1201"/>
      <c r="Q320" s="1201"/>
    </row>
    <row r="321" spans="2:17" ht="20.100000000000001" customHeight="1">
      <c r="B321" s="2106"/>
      <c r="C321" s="4311">
        <v>4</v>
      </c>
      <c r="D321" s="4312">
        <v>32.5</v>
      </c>
      <c r="E321" s="4312">
        <v>53</v>
      </c>
      <c r="F321" s="4313">
        <v>2.5</v>
      </c>
      <c r="G321" s="4304">
        <v>2.5</v>
      </c>
      <c r="H321" s="4304">
        <v>5</v>
      </c>
      <c r="I321" s="4304">
        <v>5</v>
      </c>
      <c r="J321" s="1073"/>
      <c r="K321" s="1073"/>
      <c r="L321" s="4305">
        <f>E337</f>
        <v>6.956999999999999</v>
      </c>
      <c r="M321" s="4306">
        <v>7</v>
      </c>
      <c r="N321" s="2085"/>
      <c r="O321" s="1201"/>
      <c r="P321" s="1201"/>
      <c r="Q321" s="1201"/>
    </row>
    <row r="322" spans="2:17" ht="20.100000000000001" customHeight="1">
      <c r="B322" s="2106"/>
      <c r="C322" s="4311"/>
      <c r="D322" s="4312"/>
      <c r="E322" s="4312"/>
      <c r="F322" s="4313"/>
      <c r="G322" s="4304"/>
      <c r="H322" s="4304"/>
      <c r="I322" s="4304"/>
      <c r="J322" s="1073"/>
      <c r="K322" s="1073"/>
      <c r="L322" s="4305"/>
      <c r="M322" s="4306"/>
      <c r="N322" s="2085"/>
      <c r="O322" s="1201"/>
      <c r="P322" s="1201"/>
      <c r="Q322" s="1201"/>
    </row>
    <row r="323" spans="2:17" ht="20.100000000000001" customHeight="1">
      <c r="B323" s="2106"/>
      <c r="C323" s="172">
        <f>ROW()-2</f>
        <v>321</v>
      </c>
      <c r="D323" s="4307" t="s">
        <v>997</v>
      </c>
      <c r="E323" s="4307"/>
      <c r="F323" s="4307"/>
      <c r="G323" s="4307"/>
      <c r="H323" s="4307"/>
      <c r="I323" s="4307"/>
      <c r="J323" s="1075"/>
      <c r="K323" s="1075"/>
      <c r="L323" s="2109"/>
      <c r="M323" s="173">
        <f>IF(ISBLANK(M321),L321,M321)</f>
        <v>7</v>
      </c>
      <c r="N323" s="2085"/>
      <c r="O323" s="1201"/>
      <c r="P323" s="1201"/>
      <c r="Q323" s="1201"/>
    </row>
    <row r="324" spans="2:17" ht="20.100000000000001" customHeight="1">
      <c r="B324" s="2106"/>
      <c r="C324" s="174" t="s">
        <v>150</v>
      </c>
      <c r="D324" s="174" t="s">
        <v>152</v>
      </c>
      <c r="E324" s="174" t="s">
        <v>154</v>
      </c>
      <c r="F324" s="174" t="s">
        <v>158</v>
      </c>
      <c r="G324" s="174" t="s">
        <v>155</v>
      </c>
      <c r="H324" s="174" t="s">
        <v>156</v>
      </c>
      <c r="I324" s="174" t="s">
        <v>157</v>
      </c>
      <c r="J324" s="174"/>
      <c r="K324" s="174"/>
      <c r="L324" s="174" t="s">
        <v>159</v>
      </c>
      <c r="M324" s="174" t="s">
        <v>160</v>
      </c>
      <c r="N324" s="2085"/>
      <c r="O324" s="1201"/>
      <c r="P324" s="1201"/>
      <c r="Q324" s="1201"/>
    </row>
    <row r="325" spans="2:17" ht="20.100000000000001" customHeight="1">
      <c r="B325" s="2106"/>
      <c r="C325" s="164">
        <f>(D321*E321)*C321</f>
        <v>6890</v>
      </c>
      <c r="D325" s="164">
        <f>((D321*F321)*2)*C321+((E321*F321)*2)*C321</f>
        <v>1710</v>
      </c>
      <c r="E325" s="164">
        <f>((D321*H325)*2)*C321+((E321*H325)*2)*C321</f>
        <v>342</v>
      </c>
      <c r="F325" s="164">
        <f>((D321*I325)*2)*C321+((E321*I325)*2)*C321</f>
        <v>342</v>
      </c>
      <c r="G325" s="165">
        <f>G321/10</f>
        <v>0.25</v>
      </c>
      <c r="H325" s="165">
        <f>H321/10</f>
        <v>0.5</v>
      </c>
      <c r="I325" s="165">
        <f>I321/10</f>
        <v>0.5</v>
      </c>
      <c r="J325" s="165"/>
      <c r="K325" s="165"/>
      <c r="L325" s="164">
        <f>SUM(C325:F325)</f>
        <v>9284</v>
      </c>
      <c r="M325" s="166">
        <f>(C325*F321)/1000</f>
        <v>17.225000000000001</v>
      </c>
      <c r="N325" s="2085"/>
      <c r="O325" s="1201"/>
      <c r="P325" s="1201"/>
      <c r="Q325" s="1201"/>
    </row>
    <row r="326" spans="2:17" ht="20.100000000000001" customHeight="1" thickBot="1">
      <c r="B326" s="2106"/>
      <c r="C326" s="2109"/>
      <c r="D326" s="2109"/>
      <c r="E326" s="2109"/>
      <c r="F326" s="2109"/>
      <c r="G326" s="2109"/>
      <c r="H326" s="2109"/>
      <c r="I326" s="175" t="s">
        <v>998</v>
      </c>
      <c r="J326" s="175"/>
      <c r="K326" s="175"/>
      <c r="L326" s="174" t="s">
        <v>161</v>
      </c>
      <c r="M326" s="176">
        <f>L325*G325</f>
        <v>2321</v>
      </c>
      <c r="N326" s="2085"/>
      <c r="O326" s="1201"/>
      <c r="P326" s="1201"/>
      <c r="Q326" s="1201"/>
    </row>
    <row r="327" spans="2:17" ht="20.100000000000001" customHeight="1">
      <c r="B327" s="2106"/>
      <c r="C327" s="2110"/>
      <c r="D327" s="2110"/>
      <c r="E327" s="2110"/>
      <c r="F327" s="2110"/>
      <c r="G327" s="2110"/>
      <c r="H327" s="2110"/>
      <c r="I327" s="177"/>
      <c r="J327" s="177"/>
      <c r="K327" s="177"/>
      <c r="L327" s="178"/>
      <c r="M327" s="179"/>
      <c r="N327" s="2085"/>
      <c r="O327" s="1201"/>
      <c r="P327" s="1201"/>
      <c r="Q327" s="1201"/>
    </row>
    <row r="328" spans="2:17" ht="20.100000000000001" customHeight="1">
      <c r="B328" s="2106"/>
      <c r="C328" s="180" t="s">
        <v>150</v>
      </c>
      <c r="D328" s="181" t="s">
        <v>999</v>
      </c>
      <c r="E328" s="181"/>
      <c r="F328" s="180" t="s">
        <v>156</v>
      </c>
      <c r="G328" s="182" t="s">
        <v>1000</v>
      </c>
      <c r="H328" s="1936"/>
      <c r="I328" s="180" t="s">
        <v>160</v>
      </c>
      <c r="J328" s="4308" t="s">
        <v>1001</v>
      </c>
      <c r="K328" s="4308"/>
      <c r="L328" s="4308"/>
      <c r="M328" s="4308"/>
      <c r="N328" s="2085"/>
      <c r="O328" s="1201"/>
      <c r="P328" s="1201"/>
      <c r="Q328" s="1201"/>
    </row>
    <row r="329" spans="2:17" ht="20.100000000000001" customHeight="1">
      <c r="B329" s="2106"/>
      <c r="C329" s="180" t="s">
        <v>152</v>
      </c>
      <c r="D329" s="181" t="s">
        <v>1002</v>
      </c>
      <c r="E329" s="181"/>
      <c r="F329" s="180" t="s">
        <v>157</v>
      </c>
      <c r="G329" s="181" t="s">
        <v>1003</v>
      </c>
      <c r="H329" s="1936"/>
      <c r="I329" s="2111"/>
      <c r="J329" s="4308"/>
      <c r="K329" s="4308"/>
      <c r="L329" s="4308"/>
      <c r="M329" s="4308"/>
      <c r="N329" s="2085"/>
      <c r="O329" s="1201"/>
      <c r="P329" s="1201"/>
      <c r="Q329" s="1201"/>
    </row>
    <row r="330" spans="2:17" ht="20.100000000000001" customHeight="1">
      <c r="B330" s="2106"/>
      <c r="C330" s="180" t="s">
        <v>154</v>
      </c>
      <c r="D330" s="181" t="s">
        <v>1004</v>
      </c>
      <c r="E330" s="181"/>
      <c r="F330" s="180" t="s">
        <v>158</v>
      </c>
      <c r="G330" s="181" t="s">
        <v>1005</v>
      </c>
      <c r="H330" s="1936"/>
      <c r="I330" s="180" t="s">
        <v>161</v>
      </c>
      <c r="J330" s="181" t="s">
        <v>1006</v>
      </c>
      <c r="K330" s="183"/>
      <c r="L330" s="181"/>
      <c r="M330" s="183"/>
      <c r="N330" s="2085"/>
      <c r="O330" s="1201"/>
      <c r="P330" s="1201"/>
      <c r="Q330" s="1201"/>
    </row>
    <row r="331" spans="2:17" ht="20.100000000000001" customHeight="1">
      <c r="B331" s="2106"/>
      <c r="C331" s="180" t="s">
        <v>155</v>
      </c>
      <c r="D331" s="181" t="s">
        <v>1007</v>
      </c>
      <c r="E331" s="182"/>
      <c r="F331" s="180" t="s">
        <v>159</v>
      </c>
      <c r="G331" s="181" t="s">
        <v>1008</v>
      </c>
      <c r="H331" s="1936"/>
      <c r="I331" s="1936"/>
      <c r="J331" s="1936"/>
      <c r="K331" s="1936"/>
      <c r="L331" s="184"/>
      <c r="M331" s="183"/>
      <c r="N331" s="2085"/>
      <c r="O331" s="1201"/>
      <c r="P331" s="1201"/>
      <c r="Q331" s="1201"/>
    </row>
    <row r="332" spans="2:17" ht="20.100000000000001" customHeight="1" thickBot="1">
      <c r="B332" s="2106"/>
      <c r="C332" s="180"/>
      <c r="D332" s="181"/>
      <c r="E332" s="182"/>
      <c r="F332" s="180"/>
      <c r="G332" s="181"/>
      <c r="H332" s="1936"/>
      <c r="I332" s="1936"/>
      <c r="J332" s="1936"/>
      <c r="K332" s="1936"/>
      <c r="L332" s="184"/>
      <c r="M332" s="183"/>
      <c r="N332" s="2085"/>
      <c r="O332" s="1201"/>
      <c r="P332" s="1201"/>
      <c r="Q332" s="1201"/>
    </row>
    <row r="333" spans="2:17" ht="20.100000000000001" customHeight="1">
      <c r="B333" s="2106"/>
      <c r="C333" s="159"/>
      <c r="D333" s="4314" t="s">
        <v>1009</v>
      </c>
      <c r="E333" s="4314"/>
      <c r="F333" s="4314"/>
      <c r="G333" s="4314"/>
      <c r="H333" s="4314"/>
      <c r="I333" s="4314"/>
      <c r="J333" s="4314"/>
      <c r="K333" s="4314"/>
      <c r="L333" s="4314"/>
      <c r="M333" s="4314"/>
      <c r="N333" s="2085"/>
      <c r="O333" s="1201"/>
      <c r="P333" s="1201"/>
      <c r="Q333" s="1201"/>
    </row>
    <row r="334" spans="2:17" ht="20.100000000000001" customHeight="1">
      <c r="B334" s="2106"/>
      <c r="C334" s="4294" t="s">
        <v>1010</v>
      </c>
      <c r="D334" s="4294"/>
      <c r="E334" s="4294"/>
      <c r="F334" s="4294"/>
      <c r="G334" s="4294"/>
      <c r="H334" s="4294"/>
      <c r="I334" s="4294"/>
      <c r="J334" s="4294"/>
      <c r="K334" s="4294"/>
      <c r="L334" s="4294"/>
      <c r="M334" s="4294"/>
      <c r="N334" s="2085"/>
      <c r="O334" s="1201"/>
      <c r="P334" s="1201"/>
      <c r="Q334" s="1201"/>
    </row>
    <row r="335" spans="2:17" ht="20.100000000000001" customHeight="1">
      <c r="B335" s="2106"/>
      <c r="C335" s="4294"/>
      <c r="D335" s="4294"/>
      <c r="E335" s="4294"/>
      <c r="F335" s="4294"/>
      <c r="G335" s="4294"/>
      <c r="H335" s="4294"/>
      <c r="I335" s="4294"/>
      <c r="J335" s="4294"/>
      <c r="K335" s="4294"/>
      <c r="L335" s="4294"/>
      <c r="M335" s="4294"/>
      <c r="N335" s="2085"/>
      <c r="O335" s="1201"/>
      <c r="P335" s="1201"/>
      <c r="Q335" s="1201"/>
    </row>
    <row r="336" spans="2:17" ht="20.100000000000001" customHeight="1">
      <c r="B336" s="2106"/>
      <c r="C336" s="4295"/>
      <c r="D336" s="4295"/>
      <c r="E336" s="4295"/>
      <c r="F336" s="4295"/>
      <c r="G336" s="4295"/>
      <c r="H336" s="4295"/>
      <c r="I336" s="4295"/>
      <c r="J336" s="4295"/>
      <c r="K336" s="4295"/>
      <c r="L336" s="4295"/>
      <c r="M336" s="4295"/>
      <c r="N336" s="2085"/>
      <c r="O336" s="1201"/>
      <c r="P336" s="1201"/>
      <c r="Q336" s="1201"/>
    </row>
    <row r="337" spans="2:17" ht="20.100000000000001" customHeight="1">
      <c r="B337" s="2106"/>
      <c r="C337" s="1074"/>
      <c r="D337" s="185" t="s">
        <v>1011</v>
      </c>
      <c r="E337" s="186">
        <f>SUM(E338:E340,I338:I340)</f>
        <v>6.956999999999999</v>
      </c>
      <c r="F337" s="1074"/>
      <c r="G337" s="1074"/>
      <c r="H337" s="1074"/>
      <c r="I337" s="1074"/>
      <c r="J337" s="1074"/>
      <c r="K337" s="1074"/>
      <c r="L337" s="1074"/>
      <c r="M337" s="1074"/>
      <c r="N337" s="2085"/>
      <c r="O337" s="1201"/>
      <c r="P337" s="1201"/>
      <c r="Q337" s="1201"/>
    </row>
    <row r="338" spans="2:17" ht="20.100000000000001" customHeight="1">
      <c r="B338" s="2106"/>
      <c r="C338" s="2018"/>
      <c r="D338" s="187" t="s">
        <v>976</v>
      </c>
      <c r="E338" s="188">
        <v>3.5</v>
      </c>
      <c r="F338" s="189"/>
      <c r="G338" s="2018"/>
      <c r="H338" s="187" t="s">
        <v>1012</v>
      </c>
      <c r="I338" s="188">
        <v>0.55000000000000004</v>
      </c>
      <c r="J338" s="188"/>
      <c r="K338" s="188"/>
      <c r="L338" s="189"/>
      <c r="M338" s="1074"/>
      <c r="N338" s="2085"/>
      <c r="O338" s="1201"/>
      <c r="P338" s="1201"/>
      <c r="Q338" s="1201"/>
    </row>
    <row r="339" spans="2:17" ht="20.100000000000001" customHeight="1">
      <c r="B339" s="2106"/>
      <c r="C339" s="2018"/>
      <c r="D339" s="187" t="s">
        <v>979</v>
      </c>
      <c r="E339" s="188">
        <v>1.6</v>
      </c>
      <c r="F339" s="189"/>
      <c r="G339" s="2018"/>
      <c r="H339" s="187" t="s">
        <v>1013</v>
      </c>
      <c r="I339" s="188">
        <v>4.4999999999999998E-2</v>
      </c>
      <c r="J339" s="188"/>
      <c r="K339" s="188"/>
      <c r="L339" s="189"/>
      <c r="M339" s="1074"/>
      <c r="N339" s="2085"/>
      <c r="O339" s="1201"/>
      <c r="P339" s="1201"/>
      <c r="Q339" s="1201"/>
    </row>
    <row r="340" spans="2:17" ht="20.100000000000001" customHeight="1">
      <c r="B340" s="2106"/>
      <c r="C340" s="2018"/>
      <c r="D340" s="187" t="s">
        <v>1014</v>
      </c>
      <c r="E340" s="188">
        <v>1.25</v>
      </c>
      <c r="F340" s="189"/>
      <c r="G340" s="2018"/>
      <c r="H340" s="190" t="s">
        <v>213</v>
      </c>
      <c r="I340" s="188">
        <v>1.2E-2</v>
      </c>
      <c r="J340" s="188"/>
      <c r="K340" s="188"/>
      <c r="L340" s="189"/>
      <c r="M340" s="1074"/>
      <c r="N340" s="2085"/>
      <c r="O340" s="1201"/>
      <c r="P340" s="1201"/>
      <c r="Q340" s="1201"/>
    </row>
    <row r="341" spans="2:17" ht="20.100000000000001" customHeight="1">
      <c r="B341" s="2106"/>
      <c r="C341" s="191" t="s">
        <v>1015</v>
      </c>
      <c r="D341" s="1074"/>
      <c r="E341" s="1074"/>
      <c r="F341" s="1074"/>
      <c r="G341" s="1074"/>
      <c r="H341" s="1074"/>
      <c r="I341" s="1074"/>
      <c r="J341" s="1074"/>
      <c r="K341" s="1074"/>
      <c r="L341" s="1074"/>
      <c r="M341" s="1074"/>
      <c r="N341" s="2085"/>
      <c r="O341" s="1201"/>
      <c r="P341" s="1201"/>
      <c r="Q341" s="1201"/>
    </row>
    <row r="342" spans="2:17" ht="20.100000000000001" customHeight="1">
      <c r="B342" s="2106"/>
      <c r="C342" s="4296" t="s">
        <v>1016</v>
      </c>
      <c r="D342" s="4296"/>
      <c r="E342" s="4296"/>
      <c r="F342" s="4296"/>
      <c r="G342" s="4296"/>
      <c r="H342" s="4296"/>
      <c r="I342" s="4296"/>
      <c r="J342" s="4296"/>
      <c r="K342" s="4296"/>
      <c r="L342" s="4296"/>
      <c r="M342" s="4296"/>
      <c r="N342" s="2085"/>
      <c r="O342" s="1201"/>
      <c r="P342" s="1201"/>
      <c r="Q342" s="1201"/>
    </row>
    <row r="343" spans="2:17" ht="20.100000000000001" customHeight="1">
      <c r="B343" s="2106"/>
      <c r="C343" s="4296"/>
      <c r="D343" s="4296"/>
      <c r="E343" s="4296"/>
      <c r="F343" s="4296"/>
      <c r="G343" s="4296"/>
      <c r="H343" s="4296"/>
      <c r="I343" s="4296"/>
      <c r="J343" s="4296"/>
      <c r="K343" s="4296"/>
      <c r="L343" s="4296"/>
      <c r="M343" s="4296"/>
      <c r="N343" s="2085"/>
      <c r="O343" s="1201"/>
      <c r="P343" s="1201"/>
      <c r="Q343" s="1201"/>
    </row>
    <row r="344" spans="2:17" ht="20.100000000000001" customHeight="1">
      <c r="B344" s="2106"/>
      <c r="C344" s="191" t="s">
        <v>1017</v>
      </c>
      <c r="D344" s="1074"/>
      <c r="E344" s="1074"/>
      <c r="F344" s="1074"/>
      <c r="G344" s="1074"/>
      <c r="H344" s="1074"/>
      <c r="I344" s="1074"/>
      <c r="J344" s="1074"/>
      <c r="K344" s="1074"/>
      <c r="L344" s="1074"/>
      <c r="M344" s="1074"/>
      <c r="N344" s="2085"/>
      <c r="O344" s="1201"/>
      <c r="P344" s="1201"/>
      <c r="Q344" s="1201"/>
    </row>
    <row r="345" spans="2:17" ht="20.100000000000001" customHeight="1">
      <c r="B345" s="2106"/>
      <c r="C345" s="192" t="s">
        <v>1018</v>
      </c>
      <c r="D345" s="1074"/>
      <c r="E345" s="1074"/>
      <c r="F345" s="1074"/>
      <c r="G345" s="1074"/>
      <c r="H345" s="1074"/>
      <c r="I345" s="1074"/>
      <c r="J345" s="1074"/>
      <c r="K345" s="1074"/>
      <c r="L345" s="1074"/>
      <c r="M345" s="1074"/>
      <c r="N345" s="2085"/>
      <c r="O345" s="1201"/>
      <c r="P345" s="1201"/>
      <c r="Q345" s="1201"/>
    </row>
    <row r="346" spans="2:17" ht="20.100000000000001" customHeight="1">
      <c r="B346" s="2106"/>
      <c r="C346" s="193" t="s">
        <v>1019</v>
      </c>
      <c r="D346" s="1074"/>
      <c r="E346" s="1074"/>
      <c r="F346" s="193" t="s">
        <v>1020</v>
      </c>
      <c r="G346" s="1074"/>
      <c r="H346" s="193" t="s">
        <v>1021</v>
      </c>
      <c r="I346" s="1074"/>
      <c r="J346" s="1074"/>
      <c r="K346" s="1074"/>
      <c r="L346" s="1074"/>
      <c r="M346" s="1074"/>
      <c r="N346" s="2085"/>
      <c r="O346" s="1201"/>
      <c r="P346" s="1201"/>
      <c r="Q346" s="1201"/>
    </row>
    <row r="347" spans="2:17" ht="20.100000000000001" customHeight="1">
      <c r="B347" s="2106"/>
      <c r="C347" s="193" t="s">
        <v>1022</v>
      </c>
      <c r="D347" s="194" t="s">
        <v>1023</v>
      </c>
      <c r="E347" s="1074"/>
      <c r="F347" s="1074"/>
      <c r="G347" s="1074"/>
      <c r="H347" s="1074"/>
      <c r="I347" s="1074"/>
      <c r="J347" s="1074"/>
      <c r="K347" s="1074"/>
      <c r="L347" s="1074"/>
      <c r="M347" s="1074"/>
      <c r="N347" s="2085"/>
      <c r="O347" s="1201"/>
      <c r="P347" s="1201"/>
      <c r="Q347" s="1201"/>
    </row>
    <row r="348" spans="2:17" ht="20.100000000000001" customHeight="1">
      <c r="B348" s="2106"/>
      <c r="C348" s="1074"/>
      <c r="D348" s="1074"/>
      <c r="E348" s="1074"/>
      <c r="F348" s="1074"/>
      <c r="G348" s="1074"/>
      <c r="H348" s="1074"/>
      <c r="I348" s="1074"/>
      <c r="J348" s="1074"/>
      <c r="K348" s="1074"/>
      <c r="L348" s="1074"/>
      <c r="M348" s="1074"/>
      <c r="N348" s="2085"/>
      <c r="O348" s="1201"/>
      <c r="P348" s="1201"/>
      <c r="Q348" s="1201"/>
    </row>
    <row r="349" spans="2:17" ht="20.100000000000001" customHeight="1">
      <c r="B349" s="2106"/>
      <c r="C349" s="4297" t="s">
        <v>361</v>
      </c>
      <c r="D349" s="4297"/>
      <c r="E349" s="4297"/>
      <c r="F349" s="4297"/>
      <c r="G349" s="4297"/>
      <c r="H349" s="4297"/>
      <c r="I349" s="4297"/>
      <c r="J349" s="4297"/>
      <c r="K349" s="4297"/>
      <c r="L349" s="4297"/>
      <c r="M349" s="4297"/>
      <c r="N349" s="2085"/>
      <c r="O349" s="1201"/>
      <c r="P349" s="1201"/>
      <c r="Q349" s="1201"/>
    </row>
    <row r="350" spans="2:17" ht="20.100000000000001" customHeight="1" thickBot="1">
      <c r="B350" s="2112"/>
      <c r="C350" s="4145"/>
      <c r="D350" s="4145"/>
      <c r="E350" s="4145"/>
      <c r="F350" s="4145"/>
      <c r="G350" s="4145"/>
      <c r="H350" s="4145"/>
      <c r="I350" s="4145"/>
      <c r="J350" s="4145"/>
      <c r="K350" s="4145"/>
      <c r="L350" s="4145"/>
      <c r="M350" s="4145"/>
      <c r="N350" s="2028"/>
      <c r="O350" s="1201"/>
      <c r="P350" s="1201"/>
      <c r="Q350" s="1201"/>
    </row>
    <row r="351" spans="2:17" ht="20.100000000000001" customHeight="1" thickBot="1">
      <c r="B351" s="1201"/>
      <c r="C351" s="1201"/>
      <c r="D351" s="1201"/>
      <c r="E351" s="63"/>
      <c r="F351" s="63"/>
      <c r="G351" s="1201"/>
      <c r="H351" s="1201"/>
      <c r="I351" s="1201"/>
      <c r="J351" s="1201"/>
      <c r="K351" s="1201"/>
      <c r="L351" s="1201"/>
      <c r="M351" s="1201"/>
      <c r="N351" s="1201"/>
      <c r="O351" s="1201"/>
      <c r="P351" s="1201"/>
      <c r="Q351" s="1201"/>
    </row>
    <row r="352" spans="2:17" ht="20.100000000000001" customHeight="1">
      <c r="B352" s="4298" t="s">
        <v>1024</v>
      </c>
      <c r="C352" s="4299"/>
      <c r="D352" s="4299"/>
      <c r="E352" s="4299"/>
      <c r="F352" s="4299"/>
      <c r="G352" s="4299"/>
      <c r="H352" s="4299"/>
      <c r="I352" s="4299"/>
      <c r="J352" s="4300"/>
      <c r="K352" s="1201"/>
      <c r="L352" s="1201"/>
      <c r="M352" s="1201"/>
      <c r="N352" s="1201"/>
      <c r="O352" s="1201"/>
      <c r="P352" s="1201"/>
      <c r="Q352" s="1201"/>
    </row>
    <row r="353" spans="2:17" ht="20.100000000000001" customHeight="1">
      <c r="B353" s="4301" t="s">
        <v>1025</v>
      </c>
      <c r="C353" s="4302"/>
      <c r="D353" s="4302"/>
      <c r="E353" s="4302"/>
      <c r="F353" s="4302"/>
      <c r="G353" s="4302"/>
      <c r="H353" s="4302"/>
      <c r="I353" s="4302"/>
      <c r="J353" s="4303"/>
      <c r="K353" s="1201"/>
      <c r="L353" s="1201"/>
      <c r="M353" s="1201"/>
      <c r="N353" s="1201"/>
      <c r="O353" s="1201"/>
      <c r="P353" s="1201"/>
      <c r="Q353" s="1201"/>
    </row>
    <row r="354" spans="2:17" ht="20.100000000000001" customHeight="1">
      <c r="B354" s="4279" t="s">
        <v>1026</v>
      </c>
      <c r="C354" s="4280"/>
      <c r="D354" s="4280"/>
      <c r="E354" s="4280"/>
      <c r="F354" s="4280"/>
      <c r="G354" s="4280"/>
      <c r="H354" s="4280"/>
      <c r="I354" s="4280"/>
      <c r="J354" s="4281"/>
      <c r="K354" s="1201"/>
      <c r="L354" s="1201"/>
      <c r="M354" s="1201"/>
      <c r="N354" s="1201"/>
      <c r="O354" s="1201"/>
      <c r="P354" s="1201"/>
      <c r="Q354" s="1201"/>
    </row>
    <row r="355" spans="2:17" ht="20.100000000000001" customHeight="1">
      <c r="B355" s="4279"/>
      <c r="C355" s="4280"/>
      <c r="D355" s="4280"/>
      <c r="E355" s="4280"/>
      <c r="F355" s="4280"/>
      <c r="G355" s="4280"/>
      <c r="H355" s="4280"/>
      <c r="I355" s="4280"/>
      <c r="J355" s="4281"/>
      <c r="K355" s="1201"/>
      <c r="L355" s="1201"/>
      <c r="M355" s="1201"/>
      <c r="N355" s="1201"/>
      <c r="O355" s="1201"/>
      <c r="P355" s="1201"/>
      <c r="Q355" s="1201"/>
    </row>
    <row r="356" spans="2:17" ht="20.100000000000001" customHeight="1">
      <c r="B356" s="2113" t="s">
        <v>1027</v>
      </c>
      <c r="C356" s="2114"/>
      <c r="D356" s="2114"/>
      <c r="E356" s="2114"/>
      <c r="F356" s="2114"/>
      <c r="G356" s="2114"/>
      <c r="H356" s="2114"/>
      <c r="I356" s="2114"/>
      <c r="J356" s="2115"/>
      <c r="K356" s="1201"/>
      <c r="L356" s="1201"/>
      <c r="M356" s="1201"/>
      <c r="N356" s="1201"/>
      <c r="O356" s="1201"/>
      <c r="P356" s="1201"/>
      <c r="Q356" s="1201"/>
    </row>
    <row r="357" spans="2:17" ht="20.100000000000001" customHeight="1">
      <c r="B357" s="2113" t="s">
        <v>1028</v>
      </c>
      <c r="C357" s="2114"/>
      <c r="D357" s="2114"/>
      <c r="E357" s="2114"/>
      <c r="F357" s="2114"/>
      <c r="G357" s="2116" t="s">
        <v>1029</v>
      </c>
      <c r="H357" s="2114"/>
      <c r="I357" s="2114"/>
      <c r="J357" s="2115"/>
      <c r="K357" s="1201"/>
      <c r="L357" s="1201"/>
      <c r="M357" s="1201"/>
      <c r="N357" s="1201"/>
      <c r="O357" s="1201"/>
      <c r="P357" s="1201"/>
      <c r="Q357" s="1201"/>
    </row>
    <row r="358" spans="2:17" ht="20.100000000000001" customHeight="1">
      <c r="B358" s="4282" t="s">
        <v>1030</v>
      </c>
      <c r="C358" s="4283"/>
      <c r="D358" s="4283"/>
      <c r="E358" s="4283"/>
      <c r="F358" s="4283"/>
      <c r="G358" s="4283"/>
      <c r="H358" s="4283"/>
      <c r="I358" s="4283"/>
      <c r="J358" s="4284"/>
      <c r="K358" s="1201"/>
      <c r="L358" s="1201"/>
      <c r="M358" s="1201"/>
      <c r="N358" s="1201"/>
      <c r="O358" s="1201"/>
      <c r="P358" s="1201"/>
      <c r="Q358" s="1201"/>
    </row>
    <row r="359" spans="2:17" ht="20.100000000000001" customHeight="1">
      <c r="B359" s="4282"/>
      <c r="C359" s="4283"/>
      <c r="D359" s="4283"/>
      <c r="E359" s="4283"/>
      <c r="F359" s="4283"/>
      <c r="G359" s="4283"/>
      <c r="H359" s="4283"/>
      <c r="I359" s="4283"/>
      <c r="J359" s="4284"/>
      <c r="K359" s="1201"/>
      <c r="L359" s="1201"/>
      <c r="M359" s="1201"/>
      <c r="N359" s="1201"/>
      <c r="O359" s="1201"/>
      <c r="P359" s="1201"/>
      <c r="Q359" s="1201"/>
    </row>
    <row r="360" spans="2:17" ht="20.100000000000001" customHeight="1">
      <c r="B360" s="4285" t="s">
        <v>1031</v>
      </c>
      <c r="C360" s="4286"/>
      <c r="D360" s="4286"/>
      <c r="E360" s="4286"/>
      <c r="F360" s="4286"/>
      <c r="G360" s="4286"/>
      <c r="H360" s="4286"/>
      <c r="I360" s="4286"/>
      <c r="J360" s="4287"/>
      <c r="K360" s="1201"/>
      <c r="L360" s="1201"/>
      <c r="M360" s="1201"/>
      <c r="N360" s="1201"/>
      <c r="O360" s="1201"/>
      <c r="P360" s="1201"/>
      <c r="Q360" s="1201"/>
    </row>
    <row r="361" spans="2:17" ht="20.100000000000001" customHeight="1">
      <c r="B361" s="4285"/>
      <c r="C361" s="4286"/>
      <c r="D361" s="4286"/>
      <c r="E361" s="4286"/>
      <c r="F361" s="4286"/>
      <c r="G361" s="4286"/>
      <c r="H361" s="4286"/>
      <c r="I361" s="4286"/>
      <c r="J361" s="4287"/>
      <c r="K361" s="1201"/>
      <c r="L361" s="1201"/>
      <c r="M361" s="1201"/>
      <c r="N361" s="1201"/>
      <c r="O361" s="1201"/>
      <c r="P361" s="1201"/>
      <c r="Q361" s="1201"/>
    </row>
    <row r="362" spans="2:17" ht="20.100000000000001" customHeight="1">
      <c r="B362" s="4288" t="s">
        <v>1032</v>
      </c>
      <c r="C362" s="4289"/>
      <c r="D362" s="4290">
        <v>9.86</v>
      </c>
      <c r="E362" s="4291" t="s">
        <v>1033</v>
      </c>
      <c r="F362" s="4290">
        <v>5.694</v>
      </c>
      <c r="G362" s="4292" t="s">
        <v>1034</v>
      </c>
      <c r="H362" s="4293">
        <f>D362*F362</f>
        <v>56.14284</v>
      </c>
      <c r="I362" s="4293" t="s">
        <v>1035</v>
      </c>
      <c r="J362" s="4272">
        <f>H362</f>
        <v>56.14284</v>
      </c>
      <c r="K362" s="1201"/>
      <c r="L362" s="1201"/>
      <c r="M362" s="1201"/>
      <c r="N362" s="1201"/>
      <c r="O362" s="1201"/>
      <c r="P362" s="1201"/>
      <c r="Q362" s="1201"/>
    </row>
    <row r="363" spans="2:17" ht="20.100000000000001" customHeight="1">
      <c r="B363" s="4288"/>
      <c r="C363" s="4289"/>
      <c r="D363" s="4290"/>
      <c r="E363" s="4291"/>
      <c r="F363" s="4290"/>
      <c r="G363" s="4292"/>
      <c r="H363" s="4293"/>
      <c r="I363" s="4293"/>
      <c r="J363" s="4272"/>
      <c r="K363" s="1201"/>
      <c r="L363" s="1201"/>
      <c r="M363" s="1201"/>
      <c r="N363" s="1201"/>
      <c r="O363" s="1201"/>
      <c r="P363" s="1201"/>
      <c r="Q363" s="1201"/>
    </row>
    <row r="364" spans="2:17" ht="20.100000000000001" customHeight="1">
      <c r="B364" s="2117"/>
      <c r="C364" s="2118" t="s">
        <v>1036</v>
      </c>
      <c r="D364" s="1936"/>
      <c r="E364" s="1936"/>
      <c r="F364" s="1936"/>
      <c r="G364" s="1936"/>
      <c r="H364" s="1936"/>
      <c r="I364" s="1936"/>
      <c r="J364" s="2119"/>
      <c r="K364" s="1201"/>
      <c r="L364" s="1201"/>
      <c r="M364" s="1201"/>
      <c r="N364" s="1201"/>
      <c r="O364" s="1201"/>
      <c r="P364" s="1201"/>
      <c r="Q364" s="1201"/>
    </row>
    <row r="365" spans="2:17" ht="20.100000000000001" customHeight="1">
      <c r="B365" s="2117"/>
      <c r="C365" s="2118" t="s">
        <v>1037</v>
      </c>
      <c r="D365" s="1936"/>
      <c r="E365" s="1936"/>
      <c r="F365" s="1936"/>
      <c r="G365" s="1936"/>
      <c r="H365" s="1936"/>
      <c r="I365" s="1936"/>
      <c r="J365" s="2119"/>
      <c r="K365" s="1201"/>
      <c r="L365" s="1201"/>
      <c r="M365" s="1201"/>
      <c r="N365" s="1201"/>
      <c r="O365" s="1201"/>
      <c r="P365" s="1201"/>
      <c r="Q365" s="1201"/>
    </row>
    <row r="366" spans="2:17" ht="20.100000000000001" customHeight="1">
      <c r="B366" s="2117"/>
      <c r="C366" s="2118" t="s">
        <v>1038</v>
      </c>
      <c r="D366" s="1936"/>
      <c r="E366" s="1936"/>
      <c r="F366" s="1936"/>
      <c r="G366" s="1936"/>
      <c r="H366" s="1936"/>
      <c r="I366" s="1936"/>
      <c r="J366" s="2119"/>
      <c r="K366" s="1201"/>
      <c r="L366" s="1201"/>
      <c r="M366" s="1201"/>
      <c r="N366" s="1201"/>
      <c r="O366" s="1201"/>
      <c r="P366" s="1201"/>
      <c r="Q366" s="1201"/>
    </row>
    <row r="367" spans="2:17" ht="20.100000000000001" customHeight="1">
      <c r="B367" s="2117"/>
      <c r="C367" s="2118" t="s">
        <v>1039</v>
      </c>
      <c r="D367" s="1936"/>
      <c r="E367" s="1936"/>
      <c r="F367" s="1936"/>
      <c r="G367" s="1936"/>
      <c r="H367" s="1936"/>
      <c r="I367" s="1936"/>
      <c r="J367" s="2119"/>
      <c r="K367" s="1201"/>
      <c r="L367" s="1201"/>
      <c r="M367" s="1201"/>
      <c r="N367" s="1201"/>
      <c r="O367" s="1201"/>
      <c r="P367" s="1201"/>
      <c r="Q367" s="1201"/>
    </row>
    <row r="368" spans="2:17" ht="20.100000000000001" customHeight="1">
      <c r="B368" s="4273" t="s">
        <v>1040</v>
      </c>
      <c r="C368" s="4274"/>
      <c r="D368" s="4274"/>
      <c r="E368" s="4274"/>
      <c r="F368" s="4274"/>
      <c r="G368" s="4274"/>
      <c r="H368" s="4274"/>
      <c r="I368" s="4274"/>
      <c r="J368" s="4275"/>
      <c r="K368" s="1201"/>
      <c r="L368" s="1201"/>
      <c r="M368" s="1201"/>
      <c r="N368" s="1201"/>
      <c r="O368" s="1201"/>
      <c r="P368" s="1201"/>
      <c r="Q368" s="1201"/>
    </row>
    <row r="369" spans="2:17" ht="20.100000000000001" customHeight="1">
      <c r="B369" s="4273"/>
      <c r="C369" s="4274"/>
      <c r="D369" s="4274"/>
      <c r="E369" s="4274"/>
      <c r="F369" s="4274"/>
      <c r="G369" s="4274"/>
      <c r="H369" s="4274"/>
      <c r="I369" s="4274"/>
      <c r="J369" s="4275"/>
      <c r="K369" s="1201"/>
      <c r="L369" s="1201"/>
      <c r="M369" s="1201"/>
      <c r="N369" s="1201"/>
      <c r="O369" s="1201"/>
      <c r="P369" s="1201"/>
      <c r="Q369" s="1201"/>
    </row>
    <row r="370" spans="2:17" ht="20.100000000000001" customHeight="1">
      <c r="B370" s="4273"/>
      <c r="C370" s="4274"/>
      <c r="D370" s="4274"/>
      <c r="E370" s="4274"/>
      <c r="F370" s="4274"/>
      <c r="G370" s="4274"/>
      <c r="H370" s="4274"/>
      <c r="I370" s="4274"/>
      <c r="J370" s="4275"/>
      <c r="K370" s="1201"/>
      <c r="L370" s="1201"/>
      <c r="M370" s="1201"/>
      <c r="N370" s="1201"/>
      <c r="O370" s="1201"/>
      <c r="P370" s="1201"/>
      <c r="Q370" s="1201"/>
    </row>
    <row r="371" spans="2:17" ht="20.100000000000001" customHeight="1">
      <c r="B371" s="4273" t="s">
        <v>1041</v>
      </c>
      <c r="C371" s="4274"/>
      <c r="D371" s="4274"/>
      <c r="E371" s="4274"/>
      <c r="F371" s="4274"/>
      <c r="G371" s="4274"/>
      <c r="H371" s="4274"/>
      <c r="I371" s="4274"/>
      <c r="J371" s="4275"/>
      <c r="K371" s="1201"/>
      <c r="L371" s="1201"/>
      <c r="M371" s="1201"/>
      <c r="N371" s="1201"/>
      <c r="O371" s="1201"/>
      <c r="P371" s="1201"/>
      <c r="Q371" s="1201"/>
    </row>
    <row r="372" spans="2:17" ht="20.100000000000001" customHeight="1">
      <c r="B372" s="4273"/>
      <c r="C372" s="4274"/>
      <c r="D372" s="4274"/>
      <c r="E372" s="4274"/>
      <c r="F372" s="4274"/>
      <c r="G372" s="4274"/>
      <c r="H372" s="4274"/>
      <c r="I372" s="4274"/>
      <c r="J372" s="4275"/>
      <c r="K372" s="1201"/>
      <c r="L372" s="1201"/>
      <c r="M372" s="1201"/>
      <c r="N372" s="1201"/>
      <c r="O372" s="1201"/>
      <c r="P372" s="1201"/>
      <c r="Q372" s="1201"/>
    </row>
    <row r="373" spans="2:17" ht="20.100000000000001" customHeight="1">
      <c r="B373" s="2117"/>
      <c r="C373" s="2118" t="s">
        <v>1042</v>
      </c>
      <c r="D373" s="1936"/>
      <c r="E373" s="1936"/>
      <c r="F373" s="1936"/>
      <c r="G373" s="1936"/>
      <c r="H373" s="1936"/>
      <c r="I373" s="1936"/>
      <c r="J373" s="2119"/>
      <c r="K373" s="1201"/>
      <c r="L373" s="1201"/>
      <c r="M373" s="1201"/>
      <c r="N373" s="1201"/>
      <c r="O373" s="1201"/>
      <c r="P373" s="1201"/>
      <c r="Q373" s="1201"/>
    </row>
    <row r="374" spans="2:17" ht="20.100000000000001" customHeight="1">
      <c r="B374" s="2117"/>
      <c r="C374" s="2118" t="s">
        <v>1043</v>
      </c>
      <c r="D374" s="1936"/>
      <c r="E374" s="1936"/>
      <c r="F374" s="1936"/>
      <c r="G374" s="1936"/>
      <c r="H374" s="1936"/>
      <c r="I374" s="1936"/>
      <c r="J374" s="2119"/>
      <c r="K374" s="1201"/>
      <c r="L374" s="1201"/>
      <c r="M374" s="1201"/>
      <c r="N374" s="1201"/>
      <c r="O374" s="1201"/>
      <c r="P374" s="1201"/>
      <c r="Q374" s="1201"/>
    </row>
    <row r="375" spans="2:17" ht="20.100000000000001" customHeight="1">
      <c r="B375" s="2120"/>
      <c r="C375" s="2121"/>
      <c r="D375" s="1936"/>
      <c r="E375" s="1936"/>
      <c r="F375" s="1936"/>
      <c r="G375" s="1936"/>
      <c r="H375" s="1936"/>
      <c r="I375" s="1936"/>
      <c r="J375" s="2119"/>
      <c r="K375" s="1201"/>
      <c r="L375" s="1201"/>
      <c r="M375" s="1201"/>
      <c r="N375" s="1201"/>
      <c r="O375" s="1201"/>
      <c r="P375" s="1201"/>
      <c r="Q375" s="1201"/>
    </row>
    <row r="376" spans="2:17" ht="20.100000000000001" customHeight="1">
      <c r="B376" s="2117"/>
      <c r="C376" s="2118" t="s">
        <v>1044</v>
      </c>
      <c r="D376" s="1936"/>
      <c r="E376" s="1936"/>
      <c r="F376" s="1936"/>
      <c r="G376" s="1936"/>
      <c r="H376" s="1936"/>
      <c r="I376" s="1936"/>
      <c r="J376" s="2119"/>
      <c r="K376" s="1201"/>
      <c r="L376" s="1201"/>
      <c r="M376" s="1201"/>
      <c r="N376" s="1201"/>
      <c r="O376" s="1201"/>
      <c r="P376" s="1201"/>
      <c r="Q376" s="1201"/>
    </row>
    <row r="377" spans="2:17" ht="20.100000000000001" customHeight="1">
      <c r="B377" s="2117"/>
      <c r="C377" s="2118" t="s">
        <v>1045</v>
      </c>
      <c r="D377" s="1936"/>
      <c r="E377" s="1936"/>
      <c r="F377" s="1936"/>
      <c r="G377" s="1936"/>
      <c r="H377" s="1936"/>
      <c r="I377" s="1936"/>
      <c r="J377" s="2119"/>
      <c r="K377" s="1201"/>
      <c r="L377" s="1201"/>
      <c r="M377" s="1201"/>
      <c r="N377" s="1201"/>
      <c r="O377" s="1201"/>
      <c r="P377" s="1201"/>
      <c r="Q377" s="1201"/>
    </row>
    <row r="378" spans="2:17" ht="20.100000000000001" customHeight="1">
      <c r="B378" s="2117"/>
      <c r="C378" s="2118" t="s">
        <v>1046</v>
      </c>
      <c r="D378" s="1936"/>
      <c r="E378" s="1936"/>
      <c r="F378" s="1936"/>
      <c r="G378" s="1936"/>
      <c r="H378" s="1936"/>
      <c r="I378" s="1936"/>
      <c r="J378" s="2119"/>
      <c r="K378" s="1201"/>
      <c r="L378" s="1201"/>
      <c r="M378" s="1201"/>
      <c r="N378" s="1201"/>
      <c r="O378" s="1201"/>
      <c r="P378" s="1201"/>
      <c r="Q378" s="1201"/>
    </row>
    <row r="379" spans="2:17" ht="20.100000000000001" customHeight="1">
      <c r="B379" s="2117"/>
      <c r="C379" s="2118" t="s">
        <v>1047</v>
      </c>
      <c r="D379" s="1936"/>
      <c r="E379" s="1936"/>
      <c r="F379" s="1936"/>
      <c r="G379" s="1936"/>
      <c r="H379" s="1936"/>
      <c r="I379" s="1936"/>
      <c r="J379" s="2119"/>
      <c r="K379" s="1201"/>
      <c r="L379" s="1201"/>
      <c r="M379" s="1201"/>
      <c r="N379" s="1201"/>
      <c r="O379" s="1201"/>
      <c r="P379" s="1201"/>
      <c r="Q379" s="1201"/>
    </row>
    <row r="380" spans="2:17" ht="20.100000000000001" customHeight="1">
      <c r="B380" s="4273" t="s">
        <v>1048</v>
      </c>
      <c r="C380" s="4274"/>
      <c r="D380" s="4274"/>
      <c r="E380" s="4274"/>
      <c r="F380" s="4274"/>
      <c r="G380" s="4274"/>
      <c r="H380" s="4274"/>
      <c r="I380" s="4274"/>
      <c r="J380" s="4275"/>
      <c r="K380" s="1201"/>
      <c r="L380" s="1201"/>
      <c r="M380" s="1201"/>
      <c r="N380" s="1201"/>
      <c r="O380" s="1201"/>
      <c r="P380" s="1201"/>
      <c r="Q380" s="1201"/>
    </row>
    <row r="381" spans="2:17" ht="20.100000000000001" customHeight="1">
      <c r="B381" s="4273"/>
      <c r="C381" s="4274"/>
      <c r="D381" s="4274"/>
      <c r="E381" s="4274"/>
      <c r="F381" s="4274"/>
      <c r="G381" s="4274"/>
      <c r="H381" s="4274"/>
      <c r="I381" s="4274"/>
      <c r="J381" s="4275"/>
      <c r="K381" s="1201"/>
      <c r="L381" s="1201"/>
      <c r="M381" s="1201"/>
      <c r="N381" s="1201"/>
      <c r="O381" s="1201"/>
      <c r="P381" s="1201"/>
      <c r="Q381" s="1201"/>
    </row>
    <row r="382" spans="2:17" ht="20.100000000000001" customHeight="1">
      <c r="B382" s="2122" t="s">
        <v>1049</v>
      </c>
      <c r="C382" s="1464"/>
      <c r="D382" s="1464"/>
      <c r="E382" s="1464"/>
      <c r="F382" s="1464"/>
      <c r="G382" s="1464"/>
      <c r="H382" s="1464"/>
      <c r="I382" s="1464"/>
      <c r="J382" s="2085"/>
      <c r="K382" s="1201"/>
      <c r="L382" s="1201"/>
      <c r="M382" s="1201"/>
      <c r="N382" s="1201"/>
      <c r="O382" s="1201"/>
      <c r="P382" s="1201"/>
      <c r="Q382" s="1201"/>
    </row>
    <row r="383" spans="2:17" ht="20.100000000000001" customHeight="1" thickBot="1">
      <c r="B383" s="2026"/>
      <c r="C383" s="2027"/>
      <c r="D383" s="2027"/>
      <c r="E383" s="2027"/>
      <c r="F383" s="2027"/>
      <c r="G383" s="2027"/>
      <c r="H383" s="2027"/>
      <c r="I383" s="2027"/>
      <c r="J383" s="2028"/>
      <c r="K383" s="1201"/>
      <c r="L383" s="1201"/>
      <c r="M383" s="1201"/>
      <c r="N383" s="1201"/>
      <c r="O383" s="1201"/>
      <c r="P383" s="1201"/>
      <c r="Q383" s="1201"/>
    </row>
    <row r="384" spans="2:17" ht="20.100000000000001" customHeight="1">
      <c r="B384" s="1201"/>
      <c r="C384" s="1201"/>
      <c r="D384" s="1201"/>
      <c r="E384" s="63"/>
      <c r="F384" s="63"/>
      <c r="G384" s="1201"/>
      <c r="H384" s="1201"/>
      <c r="I384" s="1201"/>
      <c r="J384" s="1201"/>
      <c r="K384" s="1201"/>
      <c r="L384" s="1201"/>
      <c r="M384" s="1201"/>
      <c r="N384" s="1201"/>
      <c r="O384" s="1201"/>
      <c r="P384" s="1201"/>
      <c r="Q384" s="1201"/>
    </row>
    <row r="385" spans="1:17">
      <c r="A385" s="1997"/>
      <c r="B385" s="1998"/>
      <c r="C385" s="1999"/>
      <c r="D385" s="1999"/>
      <c r="E385" s="1999"/>
      <c r="F385" s="1999"/>
      <c r="G385" s="1999"/>
      <c r="H385" s="1999"/>
      <c r="I385" s="1999"/>
      <c r="J385" s="1998"/>
      <c r="K385" s="1998"/>
      <c r="L385" s="1998"/>
      <c r="M385" s="1997"/>
      <c r="N385" s="1997"/>
      <c r="O385" s="1997"/>
      <c r="P385" s="1997"/>
      <c r="Q385" s="1997"/>
    </row>
    <row r="386" spans="1:17" ht="20.100000000000001" customHeight="1">
      <c r="B386" s="1201"/>
      <c r="C386" s="1201"/>
      <c r="D386" s="1201"/>
      <c r="E386" s="63"/>
      <c r="F386" s="63"/>
      <c r="G386" s="1201"/>
      <c r="H386" s="1201"/>
      <c r="I386" s="1201"/>
      <c r="J386" s="1201"/>
      <c r="K386" s="1201"/>
      <c r="L386" s="1201"/>
      <c r="M386" s="1201"/>
      <c r="N386" s="1201"/>
      <c r="O386" s="1201"/>
      <c r="P386" s="1201"/>
      <c r="Q386" s="1201"/>
    </row>
    <row r="387" spans="1:17" ht="15.75" thickBot="1">
      <c r="A387" s="1201"/>
      <c r="B387" s="1985"/>
      <c r="C387" s="1993"/>
      <c r="D387" s="1993"/>
      <c r="E387" s="1993"/>
      <c r="F387" s="1993"/>
      <c r="G387" s="1993"/>
      <c r="H387" s="1993"/>
      <c r="I387" s="1993"/>
      <c r="J387" s="1985"/>
      <c r="K387" s="1985"/>
      <c r="L387" s="1985"/>
      <c r="M387" s="1201"/>
      <c r="N387" s="1201"/>
      <c r="O387" s="1201"/>
      <c r="P387" s="1201"/>
      <c r="Q387" s="1201"/>
    </row>
    <row r="388" spans="1:17" ht="15.75">
      <c r="A388" s="1201"/>
      <c r="B388" s="4276" t="s">
        <v>1050</v>
      </c>
      <c r="C388" s="4277"/>
      <c r="D388" s="4277"/>
      <c r="E388" s="4277"/>
      <c r="F388" s="4277"/>
      <c r="G388" s="4278"/>
      <c r="H388" s="1993"/>
      <c r="I388" s="4276" t="s">
        <v>1050</v>
      </c>
      <c r="J388" s="4277"/>
      <c r="K388" s="4277"/>
      <c r="L388" s="4277"/>
      <c r="M388" s="4277"/>
      <c r="N388" s="4278"/>
      <c r="O388" s="1201"/>
      <c r="P388" s="1201"/>
      <c r="Q388" s="1201"/>
    </row>
    <row r="389" spans="1:17">
      <c r="A389" s="1201"/>
      <c r="B389" s="4262" t="s">
        <v>951</v>
      </c>
      <c r="C389" s="4263"/>
      <c r="D389" s="196" t="s">
        <v>1051</v>
      </c>
      <c r="E389" s="2123" t="s">
        <v>1052</v>
      </c>
      <c r="F389" s="4264" t="s">
        <v>975</v>
      </c>
      <c r="G389" s="4265"/>
      <c r="H389" s="1993"/>
      <c r="I389" s="4262" t="s">
        <v>951</v>
      </c>
      <c r="J389" s="4263"/>
      <c r="K389" s="196" t="s">
        <v>1051</v>
      </c>
      <c r="L389" s="2123" t="s">
        <v>1052</v>
      </c>
      <c r="M389" s="4264" t="s">
        <v>975</v>
      </c>
      <c r="N389" s="4265"/>
      <c r="O389" s="1201"/>
      <c r="P389" s="1201"/>
      <c r="Q389" s="1201"/>
    </row>
    <row r="390" spans="1:17">
      <c r="A390" s="1201"/>
      <c r="B390" s="4266">
        <v>20</v>
      </c>
      <c r="C390" s="4268">
        <f>B390/100</f>
        <v>0.2</v>
      </c>
      <c r="D390" s="197" t="s">
        <v>1053</v>
      </c>
      <c r="E390" s="2124">
        <v>1</v>
      </c>
      <c r="F390" s="2125">
        <f>(B390*E390)*10</f>
        <v>200</v>
      </c>
      <c r="G390" s="2126">
        <f>F390/1000</f>
        <v>0.2</v>
      </c>
      <c r="H390" s="1993"/>
      <c r="I390" s="4270">
        <v>10</v>
      </c>
      <c r="J390" s="4268">
        <f>I390/10</f>
        <v>1</v>
      </c>
      <c r="K390" s="197" t="s">
        <v>1053</v>
      </c>
      <c r="L390" s="2124">
        <v>1</v>
      </c>
      <c r="M390" s="2125">
        <f>(I390*L390)*100</f>
        <v>1000</v>
      </c>
      <c r="N390" s="2126">
        <f>M390/1000</f>
        <v>1</v>
      </c>
      <c r="O390" s="1201"/>
      <c r="P390" s="1201"/>
      <c r="Q390" s="1201"/>
    </row>
    <row r="391" spans="1:17">
      <c r="A391" s="1201"/>
      <c r="B391" s="4266"/>
      <c r="C391" s="4268"/>
      <c r="D391" s="197" t="s">
        <v>1054</v>
      </c>
      <c r="E391" s="2124">
        <v>1.03</v>
      </c>
      <c r="F391" s="2125">
        <f>(B390*E391)*10</f>
        <v>206</v>
      </c>
      <c r="G391" s="2126">
        <f>F391/1000</f>
        <v>0.20599999999999999</v>
      </c>
      <c r="H391" s="1993"/>
      <c r="I391" s="4270"/>
      <c r="J391" s="4268"/>
      <c r="K391" s="197" t="s">
        <v>1054</v>
      </c>
      <c r="L391" s="2124">
        <v>1.03</v>
      </c>
      <c r="M391" s="2125">
        <f>(I390*L391)*100</f>
        <v>1030</v>
      </c>
      <c r="N391" s="2126">
        <f>M391/1000</f>
        <v>1.03</v>
      </c>
      <c r="O391" s="1201"/>
      <c r="P391" s="1201"/>
      <c r="Q391" s="1201"/>
    </row>
    <row r="392" spans="1:17">
      <c r="A392" s="1201"/>
      <c r="B392" s="4266"/>
      <c r="C392" s="4268"/>
      <c r="D392" s="197" t="s">
        <v>1055</v>
      </c>
      <c r="E392" s="2124">
        <v>1.0149999999999999</v>
      </c>
      <c r="F392" s="2125">
        <f>(E392*B390)*10</f>
        <v>202.99999999999997</v>
      </c>
      <c r="G392" s="2126">
        <f>F392/1000</f>
        <v>0.20299999999999996</v>
      </c>
      <c r="H392" s="1993"/>
      <c r="I392" s="4270"/>
      <c r="J392" s="4268"/>
      <c r="K392" s="197" t="s">
        <v>1055</v>
      </c>
      <c r="L392" s="2124">
        <v>1.0149999999999999</v>
      </c>
      <c r="M392" s="2125">
        <f>(L392*I390)*100</f>
        <v>1014.9999999999999</v>
      </c>
      <c r="N392" s="2126">
        <f>M392/1000</f>
        <v>1.0149999999999999</v>
      </c>
      <c r="O392" s="1201"/>
      <c r="P392" s="1201"/>
      <c r="Q392" s="1201"/>
    </row>
    <row r="393" spans="1:17">
      <c r="A393" s="1201"/>
      <c r="B393" s="4266"/>
      <c r="C393" s="4268"/>
      <c r="D393" s="197" t="s">
        <v>1056</v>
      </c>
      <c r="E393" s="2124">
        <v>0.92</v>
      </c>
      <c r="F393" s="2125">
        <f>(E393*B390)*10</f>
        <v>184.00000000000003</v>
      </c>
      <c r="G393" s="2126">
        <f>F393/1000</f>
        <v>0.18400000000000002</v>
      </c>
      <c r="H393" s="1993"/>
      <c r="I393" s="4270"/>
      <c r="J393" s="4268"/>
      <c r="K393" s="197" t="s">
        <v>1056</v>
      </c>
      <c r="L393" s="2124">
        <v>0.92</v>
      </c>
      <c r="M393" s="2125">
        <f>(L393*I390)*100</f>
        <v>920.00000000000011</v>
      </c>
      <c r="N393" s="2126">
        <f>M393/1000</f>
        <v>0.92000000000000015</v>
      </c>
      <c r="O393" s="1201"/>
      <c r="P393" s="1201"/>
      <c r="Q393" s="1201"/>
    </row>
    <row r="394" spans="1:17" ht="15.75" thickBot="1">
      <c r="A394" s="1201"/>
      <c r="B394" s="4267"/>
      <c r="C394" s="4269"/>
      <c r="D394" s="201" t="s">
        <v>1057</v>
      </c>
      <c r="E394" s="2127">
        <v>0.8</v>
      </c>
      <c r="F394" s="2128">
        <f>(E394*B390)*10</f>
        <v>160</v>
      </c>
      <c r="G394" s="2129">
        <f>F394/1000</f>
        <v>0.16</v>
      </c>
      <c r="H394" s="1993"/>
      <c r="I394" s="4271"/>
      <c r="J394" s="4269"/>
      <c r="K394" s="201" t="s">
        <v>1057</v>
      </c>
      <c r="L394" s="2127">
        <v>0.8</v>
      </c>
      <c r="M394" s="2128">
        <f>(L394*I390)*100</f>
        <v>800</v>
      </c>
      <c r="N394" s="2129">
        <f>M394/1000</f>
        <v>0.8</v>
      </c>
      <c r="O394" s="1201"/>
      <c r="P394" s="1201"/>
      <c r="Q394" s="1201"/>
    </row>
    <row r="395" spans="1:17">
      <c r="A395" s="1201"/>
      <c r="B395" s="1985"/>
      <c r="C395" s="1993"/>
      <c r="D395" s="1993"/>
      <c r="E395" s="1993"/>
      <c r="F395" s="1993"/>
      <c r="G395" s="1993"/>
      <c r="H395" s="1993"/>
      <c r="I395" s="1993"/>
      <c r="J395" s="1985"/>
      <c r="K395" s="1985"/>
      <c r="L395" s="1985"/>
      <c r="M395" s="1201"/>
      <c r="N395" s="1201"/>
      <c r="O395" s="1201"/>
      <c r="P395" s="1201"/>
      <c r="Q395" s="1201"/>
    </row>
    <row r="396" spans="1:17">
      <c r="A396" s="1201"/>
      <c r="B396" s="1985"/>
      <c r="C396" s="1993"/>
      <c r="D396" s="1993"/>
      <c r="E396" s="1993"/>
      <c r="F396" s="1993"/>
      <c r="G396" s="1993"/>
      <c r="H396" s="1993"/>
      <c r="I396" s="1993"/>
      <c r="J396" s="1985"/>
      <c r="K396" s="1985"/>
      <c r="L396" s="1985"/>
      <c r="M396" s="1201"/>
      <c r="N396" s="1201"/>
      <c r="O396" s="1201"/>
      <c r="P396" s="1201"/>
      <c r="Q396" s="1201"/>
    </row>
    <row r="397" spans="1:17">
      <c r="A397" s="1201"/>
      <c r="B397" s="1985"/>
      <c r="C397" s="1993"/>
      <c r="D397" s="1993"/>
      <c r="E397" s="1993"/>
      <c r="F397" s="1993"/>
      <c r="G397" s="1993"/>
      <c r="H397" s="1993"/>
      <c r="I397" s="1993"/>
      <c r="J397" s="1985"/>
      <c r="K397" s="1985"/>
      <c r="L397" s="1985"/>
      <c r="M397" s="1201"/>
      <c r="N397" s="1201"/>
      <c r="O397" s="1201"/>
      <c r="P397" s="1201"/>
      <c r="Q397" s="1201"/>
    </row>
    <row r="398" spans="1:17" ht="15.75" thickBot="1">
      <c r="A398" s="1201"/>
      <c r="B398" s="1985"/>
      <c r="C398" s="1993"/>
      <c r="D398" s="1993"/>
      <c r="E398" s="1993"/>
      <c r="F398" s="1993"/>
      <c r="G398" s="1993"/>
      <c r="H398" s="1993"/>
      <c r="I398" s="1993"/>
      <c r="J398" s="1985"/>
      <c r="K398" s="1985"/>
      <c r="L398" s="1985"/>
      <c r="M398" s="1201"/>
      <c r="N398" s="1201"/>
      <c r="O398" s="1201"/>
      <c r="P398" s="1201"/>
      <c r="Q398" s="1201"/>
    </row>
    <row r="399" spans="1:17">
      <c r="A399" s="1201"/>
      <c r="B399" s="1985"/>
      <c r="C399" s="1993"/>
      <c r="D399" s="1993"/>
      <c r="E399" s="1993"/>
      <c r="F399" s="4244" t="s">
        <v>1058</v>
      </c>
      <c r="G399" s="4245"/>
      <c r="H399" s="4245"/>
      <c r="I399" s="4246"/>
      <c r="J399" s="1985"/>
      <c r="K399" s="4244" t="s">
        <v>1058</v>
      </c>
      <c r="L399" s="4245"/>
      <c r="M399" s="4245"/>
      <c r="N399" s="4246"/>
      <c r="O399" s="1201"/>
      <c r="P399" s="1201"/>
    </row>
    <row r="400" spans="1:17" ht="15.75" thickBot="1">
      <c r="A400" s="1201"/>
      <c r="B400" s="1985"/>
      <c r="C400" s="1985"/>
      <c r="D400" s="1985"/>
      <c r="E400" s="1985"/>
      <c r="F400" s="4247"/>
      <c r="G400" s="4248"/>
      <c r="H400" s="4248"/>
      <c r="I400" s="4249"/>
      <c r="J400" s="1201"/>
      <c r="K400" s="4247"/>
      <c r="L400" s="4248"/>
      <c r="M400" s="4248"/>
      <c r="N400" s="4249"/>
      <c r="O400" s="1201"/>
      <c r="P400" s="1201"/>
    </row>
    <row r="401" spans="1:17" ht="19.5" customHeight="1" thickBot="1">
      <c r="A401" s="1201"/>
      <c r="B401" s="1985"/>
      <c r="C401" s="1985"/>
      <c r="D401" s="1985"/>
      <c r="E401" s="1985"/>
      <c r="F401" s="202" t="s">
        <v>122</v>
      </c>
      <c r="G401" s="203" t="s">
        <v>1059</v>
      </c>
      <c r="H401" s="203" t="s">
        <v>1060</v>
      </c>
      <c r="I401" s="204" t="s">
        <v>1061</v>
      </c>
      <c r="J401" s="1201"/>
      <c r="K401" s="4219" t="s">
        <v>1062</v>
      </c>
      <c r="L401" s="4220"/>
      <c r="M401" s="4220"/>
      <c r="N401" s="4221"/>
      <c r="O401" s="1201"/>
      <c r="P401" s="1201"/>
    </row>
    <row r="402" spans="1:17" ht="15.75" customHeight="1">
      <c r="A402" s="1201"/>
      <c r="B402" s="1985"/>
      <c r="C402" s="1985"/>
      <c r="D402" s="1985"/>
      <c r="E402" s="1985"/>
      <c r="F402" s="4250" t="s">
        <v>1063</v>
      </c>
      <c r="G402" s="4251"/>
      <c r="H402" s="4251"/>
      <c r="I402" s="4252"/>
      <c r="J402" s="1201"/>
      <c r="K402" s="4253" t="s">
        <v>1064</v>
      </c>
      <c r="L402" s="4254"/>
      <c r="M402" s="4254"/>
      <c r="N402" s="4255"/>
      <c r="O402" s="1201"/>
      <c r="P402" s="1201"/>
    </row>
    <row r="403" spans="1:17" ht="18.75" customHeight="1">
      <c r="A403" s="1201"/>
      <c r="B403" s="1985"/>
      <c r="C403" s="1985"/>
      <c r="D403" s="1985"/>
      <c r="E403" s="1985"/>
      <c r="F403" s="205" t="s">
        <v>224</v>
      </c>
      <c r="G403" s="2130" t="s">
        <v>1065</v>
      </c>
      <c r="H403" s="2130" t="s">
        <v>1066</v>
      </c>
      <c r="I403" s="2131" t="s">
        <v>1067</v>
      </c>
      <c r="J403" s="1201"/>
      <c r="K403" s="4256" t="s">
        <v>1068</v>
      </c>
      <c r="L403" s="4258" t="s">
        <v>1069</v>
      </c>
      <c r="M403" s="4258" t="s">
        <v>1070</v>
      </c>
      <c r="N403" s="4260" t="s">
        <v>1071</v>
      </c>
      <c r="O403" s="1201"/>
      <c r="P403" s="1201"/>
    </row>
    <row r="404" spans="1:17" ht="15.75" customHeight="1">
      <c r="A404" s="1201"/>
      <c r="B404" s="1985"/>
      <c r="C404" s="1985"/>
      <c r="D404" s="1985"/>
      <c r="E404" s="1985"/>
      <c r="F404" s="206">
        <v>1</v>
      </c>
      <c r="G404" s="207">
        <f>F404*10</f>
        <v>10</v>
      </c>
      <c r="H404" s="207">
        <f>G404*10</f>
        <v>100</v>
      </c>
      <c r="I404" s="208">
        <f>H404*10</f>
        <v>1000</v>
      </c>
      <c r="J404" s="1201"/>
      <c r="K404" s="4257"/>
      <c r="L404" s="4259"/>
      <c r="M404" s="4259"/>
      <c r="N404" s="4261"/>
      <c r="O404" s="1201"/>
      <c r="P404" s="1201"/>
    </row>
    <row r="405" spans="1:17" ht="15.75" customHeight="1">
      <c r="A405" s="1201"/>
      <c r="B405" s="1985"/>
      <c r="C405" s="1985"/>
      <c r="D405" s="1985"/>
      <c r="E405" s="1985"/>
      <c r="F405" s="209">
        <f>G405/10</f>
        <v>0.1</v>
      </c>
      <c r="G405" s="210">
        <v>1</v>
      </c>
      <c r="H405" s="207">
        <f>G405*10</f>
        <v>10</v>
      </c>
      <c r="I405" s="208">
        <f>G405*100</f>
        <v>100</v>
      </c>
      <c r="J405" s="1201"/>
      <c r="K405" s="211" t="s">
        <v>1072</v>
      </c>
      <c r="L405" s="212" t="s">
        <v>1073</v>
      </c>
      <c r="M405" s="212" t="s">
        <v>1074</v>
      </c>
      <c r="N405" s="213" t="s">
        <v>1075</v>
      </c>
      <c r="O405" s="1201"/>
      <c r="P405" s="1201"/>
    </row>
    <row r="406" spans="1:17" ht="15.75" customHeight="1">
      <c r="A406" s="1201"/>
      <c r="B406" s="1985"/>
      <c r="C406" s="1985"/>
      <c r="D406" s="1985"/>
      <c r="E406" s="1985"/>
      <c r="F406" s="209">
        <f t="shared" ref="F406:G406" si="2">G406/10</f>
        <v>0.01</v>
      </c>
      <c r="G406" s="207">
        <f t="shared" si="2"/>
        <v>0.1</v>
      </c>
      <c r="H406" s="210">
        <v>1</v>
      </c>
      <c r="I406" s="208">
        <f>G406*100</f>
        <v>10</v>
      </c>
      <c r="J406" s="1201"/>
      <c r="K406" s="211" t="s">
        <v>1076</v>
      </c>
      <c r="L406" s="212" t="s">
        <v>1077</v>
      </c>
      <c r="M406" s="212" t="s">
        <v>1078</v>
      </c>
      <c r="N406" s="213" t="s">
        <v>1079</v>
      </c>
      <c r="O406" s="1201"/>
      <c r="P406" s="1201"/>
    </row>
    <row r="407" spans="1:17" ht="15.75" customHeight="1">
      <c r="A407" s="1201"/>
      <c r="B407" s="1985"/>
      <c r="C407" s="1985"/>
      <c r="D407" s="1985"/>
      <c r="E407" s="1985"/>
      <c r="F407" s="214">
        <f>I407/1000</f>
        <v>1E-3</v>
      </c>
      <c r="G407" s="215">
        <f>I407/100</f>
        <v>0.01</v>
      </c>
      <c r="H407" s="215">
        <f>I407/10</f>
        <v>0.1</v>
      </c>
      <c r="I407" s="216">
        <v>1</v>
      </c>
      <c r="J407" s="1201"/>
      <c r="K407" s="211" t="s">
        <v>1080</v>
      </c>
      <c r="L407" s="212" t="s">
        <v>1081</v>
      </c>
      <c r="M407" s="212" t="s">
        <v>1082</v>
      </c>
      <c r="N407" s="213" t="s">
        <v>1083</v>
      </c>
      <c r="O407" s="1201"/>
      <c r="P407" s="1201"/>
    </row>
    <row r="408" spans="1:17" ht="15" customHeight="1">
      <c r="A408" s="1201"/>
      <c r="B408" s="1985"/>
      <c r="C408" s="1985"/>
      <c r="D408" s="1985"/>
      <c r="E408" s="1985"/>
      <c r="F408" s="4219" t="s">
        <v>1062</v>
      </c>
      <c r="G408" s="4220"/>
      <c r="H408" s="4220"/>
      <c r="I408" s="4221"/>
      <c r="J408" s="1201"/>
      <c r="K408" s="217" t="s">
        <v>1084</v>
      </c>
      <c r="L408" s="218" t="s">
        <v>1085</v>
      </c>
      <c r="M408" s="218" t="s">
        <v>1086</v>
      </c>
      <c r="N408" s="219" t="s">
        <v>1087</v>
      </c>
      <c r="O408" s="1201"/>
      <c r="P408" s="1201"/>
    </row>
    <row r="409" spans="1:17" ht="16.5" thickBot="1">
      <c r="A409" s="1201"/>
      <c r="B409" s="1985"/>
      <c r="C409" s="1985"/>
      <c r="D409" s="1985"/>
      <c r="E409" s="1985"/>
      <c r="F409" s="4222" t="s">
        <v>1088</v>
      </c>
      <c r="G409" s="4223"/>
      <c r="H409" s="4223"/>
      <c r="I409" s="4224"/>
      <c r="J409" s="1201"/>
      <c r="K409" s="4222" t="s">
        <v>1088</v>
      </c>
      <c r="L409" s="4223"/>
      <c r="M409" s="4223"/>
      <c r="N409" s="4224"/>
      <c r="O409" s="1201"/>
      <c r="P409" s="1201"/>
    </row>
    <row r="410" spans="1:17">
      <c r="A410" s="1201"/>
      <c r="B410" s="1985"/>
      <c r="C410" s="1985"/>
      <c r="D410" s="1985"/>
      <c r="F410" s="1201"/>
      <c r="G410" s="1201"/>
      <c r="H410" s="1201"/>
      <c r="I410" s="1201"/>
      <c r="J410" s="1201"/>
      <c r="K410" s="1201"/>
      <c r="L410" s="1201"/>
      <c r="M410" s="1201"/>
      <c r="N410" s="1201"/>
      <c r="O410" s="1201"/>
      <c r="P410" s="1201"/>
    </row>
    <row r="411" spans="1:17">
      <c r="A411" s="1201"/>
      <c r="B411" s="1985"/>
      <c r="C411" s="1985"/>
      <c r="D411" s="1985"/>
      <c r="E411" s="1201"/>
      <c r="F411" s="1201"/>
      <c r="G411" s="1201"/>
      <c r="H411" s="1201"/>
      <c r="I411" s="1201"/>
      <c r="J411" s="1201"/>
      <c r="K411" s="1201"/>
      <c r="L411" s="1201"/>
      <c r="M411" s="1201"/>
      <c r="N411" s="1201"/>
      <c r="O411" s="1201"/>
      <c r="P411" s="1201"/>
    </row>
    <row r="412" spans="1:17" ht="21" customHeight="1">
      <c r="A412" s="1201"/>
      <c r="B412" s="65" t="s">
        <v>732</v>
      </c>
      <c r="C412" s="220" t="s">
        <v>1089</v>
      </c>
      <c r="D412" s="1985"/>
      <c r="E412" s="1201"/>
      <c r="F412" s="1201"/>
      <c r="G412" s="1201"/>
      <c r="H412" s="1201"/>
      <c r="I412" s="1201"/>
      <c r="J412" s="1201"/>
      <c r="K412" s="4225" t="s">
        <v>1090</v>
      </c>
      <c r="L412" s="4226"/>
      <c r="M412" s="4227"/>
      <c r="N412" s="1201"/>
      <c r="O412" s="1201"/>
      <c r="P412" s="1201"/>
    </row>
    <row r="413" spans="1:17" ht="21">
      <c r="A413" s="1201"/>
      <c r="B413" s="63"/>
      <c r="C413" s="221"/>
      <c r="D413" s="1985"/>
      <c r="E413" s="1201"/>
      <c r="F413" s="1201"/>
      <c r="G413" s="1201"/>
      <c r="H413" s="1201"/>
      <c r="I413" s="1201"/>
      <c r="J413" s="1201"/>
      <c r="K413" s="2132" t="s">
        <v>1091</v>
      </c>
      <c r="L413" s="2133" t="s">
        <v>1092</v>
      </c>
      <c r="M413" s="2134" t="s">
        <v>1093</v>
      </c>
      <c r="N413" s="1201"/>
      <c r="O413" s="1201"/>
      <c r="P413" s="1201"/>
      <c r="Q413" s="1201"/>
    </row>
    <row r="414" spans="1:17" ht="21">
      <c r="A414" s="1201"/>
      <c r="B414" s="63" t="s">
        <v>1094</v>
      </c>
      <c r="C414" s="222"/>
      <c r="D414" s="1985"/>
      <c r="E414" s="1201"/>
      <c r="F414" s="1201"/>
      <c r="G414" s="1201"/>
      <c r="H414" s="1201"/>
      <c r="I414" s="1201"/>
      <c r="J414" s="1201"/>
      <c r="K414" s="2135">
        <v>4.1666666666666664E-2</v>
      </c>
      <c r="L414" s="2136">
        <v>60</v>
      </c>
      <c r="M414" s="2137">
        <v>100</v>
      </c>
      <c r="N414" s="1201"/>
      <c r="O414" s="1201"/>
      <c r="P414" s="1201"/>
      <c r="Q414" s="1201"/>
    </row>
    <row r="415" spans="1:17" ht="21">
      <c r="A415" s="1201"/>
      <c r="B415" s="63" t="s">
        <v>1095</v>
      </c>
      <c r="C415" s="222"/>
      <c r="D415" s="1985"/>
      <c r="E415" s="1201"/>
      <c r="F415" s="1201"/>
      <c r="G415" s="1201"/>
      <c r="H415" s="1201"/>
      <c r="I415" s="1201"/>
      <c r="J415" s="1201"/>
      <c r="K415" s="2138">
        <v>4.1666666666666664E-2</v>
      </c>
      <c r="L415" s="2139">
        <f>(L414/K414)*K415</f>
        <v>60</v>
      </c>
      <c r="M415" s="2140">
        <f>(M414/K414)*K415</f>
        <v>100</v>
      </c>
      <c r="N415" s="1201"/>
      <c r="O415" s="1201"/>
      <c r="P415" s="1201"/>
      <c r="Q415" s="1201"/>
    </row>
    <row r="416" spans="1:17" ht="21">
      <c r="A416" s="1201"/>
      <c r="B416" s="65" t="s">
        <v>732</v>
      </c>
      <c r="C416" s="220" t="s">
        <v>1096</v>
      </c>
      <c r="D416" s="1985"/>
      <c r="F416" s="1201"/>
      <c r="G416" s="1201"/>
      <c r="H416" s="1201"/>
      <c r="I416" s="1201"/>
      <c r="J416" s="1201"/>
      <c r="K416" s="2141">
        <f>(K414/L414)*L416</f>
        <v>6.2499999999999993E-2</v>
      </c>
      <c r="L416" s="2142">
        <v>90</v>
      </c>
      <c r="M416" s="2143">
        <f>(M414/L414)*L416</f>
        <v>150</v>
      </c>
      <c r="N416" s="1201"/>
      <c r="O416" s="1201"/>
      <c r="P416" s="1201"/>
      <c r="Q416" s="1201"/>
    </row>
    <row r="417" spans="1:17" ht="15.75">
      <c r="A417" s="1201"/>
      <c r="B417" s="1985"/>
      <c r="C417" s="1985"/>
      <c r="D417" s="1985"/>
      <c r="F417" s="1201"/>
      <c r="G417" s="1201"/>
      <c r="H417" s="1201"/>
      <c r="I417" s="1201"/>
      <c r="J417" s="1201"/>
      <c r="K417" s="2144">
        <f>(K414/M414)*M417</f>
        <v>1.6666666666666666E-2</v>
      </c>
      <c r="L417" s="2145">
        <f>(L414/M414)*M417</f>
        <v>24</v>
      </c>
      <c r="M417" s="2146">
        <v>40</v>
      </c>
      <c r="N417" s="1201"/>
      <c r="O417" s="1201"/>
      <c r="P417" s="1201"/>
      <c r="Q417" s="1201"/>
    </row>
    <row r="418" spans="1:17">
      <c r="A418" s="1201"/>
      <c r="B418" s="1985"/>
      <c r="C418" s="1985"/>
      <c r="D418" s="1985"/>
      <c r="E418" s="1985"/>
      <c r="F418" s="1985"/>
      <c r="G418" s="1985"/>
      <c r="H418" s="1201"/>
      <c r="I418" s="1201"/>
      <c r="J418" s="1201"/>
      <c r="K418" s="1201"/>
      <c r="L418" s="1201"/>
      <c r="M418" s="1201"/>
      <c r="N418" s="1201"/>
      <c r="O418" s="1201"/>
      <c r="P418" s="1201"/>
      <c r="Q418" s="1201"/>
    </row>
    <row r="419" spans="1:17">
      <c r="A419" s="1997"/>
      <c r="B419" s="1998"/>
      <c r="C419" s="1999"/>
      <c r="D419" s="1999"/>
      <c r="E419" s="1999"/>
      <c r="F419" s="1999"/>
      <c r="G419" s="1999"/>
      <c r="H419" s="1999"/>
      <c r="I419" s="1999"/>
      <c r="J419" s="1998"/>
      <c r="K419" s="1998"/>
      <c r="L419" s="1998"/>
      <c r="M419" s="1997"/>
      <c r="N419" s="1997"/>
      <c r="O419" s="1997"/>
      <c r="P419" s="1997"/>
      <c r="Q419" s="1997"/>
    </row>
    <row r="420" spans="1:17" ht="15.75" thickBot="1">
      <c r="A420" s="1201"/>
      <c r="B420" s="1985"/>
      <c r="C420" s="1985"/>
      <c r="D420" s="1985"/>
      <c r="E420" s="1985"/>
      <c r="F420" s="1985"/>
      <c r="G420" s="1985"/>
      <c r="H420" s="1201"/>
      <c r="I420" s="1201"/>
      <c r="J420" s="1201"/>
      <c r="K420" s="1201"/>
      <c r="L420" s="1201"/>
      <c r="M420" s="1201"/>
      <c r="N420" s="1201"/>
      <c r="O420" s="1201"/>
      <c r="P420" s="1201"/>
      <c r="Q420" s="1201"/>
    </row>
    <row r="421" spans="1:17">
      <c r="A421" s="1201"/>
      <c r="B421" s="4228" t="s">
        <v>1097</v>
      </c>
      <c r="C421" s="4229"/>
      <c r="D421" s="4229"/>
      <c r="E421" s="4229"/>
      <c r="F421" s="4229"/>
      <c r="G421" s="4230"/>
      <c r="H421" s="1201"/>
      <c r="I421" s="4234" t="s">
        <v>1098</v>
      </c>
      <c r="J421" s="4235"/>
      <c r="K421" s="4238" t="s">
        <v>1099</v>
      </c>
      <c r="L421" s="4238"/>
      <c r="M421" s="4240" t="s">
        <v>1100</v>
      </c>
      <c r="N421" s="4242" t="s">
        <v>1101</v>
      </c>
      <c r="O421" s="1201"/>
      <c r="P421" s="1201"/>
      <c r="Q421" s="1201"/>
    </row>
    <row r="422" spans="1:17">
      <c r="A422" s="1201"/>
      <c r="B422" s="4231"/>
      <c r="C422" s="4232"/>
      <c r="D422" s="4232"/>
      <c r="E422" s="4232"/>
      <c r="F422" s="4232"/>
      <c r="G422" s="4233"/>
      <c r="H422" s="1201"/>
      <c r="I422" s="4236"/>
      <c r="J422" s="4237"/>
      <c r="K422" s="4239"/>
      <c r="L422" s="4239"/>
      <c r="M422" s="4241"/>
      <c r="N422" s="4243"/>
      <c r="O422" s="1201"/>
      <c r="P422" s="1201"/>
      <c r="Q422" s="1201"/>
    </row>
    <row r="423" spans="1:17" ht="15.75" customHeight="1">
      <c r="A423" s="1201"/>
      <c r="B423" s="4197" t="s">
        <v>1102</v>
      </c>
      <c r="C423" s="4198"/>
      <c r="D423" s="4198"/>
      <c r="E423" s="4198"/>
      <c r="F423" s="4198"/>
      <c r="G423" s="4199"/>
      <c r="H423" s="1201"/>
      <c r="I423" s="4215" t="s">
        <v>1103</v>
      </c>
      <c r="J423" s="4216"/>
      <c r="K423" s="2147" t="s">
        <v>1104</v>
      </c>
      <c r="L423" s="2147"/>
      <c r="M423" s="2148"/>
      <c r="N423" s="2149"/>
      <c r="O423" s="1201"/>
      <c r="P423" s="1201"/>
      <c r="Q423" s="1201"/>
    </row>
    <row r="424" spans="1:17" ht="15.75" customHeight="1">
      <c r="A424" s="1201"/>
      <c r="B424" s="4197"/>
      <c r="C424" s="4198"/>
      <c r="D424" s="4198"/>
      <c r="E424" s="4198"/>
      <c r="F424" s="4198"/>
      <c r="G424" s="4199"/>
      <c r="H424" s="1201"/>
      <c r="I424" s="4217" t="s">
        <v>1105</v>
      </c>
      <c r="J424" s="4218"/>
      <c r="K424" s="2041" t="s">
        <v>1106</v>
      </c>
      <c r="L424" s="2041"/>
      <c r="M424" s="2039" t="s">
        <v>1107</v>
      </c>
      <c r="N424" s="2150" t="s">
        <v>1108</v>
      </c>
      <c r="O424" s="1201"/>
      <c r="P424" s="1201"/>
      <c r="Q424" s="1201"/>
    </row>
    <row r="425" spans="1:17" ht="16.5" customHeight="1">
      <c r="A425" s="1201"/>
      <c r="B425" s="2151" t="s">
        <v>1109</v>
      </c>
      <c r="C425" s="4211" t="s">
        <v>1110</v>
      </c>
      <c r="D425" s="4211"/>
      <c r="E425" s="4211"/>
      <c r="F425" s="4211"/>
      <c r="G425" s="4212"/>
      <c r="H425" s="1201"/>
      <c r="I425" s="4217" t="s">
        <v>1111</v>
      </c>
      <c r="J425" s="4218"/>
      <c r="K425" s="2041" t="s">
        <v>1112</v>
      </c>
      <c r="L425" s="2041"/>
      <c r="M425" s="2039" t="s">
        <v>1113</v>
      </c>
      <c r="N425" s="2150" t="s">
        <v>1114</v>
      </c>
      <c r="O425" s="1201"/>
      <c r="P425" s="1201"/>
      <c r="Q425" s="1201"/>
    </row>
    <row r="426" spans="1:17">
      <c r="A426" s="1201"/>
      <c r="B426" s="2151" t="s">
        <v>1109</v>
      </c>
      <c r="C426" s="4211" t="s">
        <v>1115</v>
      </c>
      <c r="D426" s="4211"/>
      <c r="E426" s="4211"/>
      <c r="F426" s="4211"/>
      <c r="G426" s="4212"/>
      <c r="H426" s="1201"/>
      <c r="I426" s="4217" t="s">
        <v>1116</v>
      </c>
      <c r="J426" s="4218"/>
      <c r="K426" s="2041" t="s">
        <v>1117</v>
      </c>
      <c r="L426" s="2041"/>
      <c r="M426" s="2039" t="s">
        <v>1118</v>
      </c>
      <c r="N426" s="2150" t="s">
        <v>1119</v>
      </c>
      <c r="O426" s="1201"/>
      <c r="P426" s="1201"/>
      <c r="Q426" s="1201"/>
    </row>
    <row r="427" spans="1:17" ht="15.75" customHeight="1" thickBot="1">
      <c r="A427" s="1201"/>
      <c r="B427" s="2151" t="s">
        <v>1109</v>
      </c>
      <c r="C427" s="4211" t="s">
        <v>1120</v>
      </c>
      <c r="D427" s="4211"/>
      <c r="E427" s="4211"/>
      <c r="F427" s="4211"/>
      <c r="G427" s="4212"/>
      <c r="H427" s="1201"/>
      <c r="I427" s="4213" t="s">
        <v>1121</v>
      </c>
      <c r="J427" s="4214"/>
      <c r="K427" s="2152" t="s">
        <v>1122</v>
      </c>
      <c r="L427" s="2152"/>
      <c r="M427" s="2153" t="s">
        <v>1123</v>
      </c>
      <c r="N427" s="2154" t="s">
        <v>1124</v>
      </c>
      <c r="O427" s="1201"/>
      <c r="P427" s="1201"/>
      <c r="Q427" s="1201"/>
    </row>
    <row r="428" spans="1:17" ht="15.75" customHeight="1">
      <c r="A428" s="1201"/>
      <c r="B428" s="2151" t="s">
        <v>1125</v>
      </c>
      <c r="C428" s="4211" t="s">
        <v>1126</v>
      </c>
      <c r="D428" s="4211"/>
      <c r="E428" s="4211"/>
      <c r="F428" s="4211"/>
      <c r="G428" s="4212"/>
      <c r="H428" s="1201"/>
      <c r="I428" s="1201"/>
      <c r="J428" s="1201"/>
      <c r="K428" s="1201"/>
      <c r="L428" s="1201"/>
      <c r="M428" s="1201"/>
      <c r="N428" s="1201"/>
      <c r="O428" s="1201"/>
      <c r="P428" s="1201"/>
      <c r="Q428" s="1201"/>
    </row>
    <row r="429" spans="1:17" ht="15" customHeight="1">
      <c r="A429" s="1201"/>
      <c r="B429" s="2151" t="s">
        <v>1127</v>
      </c>
      <c r="C429" s="4211" t="s">
        <v>1128</v>
      </c>
      <c r="D429" s="4211"/>
      <c r="E429" s="4211"/>
      <c r="F429" s="4211"/>
      <c r="G429" s="4212"/>
      <c r="H429" s="1985"/>
      <c r="I429" s="1201"/>
      <c r="J429" s="1201"/>
      <c r="K429" s="1201"/>
      <c r="L429" s="1201"/>
      <c r="M429" s="1201"/>
      <c r="N429" s="1201"/>
      <c r="O429" s="1201"/>
      <c r="P429" s="1201"/>
      <c r="Q429" s="1201"/>
    </row>
    <row r="430" spans="1:17">
      <c r="A430" s="1201"/>
      <c r="B430" s="2151" t="s">
        <v>1129</v>
      </c>
      <c r="C430" s="4211" t="s">
        <v>1130</v>
      </c>
      <c r="D430" s="4211"/>
      <c r="E430" s="4211"/>
      <c r="F430" s="4211"/>
      <c r="G430" s="4212"/>
      <c r="H430" s="1985"/>
      <c r="I430" s="1201"/>
      <c r="J430" s="1201"/>
      <c r="K430" s="1201"/>
      <c r="L430" s="1201"/>
      <c r="M430" s="1201"/>
      <c r="N430" s="1201"/>
      <c r="O430" s="1201"/>
      <c r="P430" s="1201"/>
      <c r="Q430" s="1201"/>
    </row>
    <row r="431" spans="1:17">
      <c r="A431" s="1201"/>
      <c r="B431" s="2151" t="s">
        <v>1129</v>
      </c>
      <c r="C431" s="4211" t="s">
        <v>1131</v>
      </c>
      <c r="D431" s="4211"/>
      <c r="E431" s="4211"/>
      <c r="F431" s="4211"/>
      <c r="G431" s="4212"/>
      <c r="H431" s="1985"/>
      <c r="I431" s="1201"/>
      <c r="J431" s="1201"/>
      <c r="K431" s="1201"/>
      <c r="L431" s="1201"/>
      <c r="M431" s="1201"/>
      <c r="N431" s="1201"/>
      <c r="O431" s="1201"/>
      <c r="P431" s="1201"/>
      <c r="Q431" s="1201"/>
    </row>
    <row r="432" spans="1:17">
      <c r="A432" s="1201"/>
      <c r="B432" s="4197" t="s">
        <v>1132</v>
      </c>
      <c r="C432" s="4198" t="s">
        <v>1133</v>
      </c>
      <c r="D432" s="4198"/>
      <c r="E432" s="4198"/>
      <c r="F432" s="4198"/>
      <c r="G432" s="4199"/>
      <c r="H432" s="1985"/>
      <c r="I432" s="1201"/>
      <c r="J432" s="1201"/>
      <c r="K432" s="1201"/>
      <c r="L432" s="1201"/>
      <c r="M432" s="1201"/>
      <c r="N432" s="1201"/>
      <c r="O432" s="1201"/>
      <c r="P432" s="1201"/>
      <c r="Q432" s="1201"/>
    </row>
    <row r="433" spans="1:17">
      <c r="A433" s="1201"/>
      <c r="B433" s="4197"/>
      <c r="C433" s="4198"/>
      <c r="D433" s="4198"/>
      <c r="E433" s="4198"/>
      <c r="F433" s="4198"/>
      <c r="G433" s="4199"/>
      <c r="H433" s="1985"/>
      <c r="I433" s="1201"/>
      <c r="J433" s="1201"/>
      <c r="K433" s="1201"/>
      <c r="L433" s="1201"/>
      <c r="M433" s="1201"/>
      <c r="N433" s="1201"/>
      <c r="O433" s="1201"/>
      <c r="P433" s="1201"/>
      <c r="Q433" s="1201"/>
    </row>
    <row r="434" spans="1:17">
      <c r="A434" s="1201"/>
      <c r="B434" s="4197" t="s">
        <v>1134</v>
      </c>
      <c r="C434" s="4198" t="s">
        <v>1135</v>
      </c>
      <c r="D434" s="4198"/>
      <c r="E434" s="4198"/>
      <c r="F434" s="4198"/>
      <c r="G434" s="4199"/>
      <c r="H434" s="1985"/>
      <c r="I434" s="1201"/>
      <c r="J434" s="1201"/>
      <c r="K434" s="1201"/>
      <c r="L434" s="1201"/>
      <c r="M434" s="1201"/>
      <c r="N434" s="1201"/>
      <c r="O434" s="1201"/>
      <c r="P434" s="1201"/>
      <c r="Q434" s="1201"/>
    </row>
    <row r="435" spans="1:17">
      <c r="A435" s="1201"/>
      <c r="B435" s="4200"/>
      <c r="C435" s="4201"/>
      <c r="D435" s="4201"/>
      <c r="E435" s="4201"/>
      <c r="F435" s="4201"/>
      <c r="G435" s="4202"/>
      <c r="H435" s="1985"/>
      <c r="I435" s="1201"/>
      <c r="J435" s="1201"/>
      <c r="K435" s="1201"/>
      <c r="L435" s="1201"/>
      <c r="M435" s="1201"/>
      <c r="N435" s="1201"/>
      <c r="O435" s="1201"/>
      <c r="P435" s="1201"/>
      <c r="Q435" s="1201"/>
    </row>
    <row r="436" spans="1:17" ht="15.75" thickBot="1">
      <c r="A436" s="1201"/>
      <c r="B436" s="2038"/>
      <c r="C436" s="2038"/>
      <c r="D436" s="2038"/>
      <c r="E436" s="2038"/>
      <c r="F436" s="2038"/>
      <c r="G436" s="2038"/>
      <c r="H436" s="1985"/>
      <c r="I436" s="2039"/>
      <c r="J436" s="2039"/>
      <c r="K436" s="2041"/>
      <c r="L436" s="2041"/>
      <c r="M436" s="2039"/>
      <c r="N436" s="2039"/>
      <c r="O436" s="1201"/>
      <c r="P436" s="1201"/>
      <c r="Q436" s="1201"/>
    </row>
    <row r="437" spans="1:17" ht="15.75">
      <c r="B437" s="2155" t="s">
        <v>1136</v>
      </c>
      <c r="C437" s="2156"/>
      <c r="D437" s="2156"/>
      <c r="E437" s="2157"/>
      <c r="F437" s="1201"/>
      <c r="G437" s="1201"/>
      <c r="H437" s="2158" t="s">
        <v>1137</v>
      </c>
      <c r="I437" s="2159"/>
      <c r="J437" s="2160"/>
      <c r="K437" s="2160"/>
      <c r="L437" s="2160"/>
      <c r="M437" s="2160"/>
      <c r="N437" s="2161"/>
      <c r="O437" s="1201"/>
      <c r="P437" s="1201"/>
      <c r="Q437" s="1201"/>
    </row>
    <row r="438" spans="1:17">
      <c r="B438" s="4203" t="s">
        <v>1138</v>
      </c>
      <c r="C438" s="4204"/>
      <c r="D438" s="4207" t="s">
        <v>1139</v>
      </c>
      <c r="E438" s="4209">
        <f>(B440*B443)+(C440*C443)+(D440*D443)+(E440*E443)</f>
        <v>228.85000000000002</v>
      </c>
      <c r="F438" s="1201"/>
      <c r="G438" s="1201"/>
      <c r="H438" s="2162" t="s">
        <v>1140</v>
      </c>
      <c r="I438" s="2163" t="s">
        <v>1053</v>
      </c>
      <c r="J438" s="2163" t="s">
        <v>1141</v>
      </c>
      <c r="K438" s="2163" t="s">
        <v>1142</v>
      </c>
      <c r="L438" s="2163" t="s">
        <v>1143</v>
      </c>
      <c r="M438" s="2163" t="s">
        <v>1144</v>
      </c>
      <c r="N438" s="2164" t="s">
        <v>1145</v>
      </c>
      <c r="O438" s="1201"/>
      <c r="P438" s="1201"/>
      <c r="Q438" s="1201"/>
    </row>
    <row r="439" spans="1:17">
      <c r="B439" s="4205"/>
      <c r="C439" s="4206"/>
      <c r="D439" s="4208"/>
      <c r="E439" s="4210"/>
      <c r="F439" s="1201"/>
      <c r="G439" s="1201"/>
      <c r="H439" s="4194">
        <v>0.12</v>
      </c>
      <c r="I439" s="4195">
        <v>1</v>
      </c>
      <c r="J439" s="4195">
        <v>0.11</v>
      </c>
      <c r="K439" s="4195">
        <v>0</v>
      </c>
      <c r="L439" s="4195">
        <v>0.01</v>
      </c>
      <c r="M439" s="4195">
        <v>5.0000000000000001E-3</v>
      </c>
      <c r="N439" s="4185">
        <f>SUM(H439:M439)</f>
        <v>1.2450000000000001</v>
      </c>
      <c r="O439" s="1201"/>
      <c r="P439" s="1201"/>
      <c r="Q439" s="1201"/>
    </row>
    <row r="440" spans="1:17">
      <c r="B440" s="4186">
        <v>6.5000000000000002E-2</v>
      </c>
      <c r="C440" s="4188">
        <v>7.4999999999999997E-2</v>
      </c>
      <c r="D440" s="4188">
        <v>0.12</v>
      </c>
      <c r="E440" s="4190">
        <v>0.15</v>
      </c>
      <c r="F440" s="1201"/>
      <c r="G440" s="1201"/>
      <c r="H440" s="4194"/>
      <c r="I440" s="4195"/>
      <c r="J440" s="4195"/>
      <c r="K440" s="4195"/>
      <c r="L440" s="4195"/>
      <c r="M440" s="4195"/>
      <c r="N440" s="4185"/>
      <c r="O440" s="1201"/>
      <c r="P440" s="1201"/>
      <c r="Q440" s="1201"/>
    </row>
    <row r="441" spans="1:17">
      <c r="B441" s="4187"/>
      <c r="C441" s="4189"/>
      <c r="D441" s="4189"/>
      <c r="E441" s="4191"/>
      <c r="F441" s="1201"/>
      <c r="G441" s="1201"/>
      <c r="H441" s="4192">
        <f>(H439/N439)*N441</f>
        <v>2.1204819277108431</v>
      </c>
      <c r="I441" s="4193">
        <f>(I439/N439)*N441</f>
        <v>17.670682730923691</v>
      </c>
      <c r="J441" s="4193">
        <f>(J439/N439)*N441</f>
        <v>1.9437751004016062</v>
      </c>
      <c r="K441" s="4193">
        <f>(K439/N439)*N441</f>
        <v>0</v>
      </c>
      <c r="L441" s="4193">
        <f>(L439/N439)*N441</f>
        <v>0.17670682730923692</v>
      </c>
      <c r="M441" s="4193">
        <f>(M439/N439)*N441</f>
        <v>8.8353413654618462E-2</v>
      </c>
      <c r="N441" s="4196">
        <v>22</v>
      </c>
      <c r="O441" s="1201"/>
      <c r="P441" s="1201"/>
      <c r="Q441" s="1201"/>
    </row>
    <row r="442" spans="1:17">
      <c r="B442" s="2165" t="s">
        <v>1146</v>
      </c>
      <c r="C442" s="2166" t="s">
        <v>1147</v>
      </c>
      <c r="D442" s="2166" t="s">
        <v>1148</v>
      </c>
      <c r="E442" s="2167" t="s">
        <v>259</v>
      </c>
      <c r="F442" s="1201"/>
      <c r="G442" s="1201"/>
      <c r="H442" s="4192"/>
      <c r="I442" s="4193"/>
      <c r="J442" s="4193"/>
      <c r="K442" s="4193"/>
      <c r="L442" s="4193"/>
      <c r="M442" s="4193"/>
      <c r="N442" s="4196"/>
      <c r="O442" s="1201"/>
      <c r="P442" s="1201"/>
      <c r="Q442" s="1201"/>
    </row>
    <row r="443" spans="1:17">
      <c r="B443" s="4162">
        <v>920</v>
      </c>
      <c r="C443" s="4164">
        <v>1700</v>
      </c>
      <c r="D443" s="4164">
        <v>240</v>
      </c>
      <c r="E443" s="4166">
        <v>85</v>
      </c>
      <c r="F443" s="1201"/>
      <c r="G443" s="1201"/>
      <c r="H443" s="4168" t="s">
        <v>1149</v>
      </c>
      <c r="I443" s="4169"/>
      <c r="J443" s="4169"/>
      <c r="K443" s="4169"/>
      <c r="L443" s="4169"/>
      <c r="M443" s="4169"/>
      <c r="N443" s="4170"/>
      <c r="O443" s="1201"/>
      <c r="P443" s="1201"/>
      <c r="Q443" s="1201"/>
    </row>
    <row r="444" spans="1:17">
      <c r="B444" s="4163"/>
      <c r="C444" s="4165"/>
      <c r="D444" s="4165"/>
      <c r="E444" s="4167"/>
      <c r="F444" s="1201"/>
      <c r="G444" s="1201"/>
      <c r="H444" s="4171">
        <f t="shared" ref="H444:M444" si="3">ROUNDUP(H441,2)</f>
        <v>2.13</v>
      </c>
      <c r="I444" s="4172">
        <f t="shared" si="3"/>
        <v>17.680000000000003</v>
      </c>
      <c r="J444" s="4172">
        <f t="shared" si="3"/>
        <v>1.95</v>
      </c>
      <c r="K444" s="4172">
        <f t="shared" si="3"/>
        <v>0</v>
      </c>
      <c r="L444" s="4172">
        <f t="shared" si="3"/>
        <v>0.18000000000000002</v>
      </c>
      <c r="M444" s="4172">
        <f t="shared" si="3"/>
        <v>0.09</v>
      </c>
      <c r="N444" s="4173">
        <f>SUM(H444:M444)</f>
        <v>22.03</v>
      </c>
      <c r="O444" s="1201"/>
      <c r="P444" s="1201"/>
      <c r="Q444" s="1201"/>
    </row>
    <row r="445" spans="1:17">
      <c r="B445" s="4174" t="s">
        <v>1150</v>
      </c>
      <c r="C445" s="4176">
        <f>SUM(B443:E443)</f>
        <v>2945</v>
      </c>
      <c r="D445" s="4178" t="s">
        <v>1151</v>
      </c>
      <c r="E445" s="4180">
        <f>IF(E438=0,0,E438/D440)</f>
        <v>1907.0833333333335</v>
      </c>
      <c r="F445" s="1201"/>
      <c r="G445" s="1201"/>
      <c r="H445" s="4171"/>
      <c r="I445" s="4172"/>
      <c r="J445" s="4172"/>
      <c r="K445" s="4172"/>
      <c r="L445" s="4172"/>
      <c r="M445" s="4172"/>
      <c r="N445" s="4173"/>
      <c r="O445" s="1201"/>
      <c r="P445" s="1201"/>
      <c r="Q445" s="1201"/>
    </row>
    <row r="446" spans="1:17" ht="15.75" thickBot="1">
      <c r="B446" s="4175"/>
      <c r="C446" s="4177"/>
      <c r="D446" s="4179"/>
      <c r="E446" s="4181"/>
      <c r="F446" s="1201"/>
      <c r="G446" s="1201"/>
      <c r="H446" s="4182" t="s">
        <v>1152</v>
      </c>
      <c r="I446" s="4183"/>
      <c r="J446" s="4183"/>
      <c r="K446" s="4183"/>
      <c r="L446" s="4183"/>
      <c r="M446" s="4183"/>
      <c r="N446" s="4184"/>
      <c r="O446" s="1201"/>
      <c r="P446" s="1201"/>
      <c r="Q446" s="1201"/>
    </row>
    <row r="447" spans="1:17" ht="15.75" thickBot="1">
      <c r="B447" s="4147" t="s">
        <v>1152</v>
      </c>
      <c r="C447" s="4148"/>
      <c r="D447" s="4148"/>
      <c r="E447" s="4149"/>
      <c r="F447" s="1201"/>
      <c r="G447" s="1201"/>
      <c r="H447" s="1201"/>
      <c r="I447" s="1985"/>
      <c r="J447" s="1985"/>
      <c r="K447" s="1985"/>
      <c r="L447" s="1985"/>
      <c r="M447" s="1201"/>
      <c r="N447" s="1201"/>
      <c r="O447" s="1201"/>
      <c r="P447" s="1201"/>
      <c r="Q447" s="1201"/>
    </row>
    <row r="448" spans="1:17" ht="15.75" thickBot="1">
      <c r="A448" s="1201"/>
      <c r="B448" s="2038"/>
      <c r="C448" s="2038"/>
      <c r="D448" s="2038"/>
      <c r="E448" s="2038"/>
      <c r="F448" s="2038"/>
      <c r="G448" s="2038"/>
      <c r="H448" s="1985"/>
      <c r="I448" s="2039"/>
      <c r="J448" s="2039"/>
      <c r="K448" s="2041"/>
      <c r="L448" s="1985"/>
      <c r="M448" s="1985"/>
      <c r="N448" s="1985"/>
      <c r="O448" s="1985"/>
      <c r="P448" s="1985"/>
      <c r="Q448" s="1985"/>
    </row>
    <row r="449" spans="1:17" ht="15" customHeight="1">
      <c r="B449" s="4150" t="s">
        <v>1153</v>
      </c>
      <c r="C449" s="4151"/>
      <c r="D449" s="4151"/>
      <c r="E449" s="4151"/>
      <c r="F449" s="4151"/>
      <c r="G449" s="4151"/>
      <c r="H449" s="4151"/>
      <c r="I449" s="4151"/>
      <c r="J449" s="4151"/>
      <c r="K449" s="4151"/>
      <c r="L449" s="4151"/>
      <c r="M449" s="4151"/>
      <c r="N449" s="4151"/>
      <c r="O449" s="4151"/>
      <c r="P449" s="4151"/>
      <c r="Q449" s="4152"/>
    </row>
    <row r="450" spans="1:17" ht="15.75" customHeight="1" thickBot="1">
      <c r="B450" s="4153"/>
      <c r="C450" s="4154"/>
      <c r="D450" s="4154"/>
      <c r="E450" s="4154"/>
      <c r="F450" s="4154"/>
      <c r="G450" s="4154"/>
      <c r="H450" s="4154"/>
      <c r="I450" s="4154"/>
      <c r="J450" s="4154"/>
      <c r="K450" s="4154"/>
      <c r="L450" s="4154"/>
      <c r="M450" s="4154"/>
      <c r="N450" s="4154"/>
      <c r="O450" s="4154"/>
      <c r="P450" s="4154"/>
      <c r="Q450" s="4155"/>
    </row>
    <row r="451" spans="1:17">
      <c r="A451" s="1201"/>
      <c r="B451" s="1201"/>
      <c r="C451" s="1201"/>
      <c r="D451" s="1201"/>
      <c r="E451" s="1201"/>
      <c r="F451" s="1201"/>
      <c r="G451" s="1201"/>
      <c r="H451" s="1201"/>
      <c r="I451" s="1201"/>
      <c r="J451" s="1201"/>
      <c r="K451" s="1201"/>
      <c r="L451" s="1201"/>
      <c r="M451" s="1201"/>
      <c r="N451" s="1201"/>
      <c r="O451" s="1201"/>
      <c r="P451" s="1201"/>
      <c r="Q451" s="1201"/>
    </row>
    <row r="452" spans="1:17" ht="15.75" thickBot="1">
      <c r="A452" s="2096" t="s">
        <v>909</v>
      </c>
      <c r="B452" s="4120" t="str">
        <f>B453</f>
        <v>Gélatine alimentaire</v>
      </c>
      <c r="C452" s="4120"/>
      <c r="D452" s="4120"/>
      <c r="E452" s="4120"/>
      <c r="F452" s="4120"/>
      <c r="G452" s="4120"/>
      <c r="H452" s="4120"/>
      <c r="I452" s="4120"/>
      <c r="J452" s="4120"/>
      <c r="K452" s="4120"/>
      <c r="L452" s="4120"/>
      <c r="M452" s="4120"/>
      <c r="N452" s="4120"/>
      <c r="O452" s="1201"/>
      <c r="P452" s="1201"/>
      <c r="Q452" s="1201"/>
    </row>
    <row r="453" spans="1:17" ht="15" customHeight="1">
      <c r="A453" s="4121" t="str">
        <f>B453</f>
        <v>Gélatine alimentaire</v>
      </c>
      <c r="B453" s="4122" t="s">
        <v>1154</v>
      </c>
      <c r="C453" s="4123"/>
      <c r="D453" s="4123"/>
      <c r="E453" s="4123"/>
      <c r="F453" s="4123"/>
      <c r="G453" s="4123"/>
      <c r="H453" s="4123"/>
      <c r="I453" s="4123"/>
      <c r="J453" s="4123"/>
      <c r="K453" s="4123"/>
      <c r="L453" s="4123"/>
      <c r="M453" s="4123"/>
      <c r="N453" s="4124"/>
      <c r="O453" s="1201"/>
      <c r="P453" s="1201"/>
      <c r="Q453" s="1201"/>
    </row>
    <row r="454" spans="1:17" ht="15" customHeight="1">
      <c r="A454" s="4121"/>
      <c r="B454" s="4125"/>
      <c r="C454" s="4126"/>
      <c r="D454" s="4126"/>
      <c r="E454" s="4126"/>
      <c r="F454" s="4126"/>
      <c r="G454" s="4126"/>
      <c r="H454" s="4126"/>
      <c r="I454" s="4126"/>
      <c r="J454" s="4126"/>
      <c r="K454" s="4126"/>
      <c r="L454" s="4126"/>
      <c r="M454" s="4126"/>
      <c r="N454" s="4127"/>
      <c r="O454" s="1201"/>
      <c r="P454" s="1201"/>
      <c r="Q454" s="1201"/>
    </row>
    <row r="455" spans="1:17" ht="15" customHeight="1">
      <c r="A455" s="4121"/>
      <c r="B455" s="4128" t="s">
        <v>1155</v>
      </c>
      <c r="C455" s="4129"/>
      <c r="D455" s="4129"/>
      <c r="E455" s="4129"/>
      <c r="F455" s="4129"/>
      <c r="G455" s="4129"/>
      <c r="H455" s="4129"/>
      <c r="I455" s="4129"/>
      <c r="J455" s="4129"/>
      <c r="K455" s="4129"/>
      <c r="L455" s="4129"/>
      <c r="M455" s="4129"/>
      <c r="N455" s="4130"/>
      <c r="O455" s="1201"/>
      <c r="P455" s="1201"/>
      <c r="Q455" s="1201"/>
    </row>
    <row r="456" spans="1:17" ht="15.75" customHeight="1">
      <c r="A456" s="4121"/>
      <c r="B456" s="4131"/>
      <c r="C456" s="4132"/>
      <c r="D456" s="4132"/>
      <c r="E456" s="4132"/>
      <c r="F456" s="4132"/>
      <c r="G456" s="4132"/>
      <c r="H456" s="4132"/>
      <c r="I456" s="4132"/>
      <c r="J456" s="4132"/>
      <c r="K456" s="4132"/>
      <c r="L456" s="4132"/>
      <c r="M456" s="4132"/>
      <c r="N456" s="4133"/>
      <c r="O456" s="1201"/>
      <c r="P456" s="1201"/>
      <c r="Q456" s="1201"/>
    </row>
    <row r="457" spans="1:17" ht="15.75" customHeight="1">
      <c r="A457" s="4121"/>
      <c r="B457" s="223"/>
      <c r="C457" s="224"/>
      <c r="D457" s="224"/>
      <c r="E457" s="224"/>
      <c r="F457" s="224"/>
      <c r="G457" s="224"/>
      <c r="H457" s="224"/>
      <c r="I457" s="224"/>
      <c r="J457" s="224"/>
      <c r="K457" s="224"/>
      <c r="L457" s="224"/>
      <c r="M457" s="224"/>
      <c r="N457" s="225" t="s">
        <v>1156</v>
      </c>
      <c r="O457" s="1201"/>
      <c r="P457" s="1201"/>
      <c r="Q457" s="1201"/>
    </row>
    <row r="458" spans="1:17" ht="16.5" customHeight="1">
      <c r="A458" s="4121"/>
      <c r="B458" s="223"/>
      <c r="C458" s="2168" t="s">
        <v>1157</v>
      </c>
      <c r="D458" s="224"/>
      <c r="E458" s="224"/>
      <c r="F458" s="224"/>
      <c r="G458" s="224"/>
      <c r="H458" s="224"/>
      <c r="I458" s="224"/>
      <c r="J458" s="224"/>
      <c r="K458" s="224"/>
      <c r="L458" s="224"/>
      <c r="M458" s="224"/>
      <c r="N458" s="226"/>
      <c r="O458" s="1201"/>
      <c r="P458" s="1201"/>
      <c r="Q458" s="1201"/>
    </row>
    <row r="459" spans="1:17" ht="15.75" customHeight="1">
      <c r="A459" s="4121"/>
      <c r="B459" s="223"/>
      <c r="C459" s="2168" t="s">
        <v>1158</v>
      </c>
      <c r="D459" s="224"/>
      <c r="E459" s="224"/>
      <c r="F459" s="224"/>
      <c r="G459" s="224"/>
      <c r="H459" s="224"/>
      <c r="I459" s="224"/>
      <c r="J459" s="224"/>
      <c r="K459" s="224"/>
      <c r="L459" s="224"/>
      <c r="M459" s="224"/>
      <c r="N459" s="226"/>
      <c r="O459" s="1201"/>
      <c r="P459" s="1201"/>
      <c r="Q459" s="1201"/>
    </row>
    <row r="460" spans="1:17" ht="15.75">
      <c r="A460" s="4121"/>
      <c r="B460" s="223"/>
      <c r="C460" s="2168" t="s">
        <v>1159</v>
      </c>
      <c r="D460" s="224"/>
      <c r="E460" s="224"/>
      <c r="F460" s="224"/>
      <c r="G460" s="224"/>
      <c r="H460" s="224"/>
      <c r="I460" s="224"/>
      <c r="J460" s="224"/>
      <c r="K460" s="224"/>
      <c r="L460" s="224"/>
      <c r="M460" s="224"/>
      <c r="N460" s="226"/>
      <c r="O460" s="1201"/>
      <c r="P460" s="1201"/>
      <c r="Q460" s="1201"/>
    </row>
    <row r="461" spans="1:17" ht="15.75" customHeight="1">
      <c r="A461" s="4121"/>
      <c r="B461" s="223"/>
      <c r="C461" s="2168" t="s">
        <v>1160</v>
      </c>
      <c r="D461" s="224"/>
      <c r="E461" s="224"/>
      <c r="F461" s="224"/>
      <c r="G461" s="224"/>
      <c r="H461" s="224"/>
      <c r="I461" s="224"/>
      <c r="J461" s="224"/>
      <c r="K461" s="224"/>
      <c r="L461" s="224"/>
      <c r="M461" s="224"/>
      <c r="N461" s="226"/>
      <c r="O461" s="1201"/>
      <c r="P461" s="1201"/>
      <c r="Q461" s="1201"/>
    </row>
    <row r="462" spans="1:17" ht="15.75">
      <c r="A462" s="4121"/>
      <c r="B462" s="223"/>
      <c r="C462" s="2168" t="s">
        <v>1161</v>
      </c>
      <c r="D462" s="224"/>
      <c r="E462" s="224"/>
      <c r="F462" s="224"/>
      <c r="G462" s="224"/>
      <c r="H462" s="224"/>
      <c r="I462" s="224"/>
      <c r="J462" s="224"/>
      <c r="K462" s="224"/>
      <c r="L462" s="224"/>
      <c r="M462" s="224"/>
      <c r="N462" s="226"/>
      <c r="O462" s="1201"/>
      <c r="P462" s="1201"/>
      <c r="Q462" s="1201"/>
    </row>
    <row r="463" spans="1:17" ht="15.75">
      <c r="A463" s="4121"/>
      <c r="B463" s="223"/>
      <c r="C463" s="2168" t="s">
        <v>1162</v>
      </c>
      <c r="D463" s="224"/>
      <c r="E463" s="224"/>
      <c r="F463" s="224"/>
      <c r="G463" s="224"/>
      <c r="H463" s="224"/>
      <c r="I463" s="224"/>
      <c r="J463" s="224"/>
      <c r="K463" s="224"/>
      <c r="L463" s="224"/>
      <c r="M463" s="224"/>
      <c r="N463" s="226"/>
      <c r="O463" s="1201"/>
      <c r="P463" s="1201"/>
      <c r="Q463" s="1201"/>
    </row>
    <row r="464" spans="1:17" ht="15.75">
      <c r="A464" s="4121"/>
      <c r="B464" s="223"/>
      <c r="C464" s="2168" t="s">
        <v>1163</v>
      </c>
      <c r="D464" s="224"/>
      <c r="E464" s="224"/>
      <c r="F464" s="224"/>
      <c r="G464" s="224"/>
      <c r="H464" s="224"/>
      <c r="I464" s="224"/>
      <c r="J464" s="224"/>
      <c r="K464" s="224"/>
      <c r="L464" s="224"/>
      <c r="M464" s="224"/>
      <c r="N464" s="226"/>
      <c r="O464" s="1201"/>
      <c r="P464" s="1201"/>
      <c r="Q464" s="1201"/>
    </row>
    <row r="465" spans="1:17">
      <c r="A465" s="4121"/>
      <c r="B465" s="223"/>
      <c r="C465" s="224"/>
      <c r="D465" s="224"/>
      <c r="E465" s="224"/>
      <c r="F465" s="224"/>
      <c r="G465" s="224"/>
      <c r="H465" s="224"/>
      <c r="I465" s="224"/>
      <c r="J465" s="224"/>
      <c r="K465" s="224"/>
      <c r="L465" s="224"/>
      <c r="M465" s="224"/>
      <c r="N465" s="226"/>
      <c r="O465" s="1201"/>
      <c r="P465" s="1201"/>
      <c r="Q465" s="1201"/>
    </row>
    <row r="466" spans="1:17">
      <c r="A466" s="4121"/>
      <c r="B466" s="223"/>
      <c r="C466" s="4156" t="s">
        <v>1164</v>
      </c>
      <c r="D466" s="4157"/>
      <c r="E466" s="4157"/>
      <c r="F466" s="4157"/>
      <c r="G466" s="4157"/>
      <c r="H466" s="4157"/>
      <c r="I466" s="4157"/>
      <c r="J466" s="4157"/>
      <c r="K466" s="4157"/>
      <c r="L466" s="4157"/>
      <c r="M466" s="4158"/>
      <c r="N466" s="226"/>
      <c r="O466" s="1201"/>
      <c r="P466" s="1201"/>
      <c r="Q466" s="1201"/>
    </row>
    <row r="467" spans="1:17">
      <c r="A467" s="4121"/>
      <c r="B467" s="223"/>
      <c r="C467" s="2169"/>
      <c r="D467" s="2170"/>
      <c r="E467" s="1502"/>
      <c r="F467" s="227" t="s">
        <v>150</v>
      </c>
      <c r="G467" s="2170"/>
      <c r="H467" s="4159" t="s">
        <v>1165</v>
      </c>
      <c r="I467" s="4159"/>
      <c r="J467" s="4159"/>
      <c r="K467" s="4159"/>
      <c r="L467" s="4159"/>
      <c r="M467" s="4160"/>
      <c r="N467" s="226"/>
      <c r="O467" s="1201"/>
      <c r="P467" s="1201"/>
      <c r="Q467" s="1201"/>
    </row>
    <row r="468" spans="1:17" ht="15.75">
      <c r="A468" s="4121"/>
      <c r="B468" s="223"/>
      <c r="C468" s="228" t="s">
        <v>152</v>
      </c>
      <c r="D468" s="4161" t="s">
        <v>1166</v>
      </c>
      <c r="E468" s="4161"/>
      <c r="F468" s="229">
        <v>2</v>
      </c>
      <c r="G468" s="1845"/>
      <c r="H468" s="2171" t="s">
        <v>1167</v>
      </c>
      <c r="I468" s="1845"/>
      <c r="J468" s="1845"/>
      <c r="K468" s="230"/>
      <c r="L468" s="230"/>
      <c r="M468" s="231"/>
      <c r="N468" s="226"/>
      <c r="O468" s="1201"/>
      <c r="P468" s="1201"/>
      <c r="Q468" s="1201"/>
    </row>
    <row r="469" spans="1:17" ht="15.75">
      <c r="A469" s="4121"/>
      <c r="B469" s="223"/>
      <c r="C469" s="232">
        <v>10</v>
      </c>
      <c r="D469" s="233" t="s">
        <v>1168</v>
      </c>
      <c r="E469" s="1502"/>
      <c r="F469" s="234">
        <f>C469*F468</f>
        <v>20</v>
      </c>
      <c r="G469" s="2172"/>
      <c r="H469" s="2173" t="s">
        <v>1169</v>
      </c>
      <c r="I469" s="1845"/>
      <c r="J469" s="1845"/>
      <c r="K469" s="230"/>
      <c r="L469" s="230"/>
      <c r="M469" s="231"/>
      <c r="N469" s="226"/>
      <c r="O469" s="1201"/>
      <c r="P469" s="1201"/>
      <c r="Q469" s="1201"/>
    </row>
    <row r="470" spans="1:17" ht="15.75">
      <c r="A470" s="4121"/>
      <c r="B470" s="223"/>
      <c r="C470" s="236"/>
      <c r="D470" s="237"/>
      <c r="E470" s="230"/>
      <c r="F470" s="230"/>
      <c r="G470" s="230"/>
      <c r="H470" s="2173" t="s">
        <v>1170</v>
      </c>
      <c r="I470" s="2174"/>
      <c r="J470" s="1845"/>
      <c r="K470" s="230"/>
      <c r="L470" s="230"/>
      <c r="M470" s="231"/>
      <c r="N470" s="226"/>
      <c r="O470" s="1201"/>
      <c r="P470" s="1201"/>
      <c r="Q470" s="1201"/>
    </row>
    <row r="471" spans="1:17" ht="15.75">
      <c r="A471" s="4121"/>
      <c r="B471" s="223"/>
      <c r="C471" s="228"/>
      <c r="D471" s="238"/>
      <c r="E471" s="230"/>
      <c r="F471" s="230"/>
      <c r="G471" s="230"/>
      <c r="H471" s="2171" t="s">
        <v>1171</v>
      </c>
      <c r="I471" s="1845"/>
      <c r="J471" s="1845"/>
      <c r="K471" s="230"/>
      <c r="L471" s="230"/>
      <c r="M471" s="231"/>
      <c r="N471" s="226"/>
      <c r="O471" s="1201"/>
      <c r="P471" s="1201"/>
      <c r="Q471" s="1201"/>
    </row>
    <row r="472" spans="1:17" ht="15.75">
      <c r="A472" s="4121"/>
      <c r="B472" s="223"/>
      <c r="C472" s="239" t="s">
        <v>150</v>
      </c>
      <c r="D472" s="240" t="s">
        <v>1172</v>
      </c>
      <c r="E472" s="241"/>
      <c r="F472" s="241"/>
      <c r="G472" s="241"/>
      <c r="H472" s="241"/>
      <c r="I472" s="241"/>
      <c r="J472" s="241"/>
      <c r="K472" s="241"/>
      <c r="L472" s="241"/>
      <c r="M472" s="242"/>
      <c r="N472" s="226"/>
      <c r="O472" s="1201"/>
      <c r="P472" s="1201"/>
      <c r="Q472" s="1201"/>
    </row>
    <row r="473" spans="1:17" ht="15.75">
      <c r="A473" s="4121"/>
      <c r="B473" s="223"/>
      <c r="C473" s="243" t="s">
        <v>152</v>
      </c>
      <c r="D473" s="244" t="s">
        <v>1173</v>
      </c>
      <c r="E473" s="245"/>
      <c r="F473" s="245"/>
      <c r="G473" s="245"/>
      <c r="H473" s="245"/>
      <c r="I473" s="245"/>
      <c r="J473" s="245"/>
      <c r="K473" s="245"/>
      <c r="L473" s="245"/>
      <c r="M473" s="246"/>
      <c r="N473" s="226"/>
      <c r="O473" s="1201"/>
      <c r="P473" s="1201"/>
      <c r="Q473" s="1201"/>
    </row>
    <row r="474" spans="1:17">
      <c r="A474" s="4121"/>
      <c r="B474" s="247" t="str">
        <f ca="1">CELL("nomfichier",A470)</f>
        <v>E:\0-UPRT\1-UPRT.FR-SITE-WEB\ff-fiches-fabrications\ff-fiches-fabrication-maj-08-2020\[ff-8-restauration-Christian.Frechede.xlsx]Formats-formules-pourcentages</v>
      </c>
      <c r="C474" s="224"/>
      <c r="D474" s="224"/>
      <c r="E474" s="224"/>
      <c r="F474" s="224"/>
      <c r="G474" s="224"/>
      <c r="H474" s="224"/>
      <c r="I474" s="224"/>
      <c r="J474" s="224"/>
      <c r="K474" s="224"/>
      <c r="L474" s="224"/>
      <c r="M474" s="224"/>
      <c r="N474" s="226"/>
      <c r="O474" s="1201"/>
      <c r="P474" s="1201"/>
      <c r="Q474" s="1201"/>
    </row>
    <row r="475" spans="1:17" ht="15" customHeight="1">
      <c r="A475" s="4121"/>
      <c r="B475" s="4141" t="s">
        <v>1174</v>
      </c>
      <c r="C475" s="4142"/>
      <c r="D475" s="4142"/>
      <c r="E475" s="4142"/>
      <c r="F475" s="4142"/>
      <c r="G475" s="4142"/>
      <c r="H475" s="4142"/>
      <c r="I475" s="4142"/>
      <c r="J475" s="4142"/>
      <c r="K475" s="4142"/>
      <c r="L475" s="4142"/>
      <c r="M475" s="4142"/>
      <c r="N475" s="4143"/>
      <c r="O475" s="1201"/>
      <c r="P475" s="1201"/>
      <c r="Q475" s="1201"/>
    </row>
    <row r="476" spans="1:17" ht="15.75" thickBot="1">
      <c r="A476" s="4121"/>
      <c r="B476" s="4144"/>
      <c r="C476" s="4145"/>
      <c r="D476" s="4145"/>
      <c r="E476" s="4145"/>
      <c r="F476" s="4145"/>
      <c r="G476" s="4145"/>
      <c r="H476" s="4145"/>
      <c r="I476" s="4145"/>
      <c r="J476" s="4145"/>
      <c r="K476" s="4145"/>
      <c r="L476" s="4145"/>
      <c r="M476" s="4145"/>
      <c r="N476" s="4146"/>
      <c r="O476" s="1201"/>
      <c r="P476" s="1201"/>
      <c r="Q476" s="1201"/>
    </row>
    <row r="477" spans="1:17">
      <c r="B477" s="1201"/>
      <c r="C477" s="1201"/>
      <c r="D477" s="1201"/>
      <c r="E477" s="1201"/>
      <c r="F477" s="1201"/>
      <c r="G477" s="1201"/>
      <c r="H477" s="1201"/>
      <c r="I477" s="1201"/>
      <c r="J477" s="1201"/>
      <c r="K477" s="1201"/>
      <c r="L477" s="1201"/>
      <c r="M477" s="1201"/>
      <c r="N477" s="1201"/>
      <c r="O477" s="1201"/>
      <c r="P477" s="1201"/>
      <c r="Q477" s="1201"/>
    </row>
    <row r="478" spans="1:17" ht="15.75" thickBot="1">
      <c r="A478" s="2096" t="s">
        <v>909</v>
      </c>
      <c r="B478" s="4120" t="str">
        <f>B479</f>
        <v>ŒUFS poids et %</v>
      </c>
      <c r="C478" s="4120"/>
      <c r="D478" s="4120"/>
      <c r="E478" s="4120"/>
      <c r="F478" s="4120"/>
      <c r="G478" s="4120"/>
      <c r="H478" s="4120"/>
      <c r="I478" s="4120"/>
      <c r="J478" s="4120"/>
      <c r="K478" s="4120"/>
      <c r="L478" s="4120"/>
      <c r="M478" s="4120"/>
      <c r="N478" s="4120"/>
      <c r="O478" s="1201"/>
      <c r="P478" s="1201"/>
      <c r="Q478" s="1201"/>
    </row>
    <row r="479" spans="1:17" ht="15" customHeight="1">
      <c r="A479" s="4121" t="str">
        <f>B479</f>
        <v>ŒUFS poids et %</v>
      </c>
      <c r="B479" s="4122" t="s">
        <v>1175</v>
      </c>
      <c r="C479" s="4123"/>
      <c r="D479" s="4123"/>
      <c r="E479" s="4123"/>
      <c r="F479" s="4123"/>
      <c r="G479" s="4123"/>
      <c r="H479" s="4123"/>
      <c r="I479" s="4123"/>
      <c r="J479" s="4123"/>
      <c r="K479" s="4123"/>
      <c r="L479" s="4123"/>
      <c r="M479" s="4123"/>
      <c r="N479" s="4124"/>
      <c r="O479" s="1201"/>
      <c r="P479" s="1201"/>
      <c r="Q479" s="1201"/>
    </row>
    <row r="480" spans="1:17" ht="15" customHeight="1">
      <c r="A480" s="4121"/>
      <c r="B480" s="4125"/>
      <c r="C480" s="4126"/>
      <c r="D480" s="4126"/>
      <c r="E480" s="4126"/>
      <c r="F480" s="4126"/>
      <c r="G480" s="4126"/>
      <c r="H480" s="4126"/>
      <c r="I480" s="4126"/>
      <c r="J480" s="4126"/>
      <c r="K480" s="4126"/>
      <c r="L480" s="4126"/>
      <c r="M480" s="4126"/>
      <c r="N480" s="4127"/>
      <c r="O480" s="1201"/>
      <c r="P480" s="1201"/>
      <c r="Q480" s="1201"/>
    </row>
    <row r="481" spans="1:17" ht="15" customHeight="1">
      <c r="A481" s="4121"/>
      <c r="B481" s="4128" t="s">
        <v>1176</v>
      </c>
      <c r="C481" s="4129"/>
      <c r="D481" s="4129"/>
      <c r="E481" s="4129"/>
      <c r="F481" s="4129"/>
      <c r="G481" s="4129"/>
      <c r="H481" s="4129"/>
      <c r="I481" s="4129"/>
      <c r="J481" s="4129"/>
      <c r="K481" s="4129"/>
      <c r="L481" s="4129"/>
      <c r="M481" s="4129"/>
      <c r="N481" s="4130"/>
      <c r="O481" s="1201"/>
      <c r="P481" s="1201"/>
      <c r="Q481" s="1201"/>
    </row>
    <row r="482" spans="1:17" ht="15.75" customHeight="1">
      <c r="A482" s="4121"/>
      <c r="B482" s="4131"/>
      <c r="C482" s="4132"/>
      <c r="D482" s="4132"/>
      <c r="E482" s="4132"/>
      <c r="F482" s="4132"/>
      <c r="G482" s="4132"/>
      <c r="H482" s="4132"/>
      <c r="I482" s="4132"/>
      <c r="J482" s="4132"/>
      <c r="K482" s="4132"/>
      <c r="L482" s="4132"/>
      <c r="M482" s="4132"/>
      <c r="N482" s="4133"/>
      <c r="O482" s="1201"/>
      <c r="P482" s="1201"/>
      <c r="Q482" s="1201"/>
    </row>
    <row r="483" spans="1:17" ht="15" customHeight="1">
      <c r="A483" s="4121"/>
      <c r="B483" s="4134" t="s">
        <v>1175</v>
      </c>
      <c r="C483" s="4135"/>
      <c r="D483" s="4135"/>
      <c r="E483" s="4135"/>
      <c r="F483" s="4135"/>
      <c r="G483" s="4135"/>
      <c r="H483" s="4135"/>
      <c r="I483" s="4135"/>
      <c r="J483" s="4135"/>
      <c r="K483" s="4135"/>
      <c r="L483" s="4135"/>
      <c r="M483" s="4135"/>
      <c r="N483" s="4136"/>
      <c r="O483" s="1201"/>
      <c r="P483" s="1201"/>
      <c r="Q483" s="1201"/>
    </row>
    <row r="484" spans="1:17" ht="15.75" customHeight="1">
      <c r="A484" s="4121"/>
      <c r="B484" s="248" t="s">
        <v>152</v>
      </c>
      <c r="C484" s="2175"/>
      <c r="D484" s="249" t="s">
        <v>150</v>
      </c>
      <c r="E484" s="2175"/>
      <c r="F484" s="2175"/>
      <c r="G484" s="250" t="s">
        <v>152</v>
      </c>
      <c r="H484" s="2175"/>
      <c r="I484" s="249" t="s">
        <v>150</v>
      </c>
      <c r="J484" s="2175"/>
      <c r="K484" s="250" t="s">
        <v>152</v>
      </c>
      <c r="L484" s="2175"/>
      <c r="M484" s="249" t="s">
        <v>150</v>
      </c>
      <c r="N484" s="2176"/>
      <c r="O484" s="1201"/>
      <c r="P484" s="1201"/>
      <c r="Q484" s="1201"/>
    </row>
    <row r="485" spans="1:17" ht="18.75" customHeight="1">
      <c r="A485" s="4121"/>
      <c r="B485" s="4137" t="s">
        <v>1177</v>
      </c>
      <c r="C485" s="4138"/>
      <c r="D485" s="251">
        <v>50</v>
      </c>
      <c r="E485" s="2177">
        <v>1</v>
      </c>
      <c r="F485" s="2178"/>
      <c r="G485" s="4139" t="s">
        <v>1178</v>
      </c>
      <c r="H485" s="4140"/>
      <c r="I485" s="251">
        <v>20</v>
      </c>
      <c r="J485" s="2179">
        <f>I485/D485</f>
        <v>0.4</v>
      </c>
      <c r="K485" s="4139" t="s">
        <v>1179</v>
      </c>
      <c r="L485" s="4140"/>
      <c r="M485" s="251">
        <v>30</v>
      </c>
      <c r="N485" s="2180">
        <f>M485/D485</f>
        <v>0.6</v>
      </c>
      <c r="O485" s="1201"/>
      <c r="P485" s="1201"/>
      <c r="Q485" s="1201"/>
    </row>
    <row r="486" spans="1:17" ht="15.75">
      <c r="A486" s="4121"/>
      <c r="B486" s="252">
        <v>4</v>
      </c>
      <c r="C486" s="1077" t="s">
        <v>1180</v>
      </c>
      <c r="D486" s="1077">
        <f>B486*D485</f>
        <v>200</v>
      </c>
      <c r="E486" s="233" t="s">
        <v>1061</v>
      </c>
      <c r="F486" s="1502"/>
      <c r="G486" s="252">
        <v>10</v>
      </c>
      <c r="H486" s="1077" t="s">
        <v>1181</v>
      </c>
      <c r="I486" s="1077">
        <f>G486*I485</f>
        <v>200</v>
      </c>
      <c r="J486" s="233" t="s">
        <v>1061</v>
      </c>
      <c r="K486" s="252">
        <v>12</v>
      </c>
      <c r="L486" s="1077" t="s">
        <v>1182</v>
      </c>
      <c r="M486" s="1077">
        <f>K486*M485</f>
        <v>360</v>
      </c>
      <c r="N486" s="253" t="s">
        <v>1061</v>
      </c>
      <c r="O486" s="1201"/>
      <c r="P486" s="1201"/>
      <c r="Q486" s="1201"/>
    </row>
    <row r="487" spans="1:17" ht="15.75" customHeight="1">
      <c r="A487" s="4121"/>
      <c r="B487" s="254" t="s">
        <v>975</v>
      </c>
      <c r="C487" s="255" t="s">
        <v>1183</v>
      </c>
      <c r="D487" s="255" t="s">
        <v>1184</v>
      </c>
      <c r="E487" s="255" t="s">
        <v>981</v>
      </c>
      <c r="F487" s="1502"/>
      <c r="G487" s="254" t="s">
        <v>975</v>
      </c>
      <c r="H487" s="255" t="s">
        <v>1183</v>
      </c>
      <c r="I487" s="255" t="s">
        <v>1184</v>
      </c>
      <c r="J487" s="255" t="s">
        <v>981</v>
      </c>
      <c r="K487" s="254" t="s">
        <v>975</v>
      </c>
      <c r="L487" s="255" t="s">
        <v>1183</v>
      </c>
      <c r="M487" s="255" t="s">
        <v>1184</v>
      </c>
      <c r="N487" s="256" t="s">
        <v>981</v>
      </c>
      <c r="O487" s="1201"/>
      <c r="P487" s="1201"/>
      <c r="Q487" s="1201"/>
    </row>
    <row r="488" spans="1:17">
      <c r="A488" s="4121"/>
      <c r="B488" s="257">
        <f>D486</f>
        <v>200</v>
      </c>
      <c r="C488" s="258">
        <f>B488*C489</f>
        <v>24.489795918367346</v>
      </c>
      <c r="D488" s="258">
        <f>B488*D489</f>
        <v>22.448979591836736</v>
      </c>
      <c r="E488" s="258">
        <f>B488*E489</f>
        <v>153.0612244897959</v>
      </c>
      <c r="F488" s="1502"/>
      <c r="G488" s="257">
        <f>I486</f>
        <v>200</v>
      </c>
      <c r="H488" s="259">
        <f>G488*H489</f>
        <v>34.4</v>
      </c>
      <c r="I488" s="259">
        <f>G488*I489</f>
        <v>64.600000000000009</v>
      </c>
      <c r="J488" s="259">
        <f>G488*J489</f>
        <v>101</v>
      </c>
      <c r="K488" s="257">
        <f>M486</f>
        <v>360</v>
      </c>
      <c r="L488" s="258">
        <f>K488*L489</f>
        <v>39.96</v>
      </c>
      <c r="M488" s="258">
        <f>K488*M489</f>
        <v>0</v>
      </c>
      <c r="N488" s="260">
        <f>K488*N489</f>
        <v>320</v>
      </c>
      <c r="O488" s="1201"/>
      <c r="P488" s="1201"/>
      <c r="Q488" s="1201"/>
    </row>
    <row r="489" spans="1:17">
      <c r="A489" s="4121"/>
      <c r="B489" s="261">
        <f>C489+D489+E489</f>
        <v>1</v>
      </c>
      <c r="C489" s="262">
        <v>0.12244897959183673</v>
      </c>
      <c r="D489" s="262">
        <v>0.11224489795918367</v>
      </c>
      <c r="E489" s="262">
        <v>0.76530612244897955</v>
      </c>
      <c r="F489" s="1502"/>
      <c r="G489" s="261">
        <f>H489+I489+J489</f>
        <v>1</v>
      </c>
      <c r="H489" s="262">
        <v>0.17199999999999999</v>
      </c>
      <c r="I489" s="262">
        <v>0.32300000000000001</v>
      </c>
      <c r="J489" s="262">
        <v>0.505</v>
      </c>
      <c r="K489" s="261">
        <f>L489+M489+N489</f>
        <v>0.99988888888888894</v>
      </c>
      <c r="L489" s="262">
        <v>0.111</v>
      </c>
      <c r="M489" s="263">
        <v>0</v>
      </c>
      <c r="N489" s="264">
        <v>0.88888888888888895</v>
      </c>
      <c r="O489" s="1201"/>
      <c r="P489" s="1201"/>
      <c r="Q489" s="1201"/>
    </row>
    <row r="490" spans="1:17">
      <c r="A490" s="4121"/>
      <c r="B490" s="265"/>
      <c r="C490" s="249" t="s">
        <v>150</v>
      </c>
      <c r="D490" s="249" t="s">
        <v>150</v>
      </c>
      <c r="E490" s="249" t="s">
        <v>150</v>
      </c>
      <c r="F490" s="2181"/>
      <c r="G490" s="265"/>
      <c r="H490" s="249" t="s">
        <v>150</v>
      </c>
      <c r="I490" s="249" t="s">
        <v>150</v>
      </c>
      <c r="J490" s="249" t="s">
        <v>150</v>
      </c>
      <c r="K490" s="265"/>
      <c r="L490" s="249" t="s">
        <v>150</v>
      </c>
      <c r="M490" s="266"/>
      <c r="N490" s="267" t="s">
        <v>150</v>
      </c>
      <c r="O490" s="1201"/>
      <c r="P490" s="1201"/>
      <c r="Q490" s="1201"/>
    </row>
    <row r="491" spans="1:17">
      <c r="A491" s="4121"/>
      <c r="B491" s="268" t="s">
        <v>150</v>
      </c>
      <c r="C491" s="269" t="s">
        <v>1185</v>
      </c>
      <c r="D491" s="270"/>
      <c r="E491" s="270"/>
      <c r="F491" s="270"/>
      <c r="G491" s="270"/>
      <c r="H491" s="270"/>
      <c r="I491" s="270"/>
      <c r="J491" s="270"/>
      <c r="K491" s="270"/>
      <c r="L491" s="270"/>
      <c r="M491" s="270"/>
      <c r="N491" s="271"/>
      <c r="O491" s="1201"/>
      <c r="P491" s="1201"/>
      <c r="Q491" s="1201"/>
    </row>
    <row r="492" spans="1:17" ht="15.75">
      <c r="A492" s="4121"/>
      <c r="B492" s="272" t="s">
        <v>152</v>
      </c>
      <c r="C492" s="273" t="s">
        <v>1186</v>
      </c>
      <c r="D492" s="270"/>
      <c r="E492" s="270"/>
      <c r="F492" s="270"/>
      <c r="G492" s="270"/>
      <c r="H492" s="270"/>
      <c r="I492" s="270"/>
      <c r="J492" s="270"/>
      <c r="K492" s="270"/>
      <c r="L492" s="270"/>
      <c r="M492" s="224"/>
      <c r="N492" s="274" t="s">
        <v>1156</v>
      </c>
      <c r="O492" s="1201"/>
      <c r="P492" s="1201"/>
      <c r="Q492" s="1201"/>
    </row>
    <row r="493" spans="1:17">
      <c r="A493" s="4121"/>
      <c r="B493" s="275"/>
      <c r="C493" s="227"/>
      <c r="D493" s="2182" t="s">
        <v>1187</v>
      </c>
      <c r="E493" s="2183" t="s">
        <v>1188</v>
      </c>
      <c r="F493" s="1502"/>
      <c r="G493" s="263"/>
      <c r="H493" s="227"/>
      <c r="I493" s="227"/>
      <c r="J493" s="227"/>
      <c r="K493" s="270"/>
      <c r="L493" s="270"/>
      <c r="M493" s="224"/>
      <c r="N493" s="271"/>
      <c r="O493" s="1201"/>
      <c r="P493" s="1201"/>
      <c r="Q493" s="1201"/>
    </row>
    <row r="494" spans="1:17" ht="15" customHeight="1">
      <c r="A494" s="4121"/>
      <c r="B494" s="4141" t="s">
        <v>1174</v>
      </c>
      <c r="C494" s="4142"/>
      <c r="D494" s="4142"/>
      <c r="E494" s="4142"/>
      <c r="F494" s="4142"/>
      <c r="G494" s="4142"/>
      <c r="H494" s="4142"/>
      <c r="I494" s="4142"/>
      <c r="J494" s="4142"/>
      <c r="K494" s="4142"/>
      <c r="L494" s="4142"/>
      <c r="M494" s="4142"/>
      <c r="N494" s="4143"/>
      <c r="O494" s="1201"/>
      <c r="P494" s="1201"/>
      <c r="Q494" s="1201"/>
    </row>
    <row r="495" spans="1:17" ht="15.75" thickBot="1">
      <c r="A495" s="4121"/>
      <c r="B495" s="4144"/>
      <c r="C495" s="4145"/>
      <c r="D495" s="4145"/>
      <c r="E495" s="4145"/>
      <c r="F495" s="4145"/>
      <c r="G495" s="4145"/>
      <c r="H495" s="4145"/>
      <c r="I495" s="4145"/>
      <c r="J495" s="4145"/>
      <c r="K495" s="4145"/>
      <c r="L495" s="4145"/>
      <c r="M495" s="4145"/>
      <c r="N495" s="4146"/>
      <c r="O495" s="1201"/>
      <c r="P495" s="1201"/>
      <c r="Q495" s="1201"/>
    </row>
    <row r="496" spans="1:17">
      <c r="A496" s="1201"/>
      <c r="B496" s="2038"/>
      <c r="C496" s="2038"/>
      <c r="D496" s="2038"/>
      <c r="E496" s="2038"/>
      <c r="F496" s="2038"/>
      <c r="G496" s="2038"/>
      <c r="H496" s="1985"/>
      <c r="I496" s="2039"/>
      <c r="J496" s="2039"/>
      <c r="K496" s="2041"/>
      <c r="L496" s="1985"/>
      <c r="M496" s="1985"/>
      <c r="N496" s="1985"/>
      <c r="O496" s="1985"/>
      <c r="P496" s="1985"/>
      <c r="Q496" s="1985"/>
    </row>
    <row r="497" spans="1:17">
      <c r="A497" s="1997"/>
      <c r="B497" s="1998"/>
      <c r="C497" s="1999"/>
      <c r="D497" s="1999"/>
      <c r="E497" s="1999"/>
      <c r="F497" s="1999"/>
      <c r="G497" s="1999"/>
      <c r="H497" s="1999"/>
      <c r="I497" s="1999"/>
      <c r="J497" s="1998"/>
      <c r="K497" s="1998"/>
      <c r="L497" s="1998"/>
      <c r="M497" s="1997"/>
      <c r="N497" s="1997"/>
      <c r="O497" s="1997"/>
      <c r="P497" s="1997"/>
      <c r="Q497" s="1997"/>
    </row>
    <row r="498" spans="1:17" ht="16.5" thickBot="1">
      <c r="A498" s="1201"/>
      <c r="B498" s="2184"/>
      <c r="C498" s="2185"/>
      <c r="D498" s="2185"/>
      <c r="E498" s="2185"/>
      <c r="F498" s="2185"/>
      <c r="G498" s="2185"/>
      <c r="H498" s="1985"/>
      <c r="I498" s="1985"/>
      <c r="J498" s="1985"/>
      <c r="K498" s="1985"/>
      <c r="L498" s="1985"/>
      <c r="M498" s="1985"/>
      <c r="N498" s="1985"/>
      <c r="O498" s="1985"/>
      <c r="P498" s="1985"/>
      <c r="Q498" s="1201"/>
    </row>
    <row r="499" spans="1:17" ht="15.75">
      <c r="B499" s="2186"/>
      <c r="C499" s="2187"/>
      <c r="D499" s="2187"/>
      <c r="E499" s="2187"/>
      <c r="F499" s="2187"/>
      <c r="G499" s="2187"/>
      <c r="H499" s="2187"/>
      <c r="I499" s="2187"/>
      <c r="J499" s="2188" t="s">
        <v>1189</v>
      </c>
      <c r="K499" s="1985"/>
      <c r="L499" s="1985"/>
      <c r="M499" s="1985"/>
      <c r="N499" s="1985"/>
      <c r="O499" s="1985"/>
      <c r="P499" s="1985"/>
      <c r="Q499" s="1201"/>
    </row>
    <row r="500" spans="1:17">
      <c r="B500" s="2189"/>
      <c r="C500" s="2190" t="s">
        <v>1190</v>
      </c>
      <c r="D500" s="2191">
        <v>0.44</v>
      </c>
      <c r="E500" s="1985"/>
      <c r="F500" s="2192" t="s">
        <v>1190</v>
      </c>
      <c r="G500" s="2191">
        <v>100</v>
      </c>
      <c r="H500" s="1985"/>
      <c r="I500" s="2193" t="s">
        <v>1191</v>
      </c>
      <c r="J500" s="2194">
        <v>115</v>
      </c>
      <c r="K500" s="1985"/>
      <c r="L500" s="1985"/>
      <c r="M500" s="1201"/>
      <c r="N500" s="1201"/>
      <c r="O500" s="1201"/>
      <c r="P500" s="1201"/>
      <c r="Q500" s="1201"/>
    </row>
    <row r="501" spans="1:17" ht="15.75">
      <c r="B501" s="2195"/>
      <c r="C501" s="2196" t="s">
        <v>1192</v>
      </c>
      <c r="D501" s="2197">
        <v>60</v>
      </c>
      <c r="E501" s="1985"/>
      <c r="F501" s="2196" t="s">
        <v>1193</v>
      </c>
      <c r="G501" s="2198">
        <v>10</v>
      </c>
      <c r="H501" s="1985"/>
      <c r="I501" s="2192" t="s">
        <v>1190</v>
      </c>
      <c r="J501" s="2199">
        <v>133</v>
      </c>
      <c r="K501" s="1985"/>
      <c r="L501" s="1985"/>
      <c r="M501" s="1201"/>
      <c r="N501" s="1201"/>
      <c r="O501" s="1201"/>
      <c r="P501" s="1201"/>
      <c r="Q501" s="1201"/>
    </row>
    <row r="502" spans="1:17" ht="15.75">
      <c r="B502" s="2200"/>
      <c r="C502" s="2201" t="s">
        <v>1193</v>
      </c>
      <c r="D502" s="2202">
        <f>D500*D501%</f>
        <v>0.26400000000000001</v>
      </c>
      <c r="E502" s="1985"/>
      <c r="F502" s="2203" t="s">
        <v>1191</v>
      </c>
      <c r="G502" s="2202">
        <f>IF(G500=0,0,G500+G501)</f>
        <v>110</v>
      </c>
      <c r="H502" s="1985"/>
      <c r="I502" s="2201" t="s">
        <v>1193</v>
      </c>
      <c r="J502" s="2204">
        <f>IF(J500=0,0,IF(J501=0,0,J500-J501))</f>
        <v>-18</v>
      </c>
      <c r="K502" s="1985"/>
      <c r="L502" s="1985"/>
      <c r="M502" s="1201"/>
      <c r="N502" s="1201"/>
      <c r="O502" s="1201"/>
      <c r="P502" s="1201"/>
      <c r="Q502" s="1201"/>
    </row>
    <row r="503" spans="1:17">
      <c r="B503" s="2205"/>
      <c r="C503" s="2203" t="s">
        <v>1191</v>
      </c>
      <c r="D503" s="2202">
        <f>((D500*D501)/100)+D500</f>
        <v>0.70399999999999996</v>
      </c>
      <c r="E503" s="2206"/>
      <c r="F503" s="2207" t="s">
        <v>1192</v>
      </c>
      <c r="G503" s="2208">
        <f>IF(G500=0,0,IF(ISBLANK(G500),0,(G501/G500)*100))</f>
        <v>10</v>
      </c>
      <c r="H503" s="2206"/>
      <c r="I503" s="2207" t="s">
        <v>1192</v>
      </c>
      <c r="J503" s="2209">
        <f>IF(J501=0,0,IF(ISBLANK(J501),0,(J502/J501)*100))</f>
        <v>-13.533834586466165</v>
      </c>
      <c r="K503" s="1985"/>
      <c r="L503" s="1985"/>
      <c r="M503" s="1201"/>
      <c r="N503" s="1201"/>
      <c r="O503" s="1201"/>
      <c r="P503" s="1201"/>
      <c r="Q503" s="1201"/>
    </row>
    <row r="504" spans="1:17">
      <c r="B504" s="2210"/>
      <c r="C504" s="2211"/>
      <c r="D504" s="2212"/>
      <c r="E504" s="2213"/>
      <c r="F504" s="2214"/>
      <c r="G504" s="2215"/>
      <c r="H504" s="2213"/>
      <c r="I504" s="2214"/>
      <c r="J504" s="2216"/>
      <c r="K504" s="1985"/>
      <c r="L504" s="1985"/>
      <c r="M504" s="1201"/>
      <c r="N504" s="1201"/>
      <c r="O504" s="1201"/>
      <c r="P504" s="1201"/>
      <c r="Q504" s="1201"/>
    </row>
    <row r="505" spans="1:17">
      <c r="B505" s="2189"/>
      <c r="C505" s="2192" t="s">
        <v>1190</v>
      </c>
      <c r="D505" s="2191">
        <v>5.8970000000000002</v>
      </c>
      <c r="E505" s="1985"/>
      <c r="F505" s="2193" t="s">
        <v>1191</v>
      </c>
      <c r="G505" s="2198">
        <v>9.64</v>
      </c>
      <c r="H505" s="1985"/>
      <c r="I505" s="2193" t="s">
        <v>1191</v>
      </c>
      <c r="J505" s="2194">
        <v>100</v>
      </c>
      <c r="K505" s="1985"/>
      <c r="L505" s="1985"/>
      <c r="M505" s="1201"/>
      <c r="N505" s="1201"/>
      <c r="O505" s="1201"/>
      <c r="P505" s="1201"/>
      <c r="Q505" s="1201"/>
    </row>
    <row r="506" spans="1:17" ht="31.5">
      <c r="B506" s="2217"/>
      <c r="C506" s="2193" t="s">
        <v>1191</v>
      </c>
      <c r="D506" s="2198">
        <v>9.64</v>
      </c>
      <c r="E506" s="1985"/>
      <c r="F506" s="2218" t="s">
        <v>1192</v>
      </c>
      <c r="G506" s="2219">
        <v>63.5</v>
      </c>
      <c r="H506" s="1985"/>
      <c r="I506" s="2218" t="s">
        <v>1193</v>
      </c>
      <c r="J506" s="2194">
        <v>50</v>
      </c>
      <c r="K506" s="1985"/>
      <c r="L506" s="1985"/>
      <c r="M506" s="1201"/>
      <c r="N506" s="1201"/>
      <c r="O506" s="1201"/>
      <c r="P506" s="1201"/>
      <c r="Q506" s="1201"/>
    </row>
    <row r="507" spans="1:17" ht="15.75">
      <c r="B507" s="2200"/>
      <c r="C507" s="2201" t="s">
        <v>1193</v>
      </c>
      <c r="D507" s="2202">
        <f>IF(D505=0,0,IF(D506=0,0,D506-D505))</f>
        <v>3.7430000000000003</v>
      </c>
      <c r="E507" s="1985"/>
      <c r="F507" s="2201" t="s">
        <v>1193</v>
      </c>
      <c r="G507" s="2202">
        <f>G505-G508</f>
        <v>3.7439755351681958</v>
      </c>
      <c r="H507" s="1985"/>
      <c r="I507" s="2203" t="s">
        <v>1190</v>
      </c>
      <c r="J507" s="2204">
        <f>IF(J505=0,0,IF(ISBLANK(J505),0,J505-J506))</f>
        <v>50</v>
      </c>
      <c r="K507" s="1985"/>
      <c r="L507" s="1985"/>
      <c r="M507" s="1201"/>
      <c r="N507" s="1201"/>
      <c r="O507" s="1201"/>
      <c r="P507" s="1201"/>
      <c r="Q507" s="1201"/>
    </row>
    <row r="508" spans="1:17">
      <c r="B508" s="2220"/>
      <c r="C508" s="2221" t="s">
        <v>1192</v>
      </c>
      <c r="D508" s="2222">
        <f>IF(D505=0,0,IF(ISBLANK(D505),0,(D507/D505)*100))</f>
        <v>63.472952348651859</v>
      </c>
      <c r="E508" s="1985"/>
      <c r="F508" s="2223" t="s">
        <v>1190</v>
      </c>
      <c r="G508" s="2224">
        <f>(G505/(100+G506)*100)</f>
        <v>5.8960244648318048</v>
      </c>
      <c r="H508" s="1985"/>
      <c r="I508" s="2221" t="s">
        <v>1192</v>
      </c>
      <c r="J508" s="2225">
        <f>IF(J507=0,0,IF(ISBLANK(J506),0,(J506/J507)*100))</f>
        <v>100</v>
      </c>
      <c r="K508" s="1985"/>
      <c r="L508" s="1985"/>
      <c r="M508" s="1201"/>
      <c r="N508" s="1201"/>
      <c r="O508" s="1201"/>
      <c r="P508" s="1201"/>
      <c r="Q508" s="1201"/>
    </row>
    <row r="509" spans="1:17">
      <c r="B509" s="4111" t="s">
        <v>1152</v>
      </c>
      <c r="C509" s="4112"/>
      <c r="D509" s="4112"/>
      <c r="E509" s="4112"/>
      <c r="F509" s="4112"/>
      <c r="G509" s="4112"/>
      <c r="H509" s="4112"/>
      <c r="I509" s="4112"/>
      <c r="J509" s="4112"/>
      <c r="K509" s="1985"/>
      <c r="L509" s="1985"/>
      <c r="M509" s="1201"/>
      <c r="N509" s="1201"/>
      <c r="O509" s="1201"/>
      <c r="P509" s="1201"/>
      <c r="Q509" s="1201"/>
    </row>
    <row r="510" spans="1:17">
      <c r="A510" s="1201"/>
      <c r="B510" s="2038"/>
      <c r="C510" s="2038"/>
      <c r="D510" s="2038"/>
      <c r="E510" s="2038"/>
      <c r="F510" s="2038"/>
      <c r="G510" s="2038"/>
      <c r="H510" s="1985"/>
      <c r="I510" s="2039"/>
      <c r="J510" s="2039"/>
      <c r="K510" s="2041"/>
      <c r="L510" s="2041"/>
      <c r="M510" s="2039"/>
      <c r="N510" s="2039"/>
      <c r="O510" s="1201"/>
      <c r="P510" s="1201"/>
      <c r="Q510" s="1985"/>
    </row>
    <row r="511" spans="1:17">
      <c r="A511" s="1201"/>
      <c r="B511" s="2038"/>
      <c r="C511" s="2038"/>
      <c r="D511" s="2038"/>
      <c r="E511" s="2038"/>
      <c r="F511" s="2038"/>
      <c r="G511" s="2038"/>
      <c r="H511" s="1985"/>
      <c r="I511" s="2039"/>
      <c r="J511" s="2039"/>
      <c r="K511" s="2041"/>
      <c r="L511" s="2041"/>
      <c r="M511" s="2039"/>
      <c r="N511" s="2039"/>
      <c r="O511" s="1201"/>
      <c r="P511" s="1201"/>
      <c r="Q511" s="1985"/>
    </row>
    <row r="512" spans="1:17">
      <c r="A512" s="1201"/>
      <c r="B512" s="276">
        <v>15</v>
      </c>
      <c r="C512" s="276">
        <v>15</v>
      </c>
      <c r="D512" s="276">
        <v>15</v>
      </c>
      <c r="E512" s="276">
        <v>15</v>
      </c>
      <c r="F512" s="276">
        <v>15</v>
      </c>
      <c r="G512" s="276">
        <v>15</v>
      </c>
      <c r="H512" s="277" t="s">
        <v>1194</v>
      </c>
      <c r="I512" s="276">
        <v>15</v>
      </c>
      <c r="J512" s="276">
        <v>15</v>
      </c>
      <c r="K512" s="276">
        <v>15</v>
      </c>
      <c r="L512" s="276">
        <v>15</v>
      </c>
      <c r="M512" s="276">
        <v>15</v>
      </c>
      <c r="N512" s="276">
        <v>15</v>
      </c>
      <c r="O512" s="278" t="s">
        <v>1194</v>
      </c>
      <c r="P512" s="1201"/>
      <c r="Q512" s="1985"/>
    </row>
    <row r="513" spans="1:17" ht="18.75">
      <c r="A513" s="1201"/>
      <c r="B513" s="2226" t="s">
        <v>1195</v>
      </c>
      <c r="C513" s="2227"/>
      <c r="D513" s="2227"/>
      <c r="E513" s="2227"/>
      <c r="F513" s="2227"/>
      <c r="G513" s="2228" t="s">
        <v>1196</v>
      </c>
      <c r="H513" s="1201"/>
      <c r="I513" s="2226" t="s">
        <v>1197</v>
      </c>
      <c r="J513" s="2227"/>
      <c r="K513" s="2227"/>
      <c r="L513" s="2227"/>
      <c r="M513" s="2227"/>
      <c r="N513" s="2228" t="s">
        <v>1196</v>
      </c>
      <c r="O513" s="1201"/>
      <c r="P513" s="1201"/>
      <c r="Q513" s="1985"/>
    </row>
    <row r="514" spans="1:17" ht="15.75">
      <c r="A514" s="1201"/>
      <c r="B514" s="279" t="s">
        <v>1198</v>
      </c>
      <c r="C514" s="2229">
        <v>1000</v>
      </c>
      <c r="D514" s="280" t="s">
        <v>1198</v>
      </c>
      <c r="E514" s="2229">
        <v>1000</v>
      </c>
      <c r="F514" s="279" t="s">
        <v>1198</v>
      </c>
      <c r="G514" s="2229">
        <v>100</v>
      </c>
      <c r="H514" s="1201"/>
      <c r="I514" s="281" t="s">
        <v>1198</v>
      </c>
      <c r="J514" s="2230">
        <v>1</v>
      </c>
      <c r="K514" s="280" t="s">
        <v>1198</v>
      </c>
      <c r="L514" s="2230">
        <v>1</v>
      </c>
      <c r="M514" s="279" t="s">
        <v>1198</v>
      </c>
      <c r="N514" s="2230">
        <v>1</v>
      </c>
      <c r="O514" s="1201"/>
      <c r="P514" s="1201"/>
      <c r="Q514" s="1985"/>
    </row>
    <row r="515" spans="1:17" ht="15.75">
      <c r="A515" s="1201"/>
      <c r="B515" s="282" t="s">
        <v>1199</v>
      </c>
      <c r="C515" s="2231">
        <v>2000</v>
      </c>
      <c r="D515" s="283" t="s">
        <v>1200</v>
      </c>
      <c r="E515" s="2231">
        <v>327</v>
      </c>
      <c r="F515" s="282" t="s">
        <v>1201</v>
      </c>
      <c r="G515" s="2232">
        <v>40</v>
      </c>
      <c r="H515" s="1201"/>
      <c r="I515" s="282" t="s">
        <v>1199</v>
      </c>
      <c r="J515" s="2233">
        <v>2</v>
      </c>
      <c r="K515" s="283" t="s">
        <v>1200</v>
      </c>
      <c r="L515" s="2233">
        <v>2</v>
      </c>
      <c r="M515" s="282" t="s">
        <v>1201</v>
      </c>
      <c r="N515" s="2232">
        <v>50</v>
      </c>
      <c r="O515" s="1201"/>
      <c r="P515" s="1201"/>
      <c r="Q515" s="1985"/>
    </row>
    <row r="516" spans="1:17" ht="15.75">
      <c r="A516" s="1201"/>
      <c r="B516" s="284" t="s">
        <v>1202</v>
      </c>
      <c r="C516" s="285">
        <f>IF(C514=0,0,IF(C515=0,0,C515-C514))</f>
        <v>1000</v>
      </c>
      <c r="D516" s="284" t="s">
        <v>1203</v>
      </c>
      <c r="E516" s="285">
        <f>IF(E514=0,0,E514+E515)</f>
        <v>1327</v>
      </c>
      <c r="F516" s="284" t="s">
        <v>1202</v>
      </c>
      <c r="G516" s="286">
        <f>G517*G515%</f>
        <v>66.666666666666671</v>
      </c>
      <c r="H516" s="1201"/>
      <c r="I516" s="284" t="s">
        <v>1202</v>
      </c>
      <c r="J516" s="287">
        <f>IF(J514=0,0,IF(J515=0,0,J515-J514))</f>
        <v>1</v>
      </c>
      <c r="K516" s="284" t="s">
        <v>1203</v>
      </c>
      <c r="L516" s="287">
        <f>IF(L514=0,0,L514+L515)</f>
        <v>3</v>
      </c>
      <c r="M516" s="284" t="s">
        <v>1202</v>
      </c>
      <c r="N516" s="287">
        <f>N517*N515%</f>
        <v>1</v>
      </c>
      <c r="O516" s="1201"/>
      <c r="P516" s="1201"/>
      <c r="Q516" s="1985"/>
    </row>
    <row r="517" spans="1:17" ht="15.75">
      <c r="A517" s="1201"/>
      <c r="B517" s="288" t="s">
        <v>1204</v>
      </c>
      <c r="C517" s="289">
        <f>IF(C514=0,0,IF(C515=0,0,C516/C515))</f>
        <v>0.5</v>
      </c>
      <c r="D517" s="288" t="s">
        <v>1204</v>
      </c>
      <c r="E517" s="289">
        <f>IF(E514=0,0,E515/E516)</f>
        <v>0.24642049736247174</v>
      </c>
      <c r="F517" s="284" t="s">
        <v>1203</v>
      </c>
      <c r="G517" s="286">
        <f>G514/(100-G515)*100</f>
        <v>166.66666666666669</v>
      </c>
      <c r="H517" s="1201"/>
      <c r="I517" s="288" t="s">
        <v>1204</v>
      </c>
      <c r="J517" s="289">
        <f>IF(J514=0,0,IF(J515=0,0,J516/J515))</f>
        <v>0.5</v>
      </c>
      <c r="K517" s="288" t="s">
        <v>1204</v>
      </c>
      <c r="L517" s="289">
        <f>IF(L514=0,0,L515/L516)</f>
        <v>0.66666666666666663</v>
      </c>
      <c r="M517" s="284" t="s">
        <v>1203</v>
      </c>
      <c r="N517" s="290">
        <f>N514/(100-N515)*100</f>
        <v>2</v>
      </c>
      <c r="O517" s="1201"/>
      <c r="P517" s="1201"/>
      <c r="Q517" s="1985"/>
    </row>
    <row r="518" spans="1:17" ht="15.75">
      <c r="A518" s="1201"/>
      <c r="B518" s="291" t="s">
        <v>1199</v>
      </c>
      <c r="C518" s="2231">
        <v>1780</v>
      </c>
      <c r="D518" s="292" t="s">
        <v>1199</v>
      </c>
      <c r="E518" s="2231">
        <v>2310</v>
      </c>
      <c r="F518" s="293" t="s">
        <v>1199</v>
      </c>
      <c r="G518" s="2234">
        <v>500</v>
      </c>
      <c r="H518" s="1201"/>
      <c r="I518" s="291" t="s">
        <v>1199</v>
      </c>
      <c r="J518" s="2235">
        <v>2</v>
      </c>
      <c r="K518" s="292" t="s">
        <v>1199</v>
      </c>
      <c r="L518" s="2236">
        <v>2</v>
      </c>
      <c r="M518" s="292" t="s">
        <v>1199</v>
      </c>
      <c r="N518" s="2235">
        <v>1</v>
      </c>
      <c r="O518" s="1201"/>
      <c r="P518" s="1201"/>
      <c r="Q518" s="1985"/>
    </row>
    <row r="519" spans="1:17" ht="15.75">
      <c r="A519" s="1201"/>
      <c r="B519" s="294" t="s">
        <v>1198</v>
      </c>
      <c r="C519" s="2229">
        <v>1000</v>
      </c>
      <c r="D519" s="295" t="s">
        <v>1200</v>
      </c>
      <c r="E519" s="2229">
        <v>720</v>
      </c>
      <c r="F519" s="295" t="s">
        <v>1201</v>
      </c>
      <c r="G519" s="2237">
        <v>50</v>
      </c>
      <c r="H519" s="1201"/>
      <c r="I519" s="294" t="s">
        <v>1198</v>
      </c>
      <c r="J519" s="2238">
        <v>1</v>
      </c>
      <c r="K519" s="295" t="s">
        <v>1200</v>
      </c>
      <c r="L519" s="2238">
        <v>1</v>
      </c>
      <c r="M519" s="295" t="s">
        <v>1201</v>
      </c>
      <c r="N519" s="2237">
        <v>50</v>
      </c>
      <c r="O519" s="1201"/>
      <c r="P519" s="1201"/>
      <c r="Q519" s="1985"/>
    </row>
    <row r="520" spans="1:17" ht="15.75">
      <c r="A520" s="1201"/>
      <c r="B520" s="284" t="s">
        <v>1202</v>
      </c>
      <c r="C520" s="285">
        <f>IF(C518=0,0,IF(C519=0,0,C518-C519))</f>
        <v>780</v>
      </c>
      <c r="D520" s="284" t="s">
        <v>1205</v>
      </c>
      <c r="E520" s="285">
        <f>IF(E518=0,0,IF(E519=0,0,E518-E519))</f>
        <v>1590</v>
      </c>
      <c r="F520" s="284" t="s">
        <v>1202</v>
      </c>
      <c r="G520" s="285">
        <f>G518*G519%</f>
        <v>250</v>
      </c>
      <c r="H520" s="1201"/>
      <c r="I520" s="284" t="s">
        <v>1202</v>
      </c>
      <c r="J520" s="287">
        <f>IF(J518=0,0,IF(J519=0,0,J518-J519))</f>
        <v>1</v>
      </c>
      <c r="K520" s="284" t="s">
        <v>1205</v>
      </c>
      <c r="L520" s="287">
        <f>IF(L518=0,0,IF(L519=0,0,L518-L519))</f>
        <v>1</v>
      </c>
      <c r="M520" s="284" t="s">
        <v>1202</v>
      </c>
      <c r="N520" s="287">
        <f>N518*N519%</f>
        <v>0.5</v>
      </c>
      <c r="O520" s="1201"/>
      <c r="P520" s="1201"/>
      <c r="Q520" s="1985"/>
    </row>
    <row r="521" spans="1:17" ht="15.75">
      <c r="A521" s="1201"/>
      <c r="B521" s="288" t="s">
        <v>1204</v>
      </c>
      <c r="C521" s="289">
        <f>IF(C518=0,0,C520/C518)</f>
        <v>0.43820224719101125</v>
      </c>
      <c r="D521" s="288" t="s">
        <v>1204</v>
      </c>
      <c r="E521" s="289">
        <f>IF(E518=0,0,IF(E519=0,0,E519/E518))</f>
        <v>0.31168831168831168</v>
      </c>
      <c r="F521" s="288" t="s">
        <v>1205</v>
      </c>
      <c r="G521" s="296">
        <f>G518-G520</f>
        <v>250</v>
      </c>
      <c r="H521" s="1201"/>
      <c r="I521" s="288" t="s">
        <v>1204</v>
      </c>
      <c r="J521" s="289">
        <f>IF(J518=0,0,J520/J518)</f>
        <v>0.5</v>
      </c>
      <c r="K521" s="288" t="s">
        <v>1204</v>
      </c>
      <c r="L521" s="289">
        <f>IF(L518=0,0,IF(L519=0,0,L519/L518))</f>
        <v>0.5</v>
      </c>
      <c r="M521" s="288" t="s">
        <v>1205</v>
      </c>
      <c r="N521" s="297">
        <f>N518-N520</f>
        <v>0.5</v>
      </c>
      <c r="O521" s="1201"/>
      <c r="P521" s="1201"/>
      <c r="Q521" s="1985"/>
    </row>
    <row r="522" spans="1:17">
      <c r="A522" s="1201"/>
      <c r="B522" s="4113" t="s">
        <v>1152</v>
      </c>
      <c r="C522" s="4114"/>
      <c r="D522" s="4114"/>
      <c r="E522" s="4114"/>
      <c r="F522" s="4114"/>
      <c r="G522" s="4114"/>
      <c r="H522" s="1201"/>
      <c r="I522" s="4113" t="s">
        <v>1152</v>
      </c>
      <c r="J522" s="4114"/>
      <c r="K522" s="4114"/>
      <c r="L522" s="4114"/>
      <c r="M522" s="4114"/>
      <c r="N522" s="4114"/>
      <c r="O522" s="1201"/>
      <c r="P522" s="1201"/>
      <c r="Q522" s="1985"/>
    </row>
    <row r="523" spans="1:17">
      <c r="A523" s="1201"/>
      <c r="B523" s="2038"/>
      <c r="C523" s="2038"/>
      <c r="D523" s="2038"/>
      <c r="E523" s="2038"/>
      <c r="F523" s="2038"/>
      <c r="G523" s="2038"/>
      <c r="H523" s="1985"/>
      <c r="I523" s="2039"/>
      <c r="J523" s="2039"/>
      <c r="K523" s="2041"/>
      <c r="L523" s="2041"/>
      <c r="M523" s="2039"/>
      <c r="N523" s="2039"/>
      <c r="O523" s="1201"/>
      <c r="P523" s="1201"/>
      <c r="Q523" s="1985"/>
    </row>
    <row r="524" spans="1:17">
      <c r="A524" s="1997"/>
      <c r="B524" s="1998"/>
      <c r="C524" s="1999"/>
      <c r="D524" s="1999"/>
      <c r="E524" s="1999"/>
      <c r="F524" s="1999"/>
      <c r="G524" s="1999"/>
      <c r="H524" s="1999"/>
      <c r="I524" s="1999"/>
      <c r="J524" s="1998"/>
      <c r="K524" s="1998"/>
      <c r="L524" s="1998"/>
      <c r="M524" s="1997"/>
      <c r="N524" s="1997"/>
      <c r="O524" s="1997"/>
      <c r="P524" s="1997"/>
      <c r="Q524" s="1997"/>
    </row>
    <row r="525" spans="1:17">
      <c r="A525" s="1201"/>
      <c r="B525" s="2038"/>
      <c r="C525" s="2038"/>
      <c r="D525" s="2038"/>
      <c r="E525" s="2038"/>
      <c r="F525" s="2038"/>
      <c r="G525" s="2038"/>
      <c r="H525" s="1985"/>
      <c r="I525" s="2039"/>
      <c r="J525" s="2039"/>
      <c r="K525" s="2041"/>
      <c r="L525" s="2041"/>
      <c r="M525" s="2039"/>
      <c r="N525" s="2039"/>
      <c r="O525" s="1201"/>
      <c r="P525" s="1201"/>
      <c r="Q525" s="1985"/>
    </row>
    <row r="526" spans="1:17">
      <c r="A526" s="1201"/>
      <c r="B526" s="2038"/>
      <c r="C526" s="2038"/>
      <c r="D526" s="2038"/>
      <c r="E526" s="2038"/>
      <c r="F526" s="2038"/>
      <c r="G526" s="2038"/>
      <c r="H526" s="1985"/>
      <c r="I526" s="2039"/>
      <c r="J526" s="2039"/>
      <c r="K526" s="2041"/>
      <c r="L526" s="2041"/>
      <c r="M526" s="2039"/>
      <c r="N526" s="2039"/>
      <c r="O526" s="1201"/>
      <c r="P526" s="1201"/>
      <c r="Q526" s="1985"/>
    </row>
    <row r="527" spans="1:17" ht="15.75">
      <c r="A527" s="1201"/>
      <c r="B527" s="2038"/>
      <c r="C527" s="2038"/>
      <c r="D527" s="2038"/>
      <c r="E527" s="2038"/>
      <c r="F527" s="2038"/>
      <c r="G527" s="2038"/>
      <c r="H527" s="1985"/>
      <c r="I527" s="2039"/>
      <c r="J527" s="2239" t="s">
        <v>1206</v>
      </c>
      <c r="K527" s="2240"/>
      <c r="L527" s="2240"/>
      <c r="M527" s="2241"/>
      <c r="N527" s="2241"/>
      <c r="O527" s="1201"/>
      <c r="P527" s="1201"/>
      <c r="Q527" s="1985"/>
    </row>
    <row r="528" spans="1:17">
      <c r="A528" s="1201"/>
      <c r="B528" s="2038"/>
      <c r="C528" s="2038"/>
      <c r="D528" s="2038"/>
      <c r="E528" s="2038"/>
      <c r="F528" s="2038"/>
      <c r="G528" s="2038"/>
      <c r="H528" s="1985"/>
      <c r="I528" s="2039"/>
      <c r="J528" s="2039"/>
      <c r="K528" s="2041"/>
      <c r="L528" s="2041"/>
      <c r="M528" s="2039"/>
      <c r="N528" s="2039"/>
      <c r="O528" s="1201"/>
      <c r="P528" s="1201"/>
      <c r="Q528" s="1985"/>
    </row>
    <row r="529" spans="1:17" ht="21">
      <c r="A529" s="1201"/>
      <c r="B529" s="2038"/>
      <c r="C529" s="2038"/>
      <c r="D529" s="2038"/>
      <c r="E529" s="2038"/>
      <c r="F529" s="2038"/>
      <c r="G529" s="2038"/>
      <c r="H529" s="1985"/>
      <c r="I529" s="2039"/>
      <c r="J529" s="298" t="s">
        <v>1207</v>
      </c>
      <c r="K529" s="1201"/>
      <c r="L529" s="1201"/>
      <c r="M529" s="1201"/>
      <c r="N529" s="1201"/>
      <c r="O529" s="1201"/>
      <c r="P529" s="1201"/>
      <c r="Q529" s="1985"/>
    </row>
    <row r="530" spans="1:17" ht="23.25">
      <c r="A530" s="1201"/>
      <c r="B530" s="2038"/>
      <c r="C530" s="2038"/>
      <c r="D530" s="2038"/>
      <c r="E530" s="2038"/>
      <c r="F530" s="2038"/>
      <c r="G530" s="2038"/>
      <c r="H530" s="1985"/>
      <c r="I530" s="2039"/>
      <c r="J530" s="4115" t="s">
        <v>1208</v>
      </c>
      <c r="K530" s="4115"/>
      <c r="L530" s="4115"/>
      <c r="M530" s="4115"/>
      <c r="N530" s="4115"/>
      <c r="O530" s="1201"/>
      <c r="P530" s="1201"/>
      <c r="Q530" s="1985"/>
    </row>
    <row r="531" spans="1:17" ht="21">
      <c r="A531" s="1201"/>
      <c r="B531" s="2038"/>
      <c r="C531" s="2038"/>
      <c r="D531" s="2038"/>
      <c r="E531" s="2038"/>
      <c r="F531" s="2038"/>
      <c r="G531" s="2038"/>
      <c r="H531" s="1985"/>
      <c r="I531" s="2039"/>
      <c r="J531" s="299"/>
      <c r="K531" s="300" t="s">
        <v>1209</v>
      </c>
      <c r="L531" s="2242"/>
      <c r="M531" s="75"/>
      <c r="N531" s="2039"/>
      <c r="O531" s="1201"/>
      <c r="P531" s="1201"/>
      <c r="Q531" s="1985"/>
    </row>
    <row r="532" spans="1:17" ht="21">
      <c r="A532" s="1201"/>
      <c r="B532" s="2038"/>
      <c r="C532" s="2038"/>
      <c r="D532" s="2038"/>
      <c r="E532" s="2038"/>
      <c r="F532" s="2038"/>
      <c r="G532" s="2038"/>
      <c r="H532" s="1985"/>
      <c r="I532" s="2039"/>
      <c r="J532" s="299"/>
      <c r="K532" s="300" t="s">
        <v>1210</v>
      </c>
      <c r="L532" s="2242"/>
      <c r="M532" s="75"/>
      <c r="N532" s="2039"/>
      <c r="O532" s="1201"/>
      <c r="P532" s="1201"/>
      <c r="Q532" s="1985"/>
    </row>
    <row r="533" spans="1:17" ht="21">
      <c r="A533" s="1201"/>
      <c r="B533" s="2038"/>
      <c r="C533" s="2038"/>
      <c r="D533" s="2038"/>
      <c r="E533" s="2038"/>
      <c r="F533" s="2038"/>
      <c r="G533" s="2038"/>
      <c r="H533" s="1985"/>
      <c r="I533" s="2039"/>
      <c r="J533" s="299"/>
      <c r="K533" s="300" t="s">
        <v>1211</v>
      </c>
      <c r="L533" s="2242"/>
      <c r="M533" s="75"/>
      <c r="N533" s="2039"/>
      <c r="O533" s="1201"/>
      <c r="P533" s="1201"/>
      <c r="Q533" s="1985"/>
    </row>
    <row r="534" spans="1:17" ht="21">
      <c r="A534" s="1201"/>
      <c r="B534" s="2243" t="s">
        <v>1212</v>
      </c>
      <c r="C534" s="2038"/>
      <c r="D534" s="2038"/>
      <c r="E534" s="2038"/>
      <c r="F534" s="2038"/>
      <c r="G534" s="2038"/>
      <c r="H534" s="1985"/>
      <c r="I534" s="2039"/>
      <c r="J534" s="299"/>
      <c r="K534" s="300" t="s">
        <v>1213</v>
      </c>
      <c r="L534" s="2242"/>
      <c r="M534" s="75"/>
      <c r="N534" s="2039"/>
      <c r="O534" s="1201"/>
      <c r="P534" s="1201"/>
      <c r="Q534" s="1985"/>
    </row>
    <row r="535" spans="1:17" ht="21">
      <c r="A535" s="1201"/>
      <c r="B535" s="2243" t="s">
        <v>1214</v>
      </c>
      <c r="C535" s="2038"/>
      <c r="D535" s="2038"/>
      <c r="E535" s="2038"/>
      <c r="F535" s="2038"/>
      <c r="G535" s="2038"/>
      <c r="H535" s="1985"/>
      <c r="I535" s="2039"/>
      <c r="J535" s="299"/>
      <c r="K535" s="300" t="s">
        <v>1215</v>
      </c>
      <c r="L535" s="2242"/>
      <c r="M535" s="75"/>
      <c r="N535" s="2039"/>
      <c r="O535" s="1201"/>
      <c r="P535" s="1201"/>
      <c r="Q535" s="1985"/>
    </row>
    <row r="536" spans="1:17" ht="21">
      <c r="A536" s="1201"/>
      <c r="B536" s="2038"/>
      <c r="C536" s="2038"/>
      <c r="D536" s="2038"/>
      <c r="E536" s="2038"/>
      <c r="F536" s="2038"/>
      <c r="G536" s="2038"/>
      <c r="H536" s="1985"/>
      <c r="I536" s="2039"/>
      <c r="J536" s="299"/>
      <c r="K536" s="300" t="s">
        <v>1216</v>
      </c>
      <c r="L536" s="2242"/>
      <c r="M536" s="75"/>
      <c r="N536" s="2039"/>
      <c r="O536" s="1201"/>
      <c r="P536" s="1201"/>
      <c r="Q536" s="1985"/>
    </row>
    <row r="537" spans="1:17" ht="21">
      <c r="A537" s="1201"/>
      <c r="B537" s="2244" t="s">
        <v>1217</v>
      </c>
      <c r="C537" s="1201"/>
      <c r="D537" s="1201"/>
      <c r="E537" s="1201"/>
      <c r="F537" s="2038"/>
      <c r="G537" s="2038"/>
      <c r="H537" s="1985"/>
      <c r="I537" s="2039"/>
      <c r="J537" s="299"/>
      <c r="K537" s="300" t="s">
        <v>1218</v>
      </c>
      <c r="L537" s="2242"/>
      <c r="M537" s="75"/>
      <c r="N537" s="2039"/>
      <c r="O537" s="1201"/>
      <c r="P537" s="1201"/>
      <c r="Q537" s="1985"/>
    </row>
    <row r="538" spans="1:17">
      <c r="A538" s="1201"/>
      <c r="B538" s="2245" t="s">
        <v>1219</v>
      </c>
      <c r="C538" s="1201"/>
      <c r="D538" s="1201"/>
      <c r="E538" s="1201"/>
      <c r="F538" s="2038"/>
      <c r="G538" s="2038"/>
      <c r="H538" s="1985"/>
      <c r="I538" s="2039"/>
      <c r="J538" s="2039"/>
      <c r="K538" s="2041"/>
      <c r="L538" s="2041"/>
      <c r="M538" s="2039"/>
      <c r="N538" s="2039"/>
      <c r="O538" s="1201"/>
      <c r="P538" s="1201"/>
      <c r="Q538" s="1985"/>
    </row>
    <row r="539" spans="1:17" ht="31.5" customHeight="1" thickBot="1">
      <c r="A539" s="1201"/>
      <c r="B539" s="2243"/>
      <c r="C539" s="2040"/>
      <c r="D539" s="2040"/>
      <c r="E539" s="2040"/>
      <c r="F539" s="2038"/>
      <c r="G539" s="2038"/>
      <c r="H539" s="1985"/>
      <c r="I539" s="2039"/>
      <c r="J539" s="2244"/>
      <c r="K539" s="2041"/>
      <c r="L539" s="2041"/>
      <c r="O539" s="1201"/>
      <c r="P539" s="1201"/>
      <c r="Q539" s="1985"/>
    </row>
    <row r="540" spans="1:17" ht="16.5" customHeight="1" thickBot="1">
      <c r="A540" s="1201"/>
      <c r="B540" s="2040"/>
      <c r="C540" s="1201"/>
      <c r="D540" s="1201"/>
      <c r="E540" s="1201"/>
      <c r="F540" s="2038"/>
      <c r="G540" s="2038"/>
      <c r="H540" s="1985"/>
      <c r="I540" s="2039"/>
      <c r="J540" s="2245"/>
      <c r="K540" s="2041"/>
      <c r="L540" s="2041"/>
      <c r="M540" s="4116" t="s">
        <v>1220</v>
      </c>
      <c r="N540" s="4117"/>
      <c r="O540" s="1201"/>
      <c r="P540" s="1201"/>
      <c r="Q540" s="1985"/>
    </row>
    <row r="541" spans="1:17" ht="15.75">
      <c r="A541" s="1201"/>
      <c r="B541" s="2246" t="s">
        <v>1221</v>
      </c>
      <c r="C541" s="1201"/>
      <c r="D541" s="1201"/>
      <c r="E541" s="1201"/>
      <c r="F541" s="2038"/>
      <c r="G541" s="4099" t="s">
        <v>1222</v>
      </c>
      <c r="H541" s="4100"/>
      <c r="I541" s="2039"/>
      <c r="J541" s="2040"/>
      <c r="K541" s="2040"/>
      <c r="L541" s="2041"/>
      <c r="M541" s="4118" t="s">
        <v>1223</v>
      </c>
      <c r="N541" s="4119"/>
      <c r="O541" s="1201"/>
      <c r="P541" s="1201"/>
      <c r="Q541" s="1985"/>
    </row>
    <row r="542" spans="1:17" ht="15.75">
      <c r="A542" s="1201"/>
      <c r="B542" s="2247" t="s">
        <v>1222</v>
      </c>
      <c r="C542" s="1201"/>
      <c r="D542" s="1201"/>
      <c r="E542" s="1201" t="s">
        <v>1224</v>
      </c>
      <c r="F542" s="2038"/>
      <c r="G542" s="4101"/>
      <c r="H542" s="4102"/>
      <c r="I542" s="2039"/>
      <c r="J542" s="2040" t="s">
        <v>1220</v>
      </c>
      <c r="K542" s="2040"/>
      <c r="L542" s="2041"/>
      <c r="M542" s="301" t="s">
        <v>1199</v>
      </c>
      <c r="N542" s="2248">
        <v>140</v>
      </c>
      <c r="O542" s="1201"/>
      <c r="P542" s="1201"/>
      <c r="Q542" s="1985"/>
    </row>
    <row r="543" spans="1:17" ht="15.75" customHeight="1">
      <c r="A543" s="1201"/>
      <c r="B543" s="2040" t="s">
        <v>1225</v>
      </c>
      <c r="C543" s="1201"/>
      <c r="D543" s="1201"/>
      <c r="E543" s="1201"/>
      <c r="F543" s="2038"/>
      <c r="G543" s="302" t="s">
        <v>1199</v>
      </c>
      <c r="H543" s="2249">
        <v>87</v>
      </c>
      <c r="I543" s="2039"/>
      <c r="J543" s="2040" t="s">
        <v>1223</v>
      </c>
      <c r="K543" s="2040"/>
      <c r="L543" s="2041"/>
      <c r="M543" s="303" t="s">
        <v>1201</v>
      </c>
      <c r="N543" s="2250">
        <v>20</v>
      </c>
      <c r="O543" s="1201"/>
      <c r="P543" s="1201"/>
      <c r="Q543" s="1201"/>
    </row>
    <row r="544" spans="1:17" ht="15.75">
      <c r="A544" s="1201"/>
      <c r="B544" s="2040" t="s">
        <v>1226</v>
      </c>
      <c r="C544" s="1201"/>
      <c r="D544" s="1201"/>
      <c r="E544" s="1201"/>
      <c r="F544" s="2038"/>
      <c r="G544" s="304" t="s">
        <v>1201</v>
      </c>
      <c r="H544" s="2251">
        <v>5</v>
      </c>
      <c r="I544" s="2039"/>
      <c r="J544" s="2040" t="s">
        <v>1227</v>
      </c>
      <c r="K544" s="2040"/>
      <c r="L544" s="2041"/>
      <c r="M544" s="305" t="s">
        <v>1202</v>
      </c>
      <c r="N544" s="306">
        <f>(N542*N543)/100</f>
        <v>28</v>
      </c>
      <c r="O544" s="1201"/>
      <c r="P544" s="1201"/>
      <c r="Q544" s="1201"/>
    </row>
    <row r="545" spans="1:17" ht="15.75">
      <c r="A545" s="1201"/>
      <c r="B545" s="2246" t="s">
        <v>1228</v>
      </c>
      <c r="C545" s="1201"/>
      <c r="D545" s="1201"/>
      <c r="E545" s="1201"/>
      <c r="F545" s="2038"/>
      <c r="G545" s="307" t="s">
        <v>1229</v>
      </c>
      <c r="H545" s="308">
        <f>H544/100</f>
        <v>0.05</v>
      </c>
      <c r="I545" s="2039"/>
      <c r="J545" s="2246" t="s">
        <v>1230</v>
      </c>
      <c r="K545" s="2040"/>
      <c r="L545" s="2041"/>
      <c r="M545" s="305" t="s">
        <v>1229</v>
      </c>
      <c r="N545" s="309">
        <f>N543/100</f>
        <v>0.2</v>
      </c>
      <c r="O545" s="1201"/>
      <c r="P545" s="1201"/>
      <c r="Q545" s="1201"/>
    </row>
    <row r="546" spans="1:17" ht="16.5" thickBot="1">
      <c r="A546" s="1201"/>
      <c r="B546" s="2040" t="s">
        <v>1231</v>
      </c>
      <c r="C546" s="1201"/>
      <c r="D546" s="1201"/>
      <c r="E546" s="1201"/>
      <c r="F546" s="2038"/>
      <c r="G546" s="310" t="s">
        <v>1202</v>
      </c>
      <c r="H546" s="311">
        <f>H543*H545</f>
        <v>4.3500000000000005</v>
      </c>
      <c r="I546" s="2039"/>
      <c r="J546" s="2040" t="s">
        <v>1232</v>
      </c>
      <c r="K546" s="2040"/>
      <c r="L546" s="2041"/>
      <c r="M546" s="307" t="s">
        <v>1202</v>
      </c>
      <c r="N546" s="312">
        <f>N542*N545</f>
        <v>28</v>
      </c>
      <c r="O546" s="1201"/>
      <c r="P546" s="1201"/>
      <c r="Q546" s="1201"/>
    </row>
    <row r="547" spans="1:17" ht="16.5" thickBot="1">
      <c r="A547" s="1201"/>
      <c r="B547" s="2040" t="s">
        <v>1233</v>
      </c>
      <c r="C547" s="1201"/>
      <c r="D547" s="1201"/>
      <c r="E547" s="1201"/>
      <c r="F547" s="2038"/>
      <c r="G547" s="2038"/>
      <c r="H547" s="1985"/>
      <c r="I547" s="2039"/>
      <c r="J547" s="2246" t="s">
        <v>1234</v>
      </c>
      <c r="K547" s="2040"/>
      <c r="L547" s="2041"/>
      <c r="M547" s="4097" t="s">
        <v>1230</v>
      </c>
      <c r="N547" s="4098"/>
      <c r="O547" s="1201"/>
      <c r="P547" s="1201"/>
      <c r="Q547" s="1201"/>
    </row>
    <row r="548" spans="1:17" ht="15.75">
      <c r="A548" s="1201"/>
      <c r="B548" s="2246" t="s">
        <v>1235</v>
      </c>
      <c r="C548" s="1201"/>
      <c r="D548" s="1201"/>
      <c r="E548" s="1201"/>
      <c r="F548" s="2038"/>
      <c r="G548" s="4099" t="s">
        <v>1236</v>
      </c>
      <c r="H548" s="4100"/>
      <c r="I548" s="2039"/>
      <c r="J548" s="2040" t="s">
        <v>1237</v>
      </c>
      <c r="K548" s="2040"/>
      <c r="L548" s="2041"/>
      <c r="M548" s="4103" t="s">
        <v>1232</v>
      </c>
      <c r="N548" s="4104"/>
      <c r="O548" s="1201"/>
      <c r="P548" s="1201"/>
      <c r="Q548" s="1201"/>
    </row>
    <row r="549" spans="1:17" ht="15.75">
      <c r="A549" s="1201"/>
      <c r="B549" s="2040"/>
      <c r="C549" s="1201"/>
      <c r="D549" s="1201"/>
      <c r="E549" s="1201"/>
      <c r="F549" s="2038"/>
      <c r="G549" s="4101"/>
      <c r="H549" s="4102"/>
      <c r="I549" s="2039"/>
      <c r="J549" s="2246" t="s">
        <v>1238</v>
      </c>
      <c r="K549" s="2040"/>
      <c r="L549" s="2041"/>
      <c r="M549" s="313">
        <f>N545</f>
        <v>0.2</v>
      </c>
      <c r="N549" s="314">
        <f>N542*M549</f>
        <v>28</v>
      </c>
      <c r="O549" s="2252" t="s">
        <v>1239</v>
      </c>
      <c r="P549" s="1201"/>
      <c r="Q549" s="1201"/>
    </row>
    <row r="550" spans="1:17" ht="15.75">
      <c r="A550" s="1201"/>
      <c r="B550" s="2247" t="s">
        <v>1236</v>
      </c>
      <c r="C550" s="1201"/>
      <c r="D550" s="1201"/>
      <c r="E550" s="1201"/>
      <c r="F550" s="2038"/>
      <c r="G550" s="302" t="s">
        <v>1199</v>
      </c>
      <c r="H550" s="2253">
        <v>87</v>
      </c>
      <c r="I550" s="2039"/>
      <c r="J550" s="2040"/>
      <c r="K550" s="2040"/>
      <c r="L550" s="2041"/>
      <c r="M550" s="4105" t="s">
        <v>1234</v>
      </c>
      <c r="N550" s="4106"/>
      <c r="O550" s="1201"/>
      <c r="P550" s="1201"/>
      <c r="Q550" s="1201"/>
    </row>
    <row r="551" spans="1:17" ht="15.75">
      <c r="A551" s="1201"/>
      <c r="B551" s="2040" t="s">
        <v>1240</v>
      </c>
      <c r="C551" s="1201"/>
      <c r="D551" s="1201"/>
      <c r="E551" s="1201"/>
      <c r="F551" s="2038"/>
      <c r="G551" s="304" t="s">
        <v>1201</v>
      </c>
      <c r="H551" s="2251">
        <v>5</v>
      </c>
      <c r="I551" s="2039"/>
      <c r="J551" s="1201"/>
      <c r="K551" s="2040"/>
      <c r="L551" s="2041"/>
      <c r="M551" s="2254" t="s">
        <v>1237</v>
      </c>
      <c r="N551" s="1862"/>
      <c r="O551" s="1201"/>
      <c r="P551" s="1201"/>
      <c r="Q551" s="1201"/>
    </row>
    <row r="552" spans="1:17" ht="15.75">
      <c r="A552" s="1201"/>
      <c r="B552" s="2246" t="s">
        <v>1241</v>
      </c>
      <c r="C552" s="1201"/>
      <c r="D552" s="1201"/>
      <c r="E552" s="1201"/>
      <c r="F552" s="2038"/>
      <c r="G552" s="307" t="s">
        <v>1229</v>
      </c>
      <c r="H552" s="308">
        <f>(100-H551)/100</f>
        <v>0.95</v>
      </c>
      <c r="I552" s="2039"/>
      <c r="J552" s="1201"/>
      <c r="K552" s="2040"/>
      <c r="L552" s="2041"/>
      <c r="M552" s="315" t="s">
        <v>1201</v>
      </c>
      <c r="N552" s="2255">
        <v>40</v>
      </c>
      <c r="O552" s="1201"/>
      <c r="P552" s="1201"/>
      <c r="Q552" s="1201"/>
    </row>
    <row r="553" spans="1:17" ht="16.5" thickBot="1">
      <c r="A553" s="1201"/>
      <c r="B553" s="2040" t="s">
        <v>1242</v>
      </c>
      <c r="C553" s="1201"/>
      <c r="D553" s="1201"/>
      <c r="E553" s="1201"/>
      <c r="F553" s="2038"/>
      <c r="G553" s="310" t="s">
        <v>1205</v>
      </c>
      <c r="H553" s="311">
        <f>H550*H552</f>
        <v>82.649999999999991</v>
      </c>
      <c r="I553" s="2039"/>
      <c r="J553" s="1201"/>
      <c r="K553" s="2040"/>
      <c r="L553" s="2041"/>
      <c r="M553" s="313">
        <f>N552/100</f>
        <v>0.4</v>
      </c>
      <c r="N553" s="314">
        <f>N542*M553</f>
        <v>56</v>
      </c>
      <c r="O553" s="1201"/>
      <c r="P553" s="1201"/>
      <c r="Q553" s="1201"/>
    </row>
    <row r="554" spans="1:17" ht="15.75">
      <c r="A554" s="1201"/>
      <c r="B554" s="2246" t="s">
        <v>1243</v>
      </c>
      <c r="C554" s="1201"/>
      <c r="D554" s="1201"/>
      <c r="E554" s="1201"/>
      <c r="F554" s="2038"/>
      <c r="G554" s="2038"/>
      <c r="H554" s="1985"/>
      <c r="I554" s="2039"/>
      <c r="J554" s="1201"/>
      <c r="K554" s="2040"/>
      <c r="L554" s="2041"/>
      <c r="M554" s="315" t="s">
        <v>1201</v>
      </c>
      <c r="N554" s="2255">
        <v>90</v>
      </c>
      <c r="O554" s="1201"/>
      <c r="P554" s="1201"/>
      <c r="Q554" s="1201"/>
    </row>
    <row r="555" spans="1:17" ht="15.75">
      <c r="A555" s="1201"/>
      <c r="B555" s="2040" t="s">
        <v>1244</v>
      </c>
      <c r="C555" s="1201"/>
      <c r="D555" s="1201"/>
      <c r="E555" s="1201"/>
      <c r="F555" s="2038"/>
      <c r="G555" s="2038"/>
      <c r="H555" s="1985"/>
      <c r="I555" s="2039"/>
      <c r="J555" s="1201"/>
      <c r="K555" s="2040"/>
      <c r="L555" s="2041"/>
      <c r="M555" s="4103" t="s">
        <v>1238</v>
      </c>
      <c r="N555" s="4104"/>
      <c r="O555" s="1201"/>
      <c r="P555" s="1201"/>
      <c r="Q555" s="1201"/>
    </row>
    <row r="556" spans="1:17" ht="16.5" thickBot="1">
      <c r="A556" s="1201"/>
      <c r="B556" s="2040"/>
      <c r="C556" s="1201"/>
      <c r="D556" s="1201"/>
      <c r="E556" s="1201"/>
      <c r="F556" s="2038"/>
      <c r="G556" s="2038"/>
      <c r="H556" s="1985"/>
      <c r="I556" s="2039"/>
      <c r="J556" s="1201"/>
      <c r="K556" s="2040"/>
      <c r="L556" s="2041"/>
      <c r="M556" s="316">
        <f>N554/100</f>
        <v>0.9</v>
      </c>
      <c r="N556" s="317">
        <f>N542*M556</f>
        <v>126</v>
      </c>
      <c r="O556" s="1201"/>
      <c r="P556" s="1201"/>
      <c r="Q556" s="1201"/>
    </row>
    <row r="557" spans="1:17" ht="15.75">
      <c r="A557" s="1201"/>
      <c r="B557" s="2040" t="s">
        <v>1245</v>
      </c>
      <c r="C557" s="2040"/>
      <c r="D557" s="2041"/>
      <c r="E557" s="2040"/>
      <c r="F557" s="2040"/>
      <c r="G557" s="4107" t="s">
        <v>1245</v>
      </c>
      <c r="H557" s="4108"/>
      <c r="I557" s="2039"/>
      <c r="J557" s="2040"/>
      <c r="K557" s="2040"/>
      <c r="L557" s="2040"/>
      <c r="M557" s="2040"/>
      <c r="N557" s="2040"/>
      <c r="O557" s="1201"/>
      <c r="P557" s="1201"/>
      <c r="Q557" s="1201"/>
    </row>
    <row r="558" spans="1:17" ht="15.75">
      <c r="A558" s="1201"/>
      <c r="B558" s="2040" t="s">
        <v>1246</v>
      </c>
      <c r="C558" s="2040"/>
      <c r="D558" s="2041"/>
      <c r="E558" s="2040"/>
      <c r="F558" s="2040"/>
      <c r="G558" s="4109"/>
      <c r="H558" s="4110"/>
      <c r="I558" s="2039"/>
      <c r="J558" s="2040"/>
      <c r="K558" s="2040"/>
      <c r="L558" s="2040"/>
      <c r="M558" s="2040"/>
      <c r="N558" s="2040"/>
      <c r="O558" s="1201"/>
      <c r="P558" s="1201"/>
      <c r="Q558" s="1201"/>
    </row>
    <row r="559" spans="1:17" ht="15.75">
      <c r="A559" s="1201"/>
      <c r="B559" s="2040" t="s">
        <v>1247</v>
      </c>
      <c r="C559" s="2040"/>
      <c r="D559" s="2041"/>
      <c r="E559" s="2040"/>
      <c r="F559" s="2040"/>
      <c r="G559" s="4091" t="s">
        <v>1246</v>
      </c>
      <c r="H559" s="4092"/>
      <c r="I559" s="2039"/>
      <c r="J559" s="2040"/>
      <c r="K559" s="2040"/>
      <c r="L559" s="2040"/>
      <c r="M559" s="2040"/>
      <c r="N559" s="2040"/>
      <c r="O559" s="1201"/>
      <c r="P559" s="1201"/>
      <c r="Q559" s="1201"/>
    </row>
    <row r="560" spans="1:17" ht="15.75">
      <c r="A560" s="1201"/>
      <c r="B560" s="2040" t="s">
        <v>1248</v>
      </c>
      <c r="C560" s="2040"/>
      <c r="D560" s="2041"/>
      <c r="E560" s="2040"/>
      <c r="F560" s="2040"/>
      <c r="G560" s="4093" t="s">
        <v>1247</v>
      </c>
      <c r="H560" s="4094"/>
      <c r="I560" s="2039"/>
      <c r="J560" s="2040"/>
      <c r="K560" s="2040"/>
      <c r="L560" s="2040"/>
      <c r="M560" s="2040"/>
      <c r="N560" s="2040"/>
      <c r="O560" s="1201"/>
      <c r="P560" s="1201"/>
      <c r="Q560" s="1201"/>
    </row>
    <row r="561" spans="1:17" ht="15.75">
      <c r="A561" s="1201"/>
      <c r="B561" s="2040" t="s">
        <v>1249</v>
      </c>
      <c r="C561" s="2040"/>
      <c r="D561" s="2041"/>
      <c r="E561" s="2040"/>
      <c r="F561" s="2040"/>
      <c r="G561" s="318" t="s">
        <v>1199</v>
      </c>
      <c r="H561" s="2256">
        <v>500</v>
      </c>
      <c r="I561" s="2039"/>
      <c r="J561" s="2040"/>
      <c r="K561" s="2040"/>
      <c r="L561" s="2040"/>
      <c r="M561" s="2040"/>
      <c r="N561" s="2040"/>
      <c r="O561" s="1201"/>
      <c r="P561" s="1201"/>
      <c r="Q561" s="1201"/>
    </row>
    <row r="562" spans="1:17" ht="15.75">
      <c r="A562" s="1201"/>
      <c r="B562" s="2040" t="s">
        <v>1250</v>
      </c>
      <c r="C562" s="2040"/>
      <c r="D562" s="2041"/>
      <c r="E562" s="2040"/>
      <c r="F562" s="2040"/>
      <c r="G562" s="315" t="s">
        <v>1201</v>
      </c>
      <c r="H562" s="2255">
        <v>8</v>
      </c>
      <c r="I562" s="2039"/>
      <c r="J562" s="2040"/>
      <c r="K562" s="2040"/>
      <c r="L562" s="2040"/>
      <c r="M562" s="2040"/>
      <c r="N562" s="2040"/>
      <c r="O562" s="1201"/>
      <c r="P562" s="1201"/>
      <c r="Q562" s="1201"/>
    </row>
    <row r="563" spans="1:17" ht="15.75">
      <c r="A563" s="1201"/>
      <c r="B563" s="2040"/>
      <c r="C563" s="2040"/>
      <c r="D563" s="2041"/>
      <c r="E563" s="2040"/>
      <c r="F563" s="2040"/>
      <c r="G563" s="307" t="s">
        <v>1202</v>
      </c>
      <c r="H563" s="312">
        <f>H561*(H562/100)</f>
        <v>40</v>
      </c>
      <c r="I563" s="2039"/>
      <c r="J563" s="2040"/>
      <c r="K563" s="2040"/>
      <c r="L563" s="2040"/>
      <c r="M563" s="2040"/>
      <c r="N563" s="2040"/>
      <c r="O563" s="1201"/>
      <c r="P563" s="1201"/>
      <c r="Q563" s="1201"/>
    </row>
    <row r="564" spans="1:17" ht="15.75">
      <c r="A564" s="1201"/>
      <c r="B564" s="2040"/>
      <c r="C564" s="2040"/>
      <c r="D564" s="2041"/>
      <c r="E564" s="2040"/>
      <c r="F564" s="2040"/>
      <c r="G564" s="4095" t="s">
        <v>1248</v>
      </c>
      <c r="H564" s="4096"/>
      <c r="I564" s="2039"/>
      <c r="J564" s="2040"/>
      <c r="K564" s="2040"/>
      <c r="L564" s="2040"/>
      <c r="M564" s="2040"/>
      <c r="N564" s="2040"/>
      <c r="O564" s="1201"/>
      <c r="P564" s="1201"/>
      <c r="Q564" s="1201"/>
    </row>
    <row r="565" spans="1:17" ht="15.75">
      <c r="A565" s="1201"/>
      <c r="B565" s="2040"/>
      <c r="C565" s="2040"/>
      <c r="D565" s="2041"/>
      <c r="E565" s="2040"/>
      <c r="F565" s="2040"/>
      <c r="G565" s="4093" t="s">
        <v>1249</v>
      </c>
      <c r="H565" s="4094"/>
      <c r="I565" s="2039"/>
      <c r="J565" s="2040"/>
      <c r="K565" s="2040"/>
      <c r="L565" s="2040"/>
      <c r="M565" s="2040"/>
      <c r="N565" s="2040"/>
      <c r="O565" s="1201"/>
      <c r="P565" s="1201"/>
      <c r="Q565" s="1201"/>
    </row>
    <row r="566" spans="1:17" ht="16.5" thickBot="1">
      <c r="A566" s="1201"/>
      <c r="B566" s="2040"/>
      <c r="C566" s="2040"/>
      <c r="D566" s="2041"/>
      <c r="E566" s="2040"/>
      <c r="F566" s="2040"/>
      <c r="G566" s="319">
        <f>H562/100</f>
        <v>0.08</v>
      </c>
      <c r="H566" s="317">
        <f>H561*G566</f>
        <v>40</v>
      </c>
      <c r="I566" s="2039"/>
      <c r="J566" s="2040"/>
      <c r="K566" s="2040"/>
      <c r="L566" s="2040"/>
      <c r="M566" s="2040"/>
      <c r="N566" s="2040"/>
      <c r="O566" s="1201"/>
      <c r="P566" s="1201"/>
      <c r="Q566" s="1201"/>
    </row>
    <row r="567" spans="1:17" ht="15.75">
      <c r="A567" s="1201"/>
      <c r="B567" s="334"/>
      <c r="C567" s="1201"/>
      <c r="D567" s="1201"/>
      <c r="E567" s="1201"/>
      <c r="F567" s="2038"/>
      <c r="G567" s="2038"/>
      <c r="H567" s="1985"/>
      <c r="I567" s="2039"/>
      <c r="J567" s="2040"/>
      <c r="K567" s="2040"/>
      <c r="L567" s="2040"/>
      <c r="M567" s="2040"/>
      <c r="N567" s="2040"/>
      <c r="O567" s="1201"/>
      <c r="P567" s="1201"/>
      <c r="Q567" s="1201"/>
    </row>
    <row r="568" spans="1:17" ht="16.5" thickBot="1">
      <c r="A568" s="1201"/>
      <c r="B568" s="334"/>
      <c r="C568" s="1201"/>
      <c r="D568" s="1201"/>
      <c r="E568" s="1201"/>
      <c r="F568" s="2038"/>
      <c r="G568" s="2038"/>
      <c r="H568" s="1985"/>
      <c r="I568" s="2039"/>
      <c r="J568" s="2040"/>
      <c r="K568" s="2040"/>
      <c r="L568" s="2040"/>
      <c r="M568" s="2040"/>
      <c r="N568" s="2040"/>
      <c r="O568" s="1201"/>
      <c r="P568" s="1201"/>
      <c r="Q568" s="1201"/>
    </row>
    <row r="569" spans="1:17" ht="21">
      <c r="A569" s="1201"/>
      <c r="B569" s="2257"/>
      <c r="C569" s="2258"/>
      <c r="D569" s="2258"/>
      <c r="E569" s="2258"/>
      <c r="F569" s="2258"/>
      <c r="G569" s="2258"/>
      <c r="H569" s="2259" t="s">
        <v>1251</v>
      </c>
      <c r="I569" s="2039"/>
      <c r="J569" s="2040"/>
      <c r="K569" s="2040"/>
      <c r="L569" s="2040"/>
      <c r="M569" s="2040"/>
      <c r="N569" s="2040"/>
      <c r="O569" s="1201"/>
      <c r="P569" s="1201"/>
      <c r="Q569" s="1201"/>
    </row>
    <row r="570" spans="1:17" ht="15.75">
      <c r="A570" s="1201"/>
      <c r="B570" s="2260" t="s">
        <v>1252</v>
      </c>
      <c r="C570" s="2261"/>
      <c r="D570" s="2262" t="str">
        <f>IF(B571&lt;G571,"Recette imcomplète,il manque",IF(B571&gt;G571,"Trop de produits dans le recette",IF(B571=G571,"")))</f>
        <v>Recette imcomplète,il manque</v>
      </c>
      <c r="E570" s="2263">
        <f>IF(B571=G571,"",IF(B571&lt;G571,G571-B571,IF(B571&gt;G571,B571-G571)))</f>
        <v>2.9999999999999916E-2</v>
      </c>
      <c r="F570" s="2264" t="s">
        <v>1253</v>
      </c>
      <c r="G570" s="2265" t="s">
        <v>1254</v>
      </c>
      <c r="H570" s="2266" t="s">
        <v>1255</v>
      </c>
      <c r="I570" s="2039"/>
      <c r="J570" s="2040"/>
      <c r="K570" s="2040"/>
      <c r="L570" s="2040"/>
      <c r="M570" s="2040"/>
      <c r="N570" s="2040"/>
      <c r="O570" s="1201"/>
      <c r="P570" s="1201"/>
      <c r="Q570" s="1201"/>
    </row>
    <row r="571" spans="1:17" ht="15.75">
      <c r="A571" s="1201"/>
      <c r="B571" s="2267">
        <f>SUM(B572:B577)</f>
        <v>0.97000000000000008</v>
      </c>
      <c r="C571" s="2268"/>
      <c r="D571" s="2269"/>
      <c r="E571" s="2270" t="s">
        <v>1256</v>
      </c>
      <c r="F571" s="2271">
        <v>7</v>
      </c>
      <c r="G571" s="2272">
        <v>1</v>
      </c>
      <c r="H571" s="2273">
        <f>SUM(H572:H577)</f>
        <v>6.9300000000000006</v>
      </c>
      <c r="I571" s="2039"/>
      <c r="J571" s="2040"/>
      <c r="K571" s="2040"/>
      <c r="L571" s="2040"/>
      <c r="M571" s="2040"/>
      <c r="N571" s="2040"/>
      <c r="O571" s="1201"/>
      <c r="P571" s="1201"/>
      <c r="Q571" s="1201"/>
    </row>
    <row r="572" spans="1:17" ht="15.75">
      <c r="A572" s="1201"/>
      <c r="B572" s="2274">
        <v>0.12</v>
      </c>
      <c r="C572" s="2275" t="s">
        <v>1257</v>
      </c>
      <c r="D572" s="2275"/>
      <c r="E572" s="2275"/>
      <c r="F572" s="320">
        <f>F571*B572</f>
        <v>0.84</v>
      </c>
      <c r="G572" s="2276">
        <v>0</v>
      </c>
      <c r="H572" s="321">
        <f t="shared" ref="H572:H577" si="4">IF(G572=0,F572,IF(F572="","",F572/(100-G572)*100))</f>
        <v>0.84</v>
      </c>
      <c r="I572" s="2039"/>
      <c r="J572" s="2040"/>
      <c r="K572" s="2040"/>
      <c r="L572" s="2040"/>
      <c r="M572" s="2040"/>
      <c r="N572" s="2040"/>
      <c r="O572" s="1201"/>
      <c r="P572" s="1201"/>
      <c r="Q572" s="1201"/>
    </row>
    <row r="573" spans="1:17" ht="15.75">
      <c r="A573" s="1201"/>
      <c r="B573" s="2274">
        <v>0.08</v>
      </c>
      <c r="C573" s="2275" t="s">
        <v>1258</v>
      </c>
      <c r="D573" s="2275"/>
      <c r="E573" s="2275"/>
      <c r="F573" s="322">
        <f>F571*B573</f>
        <v>0.56000000000000005</v>
      </c>
      <c r="G573" s="2276">
        <v>0</v>
      </c>
      <c r="H573" s="321">
        <f t="shared" si="4"/>
        <v>0.56000000000000005</v>
      </c>
      <c r="I573" s="2039"/>
      <c r="J573" s="2040"/>
      <c r="K573" s="2040"/>
      <c r="L573" s="2040"/>
      <c r="M573" s="2040"/>
      <c r="N573" s="2040"/>
      <c r="O573" s="1201"/>
      <c r="P573" s="1201"/>
      <c r="Q573" s="1201"/>
    </row>
    <row r="574" spans="1:17" ht="15.75">
      <c r="A574" s="1201"/>
      <c r="B574" s="2274">
        <v>0.2</v>
      </c>
      <c r="C574" s="2275" t="s">
        <v>1259</v>
      </c>
      <c r="D574" s="2275"/>
      <c r="E574" s="2275"/>
      <c r="F574" s="322">
        <f>F571*B574</f>
        <v>1.4000000000000001</v>
      </c>
      <c r="G574" s="2276">
        <v>0</v>
      </c>
      <c r="H574" s="321">
        <f t="shared" si="4"/>
        <v>1.4000000000000001</v>
      </c>
      <c r="I574" s="2039"/>
      <c r="J574" s="2040"/>
      <c r="K574" s="2040"/>
      <c r="L574" s="2040"/>
      <c r="M574" s="2040"/>
      <c r="N574" s="2040"/>
      <c r="O574" s="1201"/>
      <c r="P574" s="1201"/>
      <c r="Q574" s="1201"/>
    </row>
    <row r="575" spans="1:17" ht="15.75">
      <c r="A575" s="1201"/>
      <c r="B575" s="2274">
        <v>0.55000000000000004</v>
      </c>
      <c r="C575" s="2275" t="s">
        <v>1260</v>
      </c>
      <c r="D575" s="2275"/>
      <c r="E575" s="2275"/>
      <c r="F575" s="322">
        <f>F571*B575</f>
        <v>3.8500000000000005</v>
      </c>
      <c r="G575" s="2276">
        <v>0</v>
      </c>
      <c r="H575" s="321">
        <f t="shared" si="4"/>
        <v>3.8500000000000005</v>
      </c>
      <c r="I575" s="2039"/>
      <c r="J575" s="2040"/>
      <c r="K575" s="2040"/>
      <c r="L575" s="2040"/>
      <c r="M575" s="2040"/>
      <c r="N575" s="2040"/>
      <c r="O575" s="1201"/>
      <c r="P575" s="1201"/>
      <c r="Q575" s="1201"/>
    </row>
    <row r="576" spans="1:17" ht="15.75">
      <c r="A576" s="1201"/>
      <c r="B576" s="2274">
        <v>0.02</v>
      </c>
      <c r="C576" s="2275" t="s">
        <v>1261</v>
      </c>
      <c r="D576" s="2275"/>
      <c r="E576" s="2275"/>
      <c r="F576" s="322">
        <f>F571*B576</f>
        <v>0.14000000000000001</v>
      </c>
      <c r="G576" s="2276">
        <v>50</v>
      </c>
      <c r="H576" s="321">
        <f t="shared" si="4"/>
        <v>0.28000000000000003</v>
      </c>
      <c r="I576" s="2039"/>
      <c r="J576" s="2040"/>
      <c r="K576" s="2040"/>
      <c r="L576" s="2040"/>
      <c r="M576" s="2040"/>
      <c r="N576" s="2040"/>
      <c r="O576" s="1201"/>
      <c r="P576" s="1201"/>
      <c r="Q576" s="1201"/>
    </row>
    <row r="577" spans="1:17" ht="16.5" thickBot="1">
      <c r="A577" s="1201"/>
      <c r="B577" s="2277"/>
      <c r="C577" s="2278"/>
      <c r="D577" s="2278"/>
      <c r="E577" s="2278"/>
      <c r="F577" s="323">
        <f>F571*B577</f>
        <v>0</v>
      </c>
      <c r="G577" s="2279">
        <v>0</v>
      </c>
      <c r="H577" s="324">
        <f t="shared" si="4"/>
        <v>0</v>
      </c>
      <c r="I577" s="2039"/>
      <c r="J577" s="2040"/>
      <c r="K577" s="2040"/>
      <c r="L577" s="2040"/>
      <c r="M577" s="2040"/>
      <c r="N577" s="2040"/>
      <c r="O577" s="1201"/>
      <c r="P577" s="1201"/>
      <c r="Q577" s="1201"/>
    </row>
    <row r="578" spans="1:17" ht="15.75">
      <c r="A578" s="1201"/>
      <c r="B578" s="334"/>
      <c r="C578" s="1201"/>
      <c r="D578" s="1201"/>
      <c r="E578" s="1201"/>
      <c r="F578" s="2038"/>
      <c r="G578" s="2038"/>
      <c r="H578" s="1985"/>
      <c r="I578" s="2039"/>
      <c r="J578" s="2040"/>
      <c r="K578" s="2040"/>
      <c r="L578" s="2040"/>
      <c r="M578" s="2040"/>
      <c r="N578" s="2040"/>
      <c r="O578" s="1201"/>
      <c r="P578" s="1201"/>
      <c r="Q578" s="1201"/>
    </row>
    <row r="579" spans="1:17">
      <c r="A579" s="1997"/>
      <c r="B579" s="1998"/>
      <c r="C579" s="1999"/>
      <c r="D579" s="1999"/>
      <c r="E579" s="1999"/>
      <c r="F579" s="1999"/>
      <c r="G579" s="1999"/>
      <c r="H579" s="1999"/>
      <c r="I579" s="1999"/>
      <c r="J579" s="1998"/>
      <c r="K579" s="1998"/>
      <c r="L579" s="1998"/>
      <c r="M579" s="1997"/>
      <c r="N579" s="1997"/>
      <c r="O579" s="1997"/>
      <c r="P579" s="1997"/>
      <c r="Q579" s="1997"/>
    </row>
    <row r="580" spans="1:17" ht="15.75">
      <c r="A580" s="1201"/>
      <c r="B580" s="334"/>
      <c r="C580" s="1201"/>
      <c r="D580" s="1201"/>
      <c r="E580" s="1201"/>
      <c r="F580" s="2038"/>
      <c r="G580" s="2038"/>
      <c r="H580" s="1985"/>
      <c r="I580" s="2039"/>
      <c r="J580" s="2040"/>
      <c r="K580" s="2040"/>
      <c r="L580" s="2040"/>
      <c r="M580" s="2040"/>
      <c r="N580" s="2040"/>
      <c r="O580" s="1201"/>
      <c r="P580" s="1201"/>
      <c r="Q580" s="1201"/>
    </row>
    <row r="581" spans="1:17" ht="15.75">
      <c r="A581" s="1201"/>
      <c r="B581" s="334" t="s">
        <v>1262</v>
      </c>
      <c r="C581" s="1201"/>
      <c r="D581" s="1201"/>
      <c r="E581" s="1201"/>
      <c r="F581" s="2038"/>
      <c r="G581" s="2038"/>
      <c r="H581" s="1985"/>
      <c r="I581" s="2039"/>
      <c r="J581" s="2040"/>
      <c r="K581" s="2040"/>
      <c r="L581" s="2041"/>
      <c r="M581" s="325"/>
      <c r="N581" s="326"/>
      <c r="O581" s="1201"/>
      <c r="P581" s="1201"/>
      <c r="Q581" s="1201"/>
    </row>
    <row r="582" spans="1:17" ht="15.75">
      <c r="A582" s="1201"/>
      <c r="B582" s="4087" t="s">
        <v>1263</v>
      </c>
      <c r="C582" s="4087"/>
      <c r="D582" s="4087"/>
      <c r="E582" s="4087"/>
      <c r="F582" s="4087"/>
      <c r="G582" s="4087"/>
      <c r="H582" s="1985"/>
      <c r="I582" s="2039"/>
      <c r="J582" s="2040" t="s">
        <v>1264</v>
      </c>
      <c r="K582" s="2040"/>
      <c r="L582" s="2041"/>
      <c r="M582" s="2039"/>
      <c r="N582" s="2039"/>
      <c r="O582" s="1201"/>
      <c r="P582" s="1201"/>
      <c r="Q582" s="1201"/>
    </row>
    <row r="583" spans="1:17" ht="15.75">
      <c r="A583" s="1201"/>
      <c r="B583" s="2040"/>
      <c r="C583" s="1201"/>
      <c r="D583" s="1201"/>
      <c r="E583" s="1201"/>
      <c r="F583" s="2038"/>
      <c r="G583" s="2038"/>
      <c r="H583" s="1985"/>
      <c r="I583" s="2039"/>
      <c r="J583" s="2243" t="s">
        <v>1265</v>
      </c>
      <c r="K583" s="2040"/>
      <c r="L583" s="2041"/>
      <c r="M583" s="2039"/>
      <c r="N583" s="2039"/>
      <c r="O583" s="1201"/>
      <c r="P583" s="1201"/>
      <c r="Q583" s="1201"/>
    </row>
    <row r="584" spans="1:17" ht="15.75">
      <c r="A584" s="1201"/>
      <c r="B584" s="2040" t="s">
        <v>1266</v>
      </c>
      <c r="C584" s="1201"/>
      <c r="D584" s="1201"/>
      <c r="E584" s="1201"/>
      <c r="F584" s="2038"/>
      <c r="G584" s="2038"/>
      <c r="H584" s="1985"/>
      <c r="I584" s="2039"/>
      <c r="J584" s="2040"/>
      <c r="K584" s="2040"/>
      <c r="L584" s="2041"/>
      <c r="M584" s="2039"/>
      <c r="N584" s="2039"/>
      <c r="O584" s="1201"/>
      <c r="P584" s="1201"/>
      <c r="Q584" s="1201"/>
    </row>
    <row r="585" spans="1:17" ht="15.75">
      <c r="A585" s="1201"/>
      <c r="B585" s="2040" t="s">
        <v>1267</v>
      </c>
      <c r="C585" s="1201"/>
      <c r="D585" s="1201"/>
      <c r="E585" s="1201"/>
      <c r="F585" s="2038"/>
      <c r="G585" s="2038"/>
      <c r="H585" s="1985"/>
      <c r="I585" s="2039"/>
      <c r="J585" s="2040" t="s">
        <v>1268</v>
      </c>
      <c r="K585" s="2040"/>
      <c r="L585" s="2041"/>
      <c r="M585" s="2039"/>
      <c r="N585" s="2039"/>
      <c r="O585" s="1201"/>
      <c r="P585" s="1201"/>
      <c r="Q585" s="1201"/>
    </row>
    <row r="586" spans="1:17" ht="15.75">
      <c r="A586" s="1201"/>
      <c r="B586" s="2040" t="s">
        <v>1269</v>
      </c>
      <c r="C586" s="1201"/>
      <c r="D586" s="1201"/>
      <c r="E586" s="1201"/>
      <c r="F586" s="2038"/>
      <c r="G586" s="2038"/>
      <c r="H586" s="1985"/>
      <c r="I586" s="2039"/>
      <c r="J586" s="2040" t="s">
        <v>1270</v>
      </c>
      <c r="K586" s="2040"/>
      <c r="L586" s="2041"/>
      <c r="M586" s="2039"/>
      <c r="N586" s="2039"/>
      <c r="O586" s="1201"/>
      <c r="P586" s="1201"/>
      <c r="Q586" s="1201"/>
    </row>
    <row r="587" spans="1:17" ht="15.75">
      <c r="A587" s="1201"/>
      <c r="B587" s="2040" t="s">
        <v>1271</v>
      </c>
      <c r="C587" s="1201"/>
      <c r="D587" s="1201"/>
      <c r="E587" s="1201"/>
      <c r="F587" s="2038"/>
      <c r="G587" s="2038"/>
      <c r="H587" s="1985"/>
      <c r="I587" s="2039"/>
      <c r="J587" s="2040" t="s">
        <v>1272</v>
      </c>
      <c r="K587" s="2040"/>
      <c r="L587" s="2041"/>
      <c r="M587" s="2039"/>
      <c r="N587" s="2039"/>
      <c r="O587" s="1201"/>
      <c r="P587" s="1201"/>
      <c r="Q587" s="1985"/>
    </row>
    <row r="588" spans="1:17" ht="15.75">
      <c r="A588" s="1201"/>
      <c r="B588" s="4087" t="s">
        <v>1273</v>
      </c>
      <c r="C588" s="4087"/>
      <c r="D588" s="4087"/>
      <c r="E588" s="4087"/>
      <c r="F588" s="2038"/>
      <c r="G588" s="2038"/>
      <c r="H588" s="1985"/>
      <c r="I588" s="2039"/>
      <c r="J588" s="2040" t="s">
        <v>1274</v>
      </c>
      <c r="K588" s="2040"/>
      <c r="L588" s="2041"/>
      <c r="M588" s="2039"/>
      <c r="N588" s="2039"/>
      <c r="O588" s="1201"/>
      <c r="P588" s="1201"/>
      <c r="Q588" s="1985"/>
    </row>
    <row r="589" spans="1:17" ht="15.75">
      <c r="A589" s="1201"/>
      <c r="B589" s="2040"/>
      <c r="C589" s="1201"/>
      <c r="D589" s="1201"/>
      <c r="E589" s="1201"/>
      <c r="F589" s="2038"/>
      <c r="G589" s="2038"/>
      <c r="H589" s="1985"/>
      <c r="I589" s="2039"/>
      <c r="J589" s="2243" t="s">
        <v>1275</v>
      </c>
      <c r="K589" s="2040"/>
      <c r="L589" s="2041"/>
      <c r="M589" s="2039"/>
      <c r="N589" s="2039"/>
      <c r="O589" s="1201"/>
      <c r="P589" s="1201"/>
      <c r="Q589" s="1985"/>
    </row>
    <row r="590" spans="1:17" ht="15.75">
      <c r="A590" s="1201"/>
      <c r="B590" s="2246" t="s">
        <v>1276</v>
      </c>
      <c r="C590" s="1201"/>
      <c r="D590" s="1201"/>
      <c r="E590" s="1201"/>
      <c r="F590" s="2038"/>
      <c r="G590" s="2038"/>
      <c r="H590" s="1985"/>
      <c r="I590" s="2039"/>
      <c r="J590" s="2243" t="s">
        <v>1277</v>
      </c>
      <c r="K590" s="2040"/>
      <c r="L590" s="2041"/>
      <c r="M590" s="2039"/>
      <c r="N590" s="2039"/>
      <c r="O590" s="1201"/>
      <c r="P590" s="1201"/>
      <c r="Q590" s="1985"/>
    </row>
    <row r="591" spans="1:17" ht="15.75">
      <c r="A591" s="1201"/>
      <c r="B591" s="4087" t="s">
        <v>1278</v>
      </c>
      <c r="C591" s="4087"/>
      <c r="D591" s="4087"/>
      <c r="E591" s="4087"/>
      <c r="F591" s="4087"/>
      <c r="G591" s="2038"/>
      <c r="H591" s="1985"/>
      <c r="I591" s="2039"/>
      <c r="J591" s="2040"/>
      <c r="K591" s="2040"/>
      <c r="L591" s="2041"/>
      <c r="M591" s="2039"/>
      <c r="N591" s="2039"/>
      <c r="O591" s="1201"/>
      <c r="P591" s="1201"/>
      <c r="Q591" s="1985"/>
    </row>
    <row r="592" spans="1:17" ht="15.75">
      <c r="A592" s="1201"/>
      <c r="B592" s="2040"/>
      <c r="C592" s="1201"/>
      <c r="D592" s="1201"/>
      <c r="E592" s="1201"/>
      <c r="F592" s="2038"/>
      <c r="G592" s="2038"/>
      <c r="H592" s="1985"/>
      <c r="I592" s="2039"/>
      <c r="J592" s="2246" t="s">
        <v>1279</v>
      </c>
      <c r="K592" s="2040"/>
      <c r="L592" s="2041"/>
      <c r="M592" s="2039"/>
      <c r="N592" s="2039"/>
      <c r="O592" s="1201"/>
      <c r="P592" s="1201"/>
      <c r="Q592" s="1985"/>
    </row>
    <row r="593" spans="1:17" ht="15.75">
      <c r="A593" s="1201"/>
      <c r="B593" s="2040"/>
      <c r="C593" s="1201"/>
      <c r="D593" s="1201"/>
      <c r="E593" s="1201"/>
      <c r="F593" s="2038"/>
      <c r="G593" s="2038"/>
      <c r="H593" s="1985"/>
      <c r="I593" s="2039"/>
      <c r="J593" s="2243" t="s">
        <v>1280</v>
      </c>
      <c r="K593" s="2040"/>
      <c r="L593" s="2041"/>
      <c r="M593" s="2039"/>
      <c r="N593" s="2039"/>
      <c r="O593" s="1201"/>
      <c r="P593" s="1201"/>
      <c r="Q593" s="1985"/>
    </row>
    <row r="594" spans="1:17" ht="15.75">
      <c r="A594" s="1201"/>
      <c r="B594" s="2246" t="s">
        <v>1281</v>
      </c>
      <c r="C594" s="1201"/>
      <c r="D594" s="1201"/>
      <c r="E594" s="1201"/>
      <c r="F594" s="2038"/>
      <c r="G594" s="2038"/>
      <c r="H594" s="1985"/>
      <c r="I594" s="2039"/>
      <c r="J594" s="2040"/>
      <c r="K594" s="2040"/>
      <c r="L594" s="2041"/>
      <c r="M594" s="2039"/>
      <c r="N594" s="2039"/>
      <c r="O594" s="1201"/>
      <c r="P594" s="1201"/>
      <c r="Q594" s="1985"/>
    </row>
    <row r="595" spans="1:17" ht="15.75">
      <c r="A595" s="1201"/>
      <c r="B595" s="4087" t="s">
        <v>1282</v>
      </c>
      <c r="C595" s="4087"/>
      <c r="D595" s="4087"/>
      <c r="E595" s="4087"/>
      <c r="F595" s="4087"/>
      <c r="G595" s="4087"/>
      <c r="H595" s="1985"/>
      <c r="I595" s="2039"/>
      <c r="J595" s="2040" t="s">
        <v>1283</v>
      </c>
      <c r="K595" s="2040"/>
      <c r="L595" s="2041"/>
      <c r="M595" s="2039"/>
      <c r="N595" s="2039"/>
      <c r="O595" s="1201"/>
      <c r="P595" s="1201"/>
      <c r="Q595" s="1985"/>
    </row>
    <row r="596" spans="1:17" ht="15.75">
      <c r="A596" s="1201"/>
      <c r="B596" s="4087" t="s">
        <v>1284</v>
      </c>
      <c r="C596" s="4087"/>
      <c r="D596" s="4087"/>
      <c r="E596" s="4087"/>
      <c r="F596" s="4087"/>
      <c r="G596" s="4087"/>
      <c r="H596" s="1985"/>
      <c r="I596" s="2039"/>
      <c r="J596" s="2243" t="s">
        <v>1285</v>
      </c>
      <c r="K596" s="2040"/>
      <c r="L596" s="2041"/>
      <c r="M596" s="2039"/>
      <c r="N596" s="2039"/>
      <c r="O596" s="1201"/>
      <c r="P596" s="1201"/>
      <c r="Q596" s="1985"/>
    </row>
    <row r="597" spans="1:17" ht="15.75">
      <c r="A597" s="1201"/>
      <c r="B597" s="2040"/>
      <c r="C597" s="1201"/>
      <c r="D597" s="1201"/>
      <c r="E597" s="1201"/>
      <c r="F597" s="2038"/>
      <c r="G597" s="2038"/>
      <c r="H597" s="1985"/>
      <c r="I597" s="2039"/>
      <c r="J597" s="2040"/>
      <c r="K597" s="2040"/>
      <c r="L597" s="2041"/>
      <c r="M597" s="2039"/>
      <c r="N597" s="2039"/>
      <c r="O597" s="1201"/>
      <c r="P597" s="1201"/>
      <c r="Q597" s="1985"/>
    </row>
    <row r="598" spans="1:17" ht="15.75">
      <c r="A598" s="1201"/>
      <c r="B598" s="2246" t="s">
        <v>1286</v>
      </c>
      <c r="C598" s="1201"/>
      <c r="D598" s="1201"/>
      <c r="E598" s="1201"/>
      <c r="F598" s="2038"/>
      <c r="G598" s="2038"/>
      <c r="H598" s="1985"/>
      <c r="I598" s="2039"/>
      <c r="J598" s="2040" t="s">
        <v>1287</v>
      </c>
      <c r="K598" s="2040"/>
      <c r="L598" s="2041"/>
      <c r="M598" s="2039"/>
      <c r="N598" s="2039"/>
      <c r="O598" s="1201"/>
      <c r="P598" s="1201"/>
      <c r="Q598" s="1985"/>
    </row>
    <row r="599" spans="1:17" ht="15.75">
      <c r="A599" s="1201"/>
      <c r="B599" s="2040" t="s">
        <v>1288</v>
      </c>
      <c r="C599" s="1201"/>
      <c r="D599" s="1201"/>
      <c r="E599" s="1201"/>
      <c r="F599" s="2038"/>
      <c r="G599" s="2038"/>
      <c r="H599" s="1985"/>
      <c r="I599" s="2039"/>
      <c r="J599" s="2243" t="s">
        <v>1289</v>
      </c>
      <c r="K599" s="2040"/>
      <c r="L599" s="2041"/>
      <c r="M599" s="2039"/>
      <c r="N599" s="2039"/>
      <c r="O599" s="1201"/>
      <c r="P599" s="1201"/>
      <c r="Q599" s="1985"/>
    </row>
    <row r="600" spans="1:17" ht="15.75">
      <c r="A600" s="1201"/>
      <c r="B600" s="2040" t="s">
        <v>1290</v>
      </c>
      <c r="C600" s="1201"/>
      <c r="D600" s="1201"/>
      <c r="E600" s="1201"/>
      <c r="F600" s="2038"/>
      <c r="G600" s="2038"/>
      <c r="H600" s="1985"/>
      <c r="I600" s="2039"/>
      <c r="J600" s="2040"/>
      <c r="K600" s="2040"/>
      <c r="L600" s="2041"/>
      <c r="M600" s="2039"/>
      <c r="N600" s="2039"/>
      <c r="O600" s="1201"/>
      <c r="P600" s="1201"/>
      <c r="Q600" s="1985"/>
    </row>
    <row r="601" spans="1:17" ht="15.75">
      <c r="A601" s="1201"/>
      <c r="B601" s="2040" t="s">
        <v>1291</v>
      </c>
      <c r="C601" s="1201"/>
      <c r="D601" s="1201"/>
      <c r="E601" s="1201"/>
      <c r="F601" s="2038"/>
      <c r="G601" s="2038"/>
      <c r="H601" s="1985"/>
      <c r="I601" s="2039"/>
      <c r="J601" s="2247" t="s">
        <v>1292</v>
      </c>
      <c r="K601" s="2040"/>
      <c r="L601" s="2041"/>
      <c r="M601" s="2039"/>
      <c r="N601" s="2039"/>
      <c r="O601" s="1201"/>
      <c r="P601" s="1201"/>
      <c r="Q601" s="1985"/>
    </row>
    <row r="602" spans="1:17" ht="15.75">
      <c r="A602" s="1201"/>
      <c r="B602" s="4087" t="s">
        <v>1293</v>
      </c>
      <c r="C602" s="4087"/>
      <c r="D602" s="4087"/>
      <c r="E602" s="4087"/>
      <c r="F602" s="4087"/>
      <c r="G602" s="2038"/>
      <c r="H602" s="1985"/>
      <c r="I602" s="2039"/>
      <c r="J602" s="2243" t="s">
        <v>1294</v>
      </c>
      <c r="K602" s="2040"/>
      <c r="L602" s="2041"/>
      <c r="M602" s="2039"/>
      <c r="N602" s="2039"/>
      <c r="O602" s="1201"/>
      <c r="P602" s="1201"/>
      <c r="Q602" s="1985"/>
    </row>
    <row r="603" spans="1:17" ht="15.75">
      <c r="A603" s="1201"/>
      <c r="B603" s="2040"/>
      <c r="C603" s="1201"/>
      <c r="D603" s="1201"/>
      <c r="E603" s="1201"/>
      <c r="F603" s="2038"/>
      <c r="G603" s="2038"/>
      <c r="H603" s="1985"/>
      <c r="I603" s="2039"/>
      <c r="J603" s="2243" t="s">
        <v>1295</v>
      </c>
      <c r="K603" s="2040"/>
      <c r="L603" s="2041"/>
      <c r="M603" s="2039"/>
      <c r="N603" s="2039"/>
      <c r="O603" s="1201"/>
      <c r="P603" s="1201"/>
      <c r="Q603" s="1985"/>
    </row>
    <row r="604" spans="1:17" ht="15.75">
      <c r="A604" s="1201"/>
      <c r="B604" s="2040"/>
      <c r="C604" s="1201"/>
      <c r="D604" s="1201"/>
      <c r="E604" s="1201"/>
      <c r="F604" s="2038"/>
      <c r="G604" s="2038"/>
      <c r="H604" s="1985"/>
      <c r="I604" s="2039"/>
      <c r="J604" s="2243" t="s">
        <v>1296</v>
      </c>
      <c r="K604" s="2040"/>
      <c r="L604" s="2041"/>
      <c r="M604" s="2039"/>
      <c r="N604" s="2039"/>
      <c r="O604" s="1201"/>
      <c r="P604" s="1201"/>
      <c r="Q604" s="1985"/>
    </row>
    <row r="605" spans="1:17" ht="15.75">
      <c r="A605" s="1201"/>
      <c r="B605" s="2040" t="s">
        <v>1297</v>
      </c>
      <c r="C605" s="1201"/>
      <c r="D605" s="1201"/>
      <c r="E605" s="1201"/>
      <c r="F605" s="2038"/>
      <c r="G605" s="2038"/>
      <c r="H605" s="1985"/>
      <c r="I605" s="2039"/>
      <c r="J605" s="2040"/>
      <c r="K605" s="2040"/>
      <c r="L605" s="2041"/>
      <c r="M605" s="2039"/>
      <c r="N605" s="2039"/>
      <c r="O605" s="1201"/>
      <c r="P605" s="1201"/>
      <c r="Q605" s="1985"/>
    </row>
    <row r="606" spans="1:17" ht="15.75">
      <c r="A606" s="1201"/>
      <c r="B606" s="4087" t="s">
        <v>1298</v>
      </c>
      <c r="C606" s="4087"/>
      <c r="D606" s="4087"/>
      <c r="E606" s="4087"/>
      <c r="F606" s="2038"/>
      <c r="G606" s="2038"/>
      <c r="H606" s="1985"/>
      <c r="I606" s="2039"/>
      <c r="J606" s="2246" t="s">
        <v>1299</v>
      </c>
      <c r="K606" s="2040"/>
      <c r="L606" s="2041"/>
      <c r="M606" s="2039"/>
      <c r="N606" s="2039"/>
      <c r="O606" s="1201"/>
      <c r="P606" s="1201"/>
      <c r="Q606" s="1985"/>
    </row>
    <row r="607" spans="1:17" ht="15.75">
      <c r="A607" s="1201"/>
      <c r="B607" s="2040"/>
      <c r="C607" s="1201"/>
      <c r="D607" s="1201"/>
      <c r="E607" s="1201"/>
      <c r="F607" s="2038"/>
      <c r="G607" s="2038"/>
      <c r="H607" s="1985"/>
      <c r="I607" s="2039"/>
      <c r="J607" s="2243" t="s">
        <v>1300</v>
      </c>
      <c r="K607" s="2040"/>
      <c r="L607" s="2041"/>
      <c r="M607" s="2039"/>
      <c r="N607" s="2039"/>
      <c r="O607" s="1201"/>
      <c r="P607" s="1201"/>
      <c r="Q607" s="1985"/>
    </row>
    <row r="608" spans="1:17" ht="15.75">
      <c r="A608" s="1201"/>
      <c r="B608" s="2040"/>
      <c r="C608" s="1201"/>
      <c r="D608" s="1201"/>
      <c r="E608" s="1201"/>
      <c r="F608" s="2038"/>
      <c r="G608" s="2038"/>
      <c r="H608" s="1985"/>
      <c r="I608" s="2039"/>
      <c r="J608" s="2243"/>
      <c r="K608" s="2040"/>
      <c r="L608" s="2041"/>
      <c r="M608" s="2039"/>
      <c r="N608" s="2039"/>
      <c r="O608" s="1201"/>
      <c r="P608" s="1201"/>
      <c r="Q608" s="1985"/>
    </row>
    <row r="609" spans="1:17">
      <c r="A609" s="1997"/>
      <c r="B609" s="1998"/>
      <c r="C609" s="1999"/>
      <c r="D609" s="1999"/>
      <c r="E609" s="1999"/>
      <c r="F609" s="1999"/>
      <c r="G609" s="1999"/>
      <c r="H609" s="1999"/>
      <c r="I609" s="1999"/>
      <c r="J609" s="1998"/>
      <c r="K609" s="1998"/>
      <c r="L609" s="1998"/>
      <c r="M609" s="1997"/>
      <c r="N609" s="1997"/>
      <c r="O609" s="1997"/>
      <c r="P609" s="1997"/>
      <c r="Q609" s="1997"/>
    </row>
    <row r="610" spans="1:17">
      <c r="A610" s="1201"/>
      <c r="B610" s="1985"/>
      <c r="C610" s="1985"/>
      <c r="D610" s="1985"/>
      <c r="E610" s="1985"/>
      <c r="F610" s="1985"/>
      <c r="G610" s="1985"/>
      <c r="H610" s="1985"/>
      <c r="I610" s="1985"/>
      <c r="J610" s="1985"/>
      <c r="K610" s="1985"/>
      <c r="L610" s="1985"/>
      <c r="M610" s="1985"/>
      <c r="N610" s="1985"/>
      <c r="O610" s="1985"/>
      <c r="P610" s="1985"/>
      <c r="Q610" s="1985"/>
    </row>
    <row r="611" spans="1:17">
      <c r="A611" s="1201"/>
      <c r="B611" s="1985"/>
      <c r="C611" s="1985"/>
      <c r="D611" s="1985"/>
      <c r="E611" s="1985"/>
      <c r="F611" s="1985"/>
      <c r="G611" s="1985"/>
      <c r="H611" s="1985"/>
      <c r="I611" s="1985"/>
      <c r="J611" s="1985"/>
      <c r="K611" s="1985"/>
      <c r="L611" s="1985"/>
      <c r="M611" s="1985"/>
      <c r="N611" s="1985"/>
      <c r="O611" s="1985"/>
      <c r="P611" s="1985"/>
      <c r="Q611" s="1985"/>
    </row>
    <row r="612" spans="1:17" ht="15.75">
      <c r="A612" s="1201"/>
      <c r="B612" s="1985"/>
      <c r="C612" s="1985"/>
      <c r="D612" s="1985"/>
      <c r="E612" s="1985"/>
      <c r="F612" s="1985"/>
      <c r="G612" s="2280" t="str">
        <f>SUBSTITUTE(ADDRESS(1,COLUMN(),4),"1","")</f>
        <v>G</v>
      </c>
      <c r="H612" s="1985" t="s">
        <v>1301</v>
      </c>
      <c r="I612" s="1985"/>
      <c r="J612" s="1985"/>
      <c r="K612" s="1985"/>
      <c r="L612" s="1985"/>
      <c r="M612" s="1985"/>
      <c r="N612" s="1985"/>
      <c r="O612" s="1985"/>
      <c r="P612" s="1985"/>
      <c r="Q612" s="1985"/>
    </row>
    <row r="613" spans="1:17" ht="15.75">
      <c r="A613" s="1201"/>
      <c r="B613" s="1985"/>
      <c r="C613" s="4088" t="s">
        <v>1302</v>
      </c>
      <c r="D613" s="4089"/>
      <c r="E613" s="4089"/>
      <c r="F613" s="4089"/>
      <c r="G613" s="4089"/>
      <c r="H613" s="4089"/>
      <c r="I613" s="4089"/>
      <c r="J613" s="4089"/>
      <c r="K613" s="4089"/>
      <c r="L613" s="4090"/>
      <c r="M613" s="1201"/>
      <c r="N613" s="1201"/>
      <c r="O613" s="1201"/>
      <c r="P613" s="1201"/>
      <c r="Q613" s="1201"/>
    </row>
    <row r="614" spans="1:17">
      <c r="A614" s="1201"/>
      <c r="B614" s="1985"/>
      <c r="C614" s="4082" t="s">
        <v>1303</v>
      </c>
      <c r="D614" s="4083"/>
      <c r="E614" s="4083"/>
      <c r="F614" s="2281">
        <v>1</v>
      </c>
      <c r="G614" s="2282">
        <f>F614</f>
        <v>1</v>
      </c>
      <c r="H614" s="4084" t="s">
        <v>1304</v>
      </c>
      <c r="I614" s="4084"/>
      <c r="J614" s="2283" t="s">
        <v>1305</v>
      </c>
      <c r="K614" s="4085" t="s">
        <v>1306</v>
      </c>
      <c r="L614" s="4086"/>
      <c r="M614" s="1201"/>
      <c r="N614" s="1201"/>
      <c r="O614" s="1201"/>
      <c r="P614" s="1201"/>
      <c r="Q614" s="1201"/>
    </row>
    <row r="615" spans="1:17">
      <c r="A615" s="1201"/>
      <c r="B615" s="1985"/>
      <c r="C615" s="4077" t="s">
        <v>1307</v>
      </c>
      <c r="D615" s="4078"/>
      <c r="E615" s="4078"/>
      <c r="F615" s="2284">
        <v>25</v>
      </c>
      <c r="G615" s="2282">
        <f>G614</f>
        <v>1</v>
      </c>
      <c r="H615" s="4079">
        <f t="shared" ref="H615:H621" si="5">(G615*F615)/100</f>
        <v>0.25</v>
      </c>
      <c r="I615" s="4079"/>
      <c r="J615" s="2285">
        <v>20</v>
      </c>
      <c r="K615" s="4080">
        <f t="shared" ref="K615:K621" si="6">H615/(100-J615)*100</f>
        <v>0.3125</v>
      </c>
      <c r="L615" s="4081"/>
      <c r="M615" s="1201"/>
      <c r="N615" s="1201"/>
      <c r="O615" s="1201"/>
      <c r="P615" s="1201"/>
      <c r="Q615" s="1201"/>
    </row>
    <row r="616" spans="1:17">
      <c r="A616" s="1201"/>
      <c r="B616" s="1985"/>
      <c r="C616" s="4077" t="s">
        <v>1308</v>
      </c>
      <c r="D616" s="4078"/>
      <c r="E616" s="4078"/>
      <c r="F616" s="2284">
        <v>20</v>
      </c>
      <c r="G616" s="2282">
        <f>G614</f>
        <v>1</v>
      </c>
      <c r="H616" s="4079">
        <f t="shared" si="5"/>
        <v>0.2</v>
      </c>
      <c r="I616" s="4079"/>
      <c r="J616" s="2285">
        <v>25</v>
      </c>
      <c r="K616" s="4080">
        <f t="shared" si="6"/>
        <v>0.26666666666666672</v>
      </c>
      <c r="L616" s="4081"/>
      <c r="M616" s="1201"/>
      <c r="N616" s="1201"/>
      <c r="O616" s="1201"/>
      <c r="P616" s="1201"/>
      <c r="Q616" s="1201"/>
    </row>
    <row r="617" spans="1:17">
      <c r="A617" s="1201"/>
      <c r="B617" s="1985"/>
      <c r="C617" s="4077" t="s">
        <v>1309</v>
      </c>
      <c r="D617" s="4078"/>
      <c r="E617" s="4078"/>
      <c r="F617" s="2284">
        <v>15</v>
      </c>
      <c r="G617" s="2282">
        <f>G614</f>
        <v>1</v>
      </c>
      <c r="H617" s="4079">
        <f t="shared" si="5"/>
        <v>0.15</v>
      </c>
      <c r="I617" s="4079"/>
      <c r="J617" s="2285">
        <v>20</v>
      </c>
      <c r="K617" s="4080">
        <f t="shared" si="6"/>
        <v>0.1875</v>
      </c>
      <c r="L617" s="4081"/>
      <c r="M617" s="1201"/>
      <c r="N617" s="1201"/>
      <c r="O617" s="1201"/>
      <c r="P617" s="1201"/>
      <c r="Q617" s="1201"/>
    </row>
    <row r="618" spans="1:17">
      <c r="A618" s="1201"/>
      <c r="B618" s="1985"/>
      <c r="C618" s="4077" t="s">
        <v>1310</v>
      </c>
      <c r="D618" s="4078"/>
      <c r="E618" s="4078"/>
      <c r="F618" s="2284">
        <v>15</v>
      </c>
      <c r="G618" s="2282">
        <f>G614</f>
        <v>1</v>
      </c>
      <c r="H618" s="4079">
        <f t="shared" si="5"/>
        <v>0.15</v>
      </c>
      <c r="I618" s="4079"/>
      <c r="J618" s="2285">
        <v>0</v>
      </c>
      <c r="K618" s="4080">
        <f t="shared" si="6"/>
        <v>0.15</v>
      </c>
      <c r="L618" s="4081"/>
      <c r="M618" s="1201"/>
      <c r="N618" s="1201"/>
      <c r="O618" s="1201"/>
      <c r="P618" s="1201"/>
      <c r="Q618" s="1201"/>
    </row>
    <row r="619" spans="1:17">
      <c r="A619" s="1201"/>
      <c r="B619" s="1985"/>
      <c r="C619" s="4077" t="s">
        <v>1311</v>
      </c>
      <c r="D619" s="4078"/>
      <c r="E619" s="4078"/>
      <c r="F619" s="2284">
        <v>10</v>
      </c>
      <c r="G619" s="2282">
        <f>G614</f>
        <v>1</v>
      </c>
      <c r="H619" s="4079">
        <f t="shared" si="5"/>
        <v>0.1</v>
      </c>
      <c r="I619" s="4079"/>
      <c r="J619" s="2285">
        <v>20</v>
      </c>
      <c r="K619" s="4080">
        <f t="shared" si="6"/>
        <v>0.125</v>
      </c>
      <c r="L619" s="4081"/>
      <c r="M619" s="1201"/>
      <c r="N619" s="1201"/>
      <c r="O619" s="1201"/>
      <c r="P619" s="1201"/>
      <c r="Q619" s="1201"/>
    </row>
    <row r="620" spans="1:17">
      <c r="A620" s="1201"/>
      <c r="B620" s="1985"/>
      <c r="C620" s="4077" t="s">
        <v>1312</v>
      </c>
      <c r="D620" s="4078"/>
      <c r="E620" s="4078"/>
      <c r="F620" s="2284">
        <v>7.5</v>
      </c>
      <c r="G620" s="2282">
        <f>G614</f>
        <v>1</v>
      </c>
      <c r="H620" s="4079">
        <f t="shared" si="5"/>
        <v>7.4999999999999997E-2</v>
      </c>
      <c r="I620" s="4079"/>
      <c r="J620" s="2285">
        <v>20</v>
      </c>
      <c r="K620" s="4080">
        <f t="shared" si="6"/>
        <v>9.375E-2</v>
      </c>
      <c r="L620" s="4081"/>
      <c r="M620" s="1201"/>
      <c r="N620" s="1201"/>
      <c r="O620" s="1201"/>
      <c r="P620" s="1201"/>
      <c r="Q620" s="1201"/>
    </row>
    <row r="621" spans="1:17">
      <c r="A621" s="1201"/>
      <c r="B621" s="1985"/>
      <c r="C621" s="4077" t="s">
        <v>1313</v>
      </c>
      <c r="D621" s="4078"/>
      <c r="E621" s="4078"/>
      <c r="F621" s="2284">
        <v>7.5</v>
      </c>
      <c r="G621" s="2282">
        <f>G614</f>
        <v>1</v>
      </c>
      <c r="H621" s="4079">
        <f t="shared" si="5"/>
        <v>7.4999999999999997E-2</v>
      </c>
      <c r="I621" s="4079"/>
      <c r="J621" s="2285">
        <v>20</v>
      </c>
      <c r="K621" s="4080">
        <f t="shared" si="6"/>
        <v>9.375E-2</v>
      </c>
      <c r="L621" s="4081"/>
      <c r="M621" s="1201"/>
      <c r="N621" s="1201"/>
      <c r="O621" s="1201"/>
      <c r="P621" s="1201"/>
      <c r="Q621" s="1201"/>
    </row>
    <row r="622" spans="1:17">
      <c r="A622" s="1201"/>
      <c r="B622" s="1985"/>
      <c r="C622" s="4060" t="s">
        <v>1314</v>
      </c>
      <c r="D622" s="4061"/>
      <c r="E622" s="4061"/>
      <c r="F622" s="2286">
        <f>SUM(F615:F621)</f>
        <v>100</v>
      </c>
      <c r="G622" s="2287"/>
      <c r="H622" s="1845"/>
      <c r="I622" s="2206"/>
      <c r="J622" s="1845"/>
      <c r="K622" s="1845"/>
      <c r="L622" s="2288"/>
      <c r="M622" s="1201"/>
      <c r="N622" s="1201"/>
      <c r="O622" s="1201"/>
      <c r="P622" s="1201"/>
      <c r="Q622" s="1201"/>
    </row>
    <row r="623" spans="1:17">
      <c r="A623" s="1201"/>
      <c r="B623" s="1985"/>
      <c r="C623" s="2289"/>
      <c r="D623" s="2181"/>
      <c r="E623" s="2181"/>
      <c r="F623" s="2290"/>
      <c r="G623" s="2291"/>
      <c r="H623" s="2291"/>
      <c r="I623" s="2292"/>
      <c r="J623" s="2291"/>
      <c r="K623" s="2291"/>
      <c r="L623" s="2293"/>
      <c r="M623" s="1201"/>
      <c r="N623" s="1201"/>
      <c r="O623" s="1201"/>
      <c r="P623" s="1201"/>
      <c r="Q623" s="1201"/>
    </row>
    <row r="624" spans="1:17">
      <c r="A624" s="1201"/>
      <c r="B624" s="1985"/>
      <c r="C624" s="1985"/>
      <c r="D624" s="1985"/>
      <c r="E624" s="1985"/>
      <c r="F624" s="1985"/>
      <c r="G624" s="1985"/>
      <c r="H624" s="1985"/>
      <c r="I624" s="1985"/>
      <c r="J624" s="1985"/>
      <c r="K624" s="1985"/>
      <c r="L624" s="1985"/>
      <c r="M624" s="1201"/>
      <c r="N624" s="1201"/>
      <c r="O624" s="1201"/>
      <c r="P624" s="1201"/>
      <c r="Q624" s="1201"/>
    </row>
    <row r="625" spans="1:17" ht="15.75" thickBot="1">
      <c r="A625" s="1201"/>
      <c r="B625" s="1985"/>
      <c r="C625" s="1985"/>
      <c r="D625" s="1985"/>
      <c r="E625" s="1985"/>
      <c r="F625" s="1985"/>
      <c r="G625" s="1985"/>
      <c r="H625" s="1985"/>
      <c r="I625" s="1985"/>
      <c r="J625" s="1985"/>
      <c r="K625" s="1985"/>
      <c r="L625" s="1985"/>
      <c r="M625" s="1201"/>
      <c r="N625" s="1201"/>
      <c r="O625" s="1201"/>
      <c r="P625" s="1201"/>
      <c r="Q625" s="1201"/>
    </row>
    <row r="626" spans="1:17" ht="18.75">
      <c r="A626" s="1201"/>
      <c r="B626" s="1985"/>
      <c r="C626" s="4062" t="s">
        <v>1315</v>
      </c>
      <c r="D626" s="4063"/>
      <c r="E626" s="4063"/>
      <c r="F626" s="4063"/>
      <c r="G626" s="4063"/>
      <c r="H626" s="4063"/>
      <c r="I626" s="4063"/>
      <c r="J626" s="4063"/>
      <c r="K626" s="4063"/>
      <c r="L626" s="4064"/>
      <c r="M626" s="1201"/>
      <c r="N626" s="1201"/>
      <c r="O626" s="1201"/>
      <c r="P626" s="1201"/>
      <c r="Q626" s="1201"/>
    </row>
    <row r="627" spans="1:17">
      <c r="A627" s="1201"/>
      <c r="B627" s="1985"/>
      <c r="C627" s="4065" t="s">
        <v>1316</v>
      </c>
      <c r="D627" s="4066"/>
      <c r="E627" s="4066"/>
      <c r="F627" s="4066"/>
      <c r="G627" s="4066"/>
      <c r="H627" s="4066"/>
      <c r="I627" s="4066"/>
      <c r="J627" s="4066"/>
      <c r="K627" s="4066"/>
      <c r="L627" s="4067"/>
      <c r="M627" s="1201"/>
      <c r="N627" s="1201"/>
      <c r="O627" s="1201"/>
      <c r="P627" s="1201"/>
      <c r="Q627" s="1201"/>
    </row>
    <row r="628" spans="1:17" ht="18.75">
      <c r="A628" s="1201"/>
      <c r="B628" s="1985"/>
      <c r="C628" s="4068" t="s">
        <v>1317</v>
      </c>
      <c r="D628" s="4069"/>
      <c r="E628" s="4069"/>
      <c r="F628" s="4069"/>
      <c r="G628" s="4069"/>
      <c r="H628" s="4069"/>
      <c r="I628" s="4069"/>
      <c r="J628" s="4069"/>
      <c r="K628" s="4069"/>
      <c r="L628" s="4070"/>
      <c r="M628" s="1201"/>
      <c r="N628" s="1201"/>
      <c r="O628" s="1201"/>
      <c r="P628" s="1201"/>
      <c r="Q628" s="1201"/>
    </row>
    <row r="629" spans="1:17">
      <c r="A629" s="1201"/>
      <c r="B629" s="1985"/>
      <c r="C629" s="4071" t="str">
        <f ca="1">CELL("nomfichier")</f>
        <v>E:\0-UPRT\1-UPRT.FR-SITE-WEB\ff-fiches-fabrications\ff-fiches-fabrication-maj-08-2020\[ff-8-restauration-Christian.Frechede.xlsx]Formats-Formules-Fonctions</v>
      </c>
      <c r="D629" s="4072"/>
      <c r="E629" s="4072"/>
      <c r="F629" s="4072"/>
      <c r="G629" s="4072"/>
      <c r="H629" s="4072"/>
      <c r="I629" s="4072"/>
      <c r="J629" s="4072"/>
      <c r="K629" s="4072"/>
      <c r="L629" s="4073"/>
      <c r="M629" s="1201"/>
      <c r="N629" s="1201"/>
      <c r="O629" s="1201"/>
      <c r="P629" s="1201"/>
      <c r="Q629" s="1201"/>
    </row>
    <row r="630" spans="1:17" ht="26.25">
      <c r="A630" s="1201"/>
      <c r="B630" s="1985"/>
      <c r="C630" s="4074" t="s">
        <v>1318</v>
      </c>
      <c r="D630" s="4075"/>
      <c r="E630" s="4075"/>
      <c r="F630" s="4075"/>
      <c r="G630" s="4075"/>
      <c r="H630" s="4075"/>
      <c r="I630" s="4075"/>
      <c r="J630" s="4075"/>
      <c r="K630" s="4075"/>
      <c r="L630" s="4076"/>
      <c r="M630" s="1201"/>
      <c r="N630" s="1201"/>
      <c r="O630" s="1201"/>
      <c r="P630" s="1201"/>
      <c r="Q630" s="1201"/>
    </row>
    <row r="631" spans="1:17" ht="26.25">
      <c r="A631" s="1201"/>
      <c r="B631" s="1985"/>
      <c r="C631" s="2101"/>
      <c r="D631" s="2294"/>
      <c r="E631" s="2294" t="s">
        <v>1319</v>
      </c>
      <c r="F631" s="2206"/>
      <c r="G631" s="2295">
        <f ca="1">TODAY()</f>
        <v>44545</v>
      </c>
      <c r="H631" s="2296"/>
      <c r="I631" s="2297"/>
      <c r="J631" s="2298">
        <f ca="1">NOW()</f>
        <v>44545.461550462962</v>
      </c>
      <c r="K631" s="2298"/>
      <c r="L631" s="2299"/>
      <c r="M631" s="1201"/>
      <c r="N631" s="1201"/>
      <c r="O631" s="1201"/>
      <c r="P631" s="1201"/>
      <c r="Q631" s="1201"/>
    </row>
    <row r="632" spans="1:17" ht="15.75">
      <c r="A632" s="1201"/>
      <c r="B632" s="1985"/>
      <c r="C632" s="4049">
        <v>1</v>
      </c>
      <c r="D632" s="2300" t="s">
        <v>1320</v>
      </c>
      <c r="E632" s="1502"/>
      <c r="F632" s="2206"/>
      <c r="G632" s="2301"/>
      <c r="H632" s="2301"/>
      <c r="I632" s="2301"/>
      <c r="J632" s="2301"/>
      <c r="K632" s="2301"/>
      <c r="L632" s="2302"/>
      <c r="M632" s="1201"/>
      <c r="N632" s="1201"/>
      <c r="O632" s="1201"/>
      <c r="P632" s="1201"/>
      <c r="Q632" s="1201"/>
    </row>
    <row r="633" spans="1:17">
      <c r="A633" s="1201"/>
      <c r="B633" s="1985"/>
      <c r="C633" s="4049"/>
      <c r="D633" s="4050" t="s">
        <v>308</v>
      </c>
      <c r="E633" s="4050"/>
      <c r="F633" s="4050"/>
      <c r="G633" s="2303"/>
      <c r="H633" s="2304" t="s">
        <v>256</v>
      </c>
      <c r="I633" s="2305" t="s">
        <v>257</v>
      </c>
      <c r="J633" s="2305" t="s">
        <v>258</v>
      </c>
      <c r="K633" s="2305" t="s">
        <v>259</v>
      </c>
      <c r="L633" s="2306" t="s">
        <v>260</v>
      </c>
      <c r="M633" s="1201"/>
      <c r="N633" s="1201"/>
      <c r="O633" s="1201"/>
      <c r="P633" s="1201"/>
      <c r="Q633" s="1201"/>
    </row>
    <row r="634" spans="1:17" ht="15.75">
      <c r="A634" s="1201"/>
      <c r="B634" s="1985"/>
      <c r="C634" s="4049"/>
      <c r="D634" s="4050" t="s">
        <v>261</v>
      </c>
      <c r="E634" s="4050"/>
      <c r="F634" s="4050"/>
      <c r="G634" s="2307">
        <f>SUM(H634:L634)</f>
        <v>2170</v>
      </c>
      <c r="H634" s="2308">
        <v>550</v>
      </c>
      <c r="I634" s="2308">
        <v>920</v>
      </c>
      <c r="J634" s="2308">
        <v>340</v>
      </c>
      <c r="K634" s="2308">
        <v>150</v>
      </c>
      <c r="L634" s="2309">
        <v>210</v>
      </c>
      <c r="M634" s="1201"/>
      <c r="N634" s="1201"/>
      <c r="O634" s="1201"/>
      <c r="P634" s="1201"/>
      <c r="Q634" s="1201"/>
    </row>
    <row r="635" spans="1:17" ht="15.75">
      <c r="A635" s="1201"/>
      <c r="B635" s="1985"/>
      <c r="C635" s="2310"/>
      <c r="D635" s="2311"/>
      <c r="E635" s="2311"/>
      <c r="F635" s="2311"/>
      <c r="G635" s="2307"/>
      <c r="H635" s="2312"/>
      <c r="I635" s="2312"/>
      <c r="J635" s="2312"/>
      <c r="K635" s="2312"/>
      <c r="L635" s="2313"/>
      <c r="M635" s="1201"/>
      <c r="N635" s="1201"/>
      <c r="O635" s="1201"/>
      <c r="P635" s="1201"/>
      <c r="Q635" s="1201"/>
    </row>
    <row r="636" spans="1:17" ht="15.75">
      <c r="A636" s="1201"/>
      <c r="B636" s="1985"/>
      <c r="C636" s="4049">
        <v>2</v>
      </c>
      <c r="D636" s="2300" t="s">
        <v>1321</v>
      </c>
      <c r="E636" s="1502"/>
      <c r="F636" s="2206"/>
      <c r="G636" s="1502"/>
      <c r="H636" s="1502"/>
      <c r="I636" s="1502"/>
      <c r="J636" s="1502"/>
      <c r="K636" s="1502"/>
      <c r="L636" s="1862"/>
      <c r="M636" s="1201"/>
      <c r="N636" s="1201"/>
      <c r="O636" s="1201"/>
      <c r="P636" s="1201"/>
      <c r="Q636" s="1201"/>
    </row>
    <row r="637" spans="1:17">
      <c r="A637" s="1201"/>
      <c r="B637" s="1985"/>
      <c r="C637" s="4049"/>
      <c r="D637" s="4039" t="s">
        <v>1322</v>
      </c>
      <c r="E637" s="4039"/>
      <c r="F637" s="4039"/>
      <c r="G637" s="2314">
        <f>(H637*H634)+(I637*I634)+(J637*J634)+(K637*K634)+(L637*L634)</f>
        <v>1470</v>
      </c>
      <c r="H637" s="2315">
        <v>0</v>
      </c>
      <c r="I637" s="2315">
        <v>1</v>
      </c>
      <c r="J637" s="2315">
        <v>1</v>
      </c>
      <c r="K637" s="2315">
        <v>0</v>
      </c>
      <c r="L637" s="2316">
        <v>1</v>
      </c>
      <c r="M637" s="1201"/>
      <c r="N637" s="1201"/>
      <c r="O637" s="1201"/>
      <c r="P637" s="1201"/>
      <c r="Q637" s="1201"/>
    </row>
    <row r="638" spans="1:17">
      <c r="A638" s="1201"/>
      <c r="B638" s="1985"/>
      <c r="C638" s="4049"/>
      <c r="D638" s="4039" t="s">
        <v>1323</v>
      </c>
      <c r="E638" s="4039"/>
      <c r="F638" s="4039"/>
      <c r="G638" s="2314">
        <f>(H638*H634)+(I638*I634)+(J638*J634)+(K638*K634)+(L638*L634)</f>
        <v>850</v>
      </c>
      <c r="H638" s="2315">
        <v>1</v>
      </c>
      <c r="I638" s="2315">
        <v>0</v>
      </c>
      <c r="J638" s="2315">
        <v>0</v>
      </c>
      <c r="K638" s="2315">
        <v>2</v>
      </c>
      <c r="L638" s="2316">
        <v>0</v>
      </c>
      <c r="M638" s="1201"/>
      <c r="N638" s="1201"/>
      <c r="O638" s="1201"/>
      <c r="P638" s="1201"/>
      <c r="Q638" s="1201"/>
    </row>
    <row r="639" spans="1:17">
      <c r="A639" s="1201"/>
      <c r="B639" s="1985"/>
      <c r="C639" s="4049"/>
      <c r="D639" s="4039" t="s">
        <v>1324</v>
      </c>
      <c r="E639" s="4039"/>
      <c r="F639" s="4039"/>
      <c r="G639" s="2314">
        <f>(H639*H634)+(I639*I634)+(J639*J634)+(K639*K634)+(L639*L634)</f>
        <v>1895</v>
      </c>
      <c r="H639" s="2317">
        <v>0.5</v>
      </c>
      <c r="I639" s="2315">
        <v>1</v>
      </c>
      <c r="J639" s="2315">
        <v>1</v>
      </c>
      <c r="K639" s="2315">
        <v>1</v>
      </c>
      <c r="L639" s="2316">
        <v>1</v>
      </c>
      <c r="M639" s="1201"/>
      <c r="N639" s="1201"/>
      <c r="O639" s="1201"/>
      <c r="P639" s="1201"/>
      <c r="Q639" s="1201"/>
    </row>
    <row r="640" spans="1:17">
      <c r="A640" s="1201"/>
      <c r="B640" s="1985"/>
      <c r="C640" s="4049"/>
      <c r="D640" s="4039" t="s">
        <v>1325</v>
      </c>
      <c r="E640" s="4039"/>
      <c r="F640" s="4039"/>
      <c r="G640" s="2314">
        <f>(H640*H634)+(I640*I634)+(J640*J634)+(K640*K634)+(L640*L634)</f>
        <v>1190</v>
      </c>
      <c r="H640" s="2315">
        <v>0</v>
      </c>
      <c r="I640" s="2315">
        <v>0</v>
      </c>
      <c r="J640" s="2315">
        <v>2</v>
      </c>
      <c r="K640" s="2315">
        <v>2</v>
      </c>
      <c r="L640" s="2316">
        <v>1</v>
      </c>
      <c r="M640" s="1201"/>
      <c r="N640" s="1201"/>
      <c r="O640" s="1201"/>
      <c r="P640" s="1201"/>
      <c r="Q640" s="1201"/>
    </row>
    <row r="641" spans="1:17">
      <c r="A641" s="1201"/>
      <c r="B641" s="1985"/>
      <c r="C641" s="4049"/>
      <c r="D641" s="4039" t="s">
        <v>1326</v>
      </c>
      <c r="E641" s="4039"/>
      <c r="F641" s="4039"/>
      <c r="G641" s="2314">
        <f>(H641*H634)+(I641*I634)+(J641*J634)+(K641*K634)+(L641*L634)</f>
        <v>2540</v>
      </c>
      <c r="H641" s="2315">
        <v>1</v>
      </c>
      <c r="I641" s="2315">
        <v>2</v>
      </c>
      <c r="J641" s="2315">
        <v>0</v>
      </c>
      <c r="K641" s="2315">
        <v>1</v>
      </c>
      <c r="L641" s="2316">
        <v>0</v>
      </c>
      <c r="M641" s="1201"/>
      <c r="N641" s="1201"/>
      <c r="O641" s="1201"/>
      <c r="P641" s="1201"/>
      <c r="Q641" s="1201"/>
    </row>
    <row r="642" spans="1:17" ht="15.75">
      <c r="A642" s="1201"/>
      <c r="B642" s="1985"/>
      <c r="C642" s="2310"/>
      <c r="D642" s="2318"/>
      <c r="E642" s="1502"/>
      <c r="F642" s="2206"/>
      <c r="G642" s="2314"/>
      <c r="H642" s="2304" t="s">
        <v>256</v>
      </c>
      <c r="I642" s="2305" t="s">
        <v>257</v>
      </c>
      <c r="J642" s="2305" t="s">
        <v>258</v>
      </c>
      <c r="K642" s="2305" t="s">
        <v>259</v>
      </c>
      <c r="L642" s="2306" t="s">
        <v>260</v>
      </c>
      <c r="M642" s="1201"/>
      <c r="N642" s="1201"/>
      <c r="O642" s="1201"/>
      <c r="P642" s="1201"/>
      <c r="Q642" s="1201"/>
    </row>
    <row r="643" spans="1:17" ht="15.75">
      <c r="A643" s="1201"/>
      <c r="B643" s="1985"/>
      <c r="C643" s="2310"/>
      <c r="D643" s="2318"/>
      <c r="E643" s="1502"/>
      <c r="F643" s="2206"/>
      <c r="G643" s="2319" t="s">
        <v>1327</v>
      </c>
      <c r="H643" s="2320">
        <f>SUM(H637:H642)</f>
        <v>2.5</v>
      </c>
      <c r="I643" s="2320">
        <f>SUM(I637:I642)</f>
        <v>4</v>
      </c>
      <c r="J643" s="2320">
        <f>SUM(J637:J642)</f>
        <v>4</v>
      </c>
      <c r="K643" s="2320">
        <f>SUM(K637:K642)</f>
        <v>6</v>
      </c>
      <c r="L643" s="2321">
        <f>SUM(L637:L642)</f>
        <v>3</v>
      </c>
      <c r="M643" s="1201"/>
      <c r="N643" s="1201"/>
      <c r="O643" s="1201"/>
      <c r="P643" s="1201"/>
      <c r="Q643" s="1201"/>
    </row>
    <row r="644" spans="1:17">
      <c r="A644" s="1201"/>
      <c r="B644" s="1985"/>
      <c r="C644" s="2322"/>
      <c r="D644" s="2318"/>
      <c r="E644" s="1502"/>
      <c r="F644" s="2206"/>
      <c r="G644" s="2323"/>
      <c r="H644" s="2324"/>
      <c r="I644" s="2324"/>
      <c r="J644" s="2324"/>
      <c r="K644" s="2324"/>
      <c r="L644" s="2325"/>
      <c r="M644" s="1201"/>
      <c r="N644" s="1201"/>
      <c r="O644" s="1201"/>
      <c r="P644" s="1201"/>
      <c r="Q644" s="1201"/>
    </row>
    <row r="645" spans="1:17" ht="15.75">
      <c r="A645" s="1201"/>
      <c r="B645" s="1985"/>
      <c r="C645" s="2326">
        <v>3</v>
      </c>
      <c r="D645" s="4039" t="s">
        <v>1328</v>
      </c>
      <c r="E645" s="4039"/>
      <c r="F645" s="4039"/>
      <c r="G645" s="2327">
        <f>(H645*H634)+(I645*I634)+(J645*J634)+(K645*K634)+(L645*L634)</f>
        <v>208.60000000000002</v>
      </c>
      <c r="H645" s="2328">
        <v>0.06</v>
      </c>
      <c r="I645" s="2328">
        <v>0.08</v>
      </c>
      <c r="J645" s="2328">
        <v>0.15</v>
      </c>
      <c r="K645" s="2328">
        <v>0.2</v>
      </c>
      <c r="L645" s="2329">
        <v>0.1</v>
      </c>
      <c r="M645" s="1201"/>
      <c r="N645" s="1201"/>
      <c r="O645" s="1201"/>
      <c r="P645" s="1201"/>
      <c r="Q645" s="1201"/>
    </row>
    <row r="646" spans="1:17">
      <c r="A646" s="1201"/>
      <c r="B646" s="1985"/>
      <c r="C646" s="2322"/>
      <c r="D646" s="2330"/>
      <c r="E646" s="327"/>
      <c r="F646" s="2331"/>
      <c r="G646" s="2314"/>
      <c r="H646" s="2324"/>
      <c r="I646" s="2324"/>
      <c r="J646" s="2324"/>
      <c r="K646" s="2324"/>
      <c r="L646" s="2325"/>
      <c r="M646" s="1201"/>
      <c r="N646" s="1201"/>
      <c r="O646" s="1201"/>
      <c r="P646" s="1201"/>
      <c r="Q646" s="1201"/>
    </row>
    <row r="647" spans="1:17" ht="15.75">
      <c r="A647" s="1201"/>
      <c r="B647" s="1985"/>
      <c r="C647" s="2326">
        <v>4</v>
      </c>
      <c r="D647" s="4039" t="s">
        <v>1329</v>
      </c>
      <c r="E647" s="4039"/>
      <c r="F647" s="4039"/>
      <c r="G647" s="2327">
        <f>(H647*H634)+(I647*I634)+(J647*J634)+(K647*K634)+(L647*L634)</f>
        <v>213.5</v>
      </c>
      <c r="H647" s="2328">
        <v>0.06</v>
      </c>
      <c r="I647" s="2328">
        <v>0.1</v>
      </c>
      <c r="J647" s="2328">
        <v>0.12</v>
      </c>
      <c r="K647" s="2328">
        <v>0.15</v>
      </c>
      <c r="L647" s="2329">
        <v>0.12</v>
      </c>
      <c r="M647" s="1201"/>
      <c r="N647" s="1201"/>
      <c r="O647" s="1201"/>
      <c r="P647" s="1201"/>
      <c r="Q647" s="1201"/>
    </row>
    <row r="648" spans="1:17">
      <c r="A648" s="1201"/>
      <c r="B648" s="1985"/>
      <c r="C648" s="2322"/>
      <c r="D648" s="2330"/>
      <c r="E648" s="327"/>
      <c r="F648" s="2331"/>
      <c r="G648" s="2314"/>
      <c r="H648" s="2324"/>
      <c r="I648" s="2324"/>
      <c r="J648" s="2324"/>
      <c r="K648" s="2324"/>
      <c r="L648" s="2325"/>
      <c r="M648" s="1201"/>
      <c r="N648" s="1201"/>
      <c r="O648" s="1201"/>
      <c r="P648" s="1201"/>
      <c r="Q648" s="1201"/>
    </row>
    <row r="649" spans="1:17" ht="15.75">
      <c r="A649" s="1201"/>
      <c r="B649" s="1985"/>
      <c r="C649" s="2326">
        <v>5</v>
      </c>
      <c r="D649" s="4039" t="s">
        <v>1121</v>
      </c>
      <c r="E649" s="4039"/>
      <c r="F649" s="4039"/>
      <c r="G649" s="2327">
        <f>(H649*H634)+(I649*I634)+(J649*J634)+(K649*K634)+(L649*L634)</f>
        <v>237.5</v>
      </c>
      <c r="H649" s="2328">
        <v>0.06</v>
      </c>
      <c r="I649" s="2328">
        <v>0.1</v>
      </c>
      <c r="J649" s="2328">
        <v>0.15</v>
      </c>
      <c r="K649" s="2328">
        <v>0.2</v>
      </c>
      <c r="L649" s="2329">
        <v>0.15</v>
      </c>
      <c r="M649" s="1201"/>
      <c r="N649" s="1201"/>
      <c r="O649" s="1201"/>
      <c r="P649" s="1201"/>
      <c r="Q649" s="1201"/>
    </row>
    <row r="650" spans="1:17" ht="15.75" thickBot="1">
      <c r="A650" s="1201"/>
      <c r="B650" s="1985"/>
      <c r="C650" s="2332"/>
      <c r="D650" s="2333"/>
      <c r="E650" s="2334"/>
      <c r="F650" s="2335"/>
      <c r="G650" s="2336"/>
      <c r="H650" s="2337"/>
      <c r="I650" s="2337"/>
      <c r="J650" s="2334"/>
      <c r="K650" s="2334"/>
      <c r="L650" s="2100"/>
      <c r="M650" s="1201"/>
      <c r="N650" s="1201"/>
      <c r="O650" s="1201"/>
      <c r="P650" s="1201"/>
      <c r="Q650" s="1201"/>
    </row>
    <row r="651" spans="1:17">
      <c r="A651" s="1201"/>
      <c r="B651" s="1985"/>
      <c r="C651" s="1985"/>
      <c r="D651" s="1985"/>
      <c r="E651" s="1985"/>
      <c r="F651" s="1985"/>
      <c r="G651" s="1985"/>
      <c r="H651" s="1985"/>
      <c r="I651" s="1985"/>
      <c r="J651" s="1985"/>
      <c r="K651" s="1985"/>
      <c r="L651" s="1985"/>
      <c r="M651" s="1201"/>
      <c r="N651" s="1201"/>
      <c r="O651" s="1201"/>
      <c r="P651" s="1201"/>
      <c r="Q651" s="1201"/>
    </row>
    <row r="652" spans="1:17">
      <c r="A652" s="1997"/>
      <c r="B652" s="1998"/>
      <c r="C652" s="1999"/>
      <c r="D652" s="1999"/>
      <c r="E652" s="1999"/>
      <c r="F652" s="1999"/>
      <c r="G652" s="1999"/>
      <c r="H652" s="1999"/>
      <c r="I652" s="1999"/>
      <c r="J652" s="1998"/>
      <c r="K652" s="1998"/>
      <c r="L652" s="1998"/>
      <c r="M652" s="1997"/>
      <c r="N652" s="1997"/>
      <c r="O652" s="1997"/>
      <c r="P652" s="1997"/>
      <c r="Q652" s="1997"/>
    </row>
    <row r="653" spans="1:17" ht="15.75" thickBot="1">
      <c r="A653" s="1201"/>
      <c r="B653" s="1985"/>
      <c r="C653" s="1985"/>
      <c r="D653" s="1985"/>
      <c r="E653" s="1985"/>
      <c r="F653" s="1985"/>
      <c r="G653" s="1985"/>
      <c r="H653" s="1985"/>
      <c r="I653" s="1985"/>
      <c r="J653" s="1985"/>
      <c r="K653" s="1985"/>
      <c r="L653" s="1985"/>
      <c r="M653" s="1201"/>
      <c r="N653" s="1201"/>
      <c r="O653" s="1201"/>
      <c r="P653" s="1201"/>
      <c r="Q653" s="1201"/>
    </row>
    <row r="654" spans="1:17" ht="18.75">
      <c r="A654" s="1201"/>
      <c r="B654" s="1985"/>
      <c r="C654" s="4040" t="s">
        <v>1330</v>
      </c>
      <c r="D654" s="4041"/>
      <c r="E654" s="4041"/>
      <c r="F654" s="4041"/>
      <c r="G654" s="4041"/>
      <c r="H654" s="4041"/>
      <c r="I654" s="4041"/>
      <c r="J654" s="4041"/>
      <c r="K654" s="4041"/>
      <c r="L654" s="4042"/>
      <c r="M654" s="1201"/>
      <c r="N654" s="1201"/>
      <c r="O654" s="1201"/>
      <c r="P654" s="1201"/>
      <c r="Q654" s="1201"/>
    </row>
    <row r="655" spans="1:17" ht="15.75">
      <c r="A655" s="1201"/>
      <c r="B655" s="1985"/>
      <c r="C655" s="2338" t="s">
        <v>1331</v>
      </c>
      <c r="D655" s="2339"/>
      <c r="E655" s="2339"/>
      <c r="F655" s="2339"/>
      <c r="G655" s="2339"/>
      <c r="H655" s="2339"/>
      <c r="I655" s="2339"/>
      <c r="J655" s="2340"/>
      <c r="K655" s="2340"/>
      <c r="L655" s="2341"/>
      <c r="M655" s="1201"/>
      <c r="N655" s="1201"/>
      <c r="O655" s="1201"/>
      <c r="P655" s="1201"/>
      <c r="Q655" s="1201"/>
    </row>
    <row r="656" spans="1:17">
      <c r="A656" s="1201"/>
      <c r="B656" s="1985"/>
      <c r="C656" s="4043" t="s">
        <v>1332</v>
      </c>
      <c r="D656" s="4044"/>
      <c r="E656" s="4044"/>
      <c r="F656" s="4044"/>
      <c r="G656" s="4044"/>
      <c r="H656" s="4044"/>
      <c r="I656" s="4044"/>
      <c r="J656" s="4044"/>
      <c r="K656" s="4044"/>
      <c r="L656" s="4045"/>
      <c r="M656" s="1201"/>
      <c r="N656" s="1201"/>
      <c r="O656" s="1201"/>
      <c r="P656" s="1201"/>
      <c r="Q656" s="1201"/>
    </row>
    <row r="657" spans="1:17">
      <c r="A657" s="1201"/>
      <c r="B657" s="1985"/>
      <c r="C657" s="4043"/>
      <c r="D657" s="4044"/>
      <c r="E657" s="4044"/>
      <c r="F657" s="4044"/>
      <c r="G657" s="4044"/>
      <c r="H657" s="4044"/>
      <c r="I657" s="4044"/>
      <c r="J657" s="4044"/>
      <c r="K657" s="4044"/>
      <c r="L657" s="4045"/>
      <c r="M657" s="1201"/>
      <c r="N657" s="1201"/>
      <c r="O657" s="1201"/>
      <c r="P657" s="1201"/>
      <c r="Q657" s="1201"/>
    </row>
    <row r="658" spans="1:17">
      <c r="A658" s="1201"/>
      <c r="B658" s="1985"/>
      <c r="C658" s="4043"/>
      <c r="D658" s="4044"/>
      <c r="E658" s="4044"/>
      <c r="F658" s="4044"/>
      <c r="G658" s="4044"/>
      <c r="H658" s="4044"/>
      <c r="I658" s="4044"/>
      <c r="J658" s="4044"/>
      <c r="K658" s="4044"/>
      <c r="L658" s="4045"/>
      <c r="M658" s="1201"/>
      <c r="N658" s="1201"/>
      <c r="O658" s="1201"/>
      <c r="P658" s="1201"/>
      <c r="Q658" s="1201"/>
    </row>
    <row r="659" spans="1:17">
      <c r="A659" s="1201"/>
      <c r="B659" s="1985"/>
      <c r="C659" s="4043"/>
      <c r="D659" s="4044"/>
      <c r="E659" s="4044"/>
      <c r="F659" s="4044"/>
      <c r="G659" s="4044"/>
      <c r="H659" s="4044"/>
      <c r="I659" s="4044"/>
      <c r="J659" s="4044"/>
      <c r="K659" s="4044"/>
      <c r="L659" s="4045"/>
      <c r="M659" s="1201"/>
      <c r="N659" s="1201"/>
      <c r="O659" s="1201"/>
      <c r="P659" s="1201"/>
      <c r="Q659" s="1201"/>
    </row>
    <row r="660" spans="1:17">
      <c r="A660" s="1201"/>
      <c r="B660" s="1985"/>
      <c r="C660" s="4043" t="s">
        <v>1333</v>
      </c>
      <c r="D660" s="4044"/>
      <c r="E660" s="4044"/>
      <c r="F660" s="4044"/>
      <c r="G660" s="4044"/>
      <c r="H660" s="4044"/>
      <c r="I660" s="4044"/>
      <c r="J660" s="4044"/>
      <c r="K660" s="4044"/>
      <c r="L660" s="4045"/>
      <c r="M660" s="1201"/>
      <c r="N660" s="1201"/>
      <c r="O660" s="1201"/>
      <c r="P660" s="1201"/>
      <c r="Q660" s="1201"/>
    </row>
    <row r="661" spans="1:17">
      <c r="A661" s="1201"/>
      <c r="B661" s="1985"/>
      <c r="C661" s="4043"/>
      <c r="D661" s="4044"/>
      <c r="E661" s="4044"/>
      <c r="F661" s="4044"/>
      <c r="G661" s="4044"/>
      <c r="H661" s="4044"/>
      <c r="I661" s="4044"/>
      <c r="J661" s="4044"/>
      <c r="K661" s="4044"/>
      <c r="L661" s="4045"/>
      <c r="M661" s="1201"/>
      <c r="N661" s="1201"/>
      <c r="O661" s="1201"/>
      <c r="P661" s="1201"/>
      <c r="Q661" s="1201"/>
    </row>
    <row r="662" spans="1:17">
      <c r="A662" s="1201"/>
      <c r="B662" s="1985"/>
      <c r="C662" s="4043"/>
      <c r="D662" s="4044"/>
      <c r="E662" s="4044"/>
      <c r="F662" s="4044"/>
      <c r="G662" s="4044"/>
      <c r="H662" s="4044"/>
      <c r="I662" s="4044"/>
      <c r="J662" s="4044"/>
      <c r="K662" s="4044"/>
      <c r="L662" s="4045"/>
      <c r="M662" s="1201"/>
      <c r="N662" s="1201"/>
      <c r="O662" s="1201"/>
      <c r="P662" s="1201"/>
      <c r="Q662" s="1201"/>
    </row>
    <row r="663" spans="1:17">
      <c r="A663" s="1201"/>
      <c r="B663" s="1985"/>
      <c r="C663" s="4046"/>
      <c r="D663" s="4047"/>
      <c r="E663" s="4047"/>
      <c r="F663" s="4047"/>
      <c r="G663" s="4047"/>
      <c r="H663" s="4047"/>
      <c r="I663" s="4047"/>
      <c r="J663" s="4047"/>
      <c r="K663" s="4047"/>
      <c r="L663" s="4048"/>
      <c r="M663" s="1201"/>
      <c r="N663" s="1201"/>
      <c r="O663" s="1201"/>
      <c r="P663" s="1201"/>
      <c r="Q663" s="1201"/>
    </row>
    <row r="664" spans="1:17">
      <c r="A664" s="1201"/>
      <c r="B664" s="1985"/>
      <c r="C664" s="4051" t="s">
        <v>1334</v>
      </c>
      <c r="D664" s="4052"/>
      <c r="E664" s="4052"/>
      <c r="F664" s="4052"/>
      <c r="G664" s="4053" t="s">
        <v>1335</v>
      </c>
      <c r="H664" s="4053"/>
      <c r="I664" s="4054">
        <v>0.09</v>
      </c>
      <c r="J664" s="4055" t="s">
        <v>1336</v>
      </c>
      <c r="K664" s="4055"/>
      <c r="L664" s="4056">
        <v>0.12</v>
      </c>
      <c r="M664" s="1201"/>
      <c r="N664" s="1201"/>
      <c r="O664" s="1201"/>
      <c r="P664" s="1201"/>
      <c r="Q664" s="1201"/>
    </row>
    <row r="665" spans="1:17">
      <c r="A665" s="1201"/>
      <c r="B665" s="1985"/>
      <c r="C665" s="4051"/>
      <c r="D665" s="4052"/>
      <c r="E665" s="4052"/>
      <c r="F665" s="4052"/>
      <c r="G665" s="4053"/>
      <c r="H665" s="4053"/>
      <c r="I665" s="4054"/>
      <c r="J665" s="4055"/>
      <c r="K665" s="4055"/>
      <c r="L665" s="4056"/>
      <c r="M665" s="1201"/>
      <c r="N665" s="1201"/>
      <c r="O665" s="1201"/>
      <c r="P665" s="1201"/>
      <c r="Q665" s="1201"/>
    </row>
    <row r="666" spans="1:17" ht="18.75">
      <c r="A666" s="1201"/>
      <c r="B666" s="1985"/>
      <c r="C666" s="2342"/>
      <c r="D666" s="2343"/>
      <c r="E666" s="2343"/>
      <c r="F666" s="2343"/>
      <c r="G666" s="2344"/>
      <c r="H666" s="2344"/>
      <c r="I666" s="2345"/>
      <c r="J666" s="2346"/>
      <c r="K666" s="2346"/>
      <c r="L666" s="2347"/>
      <c r="M666" s="1201"/>
      <c r="N666" s="1201"/>
      <c r="O666" s="1201"/>
      <c r="P666" s="1201"/>
      <c r="Q666" s="1201"/>
    </row>
    <row r="667" spans="1:17" ht="15.75">
      <c r="A667" s="1201"/>
      <c r="B667" s="1985"/>
      <c r="C667" s="4057" t="str">
        <f>IF(E667="","produit à servir","produits entiers à couper en ")</f>
        <v xml:space="preserve">produits entiers à couper en </v>
      </c>
      <c r="D667" s="4058"/>
      <c r="E667" s="4059">
        <f>IF(K674=1,"",K674)</f>
        <v>1.5</v>
      </c>
      <c r="F667" s="4020">
        <f>LARGE(F675:F679,1)</f>
        <v>3</v>
      </c>
      <c r="G667" s="4020" t="s">
        <v>935</v>
      </c>
      <c r="H667" s="4020" t="s">
        <v>1337</v>
      </c>
      <c r="I667" s="4020">
        <f>LARGE(G675:G679,1)</f>
        <v>2</v>
      </c>
      <c r="J667" s="4020" t="s">
        <v>1338</v>
      </c>
      <c r="K667" s="2348"/>
      <c r="L667" s="2349"/>
      <c r="M667" s="1201"/>
      <c r="N667" s="1201"/>
      <c r="O667" s="1201"/>
      <c r="P667" s="1201"/>
      <c r="Q667" s="1201"/>
    </row>
    <row r="668" spans="1:17" ht="15.75">
      <c r="A668" s="1201"/>
      <c r="B668" s="1985"/>
      <c r="C668" s="4057"/>
      <c r="D668" s="4058"/>
      <c r="E668" s="4059"/>
      <c r="F668" s="4020"/>
      <c r="G668" s="4020"/>
      <c r="H668" s="4020"/>
      <c r="I668" s="4020"/>
      <c r="J668" s="4020"/>
      <c r="K668" s="2348"/>
      <c r="L668" s="2349"/>
      <c r="M668" s="1201"/>
      <c r="N668" s="1201"/>
      <c r="O668" s="1201"/>
      <c r="P668" s="1201"/>
      <c r="Q668" s="1201"/>
    </row>
    <row r="669" spans="1:17" ht="15.75">
      <c r="A669" s="1201"/>
      <c r="B669" s="1985"/>
      <c r="C669" s="2350"/>
      <c r="D669" s="2351"/>
      <c r="E669" s="2352"/>
      <c r="F669" s="2353"/>
      <c r="G669" s="2353"/>
      <c r="H669" s="2353"/>
      <c r="I669" s="2353"/>
      <c r="J669" s="2354"/>
      <c r="K669" s="2355"/>
      <c r="L669" s="2356"/>
      <c r="M669" s="1201"/>
      <c r="N669" s="1201"/>
      <c r="O669" s="1201"/>
      <c r="P669" s="1201"/>
      <c r="Q669" s="1201"/>
    </row>
    <row r="670" spans="1:17">
      <c r="A670" s="1201"/>
      <c r="B670" s="1985"/>
      <c r="C670" s="4034" t="str">
        <f>IF(D670="","MOINS","Servir ")</f>
        <v xml:space="preserve">Servir </v>
      </c>
      <c r="D670" s="4038">
        <f>IF(F667-1=0,"",F667-1)</f>
        <v>2</v>
      </c>
      <c r="E670" s="4036" t="str">
        <f>IF(D670="","",IF(G670=1,"produits entiers de","produits coupés en "))</f>
        <v>produits entiers de</v>
      </c>
      <c r="F670" s="4036"/>
      <c r="G670" s="4038">
        <f>IF(D670="","",I667/D670)</f>
        <v>1</v>
      </c>
      <c r="H670" s="4020" t="str">
        <f>IF(D670="","","parts")</f>
        <v>parts</v>
      </c>
      <c r="I670" s="4036" t="str">
        <f>IF(D670="","","grammage unitaire")</f>
        <v>grammage unitaire</v>
      </c>
      <c r="J670" s="4036"/>
      <c r="K670" s="4032">
        <f>IF(D670="","",I664/G670)</f>
        <v>0.09</v>
      </c>
      <c r="L670" s="4033"/>
      <c r="M670" s="1201"/>
      <c r="N670" s="1201"/>
      <c r="O670" s="1201"/>
      <c r="P670" s="1201"/>
      <c r="Q670" s="1201"/>
    </row>
    <row r="671" spans="1:17">
      <c r="A671" s="1201"/>
      <c r="B671" s="1985"/>
      <c r="C671" s="4034"/>
      <c r="D671" s="4038"/>
      <c r="E671" s="4036"/>
      <c r="F671" s="4036"/>
      <c r="G671" s="4038"/>
      <c r="H671" s="4020"/>
      <c r="I671" s="4036"/>
      <c r="J671" s="4036"/>
      <c r="K671" s="4032"/>
      <c r="L671" s="4033"/>
      <c r="M671" s="1201"/>
      <c r="N671" s="1201"/>
      <c r="O671" s="1201"/>
      <c r="P671" s="1201"/>
      <c r="Q671" s="1201"/>
    </row>
    <row r="672" spans="1:17">
      <c r="A672" s="1201"/>
      <c r="B672" s="1985"/>
      <c r="C672" s="4034" t="str">
        <f>IF(D670="","","plus")</f>
        <v>plus</v>
      </c>
      <c r="D672" s="4035">
        <f>IF(D670="","",F667-D670)</f>
        <v>1</v>
      </c>
      <c r="E672" s="4036" t="str">
        <f>IF(D672="","","produit coupé en ")</f>
        <v xml:space="preserve">produit coupé en </v>
      </c>
      <c r="F672" s="4036"/>
      <c r="G672" s="4035">
        <f>IF(E672="","",I667)</f>
        <v>2</v>
      </c>
      <c r="H672" s="4020" t="str">
        <f>IF(E672="","","parts")</f>
        <v>parts</v>
      </c>
      <c r="I672" s="2357"/>
      <c r="J672" s="4037" t="str">
        <f>IF(D672="","moins"," de")</f>
        <v xml:space="preserve"> de</v>
      </c>
      <c r="K672" s="4032">
        <f>IF(E672="",I664-L664,I664/G672)</f>
        <v>4.4999999999999998E-2</v>
      </c>
      <c r="L672" s="4033"/>
      <c r="M672" s="1201"/>
      <c r="N672" s="1201"/>
      <c r="O672" s="1201"/>
      <c r="P672" s="1201"/>
      <c r="Q672" s="1201"/>
    </row>
    <row r="673" spans="1:17">
      <c r="A673" s="1201"/>
      <c r="B673" s="1985"/>
      <c r="C673" s="4034"/>
      <c r="D673" s="4035"/>
      <c r="E673" s="4036"/>
      <c r="F673" s="4036"/>
      <c r="G673" s="4035"/>
      <c r="H673" s="4020"/>
      <c r="I673" s="2357"/>
      <c r="J673" s="4037"/>
      <c r="K673" s="4032"/>
      <c r="L673" s="4033"/>
      <c r="M673" s="1201"/>
      <c r="N673" s="1201"/>
      <c r="O673" s="1201"/>
      <c r="P673" s="1201"/>
      <c r="Q673" s="1201"/>
    </row>
    <row r="674" spans="1:17">
      <c r="A674" s="1201"/>
      <c r="B674" s="1985"/>
      <c r="C674" s="2358" t="s">
        <v>1339</v>
      </c>
      <c r="D674" s="2359" t="s">
        <v>1340</v>
      </c>
      <c r="E674" s="2359" t="s">
        <v>1341</v>
      </c>
      <c r="F674" s="2360" t="s">
        <v>1342</v>
      </c>
      <c r="G674" s="2360"/>
      <c r="H674" s="2361" t="s">
        <v>1343</v>
      </c>
      <c r="I674" s="2362" t="s">
        <v>1337</v>
      </c>
      <c r="J674" s="2362"/>
      <c r="K674" s="2363">
        <f>LARGE(L675:L679,1)</f>
        <v>1.5</v>
      </c>
      <c r="L674" s="2364">
        <f>SMALL(E675:E679,COUNTIF(E675:E679,0)+1)</f>
        <v>3.0000000000000027E-2</v>
      </c>
      <c r="M674" s="1201"/>
      <c r="N674" s="1201"/>
      <c r="O674" s="1201"/>
      <c r="P674" s="1201"/>
      <c r="Q674" s="1201"/>
    </row>
    <row r="675" spans="1:17">
      <c r="A675" s="1201"/>
      <c r="B675" s="1985"/>
      <c r="C675" s="2365">
        <f>L664*I675</f>
        <v>0</v>
      </c>
      <c r="D675" s="2366">
        <f>I664*H675</f>
        <v>0.09</v>
      </c>
      <c r="E675" s="2366">
        <f>D675-C675</f>
        <v>0.09</v>
      </c>
      <c r="F675" s="2367">
        <f>IF(E675=L674,H675,0)</f>
        <v>0</v>
      </c>
      <c r="G675" s="2367">
        <f>IF(F675&gt;0,I675,0)</f>
        <v>0</v>
      </c>
      <c r="H675" s="2363">
        <v>1</v>
      </c>
      <c r="I675" s="2368">
        <f>INT(J675)</f>
        <v>0</v>
      </c>
      <c r="J675" s="2368">
        <f>D675/L664</f>
        <v>0.75</v>
      </c>
      <c r="K675" s="2363">
        <f>IF(F675=0,0,F675/G675)</f>
        <v>0</v>
      </c>
      <c r="L675" s="2369">
        <f>ROUNDDOWN(K675,1)</f>
        <v>0</v>
      </c>
      <c r="M675" s="1201"/>
      <c r="N675" s="1201"/>
      <c r="O675" s="1201"/>
      <c r="P675" s="1201"/>
      <c r="Q675" s="1201"/>
    </row>
    <row r="676" spans="1:17">
      <c r="A676" s="1201"/>
      <c r="B676" s="1985"/>
      <c r="C676" s="2365">
        <f>L664*I676</f>
        <v>0.12</v>
      </c>
      <c r="D676" s="2366">
        <f>I664*H676</f>
        <v>0.18</v>
      </c>
      <c r="E676" s="2366">
        <f>D676-C676</f>
        <v>0.06</v>
      </c>
      <c r="F676" s="2367">
        <f>IF(E676=L674,H676,0)</f>
        <v>0</v>
      </c>
      <c r="G676" s="2367">
        <f>IF(F676&gt;0,I676,0)</f>
        <v>0</v>
      </c>
      <c r="H676" s="2363">
        <v>2</v>
      </c>
      <c r="I676" s="2368">
        <f>INT(J676)</f>
        <v>1</v>
      </c>
      <c r="J676" s="2368">
        <f>D676/L664</f>
        <v>1.5</v>
      </c>
      <c r="K676" s="2363">
        <f>IF(F676=0,0,F676/G676)</f>
        <v>0</v>
      </c>
      <c r="L676" s="2369">
        <f>ROUNDDOWN(K676,1)</f>
        <v>0</v>
      </c>
      <c r="M676" s="1201"/>
      <c r="N676" s="1201"/>
      <c r="O676" s="1201"/>
      <c r="P676" s="1201"/>
      <c r="Q676" s="1201"/>
    </row>
    <row r="677" spans="1:17">
      <c r="A677" s="1201"/>
      <c r="B677" s="1985"/>
      <c r="C677" s="2365">
        <f>L664*I677</f>
        <v>0.24</v>
      </c>
      <c r="D677" s="2366">
        <f>I664*H677</f>
        <v>0.27</v>
      </c>
      <c r="E677" s="2366">
        <f>D677-C677</f>
        <v>3.0000000000000027E-2</v>
      </c>
      <c r="F677" s="2367">
        <f>IF(E677=L674,H677,0)</f>
        <v>3</v>
      </c>
      <c r="G677" s="2367">
        <f>IF(F677&gt;0,I677,0)</f>
        <v>2</v>
      </c>
      <c r="H677" s="2363">
        <v>3</v>
      </c>
      <c r="I677" s="2368">
        <f>INT(J677)</f>
        <v>2</v>
      </c>
      <c r="J677" s="2368">
        <f>D677/L664</f>
        <v>2.2500000000000004</v>
      </c>
      <c r="K677" s="2363">
        <f>IF(F677=0,0,F677/G677)</f>
        <v>1.5</v>
      </c>
      <c r="L677" s="2369">
        <f>ROUNDDOWN(K677,1)</f>
        <v>1.5</v>
      </c>
      <c r="M677" s="1201"/>
      <c r="N677" s="1201"/>
      <c r="O677" s="1201"/>
      <c r="P677" s="1201"/>
      <c r="Q677" s="1201"/>
    </row>
    <row r="678" spans="1:17">
      <c r="A678" s="1201"/>
      <c r="B678" s="1985"/>
      <c r="C678" s="2365">
        <f>L664*I678</f>
        <v>0.36</v>
      </c>
      <c r="D678" s="2366">
        <f>I664*H678</f>
        <v>0.36</v>
      </c>
      <c r="E678" s="2366">
        <f>D678-C678</f>
        <v>0</v>
      </c>
      <c r="F678" s="2367">
        <f>IF(E678=L674,H678,0)</f>
        <v>0</v>
      </c>
      <c r="G678" s="2367">
        <f>IF(F678&gt;0,I678,0)</f>
        <v>0</v>
      </c>
      <c r="H678" s="2363">
        <v>4</v>
      </c>
      <c r="I678" s="2368">
        <f>INT(J678)</f>
        <v>3</v>
      </c>
      <c r="J678" s="2368">
        <f>D678/L664</f>
        <v>3</v>
      </c>
      <c r="K678" s="2363">
        <f>IF(F678=0,0,F678/G678)</f>
        <v>0</v>
      </c>
      <c r="L678" s="2369">
        <f>ROUNDDOWN(K678,1)</f>
        <v>0</v>
      </c>
      <c r="M678" s="1201"/>
      <c r="N678" s="1201"/>
      <c r="O678" s="1201"/>
      <c r="P678" s="1201"/>
      <c r="Q678" s="1201"/>
    </row>
    <row r="679" spans="1:17" ht="15.75" thickBot="1">
      <c r="A679" s="1201"/>
      <c r="B679" s="1985"/>
      <c r="C679" s="2370">
        <f>L664*I679</f>
        <v>0.36</v>
      </c>
      <c r="D679" s="2371">
        <f>I664*H679</f>
        <v>0.44999999999999996</v>
      </c>
      <c r="E679" s="2371">
        <f>D679-C679</f>
        <v>8.9999999999999969E-2</v>
      </c>
      <c r="F679" s="2372">
        <f>IF(E679=L674,H679,0)</f>
        <v>0</v>
      </c>
      <c r="G679" s="2372">
        <f>IF(F679&gt;0,I679,0)</f>
        <v>0</v>
      </c>
      <c r="H679" s="2373">
        <v>5</v>
      </c>
      <c r="I679" s="2374">
        <f>INT(J679)</f>
        <v>3</v>
      </c>
      <c r="J679" s="2374">
        <f>D679/L664</f>
        <v>3.7499999999999996</v>
      </c>
      <c r="K679" s="2373">
        <f>IF(F679=0,0,F679/G679)</f>
        <v>0</v>
      </c>
      <c r="L679" s="2375">
        <f>ROUNDDOWN(K679,1)</f>
        <v>0</v>
      </c>
      <c r="M679" s="1201"/>
      <c r="N679" s="1201"/>
      <c r="O679" s="1201"/>
      <c r="P679" s="1201"/>
      <c r="Q679" s="1201"/>
    </row>
    <row r="680" spans="1:17">
      <c r="A680" s="1201"/>
      <c r="B680" s="1985"/>
      <c r="C680" s="1985"/>
      <c r="D680" s="1985"/>
      <c r="E680" s="1985"/>
      <c r="F680" s="1985"/>
      <c r="G680" s="1985"/>
      <c r="H680" s="1985"/>
      <c r="I680" s="1985"/>
      <c r="J680" s="1985"/>
      <c r="K680" s="1985"/>
      <c r="L680" s="1985"/>
      <c r="M680" s="1201"/>
      <c r="N680" s="1201"/>
      <c r="O680" s="1201"/>
      <c r="P680" s="1201"/>
      <c r="Q680" s="1201"/>
    </row>
    <row r="681" spans="1:17">
      <c r="A681" s="1201"/>
      <c r="B681" s="1985"/>
      <c r="C681" s="1985"/>
      <c r="D681" s="1985"/>
      <c r="E681" s="1985"/>
      <c r="F681" s="1985"/>
      <c r="G681" s="1985"/>
      <c r="H681" s="1985"/>
      <c r="I681" s="1985"/>
      <c r="J681" s="1985"/>
      <c r="K681" s="1985"/>
      <c r="L681" s="1985"/>
      <c r="M681" s="1201"/>
      <c r="N681" s="1201"/>
      <c r="O681" s="1201"/>
      <c r="P681" s="1201"/>
      <c r="Q681" s="1201"/>
    </row>
    <row r="682" spans="1:17" ht="18.75">
      <c r="A682" s="1201"/>
      <c r="B682" s="1985"/>
      <c r="C682" s="4021" t="s">
        <v>1344</v>
      </c>
      <c r="D682" s="4022"/>
      <c r="E682" s="4022"/>
      <c r="F682" s="4022"/>
      <c r="G682" s="4022"/>
      <c r="H682" s="4022"/>
      <c r="I682" s="4022"/>
      <c r="J682" s="4022"/>
      <c r="K682" s="4022"/>
      <c r="L682" s="4022"/>
      <c r="M682" s="4023"/>
      <c r="N682" s="1201"/>
      <c r="O682" s="1201"/>
      <c r="P682" s="1201"/>
      <c r="Q682" s="1201"/>
    </row>
    <row r="683" spans="1:17" ht="15.75">
      <c r="A683" s="1201"/>
      <c r="B683" s="1985"/>
      <c r="C683" s="4024" t="s">
        <v>1345</v>
      </c>
      <c r="D683" s="4025"/>
      <c r="E683" s="4025"/>
      <c r="F683" s="4025"/>
      <c r="G683" s="4025"/>
      <c r="H683" s="4025"/>
      <c r="I683" s="4025"/>
      <c r="J683" s="4025"/>
      <c r="K683" s="4025"/>
      <c r="L683" s="4025"/>
      <c r="M683" s="4026"/>
      <c r="N683" s="1201"/>
      <c r="O683" s="1201"/>
      <c r="P683" s="1201"/>
      <c r="Q683" s="1201"/>
    </row>
    <row r="684" spans="1:17" ht="15.75">
      <c r="A684" s="1201"/>
      <c r="B684" s="1985"/>
      <c r="C684" s="2376"/>
      <c r="D684" s="2377"/>
      <c r="E684" s="4027" t="s">
        <v>1346</v>
      </c>
      <c r="F684" s="4027"/>
      <c r="G684" s="4027"/>
      <c r="H684" s="4027"/>
      <c r="I684" s="4027"/>
      <c r="J684" s="4027"/>
      <c r="K684" s="4027"/>
      <c r="L684" s="4027"/>
      <c r="M684" s="4028"/>
      <c r="N684" s="1201"/>
      <c r="O684" s="1201"/>
      <c r="P684" s="1201"/>
      <c r="Q684" s="1201"/>
    </row>
    <row r="685" spans="1:17">
      <c r="A685" s="1201"/>
      <c r="B685" s="1985"/>
      <c r="C685" s="4029" t="s">
        <v>1176</v>
      </c>
      <c r="D685" s="4030"/>
      <c r="E685" s="4030"/>
      <c r="F685" s="4030"/>
      <c r="G685" s="4030"/>
      <c r="H685" s="4030"/>
      <c r="I685" s="4030"/>
      <c r="J685" s="4030"/>
      <c r="K685" s="4030"/>
      <c r="L685" s="4030"/>
      <c r="M685" s="4031"/>
      <c r="N685" s="1201"/>
      <c r="O685" s="1201"/>
      <c r="P685" s="1201"/>
      <c r="Q685" s="1201"/>
    </row>
    <row r="686" spans="1:17">
      <c r="A686" s="1201"/>
      <c r="B686" s="1985"/>
      <c r="C686" s="4010" t="s">
        <v>1347</v>
      </c>
      <c r="D686" s="4011"/>
      <c r="E686" s="4012" t="s">
        <v>1348</v>
      </c>
      <c r="F686" s="4012"/>
      <c r="G686" s="1502"/>
      <c r="H686" s="2206"/>
      <c r="I686" s="2206"/>
      <c r="J686" s="1502"/>
      <c r="K686" s="2378"/>
      <c r="L686" s="1502"/>
      <c r="M686" s="2379"/>
      <c r="N686" s="1201"/>
      <c r="O686" s="1201"/>
      <c r="P686" s="1201"/>
      <c r="Q686" s="1201"/>
    </row>
    <row r="687" spans="1:17">
      <c r="A687" s="1201"/>
      <c r="B687" s="1985"/>
      <c r="C687" s="4010"/>
      <c r="D687" s="4011"/>
      <c r="E687" s="4012"/>
      <c r="F687" s="4012"/>
      <c r="G687" s="1502"/>
      <c r="H687" s="2206"/>
      <c r="I687" s="2206"/>
      <c r="J687" s="1502"/>
      <c r="K687" s="2378"/>
      <c r="L687" s="1502"/>
      <c r="M687" s="2379"/>
      <c r="N687" s="1201"/>
      <c r="O687" s="1201"/>
      <c r="P687" s="1201"/>
      <c r="Q687" s="1201"/>
    </row>
    <row r="688" spans="1:17">
      <c r="A688" s="1201"/>
      <c r="B688" s="1985"/>
      <c r="C688" s="3996">
        <v>10</v>
      </c>
      <c r="D688" s="3997"/>
      <c r="E688" s="3997">
        <v>0.1</v>
      </c>
      <c r="F688" s="3997"/>
      <c r="G688" s="1502"/>
      <c r="H688" s="2206"/>
      <c r="I688" s="2206"/>
      <c r="J688" s="1502"/>
      <c r="K688" s="2380" t="s">
        <v>1349</v>
      </c>
      <c r="L688" s="2381">
        <f>C688/E688</f>
        <v>100</v>
      </c>
      <c r="M688" s="2379"/>
      <c r="N688" s="1201"/>
      <c r="O688" s="1201"/>
      <c r="P688" s="1201"/>
      <c r="Q688" s="1201"/>
    </row>
    <row r="689" spans="1:17">
      <c r="A689" s="1201"/>
      <c r="B689" s="1985"/>
      <c r="C689" s="3996">
        <v>1</v>
      </c>
      <c r="D689" s="3997"/>
      <c r="E689" s="3997">
        <v>7.0000000000000007E-2</v>
      </c>
      <c r="F689" s="3997"/>
      <c r="G689" s="1502"/>
      <c r="H689" s="2206"/>
      <c r="I689" s="2206"/>
      <c r="J689" s="1502"/>
      <c r="K689" s="2380" t="s">
        <v>1349</v>
      </c>
      <c r="L689" s="2381">
        <f>C689/E689</f>
        <v>14.285714285714285</v>
      </c>
      <c r="M689" s="2379"/>
      <c r="N689" s="1201"/>
      <c r="O689" s="1201"/>
      <c r="P689" s="1201"/>
      <c r="Q689" s="1201"/>
    </row>
    <row r="690" spans="1:17">
      <c r="A690" s="1201"/>
      <c r="B690" s="1985"/>
      <c r="C690" s="2382"/>
      <c r="D690" s="2383"/>
      <c r="E690" s="2384"/>
      <c r="F690" s="2383"/>
      <c r="G690" s="1502"/>
      <c r="H690" s="2206"/>
      <c r="I690" s="2206"/>
      <c r="J690" s="1502"/>
      <c r="K690" s="1502"/>
      <c r="L690" s="1502"/>
      <c r="M690" s="2379"/>
      <c r="N690" s="1201"/>
      <c r="O690" s="1201"/>
      <c r="P690" s="1201"/>
      <c r="Q690" s="1201"/>
    </row>
    <row r="691" spans="1:17" ht="15.75">
      <c r="A691" s="1201"/>
      <c r="B691" s="1985"/>
      <c r="C691" s="4015" t="s">
        <v>1345</v>
      </c>
      <c r="D691" s="4016"/>
      <c r="E691" s="4016"/>
      <c r="F691" s="4016"/>
      <c r="G691" s="4016"/>
      <c r="H691" s="4016"/>
      <c r="I691" s="4016"/>
      <c r="J691" s="4016"/>
      <c r="K691" s="4016"/>
      <c r="L691" s="4016"/>
      <c r="M691" s="4017"/>
      <c r="N691" s="1201"/>
      <c r="O691" s="1201"/>
      <c r="P691" s="1201"/>
      <c r="Q691" s="1201"/>
    </row>
    <row r="692" spans="1:17" ht="15.75">
      <c r="A692" s="1201"/>
      <c r="B692" s="1985"/>
      <c r="C692" s="2385"/>
      <c r="D692" s="2386"/>
      <c r="E692" s="4018" t="s">
        <v>1350</v>
      </c>
      <c r="F692" s="4018"/>
      <c r="G692" s="4018"/>
      <c r="H692" s="4018"/>
      <c r="I692" s="4018"/>
      <c r="J692" s="4018"/>
      <c r="K692" s="4018"/>
      <c r="L692" s="4018"/>
      <c r="M692" s="4019"/>
      <c r="N692" s="1201"/>
      <c r="O692" s="1201"/>
      <c r="P692" s="1201"/>
      <c r="Q692" s="1201"/>
    </row>
    <row r="693" spans="1:17">
      <c r="A693" s="1201"/>
      <c r="B693" s="1985"/>
      <c r="C693" s="4010" t="s">
        <v>1347</v>
      </c>
      <c r="D693" s="4011"/>
      <c r="E693" s="4012" t="s">
        <v>1351</v>
      </c>
      <c r="F693" s="4012"/>
      <c r="G693" s="4013" t="s">
        <v>1352</v>
      </c>
      <c r="H693" s="4013"/>
      <c r="I693" s="4013"/>
      <c r="J693" s="2387"/>
      <c r="K693" s="2387"/>
      <c r="L693" s="2387"/>
      <c r="M693" s="4014" t="s">
        <v>1353</v>
      </c>
      <c r="N693" s="1201"/>
      <c r="O693" s="1201"/>
      <c r="P693" s="1201"/>
      <c r="Q693" s="1201"/>
    </row>
    <row r="694" spans="1:17">
      <c r="A694" s="1201"/>
      <c r="B694" s="1985"/>
      <c r="C694" s="4010"/>
      <c r="D694" s="4011"/>
      <c r="E694" s="4012"/>
      <c r="F694" s="4012"/>
      <c r="G694" s="4013"/>
      <c r="H694" s="4013"/>
      <c r="I694" s="4013"/>
      <c r="J694" s="2387"/>
      <c r="K694" s="2387"/>
      <c r="L694" s="2387"/>
      <c r="M694" s="4014"/>
      <c r="N694" s="1201"/>
      <c r="O694" s="1201"/>
      <c r="P694" s="1201"/>
      <c r="Q694" s="1201"/>
    </row>
    <row r="695" spans="1:17">
      <c r="A695" s="1201"/>
      <c r="B695" s="1985"/>
      <c r="C695" s="3996">
        <v>0.9</v>
      </c>
      <c r="D695" s="3997"/>
      <c r="E695" s="3998">
        <v>7</v>
      </c>
      <c r="F695" s="3998"/>
      <c r="G695" s="3999" t="s">
        <v>1354</v>
      </c>
      <c r="H695" s="3999"/>
      <c r="I695" s="3999"/>
      <c r="J695" s="2388">
        <f>C695</f>
        <v>0.9</v>
      </c>
      <c r="K695" s="2314" t="s">
        <v>1337</v>
      </c>
      <c r="L695" s="2389">
        <f>E695</f>
        <v>7</v>
      </c>
      <c r="M695" s="2390">
        <f>C695/E695</f>
        <v>0.12857142857142859</v>
      </c>
      <c r="N695" s="1201"/>
      <c r="O695" s="1201"/>
      <c r="P695" s="1201"/>
      <c r="Q695" s="1201"/>
    </row>
    <row r="696" spans="1:17">
      <c r="A696" s="1201"/>
      <c r="B696" s="1985"/>
      <c r="C696" s="3996">
        <v>3.5</v>
      </c>
      <c r="D696" s="3997"/>
      <c r="E696" s="3998">
        <v>20</v>
      </c>
      <c r="F696" s="3998"/>
      <c r="G696" s="3999" t="s">
        <v>1355</v>
      </c>
      <c r="H696" s="3999"/>
      <c r="I696" s="3999"/>
      <c r="J696" s="2388">
        <f>C696</f>
        <v>3.5</v>
      </c>
      <c r="K696" s="2314" t="s">
        <v>1337</v>
      </c>
      <c r="L696" s="2389">
        <f>E696</f>
        <v>20</v>
      </c>
      <c r="M696" s="2390">
        <f>C696/E696</f>
        <v>0.17499999999999999</v>
      </c>
      <c r="N696" s="1201"/>
      <c r="O696" s="1201"/>
      <c r="P696" s="1201"/>
      <c r="Q696" s="1201"/>
    </row>
    <row r="697" spans="1:17">
      <c r="A697" s="1201"/>
      <c r="B697" s="1985"/>
      <c r="C697" s="2391"/>
      <c r="D697" s="2392"/>
      <c r="E697" s="2181"/>
      <c r="F697" s="2392"/>
      <c r="G697" s="2181"/>
      <c r="H697" s="2392"/>
      <c r="I697" s="2392"/>
      <c r="J697" s="2181"/>
      <c r="K697" s="2181"/>
      <c r="L697" s="2181"/>
      <c r="M697" s="2393"/>
      <c r="N697" s="1201"/>
      <c r="O697" s="1201"/>
      <c r="P697" s="1201"/>
      <c r="Q697" s="1201"/>
    </row>
    <row r="698" spans="1:17">
      <c r="A698" s="1201"/>
      <c r="B698" s="1985"/>
      <c r="C698" s="1201"/>
      <c r="D698" s="1201"/>
      <c r="E698" s="1201"/>
      <c r="F698" s="1201"/>
      <c r="G698" s="1201"/>
      <c r="H698" s="1201"/>
      <c r="I698" s="1201"/>
      <c r="J698" s="1201"/>
      <c r="K698" s="1201"/>
      <c r="L698" s="1985"/>
      <c r="M698" s="1201"/>
      <c r="N698" s="1201"/>
      <c r="O698" s="1201"/>
      <c r="P698" s="1201"/>
      <c r="Q698" s="1201"/>
    </row>
    <row r="699" spans="1:17" ht="15.75" thickBot="1">
      <c r="A699" s="1201"/>
      <c r="B699" s="1985"/>
      <c r="C699" s="1201"/>
      <c r="D699" s="1201"/>
      <c r="E699" s="1201"/>
      <c r="F699" s="1201"/>
      <c r="G699" s="1201"/>
      <c r="H699" s="1201"/>
      <c r="I699" s="1201"/>
      <c r="J699" s="1201"/>
      <c r="K699" s="1201"/>
      <c r="L699" s="1985"/>
      <c r="M699" s="1201"/>
      <c r="N699" s="1201"/>
      <c r="O699" s="1201"/>
      <c r="P699" s="1201"/>
      <c r="Q699" s="1201"/>
    </row>
    <row r="700" spans="1:17">
      <c r="A700" s="1201"/>
      <c r="B700" s="1985"/>
      <c r="C700" s="4000" t="s">
        <v>1356</v>
      </c>
      <c r="D700" s="4001"/>
      <c r="E700" s="4004" t="s">
        <v>1357</v>
      </c>
      <c r="F700" s="4004"/>
      <c r="G700" s="4006" t="s">
        <v>1358</v>
      </c>
      <c r="H700" s="4008" t="s">
        <v>1176</v>
      </c>
      <c r="I700" s="4008"/>
      <c r="J700" s="4008"/>
      <c r="K700" s="4008"/>
      <c r="L700" s="4008"/>
      <c r="M700" s="4009"/>
      <c r="N700" s="1201"/>
      <c r="O700" s="1201"/>
      <c r="P700" s="1201"/>
      <c r="Q700" s="1201"/>
    </row>
    <row r="701" spans="1:17">
      <c r="A701" s="1201"/>
      <c r="B701" s="1985"/>
      <c r="C701" s="4002"/>
      <c r="D701" s="4003"/>
      <c r="E701" s="4005"/>
      <c r="F701" s="4005"/>
      <c r="G701" s="4007"/>
      <c r="H701" s="2394"/>
      <c r="I701" s="2394"/>
      <c r="J701" s="2394"/>
      <c r="K701" s="2394"/>
      <c r="L701" s="2394"/>
      <c r="M701" s="2395"/>
      <c r="N701" s="1201"/>
      <c r="O701" s="1201"/>
      <c r="P701" s="1201"/>
      <c r="Q701" s="1201"/>
    </row>
    <row r="702" spans="1:17">
      <c r="A702" s="1201"/>
      <c r="B702" s="1985"/>
      <c r="C702" s="3987">
        <v>32</v>
      </c>
      <c r="D702" s="3988"/>
      <c r="E702" s="3989">
        <v>1.45</v>
      </c>
      <c r="F702" s="3989"/>
      <c r="G702" s="3990">
        <f>C702/E702</f>
        <v>22.068965517241381</v>
      </c>
      <c r="H702" s="3991" t="s">
        <v>1359</v>
      </c>
      <c r="I702" s="3991"/>
      <c r="J702" s="3991"/>
      <c r="K702" s="3991"/>
      <c r="L702" s="3991"/>
      <c r="M702" s="3992"/>
      <c r="N702" s="1201"/>
      <c r="O702" s="1201"/>
      <c r="P702" s="1201"/>
      <c r="Q702" s="1201"/>
    </row>
    <row r="703" spans="1:17">
      <c r="A703" s="1201"/>
      <c r="B703" s="1985"/>
      <c r="C703" s="3987"/>
      <c r="D703" s="3988"/>
      <c r="E703" s="3989"/>
      <c r="F703" s="3989"/>
      <c r="G703" s="3990"/>
      <c r="H703" s="3991"/>
      <c r="I703" s="3991"/>
      <c r="J703" s="3991"/>
      <c r="K703" s="3991"/>
      <c r="L703" s="3991"/>
      <c r="M703" s="3992"/>
      <c r="N703" s="1201"/>
      <c r="O703" s="1201"/>
      <c r="P703" s="1201"/>
      <c r="Q703" s="1201"/>
    </row>
    <row r="704" spans="1:17" ht="15.75">
      <c r="A704" s="1201"/>
      <c r="B704" s="1985"/>
      <c r="C704" s="3993" t="s">
        <v>1360</v>
      </c>
      <c r="D704" s="3994"/>
      <c r="E704" s="3994"/>
      <c r="F704" s="3994"/>
      <c r="G704" s="3994"/>
      <c r="H704" s="3994"/>
      <c r="I704" s="3994"/>
      <c r="J704" s="3994"/>
      <c r="K704" s="3994"/>
      <c r="L704" s="3994"/>
      <c r="M704" s="3995"/>
      <c r="N704" s="1201"/>
      <c r="O704" s="1201"/>
      <c r="P704" s="1201"/>
      <c r="Q704" s="1201"/>
    </row>
    <row r="705" spans="1:17" ht="15.75">
      <c r="A705" s="1201"/>
      <c r="B705" s="1985"/>
      <c r="C705" s="3977">
        <v>32</v>
      </c>
      <c r="D705" s="3978"/>
      <c r="E705" s="3979">
        <v>1.2</v>
      </c>
      <c r="F705" s="3979"/>
      <c r="G705" s="2396">
        <f t="shared" ref="G705:G716" si="7">C705/E705</f>
        <v>26.666666666666668</v>
      </c>
      <c r="H705" s="2397" t="s">
        <v>1361</v>
      </c>
      <c r="I705" s="2398"/>
      <c r="J705" s="2398"/>
      <c r="K705" s="2398"/>
      <c r="L705" s="2399"/>
      <c r="M705" s="2400"/>
      <c r="N705" s="1201"/>
      <c r="O705" s="1201"/>
      <c r="P705" s="1201"/>
      <c r="Q705" s="1201"/>
    </row>
    <row r="706" spans="1:17" ht="15.75">
      <c r="A706" s="1201"/>
      <c r="B706" s="1985"/>
      <c r="C706" s="3977">
        <v>12</v>
      </c>
      <c r="D706" s="3978"/>
      <c r="E706" s="3979">
        <v>1</v>
      </c>
      <c r="F706" s="3979"/>
      <c r="G706" s="2396">
        <f t="shared" si="7"/>
        <v>12</v>
      </c>
      <c r="H706" s="2397" t="s">
        <v>1362</v>
      </c>
      <c r="I706" s="2398"/>
      <c r="J706" s="2398"/>
      <c r="K706" s="2398"/>
      <c r="L706" s="2399"/>
      <c r="M706" s="2400"/>
      <c r="N706" s="1201"/>
      <c r="O706" s="1201"/>
      <c r="P706" s="1201"/>
      <c r="Q706" s="1201"/>
    </row>
    <row r="707" spans="1:17" ht="15.75">
      <c r="A707" s="1201"/>
      <c r="B707" s="1985"/>
      <c r="C707" s="3977">
        <v>32</v>
      </c>
      <c r="D707" s="3978"/>
      <c r="E707" s="3979">
        <v>2</v>
      </c>
      <c r="F707" s="3979"/>
      <c r="G707" s="2396">
        <f t="shared" si="7"/>
        <v>16</v>
      </c>
      <c r="H707" s="2397" t="s">
        <v>1363</v>
      </c>
      <c r="I707" s="2398"/>
      <c r="J707" s="2398"/>
      <c r="K707" s="2398"/>
      <c r="L707" s="2399"/>
      <c r="M707" s="2400"/>
      <c r="N707" s="1201"/>
      <c r="O707" s="1201"/>
      <c r="P707" s="1201"/>
      <c r="Q707" s="1201"/>
    </row>
    <row r="708" spans="1:17" ht="15.75">
      <c r="A708" s="1201"/>
      <c r="B708" s="1985"/>
      <c r="C708" s="3977">
        <v>32</v>
      </c>
      <c r="D708" s="3978"/>
      <c r="E708" s="3979">
        <v>1.2</v>
      </c>
      <c r="F708" s="3979"/>
      <c r="G708" s="2396">
        <f t="shared" si="7"/>
        <v>26.666666666666668</v>
      </c>
      <c r="H708" s="2397" t="s">
        <v>1363</v>
      </c>
      <c r="I708" s="2398"/>
      <c r="J708" s="2398"/>
      <c r="K708" s="2398"/>
      <c r="L708" s="2399"/>
      <c r="M708" s="2400"/>
      <c r="N708" s="1201"/>
      <c r="O708" s="1201"/>
      <c r="P708" s="1201"/>
      <c r="Q708" s="1201"/>
    </row>
    <row r="709" spans="1:17" ht="15.75">
      <c r="A709" s="1201"/>
      <c r="B709" s="1985"/>
      <c r="C709" s="3977">
        <v>33</v>
      </c>
      <c r="D709" s="3978"/>
      <c r="E709" s="3979">
        <v>1.3</v>
      </c>
      <c r="F709" s="3979"/>
      <c r="G709" s="2396">
        <f t="shared" si="7"/>
        <v>25.384615384615383</v>
      </c>
      <c r="H709" s="2397" t="s">
        <v>1364</v>
      </c>
      <c r="I709" s="2398"/>
      <c r="J709" s="2398"/>
      <c r="K709" s="2398"/>
      <c r="L709" s="2399"/>
      <c r="M709" s="2400"/>
      <c r="N709" s="1201"/>
      <c r="O709" s="1201"/>
      <c r="P709" s="1201"/>
      <c r="Q709" s="1201"/>
    </row>
    <row r="710" spans="1:17" ht="15.75">
      <c r="A710" s="1201"/>
      <c r="B710" s="1985"/>
      <c r="C710" s="3977">
        <v>33</v>
      </c>
      <c r="D710" s="3978"/>
      <c r="E710" s="3979">
        <v>1.5</v>
      </c>
      <c r="F710" s="3979"/>
      <c r="G710" s="2396">
        <f t="shared" si="7"/>
        <v>22</v>
      </c>
      <c r="H710" s="2397" t="s">
        <v>1365</v>
      </c>
      <c r="I710" s="2398"/>
      <c r="J710" s="2398"/>
      <c r="K710" s="2398"/>
      <c r="L710" s="2399"/>
      <c r="M710" s="2400"/>
      <c r="N710" s="1201"/>
      <c r="O710" s="1201"/>
      <c r="P710" s="1201"/>
      <c r="Q710" s="1201"/>
    </row>
    <row r="711" spans="1:17" ht="15.75">
      <c r="A711" s="1201"/>
      <c r="B711" s="1985"/>
      <c r="C711" s="3977">
        <v>30</v>
      </c>
      <c r="D711" s="3978"/>
      <c r="E711" s="3979">
        <v>1.2</v>
      </c>
      <c r="F711" s="3979"/>
      <c r="G711" s="2396">
        <f t="shared" si="7"/>
        <v>25</v>
      </c>
      <c r="H711" s="2397" t="s">
        <v>1366</v>
      </c>
      <c r="I711" s="2398"/>
      <c r="J711" s="2398"/>
      <c r="K711" s="2398"/>
      <c r="L711" s="2399"/>
      <c r="M711" s="2400"/>
      <c r="N711" s="1201"/>
      <c r="O711" s="1201"/>
      <c r="P711" s="1201"/>
      <c r="Q711" s="1201"/>
    </row>
    <row r="712" spans="1:17" ht="15.75">
      <c r="A712" s="1201"/>
      <c r="B712" s="1985"/>
      <c r="C712" s="3977">
        <v>33</v>
      </c>
      <c r="D712" s="3978"/>
      <c r="E712" s="3979">
        <v>1.6</v>
      </c>
      <c r="F712" s="3979"/>
      <c r="G712" s="2396">
        <f t="shared" si="7"/>
        <v>20.625</v>
      </c>
      <c r="H712" s="2397" t="s">
        <v>1367</v>
      </c>
      <c r="I712" s="2398"/>
      <c r="J712" s="2398"/>
      <c r="K712" s="2398"/>
      <c r="L712" s="2399"/>
      <c r="M712" s="2400"/>
      <c r="N712" s="1201"/>
      <c r="O712" s="1201"/>
      <c r="P712" s="1201"/>
      <c r="Q712" s="1201"/>
    </row>
    <row r="713" spans="1:17" ht="15.75">
      <c r="A713" s="1201"/>
      <c r="B713" s="1985"/>
      <c r="C713" s="3977">
        <v>33</v>
      </c>
      <c r="D713" s="3978"/>
      <c r="E713" s="3979">
        <v>2</v>
      </c>
      <c r="F713" s="3979"/>
      <c r="G713" s="2396">
        <f t="shared" si="7"/>
        <v>16.5</v>
      </c>
      <c r="H713" s="2397" t="s">
        <v>1368</v>
      </c>
      <c r="I713" s="2398"/>
      <c r="J713" s="2398"/>
      <c r="K713" s="2398"/>
      <c r="L713" s="2399"/>
      <c r="M713" s="2400"/>
      <c r="N713" s="1201"/>
      <c r="O713" s="1201"/>
      <c r="P713" s="1201"/>
      <c r="Q713" s="1201"/>
    </row>
    <row r="714" spans="1:17" ht="15.75">
      <c r="A714" s="1201"/>
      <c r="B714" s="1985"/>
      <c r="C714" s="3977">
        <v>48</v>
      </c>
      <c r="D714" s="3978"/>
      <c r="E714" s="3979">
        <v>6</v>
      </c>
      <c r="F714" s="3979"/>
      <c r="G714" s="2396">
        <f t="shared" si="7"/>
        <v>8</v>
      </c>
      <c r="H714" s="2397" t="s">
        <v>1369</v>
      </c>
      <c r="I714" s="2398"/>
      <c r="J714" s="2398"/>
      <c r="K714" s="2398"/>
      <c r="L714" s="2399"/>
      <c r="M714" s="2400"/>
      <c r="N714" s="1201"/>
      <c r="O714" s="1201"/>
      <c r="P714" s="1201"/>
      <c r="Q714" s="1201"/>
    </row>
    <row r="715" spans="1:17" ht="15.75">
      <c r="A715" s="1201"/>
      <c r="B715" s="1985"/>
      <c r="C715" s="3977">
        <v>1</v>
      </c>
      <c r="D715" s="3978"/>
      <c r="E715" s="3979">
        <v>0.25</v>
      </c>
      <c r="F715" s="3979"/>
      <c r="G715" s="2396">
        <f t="shared" si="7"/>
        <v>4</v>
      </c>
      <c r="H715" s="2397" t="s">
        <v>1370</v>
      </c>
      <c r="I715" s="2398"/>
      <c r="J715" s="2398"/>
      <c r="K715" s="2398"/>
      <c r="L715" s="2399"/>
      <c r="M715" s="2400"/>
      <c r="N715" s="1201"/>
      <c r="O715" s="1201"/>
      <c r="P715" s="1201"/>
      <c r="Q715" s="1201"/>
    </row>
    <row r="716" spans="1:17" ht="15.75">
      <c r="A716" s="1201"/>
      <c r="B716" s="1985"/>
      <c r="C716" s="3977">
        <v>25</v>
      </c>
      <c r="D716" s="3978"/>
      <c r="E716" s="3979">
        <v>1</v>
      </c>
      <c r="F716" s="3979"/>
      <c r="G716" s="2396">
        <f t="shared" si="7"/>
        <v>25</v>
      </c>
      <c r="H716" s="2397" t="s">
        <v>1371</v>
      </c>
      <c r="I716" s="2398"/>
      <c r="J716" s="2398"/>
      <c r="K716" s="2398"/>
      <c r="L716" s="2399"/>
      <c r="M716" s="2400"/>
      <c r="N716" s="1201"/>
      <c r="O716" s="1201"/>
      <c r="P716" s="1201"/>
      <c r="Q716" s="1201"/>
    </row>
    <row r="717" spans="1:17" ht="15.75">
      <c r="A717" s="1201"/>
      <c r="B717" s="1985"/>
      <c r="C717" s="2401"/>
      <c r="D717" s="2402"/>
      <c r="E717" s="2403"/>
      <c r="F717" s="2403"/>
      <c r="G717" s="2396"/>
      <c r="H717" s="2397"/>
      <c r="I717" s="2398"/>
      <c r="J717" s="2398"/>
      <c r="K717" s="2398"/>
      <c r="L717" s="2399"/>
      <c r="M717" s="2400"/>
      <c r="N717" s="1201"/>
      <c r="O717" s="1201"/>
      <c r="P717" s="1201"/>
      <c r="Q717" s="1201"/>
    </row>
    <row r="718" spans="1:17" ht="15.75">
      <c r="A718" s="1201"/>
      <c r="B718" s="1985"/>
      <c r="C718" s="2404" t="s">
        <v>1372</v>
      </c>
      <c r="D718" s="2402"/>
      <c r="E718" s="2403"/>
      <c r="F718" s="2403"/>
      <c r="G718" s="2396"/>
      <c r="H718" s="2397"/>
      <c r="I718" s="2398"/>
      <c r="J718" s="2398"/>
      <c r="K718" s="2398"/>
      <c r="L718" s="2399"/>
      <c r="M718" s="2400"/>
      <c r="N718" s="1201"/>
      <c r="O718" s="1201"/>
      <c r="P718" s="1201"/>
      <c r="Q718" s="1201"/>
    </row>
    <row r="719" spans="1:17">
      <c r="A719" s="1201"/>
      <c r="B719" s="1985"/>
      <c r="C719" s="3980" t="s">
        <v>1373</v>
      </c>
      <c r="D719" s="3981"/>
      <c r="E719" s="3981"/>
      <c r="F719" s="3981"/>
      <c r="G719" s="3981"/>
      <c r="H719" s="3981"/>
      <c r="I719" s="3981"/>
      <c r="J719" s="3981"/>
      <c r="K719" s="3981"/>
      <c r="L719" s="3981"/>
      <c r="M719" s="3982"/>
      <c r="N719" s="1201"/>
      <c r="O719" s="1201"/>
      <c r="P719" s="1201"/>
      <c r="Q719" s="1201"/>
    </row>
    <row r="720" spans="1:17">
      <c r="A720" s="1201"/>
      <c r="B720" s="1985"/>
      <c r="C720" s="3980"/>
      <c r="D720" s="3981"/>
      <c r="E720" s="3981"/>
      <c r="F720" s="3981"/>
      <c r="G720" s="3981"/>
      <c r="H720" s="3981"/>
      <c r="I720" s="3981"/>
      <c r="J720" s="3981"/>
      <c r="K720" s="3981"/>
      <c r="L720" s="3981"/>
      <c r="M720" s="3982"/>
      <c r="N720" s="1201"/>
      <c r="O720" s="1201"/>
      <c r="P720" s="1201"/>
      <c r="Q720" s="1201"/>
    </row>
    <row r="721" spans="1:17" ht="15.75" thickBot="1">
      <c r="A721" s="1201"/>
      <c r="B721" s="1985"/>
      <c r="C721" s="3983"/>
      <c r="D721" s="3984"/>
      <c r="E721" s="3984"/>
      <c r="F721" s="3984"/>
      <c r="G721" s="3984"/>
      <c r="H721" s="3984"/>
      <c r="I721" s="3984"/>
      <c r="J721" s="3984"/>
      <c r="K721" s="3984"/>
      <c r="L721" s="3984"/>
      <c r="M721" s="3985"/>
      <c r="N721" s="1201"/>
      <c r="O721" s="1201"/>
      <c r="P721" s="1201"/>
      <c r="Q721" s="1201"/>
    </row>
    <row r="722" spans="1:17">
      <c r="A722" s="1201"/>
      <c r="B722" s="1985"/>
      <c r="C722" s="1985"/>
      <c r="D722" s="1985"/>
      <c r="E722" s="1985"/>
      <c r="F722" s="1985"/>
      <c r="G722" s="1985"/>
      <c r="H722" s="1985"/>
      <c r="I722" s="1985"/>
      <c r="J722" s="1985"/>
      <c r="K722" s="1985"/>
      <c r="L722" s="1985"/>
      <c r="M722" s="1201"/>
      <c r="N722" s="1201"/>
      <c r="O722" s="1201"/>
      <c r="P722" s="1201"/>
      <c r="Q722" s="1201"/>
    </row>
    <row r="723" spans="1:17">
      <c r="A723" s="1997"/>
      <c r="B723" s="1998"/>
      <c r="C723" s="1999"/>
      <c r="D723" s="1999"/>
      <c r="E723" s="1999"/>
      <c r="F723" s="1999"/>
      <c r="G723" s="1999"/>
      <c r="H723" s="1999"/>
      <c r="I723" s="1999"/>
      <c r="J723" s="1998"/>
      <c r="K723" s="1998"/>
      <c r="L723" s="1998"/>
      <c r="M723" s="1997"/>
      <c r="N723" s="1997"/>
      <c r="O723" s="1997"/>
      <c r="P723" s="1997"/>
      <c r="Q723" s="1997"/>
    </row>
    <row r="724" spans="1:17">
      <c r="A724" s="1201"/>
      <c r="B724" s="1985"/>
      <c r="C724" s="1985"/>
      <c r="D724" s="1985"/>
      <c r="E724" s="1985"/>
      <c r="F724" s="1985"/>
      <c r="G724" s="1985"/>
      <c r="H724" s="1985"/>
      <c r="I724" s="1985"/>
      <c r="J724" s="1985"/>
      <c r="K724" s="1985"/>
      <c r="L724" s="1985"/>
      <c r="M724" s="1201"/>
      <c r="N724" s="1201"/>
      <c r="O724" s="1201"/>
      <c r="P724" s="1201"/>
      <c r="Q724" s="1201"/>
    </row>
    <row r="725" spans="1:17" ht="21">
      <c r="A725" s="1201"/>
      <c r="B725" s="3986" t="s">
        <v>1374</v>
      </c>
      <c r="C725" s="3986"/>
      <c r="D725" s="3986"/>
      <c r="E725" s="3986"/>
      <c r="F725" s="3986"/>
      <c r="G725" s="3986"/>
      <c r="H725" s="3986"/>
      <c r="I725" s="3986"/>
      <c r="J725" s="3986"/>
      <c r="K725" s="3986"/>
      <c r="L725" s="3986"/>
      <c r="M725" s="3986"/>
      <c r="N725" s="3986"/>
      <c r="O725" s="1985"/>
      <c r="P725" s="1985"/>
      <c r="Q725" s="1985"/>
    </row>
    <row r="726" spans="1:17">
      <c r="A726" s="1201"/>
      <c r="B726" s="2405"/>
      <c r="C726" s="2406"/>
      <c r="D726" s="2406"/>
      <c r="E726" s="2406"/>
      <c r="F726" s="2406"/>
      <c r="G726" s="2406"/>
      <c r="H726" s="2406"/>
      <c r="I726" s="2406"/>
      <c r="J726" s="2406"/>
      <c r="K726" s="2406"/>
      <c r="L726" s="2406"/>
      <c r="M726" s="2406"/>
      <c r="N726" s="2407"/>
      <c r="O726" s="1985"/>
      <c r="P726" s="1985"/>
      <c r="Q726" s="1985"/>
    </row>
    <row r="727" spans="1:17" ht="18.75">
      <c r="A727" s="1201"/>
      <c r="B727" s="3972" t="s">
        <v>1375</v>
      </c>
      <c r="C727" s="3973"/>
      <c r="D727" s="3973"/>
      <c r="E727" s="3973"/>
      <c r="F727" s="3973"/>
      <c r="G727" s="3973"/>
      <c r="H727" s="3973"/>
      <c r="I727" s="3973"/>
      <c r="J727" s="3973"/>
      <c r="K727" s="3973"/>
      <c r="L727" s="3973"/>
      <c r="M727" s="3973"/>
      <c r="N727" s="3974"/>
      <c r="O727" s="1985"/>
      <c r="P727" s="1985"/>
      <c r="Q727" s="1985"/>
    </row>
    <row r="728" spans="1:17" ht="18.75">
      <c r="A728" s="1201"/>
      <c r="B728" s="2408"/>
      <c r="C728" s="2409"/>
      <c r="D728" s="2409"/>
      <c r="E728" s="2409"/>
      <c r="F728" s="2409"/>
      <c r="G728" s="2409"/>
      <c r="H728" s="2409"/>
      <c r="I728" s="2409"/>
      <c r="J728" s="2409"/>
      <c r="K728" s="2409"/>
      <c r="L728" s="2409"/>
      <c r="M728" s="2409"/>
      <c r="N728" s="2410"/>
      <c r="O728" s="1985"/>
      <c r="P728" s="1985"/>
      <c r="Q728" s="1985"/>
    </row>
    <row r="729" spans="1:17" ht="15.75">
      <c r="A729" s="1201"/>
      <c r="B729" s="328"/>
      <c r="C729" s="329"/>
      <c r="D729" s="329"/>
      <c r="E729" s="2411" t="s">
        <v>1376</v>
      </c>
      <c r="F729" s="2412">
        <v>250</v>
      </c>
      <c r="G729" s="2412">
        <v>620</v>
      </c>
      <c r="H729" s="2412">
        <v>37</v>
      </c>
      <c r="I729" s="2412">
        <v>14</v>
      </c>
      <c r="J729" s="2353">
        <f>SUM(F729:I729)</f>
        <v>921</v>
      </c>
      <c r="K729" s="2413" t="s">
        <v>114</v>
      </c>
      <c r="L729" s="2414"/>
      <c r="M729" s="1502"/>
      <c r="N729" s="330"/>
      <c r="O729" s="1985"/>
      <c r="P729" s="1985"/>
      <c r="Q729" s="1985"/>
    </row>
    <row r="730" spans="1:17" ht="15.75">
      <c r="A730" s="1201"/>
      <c r="B730" s="328"/>
      <c r="C730" s="329"/>
      <c r="D730" s="329"/>
      <c r="E730" s="2415" t="s">
        <v>1377</v>
      </c>
      <c r="F730" s="2416">
        <v>4.4999999999999998E-2</v>
      </c>
      <c r="G730" s="2416">
        <v>7.0000000000000007E-2</v>
      </c>
      <c r="H730" s="2416">
        <v>0.11</v>
      </c>
      <c r="I730" s="2417">
        <v>0.13</v>
      </c>
      <c r="J730" s="1502"/>
      <c r="K730" s="2418" t="s">
        <v>1378</v>
      </c>
      <c r="L730" s="2419">
        <v>25</v>
      </c>
      <c r="M730" s="2420" t="s">
        <v>1379</v>
      </c>
      <c r="N730" s="330"/>
      <c r="O730" s="1985"/>
      <c r="P730" s="1985"/>
      <c r="Q730" s="1985"/>
    </row>
    <row r="731" spans="1:17" ht="15.75">
      <c r="A731" s="1201"/>
      <c r="B731" s="328"/>
      <c r="C731" s="329"/>
      <c r="D731" s="329"/>
      <c r="E731" s="2421" t="s">
        <v>1380</v>
      </c>
      <c r="F731" s="2422" t="s">
        <v>256</v>
      </c>
      <c r="G731" s="2423" t="s">
        <v>257</v>
      </c>
      <c r="H731" s="2424" t="s">
        <v>258</v>
      </c>
      <c r="I731" s="2423" t="s">
        <v>259</v>
      </c>
      <c r="J731" s="3975" t="s">
        <v>1381</v>
      </c>
      <c r="K731" s="3975"/>
      <c r="L731" s="3975"/>
      <c r="M731" s="1502"/>
      <c r="N731" s="330"/>
      <c r="O731" s="1985"/>
      <c r="P731" s="1985"/>
      <c r="Q731" s="1985"/>
    </row>
    <row r="732" spans="1:17" ht="15.75">
      <c r="A732" s="1201"/>
      <c r="B732" s="328"/>
      <c r="C732" s="329"/>
      <c r="D732" s="329"/>
      <c r="E732" s="2425" t="s">
        <v>1382</v>
      </c>
      <c r="F732" s="2426">
        <f>F730*F729</f>
        <v>11.25</v>
      </c>
      <c r="G732" s="2426">
        <f>G730*G729</f>
        <v>43.400000000000006</v>
      </c>
      <c r="H732" s="2426">
        <f>H730*H729</f>
        <v>4.07</v>
      </c>
      <c r="I732" s="2427">
        <f>I730*I729</f>
        <v>1.82</v>
      </c>
      <c r="J732" s="2428">
        <f>SUM(F732:I732)</f>
        <v>60.540000000000006</v>
      </c>
      <c r="K732" s="2428"/>
      <c r="L732" s="2429" t="s">
        <v>1383</v>
      </c>
      <c r="M732" s="1502"/>
      <c r="N732" s="2379"/>
      <c r="O732" s="1985"/>
      <c r="P732" s="1985"/>
      <c r="Q732" s="1985"/>
    </row>
    <row r="733" spans="1:17" ht="18.75">
      <c r="A733" s="1201"/>
      <c r="B733" s="328"/>
      <c r="C733" s="329"/>
      <c r="D733" s="329"/>
      <c r="E733" s="2430" t="s">
        <v>1384</v>
      </c>
      <c r="F733" s="2431">
        <f>F732/(100-L730)*100</f>
        <v>15</v>
      </c>
      <c r="G733" s="2431">
        <f>G732/(100-L730)*100</f>
        <v>57.866666666666674</v>
      </c>
      <c r="H733" s="2431">
        <f>H732/(100-L730)*100</f>
        <v>5.4266666666666667</v>
      </c>
      <c r="I733" s="2432">
        <f>I732/(100-L730)*100</f>
        <v>2.4266666666666667</v>
      </c>
      <c r="J733" s="2433">
        <f>SUM(F733:I733)</f>
        <v>80.72</v>
      </c>
      <c r="K733" s="2434"/>
      <c r="L733" s="2435" t="s">
        <v>1385</v>
      </c>
      <c r="M733" s="1502"/>
      <c r="N733" s="2379"/>
      <c r="O733" s="1985"/>
      <c r="P733" s="1985"/>
      <c r="Q733" s="1985"/>
    </row>
    <row r="734" spans="1:17">
      <c r="A734" s="1201"/>
      <c r="B734" s="328"/>
      <c r="C734" s="329"/>
      <c r="D734" s="329"/>
      <c r="E734" s="329"/>
      <c r="F734" s="329"/>
      <c r="G734" s="329"/>
      <c r="H734" s="329"/>
      <c r="I734" s="329"/>
      <c r="J734" s="2436">
        <f>J733-J732</f>
        <v>20.179999999999993</v>
      </c>
      <c r="K734" s="2436"/>
      <c r="L734" s="2437" t="s">
        <v>1386</v>
      </c>
      <c r="M734" s="331"/>
      <c r="N734" s="330"/>
      <c r="O734" s="1985"/>
      <c r="P734" s="1985"/>
      <c r="Q734" s="1985"/>
    </row>
    <row r="735" spans="1:17">
      <c r="A735" s="1201"/>
      <c r="B735" s="328"/>
      <c r="C735" s="329"/>
      <c r="D735" s="329"/>
      <c r="E735" s="329"/>
      <c r="F735" s="329"/>
      <c r="G735" s="329"/>
      <c r="H735" s="329"/>
      <c r="I735" s="329"/>
      <c r="J735" s="2438">
        <f>(J734/J729)*1000</f>
        <v>21.910966340933761</v>
      </c>
      <c r="K735" s="2436"/>
      <c r="L735" s="2437" t="s">
        <v>1387</v>
      </c>
      <c r="M735" s="331"/>
      <c r="N735" s="330"/>
      <c r="O735" s="1985"/>
      <c r="P735" s="1985"/>
      <c r="Q735" s="1985"/>
    </row>
    <row r="736" spans="1:17">
      <c r="A736" s="1201"/>
      <c r="B736" s="328"/>
      <c r="C736" s="2439" t="s">
        <v>1379</v>
      </c>
      <c r="D736" s="332" t="s">
        <v>1388</v>
      </c>
      <c r="E736" s="329"/>
      <c r="F736" s="329"/>
      <c r="G736" s="329"/>
      <c r="H736" s="329"/>
      <c r="I736" s="329"/>
      <c r="J736" s="329"/>
      <c r="K736" s="329"/>
      <c r="L736" s="329"/>
      <c r="M736" s="329"/>
      <c r="N736" s="330"/>
      <c r="O736" s="1985"/>
      <c r="P736" s="1985"/>
      <c r="Q736" s="1985"/>
    </row>
    <row r="737" spans="1:17">
      <c r="A737" s="1201"/>
      <c r="B737" s="328"/>
      <c r="C737" s="333"/>
      <c r="D737" s="332" t="s">
        <v>1389</v>
      </c>
      <c r="E737" s="329"/>
      <c r="F737" s="329"/>
      <c r="G737" s="329"/>
      <c r="H737" s="329"/>
      <c r="I737" s="329"/>
      <c r="J737" s="329"/>
      <c r="K737" s="329"/>
      <c r="L737" s="329"/>
      <c r="M737" s="329"/>
      <c r="N737" s="330"/>
      <c r="O737" s="1985"/>
      <c r="P737" s="1985"/>
      <c r="Q737" s="1985"/>
    </row>
    <row r="738" spans="1:17">
      <c r="A738" s="1201"/>
      <c r="B738" s="2440"/>
      <c r="C738" s="2292"/>
      <c r="D738" s="2292"/>
      <c r="E738" s="2292"/>
      <c r="F738" s="2292"/>
      <c r="G738" s="2292"/>
      <c r="H738" s="2292"/>
      <c r="I738" s="2292"/>
      <c r="J738" s="2292"/>
      <c r="K738" s="2292"/>
      <c r="L738" s="2292"/>
      <c r="M738" s="2292"/>
      <c r="N738" s="2293"/>
      <c r="O738" s="1985"/>
      <c r="P738" s="1985"/>
      <c r="Q738" s="1985"/>
    </row>
    <row r="739" spans="1:17">
      <c r="A739" s="1201"/>
      <c r="B739" s="1985"/>
      <c r="C739" s="1985"/>
      <c r="D739" s="1985"/>
      <c r="E739" s="1985"/>
      <c r="F739" s="1985"/>
      <c r="G739" s="1985"/>
      <c r="H739" s="1985"/>
      <c r="I739" s="1985"/>
      <c r="J739" s="1985"/>
      <c r="K739" s="1985"/>
      <c r="L739" s="1985"/>
      <c r="M739" s="1201"/>
      <c r="N739" s="1201"/>
      <c r="O739" s="1201"/>
      <c r="P739" s="1201"/>
      <c r="Q739" s="1201"/>
    </row>
    <row r="740" spans="1:17" ht="15.75" thickBot="1">
      <c r="A740" s="1201"/>
      <c r="B740" s="1985"/>
      <c r="C740" s="1985"/>
      <c r="D740" s="1985"/>
      <c r="E740" s="1985"/>
      <c r="F740" s="1985"/>
      <c r="G740" s="1985"/>
      <c r="H740" s="1985"/>
      <c r="I740" s="1985"/>
      <c r="J740" s="1985"/>
      <c r="K740" s="1985"/>
      <c r="L740" s="1985"/>
      <c r="M740" s="1201"/>
      <c r="N740" s="1201"/>
      <c r="O740" s="1201"/>
      <c r="P740" s="1201"/>
      <c r="Q740" s="1201"/>
    </row>
    <row r="741" spans="1:17">
      <c r="A741" s="3962" t="s">
        <v>909</v>
      </c>
      <c r="B741" s="3964" t="s">
        <v>1390</v>
      </c>
      <c r="C741" s="3965"/>
      <c r="D741" s="3965"/>
      <c r="E741" s="3965"/>
      <c r="F741" s="3965"/>
      <c r="G741" s="3965"/>
      <c r="H741" s="3965"/>
      <c r="I741" s="3965"/>
      <c r="J741" s="3965"/>
      <c r="K741" s="3965"/>
      <c r="L741" s="3965"/>
      <c r="M741" s="3965"/>
      <c r="N741" s="3968">
        <v>1</v>
      </c>
      <c r="O741" s="1201"/>
      <c r="P741" s="1201"/>
      <c r="Q741" s="1201"/>
    </row>
    <row r="742" spans="1:17">
      <c r="A742" s="3963"/>
      <c r="B742" s="3966"/>
      <c r="C742" s="3967"/>
      <c r="D742" s="3967"/>
      <c r="E742" s="3967"/>
      <c r="F742" s="3967"/>
      <c r="G742" s="3967"/>
      <c r="H742" s="3967"/>
      <c r="I742" s="3967"/>
      <c r="J742" s="3967"/>
      <c r="K742" s="3967"/>
      <c r="L742" s="3967"/>
      <c r="M742" s="3967"/>
      <c r="N742" s="3969"/>
      <c r="O742" s="1201"/>
      <c r="P742" s="1201"/>
      <c r="Q742" s="1201"/>
    </row>
    <row r="743" spans="1:17" ht="21">
      <c r="A743" s="3946"/>
      <c r="B743" s="3947" t="s">
        <v>1391</v>
      </c>
      <c r="C743" s="3948"/>
      <c r="D743" s="3948"/>
      <c r="E743" s="3948"/>
      <c r="F743" s="3948"/>
      <c r="G743" s="3948"/>
      <c r="H743" s="3948"/>
      <c r="I743" s="3948"/>
      <c r="J743" s="3948"/>
      <c r="K743" s="3948"/>
      <c r="L743" s="3948"/>
      <c r="M743" s="3948"/>
      <c r="N743" s="3949"/>
      <c r="O743" s="1201"/>
      <c r="P743" s="1201"/>
      <c r="Q743" s="1201"/>
    </row>
    <row r="744" spans="1:17">
      <c r="A744" s="3946"/>
      <c r="B744" s="3950" t="s">
        <v>1392</v>
      </c>
      <c r="C744" s="3951"/>
      <c r="D744" s="3951"/>
      <c r="E744" s="3951"/>
      <c r="F744" s="3951"/>
      <c r="G744" s="3951"/>
      <c r="H744" s="3951"/>
      <c r="I744" s="3951"/>
      <c r="J744" s="3951"/>
      <c r="K744" s="3951"/>
      <c r="L744" s="3951"/>
      <c r="M744" s="3951"/>
      <c r="N744" s="3952"/>
      <c r="O744" s="1201"/>
      <c r="P744" s="1201"/>
      <c r="Q744" s="1201"/>
    </row>
    <row r="745" spans="1:17">
      <c r="A745" s="3946"/>
      <c r="B745" s="3950"/>
      <c r="C745" s="3951"/>
      <c r="D745" s="3951"/>
      <c r="E745" s="3951"/>
      <c r="F745" s="3951"/>
      <c r="G745" s="3951"/>
      <c r="H745" s="3951"/>
      <c r="I745" s="3951"/>
      <c r="J745" s="3951"/>
      <c r="K745" s="3951"/>
      <c r="L745" s="3951"/>
      <c r="M745" s="3951"/>
      <c r="N745" s="3952"/>
      <c r="O745" s="1201"/>
      <c r="P745" s="1201"/>
      <c r="Q745" s="1201"/>
    </row>
    <row r="746" spans="1:17">
      <c r="A746" s="3946"/>
      <c r="B746" s="3950"/>
      <c r="C746" s="3951"/>
      <c r="D746" s="3951"/>
      <c r="E746" s="3951"/>
      <c r="F746" s="3951"/>
      <c r="G746" s="3951"/>
      <c r="H746" s="3951"/>
      <c r="I746" s="3951"/>
      <c r="J746" s="3951"/>
      <c r="K746" s="3951"/>
      <c r="L746" s="3951"/>
      <c r="M746" s="3951"/>
      <c r="N746" s="3952"/>
      <c r="O746" s="1201"/>
      <c r="P746" s="1201"/>
      <c r="Q746" s="1201"/>
    </row>
    <row r="747" spans="1:17">
      <c r="A747" s="3946"/>
      <c r="B747" s="3950"/>
      <c r="C747" s="3951"/>
      <c r="D747" s="3951"/>
      <c r="E747" s="3951"/>
      <c r="F747" s="3951"/>
      <c r="G747" s="3951"/>
      <c r="H747" s="3951"/>
      <c r="I747" s="3951"/>
      <c r="J747" s="3951"/>
      <c r="K747" s="3951"/>
      <c r="L747" s="3951"/>
      <c r="M747" s="3951"/>
      <c r="N747" s="3952"/>
      <c r="O747" s="1201"/>
      <c r="P747" s="1201"/>
      <c r="Q747" s="1201"/>
    </row>
    <row r="748" spans="1:17">
      <c r="A748" s="3946"/>
      <c r="B748" s="3953"/>
      <c r="C748" s="3954"/>
      <c r="D748" s="3954"/>
      <c r="E748" s="3954"/>
      <c r="F748" s="3954"/>
      <c r="G748" s="3954"/>
      <c r="H748" s="3954"/>
      <c r="I748" s="3954"/>
      <c r="J748" s="3954"/>
      <c r="K748" s="3954"/>
      <c r="L748" s="3954"/>
      <c r="M748" s="3954"/>
      <c r="N748" s="3955"/>
      <c r="O748" s="1201"/>
      <c r="P748" s="1201"/>
      <c r="Q748" s="1201"/>
    </row>
    <row r="749" spans="1:17">
      <c r="A749" s="3946"/>
      <c r="B749" s="2441"/>
      <c r="C749" s="2442"/>
      <c r="D749" s="2442"/>
      <c r="E749" s="2442"/>
      <c r="F749" s="2442"/>
      <c r="G749" s="2442"/>
      <c r="H749" s="2442"/>
      <c r="I749" s="2442"/>
      <c r="J749" s="2442"/>
      <c r="K749" s="2442"/>
      <c r="L749" s="3976" t="s">
        <v>150</v>
      </c>
      <c r="M749" s="3976"/>
      <c r="N749" s="2443"/>
      <c r="O749" s="1201"/>
      <c r="P749" s="1201"/>
      <c r="Q749" s="1201"/>
    </row>
    <row r="750" spans="1:17" ht="15.75">
      <c r="A750" s="3946"/>
      <c r="B750" s="2442"/>
      <c r="C750" s="2442"/>
      <c r="D750" s="2442"/>
      <c r="E750" s="2442"/>
      <c r="F750" s="2442"/>
      <c r="G750" s="2442"/>
      <c r="H750" s="2442"/>
      <c r="I750" s="2442"/>
      <c r="J750" s="2442"/>
      <c r="K750" s="2444" t="s">
        <v>1393</v>
      </c>
      <c r="L750" s="3970" t="s">
        <v>1394</v>
      </c>
      <c r="M750" s="3971"/>
      <c r="N750" s="2443"/>
      <c r="O750" s="1201"/>
      <c r="P750" s="1201"/>
      <c r="Q750" s="1201"/>
    </row>
    <row r="751" spans="1:17">
      <c r="A751" s="3946"/>
      <c r="B751" s="2441"/>
      <c r="C751" s="2442"/>
      <c r="D751" s="2442"/>
      <c r="E751" s="2442"/>
      <c r="F751" s="2442"/>
      <c r="G751" s="2442"/>
      <c r="H751" s="2442"/>
      <c r="I751" s="2442"/>
      <c r="J751" s="2442"/>
      <c r="K751" s="2442"/>
      <c r="L751" s="2442"/>
      <c r="M751" s="2445"/>
      <c r="N751" s="2443"/>
      <c r="O751" s="1201"/>
      <c r="P751" s="1201"/>
      <c r="Q751" s="1201"/>
    </row>
    <row r="752" spans="1:17" ht="18.75">
      <c r="A752" s="3946"/>
      <c r="B752" s="2441"/>
      <c r="C752" s="2442"/>
      <c r="D752" s="2442"/>
      <c r="E752" s="2442"/>
      <c r="F752" s="2446" t="s">
        <v>308</v>
      </c>
      <c r="G752" s="2447" t="s">
        <v>256</v>
      </c>
      <c r="H752" s="2448" t="s">
        <v>257</v>
      </c>
      <c r="I752" s="2449" t="s">
        <v>258</v>
      </c>
      <c r="J752" s="2448" t="s">
        <v>259</v>
      </c>
      <c r="K752" s="2448" t="s">
        <v>1395</v>
      </c>
      <c r="L752" s="2442"/>
      <c r="M752" s="2442"/>
      <c r="N752" s="2443"/>
      <c r="O752" s="1201"/>
      <c r="P752" s="1201"/>
      <c r="Q752" s="1201"/>
    </row>
    <row r="753" spans="1:17" ht="18.75">
      <c r="A753" s="3946"/>
      <c r="B753" s="2441"/>
      <c r="C753" s="2442"/>
      <c r="D753" s="2442"/>
      <c r="E753" s="2442"/>
      <c r="F753" s="2450" t="s">
        <v>1376</v>
      </c>
      <c r="G753" s="2451">
        <v>50</v>
      </c>
      <c r="H753" s="2451">
        <v>500</v>
      </c>
      <c r="I753" s="2451">
        <v>150</v>
      </c>
      <c r="J753" s="2451">
        <v>13</v>
      </c>
      <c r="K753" s="2451">
        <v>13</v>
      </c>
      <c r="L753" s="2353">
        <f>SUM(G753:K753)</f>
        <v>726</v>
      </c>
      <c r="M753" s="2452" t="s">
        <v>114</v>
      </c>
      <c r="N753" s="2443"/>
      <c r="O753" s="1201"/>
      <c r="P753" s="1201"/>
      <c r="Q753" s="1201"/>
    </row>
    <row r="754" spans="1:17" ht="18.75">
      <c r="A754" s="3946"/>
      <c r="B754" s="2441"/>
      <c r="C754" s="2442"/>
      <c r="D754" s="2442"/>
      <c r="E754" s="2442"/>
      <c r="F754" s="2453" t="s">
        <v>1396</v>
      </c>
      <c r="G754" s="2454">
        <v>0.5</v>
      </c>
      <c r="H754" s="2454">
        <v>1</v>
      </c>
      <c r="I754" s="2454">
        <v>1</v>
      </c>
      <c r="J754" s="2454">
        <v>2</v>
      </c>
      <c r="K754" s="2454">
        <v>1</v>
      </c>
      <c r="L754" s="2455">
        <f>SUM(G754:K754)/COUNTIF(G754:K754,"&gt;0")</f>
        <v>1.1000000000000001</v>
      </c>
      <c r="M754" s="2452" t="s">
        <v>1397</v>
      </c>
      <c r="N754" s="2443"/>
      <c r="O754" s="1201"/>
      <c r="P754" s="1201"/>
      <c r="Q754" s="1201"/>
    </row>
    <row r="755" spans="1:17" ht="18.75">
      <c r="A755" s="3946"/>
      <c r="B755" s="2441"/>
      <c r="C755" s="2442"/>
      <c r="D755" s="2442"/>
      <c r="E755" s="2442"/>
      <c r="F755" s="2456" t="s">
        <v>1398</v>
      </c>
      <c r="G755" s="2457">
        <f>G754*G753</f>
        <v>25</v>
      </c>
      <c r="H755" s="2458">
        <f>H754*H753</f>
        <v>500</v>
      </c>
      <c r="I755" s="2458">
        <f>I754*I753</f>
        <v>150</v>
      </c>
      <c r="J755" s="2458">
        <f>J754*J753</f>
        <v>26</v>
      </c>
      <c r="K755" s="2458">
        <f>K754*K753</f>
        <v>13</v>
      </c>
      <c r="L755" s="2353">
        <f>SUM(G755:K755)</f>
        <v>714</v>
      </c>
      <c r="M755" s="2452" t="str">
        <f>L750</f>
        <v>pommes</v>
      </c>
      <c r="N755" s="2443"/>
      <c r="O755" s="1201"/>
      <c r="P755" s="1201"/>
      <c r="Q755" s="1201"/>
    </row>
    <row r="756" spans="1:17">
      <c r="A756" s="3946"/>
      <c r="B756" s="2441"/>
      <c r="C756" s="2442"/>
      <c r="D756" s="2442"/>
      <c r="E756" s="2442"/>
      <c r="F756" s="2442"/>
      <c r="G756" s="2459" t="str">
        <f>L750</f>
        <v>pommes</v>
      </c>
      <c r="H756" s="2459" t="str">
        <f>L750</f>
        <v>pommes</v>
      </c>
      <c r="I756" s="2459" t="str">
        <f>L750</f>
        <v>pommes</v>
      </c>
      <c r="J756" s="2459" t="str">
        <f>L750</f>
        <v>pommes</v>
      </c>
      <c r="K756" s="2459" t="str">
        <f>L750</f>
        <v>pommes</v>
      </c>
      <c r="L756" s="2442"/>
      <c r="M756" s="2445"/>
      <c r="N756" s="2443"/>
      <c r="O756" s="1201"/>
      <c r="P756" s="1201"/>
      <c r="Q756" s="1201"/>
    </row>
    <row r="757" spans="1:17" ht="18.75">
      <c r="A757" s="3946"/>
      <c r="B757" s="2460"/>
      <c r="C757" s="2461" t="s">
        <v>1378</v>
      </c>
      <c r="D757" s="2462">
        <v>10</v>
      </c>
      <c r="E757" s="2463" t="s">
        <v>152</v>
      </c>
      <c r="F757" s="2464"/>
      <c r="G757" s="2464"/>
      <c r="H757" s="2442"/>
      <c r="I757" s="2442"/>
      <c r="J757" s="2442"/>
      <c r="K757" s="2442"/>
      <c r="L757" s="2442"/>
      <c r="M757" s="2445"/>
      <c r="N757" s="2443"/>
      <c r="O757" s="1201"/>
      <c r="P757" s="1201"/>
      <c r="Q757" s="1201"/>
    </row>
    <row r="758" spans="1:17" ht="18.75">
      <c r="A758" s="3946"/>
      <c r="B758" s="2441"/>
      <c r="C758" s="2442"/>
      <c r="D758" s="2442"/>
      <c r="E758" s="2442"/>
      <c r="F758" s="2456" t="s">
        <v>1384</v>
      </c>
      <c r="G758" s="2465">
        <f>G755/(100-D757)*100</f>
        <v>27.777777777777779</v>
      </c>
      <c r="H758" s="2465">
        <f>H755/(100-D757)*100</f>
        <v>555.55555555555554</v>
      </c>
      <c r="I758" s="2465">
        <f>I755/(100-D757)*100</f>
        <v>166.66666666666669</v>
      </c>
      <c r="J758" s="2465">
        <f>J755/(100-D757)*100</f>
        <v>28.888888888888886</v>
      </c>
      <c r="K758" s="2465">
        <f>K755/(100-D757)*100</f>
        <v>14.444444444444443</v>
      </c>
      <c r="L758" s="2466">
        <f>SUM(G758:K758)</f>
        <v>793.33333333333337</v>
      </c>
      <c r="M758" s="2452" t="str">
        <f>L750</f>
        <v>pommes</v>
      </c>
      <c r="N758" s="2443"/>
      <c r="O758" s="1201"/>
      <c r="P758" s="1201"/>
      <c r="Q758" s="1201"/>
    </row>
    <row r="759" spans="1:17" ht="18.75">
      <c r="A759" s="3946"/>
      <c r="B759" s="2441"/>
      <c r="C759" s="2442"/>
      <c r="D759" s="2442"/>
      <c r="E759" s="2442"/>
      <c r="F759" s="2456"/>
      <c r="G759" s="2467" t="str">
        <f>L750</f>
        <v>pommes</v>
      </c>
      <c r="H759" s="2467" t="str">
        <f>L750</f>
        <v>pommes</v>
      </c>
      <c r="I759" s="2467" t="str">
        <f>L750</f>
        <v>pommes</v>
      </c>
      <c r="J759" s="2467" t="str">
        <f>L750</f>
        <v>pommes</v>
      </c>
      <c r="K759" s="2467" t="str">
        <f>L750</f>
        <v>pommes</v>
      </c>
      <c r="L759" s="2353"/>
      <c r="M759" s="2452"/>
      <c r="N759" s="2443"/>
      <c r="O759" s="1201"/>
      <c r="P759" s="1201"/>
      <c r="Q759" s="1201"/>
    </row>
    <row r="760" spans="1:17">
      <c r="A760" s="3946"/>
      <c r="B760" s="2468"/>
      <c r="C760" s="2469"/>
      <c r="D760" s="2469"/>
      <c r="E760" s="2469"/>
      <c r="F760" s="2469"/>
      <c r="G760" s="2469"/>
      <c r="H760" s="2469"/>
      <c r="I760" s="2469"/>
      <c r="J760" s="2469"/>
      <c r="K760" s="2469"/>
      <c r="L760" s="2469"/>
      <c r="M760" s="2469"/>
      <c r="N760" s="2470"/>
      <c r="O760" s="1201"/>
      <c r="P760" s="1201"/>
      <c r="Q760" s="1201"/>
    </row>
    <row r="761" spans="1:17" ht="18.75">
      <c r="A761" s="3946"/>
      <c r="B761" s="2471" t="s">
        <v>150</v>
      </c>
      <c r="C761" s="2472" t="s">
        <v>1399</v>
      </c>
      <c r="D761" s="2473"/>
      <c r="E761" s="2473"/>
      <c r="F761" s="2473"/>
      <c r="G761" s="2473"/>
      <c r="H761" s="2473"/>
      <c r="I761" s="2473"/>
      <c r="J761" s="2473"/>
      <c r="K761" s="2473"/>
      <c r="L761" s="2473"/>
      <c r="M761" s="2473"/>
      <c r="N761" s="2474"/>
      <c r="O761" s="1201"/>
      <c r="P761" s="1201"/>
      <c r="Q761" s="1201"/>
    </row>
    <row r="762" spans="1:17" ht="18.75">
      <c r="A762" s="3946"/>
      <c r="B762" s="2475"/>
      <c r="C762" s="3970" t="s">
        <v>1400</v>
      </c>
      <c r="D762" s="3971"/>
      <c r="E762" s="2476"/>
      <c r="F762" s="3970" t="s">
        <v>122</v>
      </c>
      <c r="G762" s="3971"/>
      <c r="H762" s="2476"/>
      <c r="I762" s="3970" t="s">
        <v>1401</v>
      </c>
      <c r="J762" s="3971"/>
      <c r="K762" s="2476"/>
      <c r="L762" s="3970" t="s">
        <v>1402</v>
      </c>
      <c r="M762" s="3971"/>
      <c r="N762" s="2477"/>
      <c r="O762" s="1201"/>
      <c r="P762" s="1201"/>
      <c r="Q762" s="1201"/>
    </row>
    <row r="763" spans="1:17" ht="18.75">
      <c r="A763" s="3946"/>
      <c r="B763" s="2478" t="s">
        <v>152</v>
      </c>
      <c r="C763" s="2479" t="s">
        <v>1403</v>
      </c>
      <c r="D763" s="2476"/>
      <c r="E763" s="2476"/>
      <c r="F763" s="2476"/>
      <c r="G763" s="2476"/>
      <c r="H763" s="2476"/>
      <c r="I763" s="2476"/>
      <c r="J763" s="2476"/>
      <c r="K763" s="2476"/>
      <c r="L763" s="2476"/>
      <c r="M763" s="2476"/>
      <c r="N763" s="2477"/>
      <c r="O763" s="1201"/>
      <c r="P763" s="1201"/>
      <c r="Q763" s="1201"/>
    </row>
    <row r="764" spans="1:17">
      <c r="A764" s="3946"/>
      <c r="B764" s="3936" t="s">
        <v>1404</v>
      </c>
      <c r="C764" s="3937"/>
      <c r="D764" s="3937"/>
      <c r="E764" s="3937"/>
      <c r="F764" s="3937"/>
      <c r="G764" s="3937"/>
      <c r="H764" s="3937"/>
      <c r="I764" s="3937"/>
      <c r="J764" s="3937"/>
      <c r="K764" s="3937"/>
      <c r="L764" s="3937"/>
      <c r="M764" s="3937"/>
      <c r="N764" s="3938"/>
      <c r="O764" s="1201"/>
      <c r="P764" s="1201"/>
      <c r="Q764" s="1201"/>
    </row>
    <row r="765" spans="1:17">
      <c r="A765" s="3946"/>
      <c r="B765" s="3939"/>
      <c r="C765" s="3940"/>
      <c r="D765" s="3940"/>
      <c r="E765" s="3940"/>
      <c r="F765" s="3940"/>
      <c r="G765" s="3940"/>
      <c r="H765" s="3940"/>
      <c r="I765" s="3940"/>
      <c r="J765" s="3940"/>
      <c r="K765" s="3940"/>
      <c r="L765" s="3940"/>
      <c r="M765" s="3940"/>
      <c r="N765" s="3941"/>
      <c r="O765" s="1201"/>
      <c r="P765" s="1201"/>
      <c r="Q765" s="1201"/>
    </row>
    <row r="766" spans="1:17">
      <c r="A766" s="3946"/>
      <c r="B766" s="2480" t="s">
        <v>358</v>
      </c>
      <c r="C766" s="3942" t="str">
        <f ca="1">CELL("nomfichier")</f>
        <v>E:\0-UPRT\1-UPRT.FR-SITE-WEB\ff-fiches-fabrications\ff-fiches-fabrication-maj-08-2020\[ff-8-restauration-Christian.Frechede.xlsx]Formats-Formules-Fonctions</v>
      </c>
      <c r="D766" s="3942"/>
      <c r="E766" s="3942"/>
      <c r="F766" s="3942"/>
      <c r="G766" s="3942"/>
      <c r="H766" s="3942"/>
      <c r="I766" s="3942"/>
      <c r="J766" s="3942"/>
      <c r="K766" s="3942"/>
      <c r="L766" s="3942"/>
      <c r="M766" s="3942"/>
      <c r="N766" s="3943"/>
      <c r="O766" s="1201"/>
      <c r="P766" s="1201"/>
      <c r="Q766" s="1201"/>
    </row>
    <row r="767" spans="1:17">
      <c r="A767" s="3946"/>
      <c r="B767" s="2481" t="s">
        <v>359</v>
      </c>
      <c r="C767" s="3944" t="s">
        <v>1405</v>
      </c>
      <c r="D767" s="3944"/>
      <c r="E767" s="3944"/>
      <c r="F767" s="3944"/>
      <c r="G767" s="3944"/>
      <c r="H767" s="3944"/>
      <c r="I767" s="3944"/>
      <c r="J767" s="3944"/>
      <c r="K767" s="3944"/>
      <c r="L767" s="3944"/>
      <c r="M767" s="3944"/>
      <c r="N767" s="3945"/>
      <c r="O767" s="1201"/>
      <c r="P767" s="1201"/>
      <c r="Q767" s="1201"/>
    </row>
    <row r="768" spans="1:17" ht="15.75" thickBot="1">
      <c r="A768" s="3946"/>
      <c r="B768" s="3929" t="s">
        <v>361</v>
      </c>
      <c r="C768" s="3930"/>
      <c r="D768" s="3930"/>
      <c r="E768" s="3930"/>
      <c r="F768" s="3930"/>
      <c r="G768" s="3930"/>
      <c r="H768" s="3930"/>
      <c r="I768" s="3930"/>
      <c r="J768" s="3930"/>
      <c r="K768" s="3930"/>
      <c r="L768" s="3930"/>
      <c r="M768" s="3930"/>
      <c r="N768" s="3931"/>
      <c r="O768" s="1201"/>
      <c r="P768" s="1201"/>
      <c r="Q768" s="1201"/>
    </row>
    <row r="769" spans="1:17" ht="39.75" customHeight="1" thickBot="1">
      <c r="O769" s="1201"/>
      <c r="P769" s="1201"/>
      <c r="Q769" s="1201"/>
    </row>
    <row r="770" spans="1:17">
      <c r="A770" s="3962" t="s">
        <v>909</v>
      </c>
      <c r="B770" s="3964" t="s">
        <v>1406</v>
      </c>
      <c r="C770" s="3965"/>
      <c r="D770" s="3965"/>
      <c r="E770" s="3965"/>
      <c r="F770" s="3965"/>
      <c r="G770" s="3965"/>
      <c r="H770" s="3965"/>
      <c r="I770" s="3965"/>
      <c r="J770" s="3965"/>
      <c r="K770" s="3965"/>
      <c r="L770" s="3965"/>
      <c r="M770" s="3965"/>
      <c r="N770" s="3968">
        <v>2</v>
      </c>
      <c r="O770" s="1201"/>
      <c r="P770" s="1201"/>
      <c r="Q770" s="1201"/>
    </row>
    <row r="771" spans="1:17">
      <c r="A771" s="3963"/>
      <c r="B771" s="3966"/>
      <c r="C771" s="3967"/>
      <c r="D771" s="3967"/>
      <c r="E771" s="3967"/>
      <c r="F771" s="3967"/>
      <c r="G771" s="3967"/>
      <c r="H771" s="3967"/>
      <c r="I771" s="3967"/>
      <c r="J771" s="3967"/>
      <c r="K771" s="3967"/>
      <c r="L771" s="3967"/>
      <c r="M771" s="3967"/>
      <c r="N771" s="3969"/>
      <c r="O771" s="1201"/>
      <c r="P771" s="1201"/>
      <c r="Q771" s="1201"/>
    </row>
    <row r="772" spans="1:17" ht="21">
      <c r="A772" s="3946"/>
      <c r="B772" s="3947" t="s">
        <v>1391</v>
      </c>
      <c r="C772" s="3948"/>
      <c r="D772" s="3948"/>
      <c r="E772" s="3948"/>
      <c r="F772" s="3948"/>
      <c r="G772" s="3948"/>
      <c r="H772" s="3948"/>
      <c r="I772" s="3948"/>
      <c r="J772" s="3948"/>
      <c r="K772" s="3948"/>
      <c r="L772" s="3948"/>
      <c r="M772" s="3948"/>
      <c r="N772" s="3949"/>
      <c r="O772" s="1201"/>
      <c r="P772" s="1201"/>
      <c r="Q772" s="1201"/>
    </row>
    <row r="773" spans="1:17">
      <c r="A773" s="3946"/>
      <c r="B773" s="3950" t="s">
        <v>1407</v>
      </c>
      <c r="C773" s="3951"/>
      <c r="D773" s="3951"/>
      <c r="E773" s="3951"/>
      <c r="F773" s="3951"/>
      <c r="G773" s="3951"/>
      <c r="H773" s="3951"/>
      <c r="I773" s="3951"/>
      <c r="J773" s="3951"/>
      <c r="K773" s="3951"/>
      <c r="L773" s="3951"/>
      <c r="M773" s="3951"/>
      <c r="N773" s="3952"/>
      <c r="O773" s="1201"/>
      <c r="P773" s="1201"/>
      <c r="Q773" s="1201"/>
    </row>
    <row r="774" spans="1:17">
      <c r="A774" s="3946"/>
      <c r="B774" s="3950"/>
      <c r="C774" s="3951"/>
      <c r="D774" s="3951"/>
      <c r="E774" s="3951"/>
      <c r="F774" s="3951"/>
      <c r="G774" s="3951"/>
      <c r="H774" s="3951"/>
      <c r="I774" s="3951"/>
      <c r="J774" s="3951"/>
      <c r="K774" s="3951"/>
      <c r="L774" s="3951"/>
      <c r="M774" s="3951"/>
      <c r="N774" s="3952"/>
      <c r="O774" s="1201"/>
      <c r="P774" s="1201"/>
      <c r="Q774" s="1201"/>
    </row>
    <row r="775" spans="1:17">
      <c r="A775" s="3946"/>
      <c r="B775" s="3950"/>
      <c r="C775" s="3951"/>
      <c r="D775" s="3951"/>
      <c r="E775" s="3951"/>
      <c r="F775" s="3951"/>
      <c r="G775" s="3951"/>
      <c r="H775" s="3951"/>
      <c r="I775" s="3951"/>
      <c r="J775" s="3951"/>
      <c r="K775" s="3951"/>
      <c r="L775" s="3951"/>
      <c r="M775" s="3951"/>
      <c r="N775" s="3952"/>
      <c r="O775" s="1201"/>
      <c r="P775" s="1201"/>
      <c r="Q775" s="1201"/>
    </row>
    <row r="776" spans="1:17">
      <c r="A776" s="3946"/>
      <c r="B776" s="3950"/>
      <c r="C776" s="3951"/>
      <c r="D776" s="3951"/>
      <c r="E776" s="3951"/>
      <c r="F776" s="3951"/>
      <c r="G776" s="3951"/>
      <c r="H776" s="3951"/>
      <c r="I776" s="3951"/>
      <c r="J776" s="3951"/>
      <c r="K776" s="3951"/>
      <c r="L776" s="3951"/>
      <c r="M776" s="3951"/>
      <c r="N776" s="3952"/>
      <c r="O776" s="1201"/>
      <c r="P776" s="1201"/>
      <c r="Q776" s="1201"/>
    </row>
    <row r="777" spans="1:17">
      <c r="A777" s="3946"/>
      <c r="B777" s="3953"/>
      <c r="C777" s="3954"/>
      <c r="D777" s="3954"/>
      <c r="E777" s="3954"/>
      <c r="F777" s="3954"/>
      <c r="G777" s="3954"/>
      <c r="H777" s="3954"/>
      <c r="I777" s="3954"/>
      <c r="J777" s="3954"/>
      <c r="K777" s="3954"/>
      <c r="L777" s="3954"/>
      <c r="M777" s="3954"/>
      <c r="N777" s="3955"/>
      <c r="O777" s="1201"/>
      <c r="P777" s="1201"/>
      <c r="Q777" s="1201"/>
    </row>
    <row r="778" spans="1:17">
      <c r="A778" s="3946"/>
      <c r="B778" s="2482"/>
      <c r="C778" s="2483"/>
      <c r="D778" s="2483"/>
      <c r="E778" s="2483"/>
      <c r="F778" s="2483"/>
      <c r="G778" s="2483"/>
      <c r="H778" s="2483"/>
      <c r="I778" s="2483"/>
      <c r="J778" s="2483"/>
      <c r="K778" s="2483"/>
      <c r="L778" s="3956" t="s">
        <v>150</v>
      </c>
      <c r="M778" s="3956"/>
      <c r="N778" s="2484"/>
      <c r="O778" s="1201"/>
      <c r="P778" s="1201"/>
      <c r="Q778" s="1201"/>
    </row>
    <row r="779" spans="1:17" ht="18.75">
      <c r="A779" s="3946"/>
      <c r="B779" s="2482"/>
      <c r="C779" s="2483"/>
      <c r="D779" s="2483"/>
      <c r="E779" s="2483"/>
      <c r="F779" s="2483"/>
      <c r="G779" s="2483"/>
      <c r="H779" s="2483"/>
      <c r="I779" s="2483"/>
      <c r="J779" s="1846"/>
      <c r="K779" s="2456" t="s">
        <v>1408</v>
      </c>
      <c r="L779" s="3957">
        <v>2.4</v>
      </c>
      <c r="M779" s="3957"/>
      <c r="N779" s="2484"/>
      <c r="O779" s="1201"/>
      <c r="P779" s="1201"/>
      <c r="Q779" s="1201"/>
    </row>
    <row r="780" spans="1:17">
      <c r="A780" s="3946"/>
      <c r="B780" s="2485"/>
      <c r="C780" s="2486"/>
      <c r="D780" s="2486"/>
      <c r="E780" s="2486"/>
      <c r="F780" s="2483"/>
      <c r="G780" s="2483"/>
      <c r="H780" s="2483"/>
      <c r="I780" s="2483"/>
      <c r="J780" s="2483"/>
      <c r="K780" s="2487"/>
      <c r="L780" s="3957"/>
      <c r="M780" s="3957"/>
      <c r="N780" s="2484"/>
      <c r="O780" s="1201"/>
      <c r="P780" s="1201"/>
      <c r="Q780" s="1201"/>
    </row>
    <row r="781" spans="1:17">
      <c r="A781" s="3946"/>
      <c r="B781" s="2482"/>
      <c r="C781" s="2483"/>
      <c r="D781" s="2483"/>
      <c r="E781" s="2483"/>
      <c r="F781" s="2483"/>
      <c r="G781" s="2483"/>
      <c r="H781" s="2483"/>
      <c r="I781" s="2483"/>
      <c r="J781" s="2483"/>
      <c r="K781" s="2483"/>
      <c r="L781" s="2483"/>
      <c r="M781" s="2483"/>
      <c r="N781" s="2484"/>
      <c r="O781" s="1201"/>
      <c r="P781" s="1201"/>
      <c r="Q781" s="1201"/>
    </row>
    <row r="782" spans="1:17" ht="18.75">
      <c r="A782" s="3946"/>
      <c r="B782" s="2482"/>
      <c r="C782" s="2483"/>
      <c r="D782" s="2483"/>
      <c r="E782" s="2483"/>
      <c r="F782" s="2488" t="s">
        <v>308</v>
      </c>
      <c r="G782" s="2489" t="s">
        <v>256</v>
      </c>
      <c r="H782" s="2489" t="s">
        <v>257</v>
      </c>
      <c r="I782" s="2490" t="s">
        <v>258</v>
      </c>
      <c r="J782" s="2489" t="s">
        <v>259</v>
      </c>
      <c r="K782" s="2489" t="s">
        <v>1395</v>
      </c>
      <c r="L782" s="2483"/>
      <c r="M782" s="2483"/>
      <c r="N782" s="2484"/>
      <c r="O782" s="1201"/>
      <c r="P782" s="1201"/>
      <c r="Q782" s="1201"/>
    </row>
    <row r="783" spans="1:17" ht="18.75">
      <c r="A783" s="3946"/>
      <c r="B783" s="2482"/>
      <c r="C783" s="2483"/>
      <c r="D783" s="2483"/>
      <c r="E783" s="2483"/>
      <c r="F783" s="2453" t="s">
        <v>1409</v>
      </c>
      <c r="G783" s="2491">
        <v>0.05</v>
      </c>
      <c r="H783" s="2491">
        <v>0.08</v>
      </c>
      <c r="I783" s="2491">
        <v>0.11</v>
      </c>
      <c r="J783" s="2491">
        <v>0.125</v>
      </c>
      <c r="K783" s="2491">
        <v>7.0000000000000007E-2</v>
      </c>
      <c r="L783" s="2455">
        <f>SUM(G783:K783)/COUNTIF(G783:K783,"&gt;0")</f>
        <v>8.6999999999999994E-2</v>
      </c>
      <c r="M783" s="2452" t="s">
        <v>1397</v>
      </c>
      <c r="N783" s="2484"/>
      <c r="O783" s="1201"/>
      <c r="P783" s="1201"/>
      <c r="Q783" s="1201"/>
    </row>
    <row r="784" spans="1:17" ht="18.75">
      <c r="A784" s="3946"/>
      <c r="B784" s="2482"/>
      <c r="C784" s="2483"/>
      <c r="D784" s="2483"/>
      <c r="E784" s="2483"/>
      <c r="F784" s="2456" t="s">
        <v>1410</v>
      </c>
      <c r="G784" s="2492">
        <f>L779/G783</f>
        <v>47.999999999999993</v>
      </c>
      <c r="H784" s="2492">
        <f>L779/H783</f>
        <v>30</v>
      </c>
      <c r="I784" s="2492">
        <f>L779/I783</f>
        <v>21.818181818181817</v>
      </c>
      <c r="J784" s="2492">
        <f>L779/J783</f>
        <v>19.2</v>
      </c>
      <c r="K784" s="2492">
        <f>L779/K783</f>
        <v>34.285714285714285</v>
      </c>
      <c r="L784" s="2354" t="s">
        <v>1411</v>
      </c>
      <c r="M784" s="2452"/>
      <c r="N784" s="2484"/>
      <c r="O784" s="1201"/>
      <c r="P784" s="1201"/>
      <c r="Q784" s="1201"/>
    </row>
    <row r="785" spans="1:17" ht="18.75">
      <c r="A785" s="3946"/>
      <c r="B785" s="2493" t="s">
        <v>150</v>
      </c>
      <c r="C785" s="2494" t="s">
        <v>1412</v>
      </c>
      <c r="D785" s="2483"/>
      <c r="E785" s="2483"/>
      <c r="F785" s="2456"/>
      <c r="G785" s="2495"/>
      <c r="H785" s="2495"/>
      <c r="I785" s="2495"/>
      <c r="J785" s="2495"/>
      <c r="K785" s="2495"/>
      <c r="L785" s="2354"/>
      <c r="M785" s="2452"/>
      <c r="N785" s="2484"/>
      <c r="O785" s="1201"/>
      <c r="P785" s="1201"/>
      <c r="Q785" s="1201"/>
    </row>
    <row r="786" spans="1:17">
      <c r="A786" s="3946"/>
      <c r="B786" s="3958" t="s">
        <v>1413</v>
      </c>
      <c r="C786" s="3959"/>
      <c r="D786" s="3959"/>
      <c r="E786" s="3959"/>
      <c r="F786" s="3959"/>
      <c r="G786" s="3959"/>
      <c r="H786" s="3959"/>
      <c r="I786" s="3959"/>
      <c r="J786" s="3959"/>
      <c r="K786" s="3959"/>
      <c r="L786" s="3959"/>
      <c r="M786" s="3959"/>
      <c r="N786" s="3960"/>
      <c r="O786" s="1201"/>
      <c r="P786" s="1201"/>
      <c r="Q786" s="1201"/>
    </row>
    <row r="787" spans="1:17" ht="15.75">
      <c r="A787" s="3946"/>
      <c r="B787" s="2496"/>
      <c r="C787" s="2497"/>
      <c r="D787" s="2497"/>
      <c r="E787" s="2497"/>
      <c r="F787" s="2483"/>
      <c r="G787" s="2483"/>
      <c r="H787" s="2353"/>
      <c r="I787" s="2353"/>
      <c r="J787" s="2353"/>
      <c r="K787" s="2353"/>
      <c r="L787" s="3961" t="s">
        <v>152</v>
      </c>
      <c r="M787" s="3961"/>
      <c r="N787" s="2484"/>
      <c r="O787" s="1201"/>
      <c r="P787" s="1201"/>
      <c r="Q787" s="1201"/>
    </row>
    <row r="788" spans="1:17" ht="15.75">
      <c r="A788" s="3946"/>
      <c r="B788" s="2496"/>
      <c r="C788" s="2497"/>
      <c r="D788" s="2497"/>
      <c r="E788" s="2497"/>
      <c r="F788" s="2483"/>
      <c r="G788" s="2483"/>
      <c r="H788" s="2353"/>
      <c r="I788" s="2353"/>
      <c r="J788" s="2353"/>
      <c r="K788" s="2498" t="s">
        <v>1393</v>
      </c>
      <c r="L788" s="3934" t="s">
        <v>122</v>
      </c>
      <c r="M788" s="3935"/>
      <c r="N788" s="2484"/>
      <c r="O788" s="1201"/>
      <c r="P788" s="1201"/>
      <c r="Q788" s="1201"/>
    </row>
    <row r="789" spans="1:17" ht="18.75">
      <c r="A789" s="3946"/>
      <c r="B789" s="2482"/>
      <c r="C789" s="2483"/>
      <c r="D789" s="2353"/>
      <c r="E789" s="2353"/>
      <c r="F789" s="2353"/>
      <c r="G789" s="2353"/>
      <c r="H789" s="2353"/>
      <c r="I789" s="2353"/>
      <c r="J789" s="2353"/>
      <c r="K789" s="2353"/>
      <c r="L789" s="2353"/>
      <c r="M789" s="2452"/>
      <c r="N789" s="2484"/>
      <c r="O789" s="1201"/>
      <c r="P789" s="1201"/>
      <c r="Q789" s="1201"/>
    </row>
    <row r="790" spans="1:17" ht="18.75">
      <c r="A790" s="3946"/>
      <c r="B790" s="2482"/>
      <c r="C790" s="2483"/>
      <c r="D790" s="2483"/>
      <c r="E790" s="2483"/>
      <c r="F790" s="2450" t="s">
        <v>1376</v>
      </c>
      <c r="G790" s="2451">
        <v>50</v>
      </c>
      <c r="H790" s="2451">
        <v>500</v>
      </c>
      <c r="I790" s="2451">
        <v>150</v>
      </c>
      <c r="J790" s="2451">
        <v>13</v>
      </c>
      <c r="K790" s="2451">
        <v>13</v>
      </c>
      <c r="L790" s="2353">
        <f>SUM(G790:K790)</f>
        <v>726</v>
      </c>
      <c r="M790" s="2452" t="s">
        <v>114</v>
      </c>
      <c r="N790" s="2484"/>
      <c r="O790" s="1201"/>
      <c r="P790" s="1201"/>
      <c r="Q790" s="1201"/>
    </row>
    <row r="791" spans="1:17" ht="18.75">
      <c r="A791" s="3946"/>
      <c r="B791" s="2482"/>
      <c r="C791" s="2483"/>
      <c r="D791" s="2483"/>
      <c r="E791" s="2483"/>
      <c r="F791" s="2456" t="s">
        <v>1414</v>
      </c>
      <c r="G791" s="2499">
        <f>G783*G790</f>
        <v>2.5</v>
      </c>
      <c r="H791" s="2499">
        <f>H783*H790</f>
        <v>40</v>
      </c>
      <c r="I791" s="2499">
        <f>I783*I790</f>
        <v>16.5</v>
      </c>
      <c r="J791" s="2499">
        <f>J783*J790</f>
        <v>1.625</v>
      </c>
      <c r="K791" s="2499">
        <f>K783*K790</f>
        <v>0.91000000000000014</v>
      </c>
      <c r="L791" s="2353">
        <f>SUM(G791:K791)</f>
        <v>61.534999999999997</v>
      </c>
      <c r="M791" s="2452" t="str">
        <f>L788</f>
        <v>Kg</v>
      </c>
      <c r="N791" s="2484"/>
      <c r="O791" s="1201"/>
      <c r="P791" s="1201"/>
      <c r="Q791" s="1201"/>
    </row>
    <row r="792" spans="1:17">
      <c r="A792" s="3946"/>
      <c r="B792" s="2482"/>
      <c r="C792" s="2483"/>
      <c r="D792" s="2483"/>
      <c r="E792" s="2483"/>
      <c r="F792" s="2483"/>
      <c r="G792" s="2459" t="str">
        <f>L788</f>
        <v>Kg</v>
      </c>
      <c r="H792" s="2459" t="str">
        <f>L788</f>
        <v>Kg</v>
      </c>
      <c r="I792" s="2459" t="str">
        <f>L788</f>
        <v>Kg</v>
      </c>
      <c r="J792" s="2459" t="str">
        <f>L788</f>
        <v>Kg</v>
      </c>
      <c r="K792" s="2459" t="str">
        <f>L788</f>
        <v>Kg</v>
      </c>
      <c r="L792" s="2483"/>
      <c r="M792" s="2500"/>
      <c r="N792" s="2484"/>
      <c r="O792" s="1201"/>
      <c r="P792" s="1201"/>
      <c r="Q792" s="1201"/>
    </row>
    <row r="793" spans="1:17" ht="18.75">
      <c r="A793" s="3946"/>
      <c r="B793" s="2101"/>
      <c r="C793" s="2461" t="s">
        <v>1378</v>
      </c>
      <c r="D793" s="2462">
        <v>50</v>
      </c>
      <c r="E793" s="2463" t="s">
        <v>154</v>
      </c>
      <c r="F793" s="1846"/>
      <c r="G793" s="1846"/>
      <c r="H793" s="2483"/>
      <c r="I793" s="2483"/>
      <c r="J793" s="2483"/>
      <c r="K793" s="2483"/>
      <c r="L793" s="2483"/>
      <c r="M793" s="2500"/>
      <c r="N793" s="2484"/>
      <c r="O793" s="1201"/>
      <c r="P793" s="1201"/>
      <c r="Q793" s="1201"/>
    </row>
    <row r="794" spans="1:17" ht="18.75">
      <c r="A794" s="3946"/>
      <c r="B794" s="2482"/>
      <c r="C794" s="2483"/>
      <c r="D794" s="2483"/>
      <c r="E794" s="2483"/>
      <c r="F794" s="2456" t="s">
        <v>1384</v>
      </c>
      <c r="G794" s="2465">
        <f>G791/(100-D793)*100</f>
        <v>5</v>
      </c>
      <c r="H794" s="2465">
        <f>H791/(100-D793)*100</f>
        <v>80</v>
      </c>
      <c r="I794" s="2465">
        <f>I791/(100-D793)*100</f>
        <v>33</v>
      </c>
      <c r="J794" s="2465">
        <f>J791/(100-D793)*100</f>
        <v>3.25</v>
      </c>
      <c r="K794" s="2465">
        <f>K791/(100-D793)*100</f>
        <v>1.8200000000000005</v>
      </c>
      <c r="L794" s="2353">
        <f>SUM(G794:K794)</f>
        <v>123.07000000000001</v>
      </c>
      <c r="M794" s="2452" t="str">
        <f>L788</f>
        <v>Kg</v>
      </c>
      <c r="N794" s="2484"/>
      <c r="O794" s="1201"/>
      <c r="P794" s="1201"/>
      <c r="Q794" s="1201"/>
    </row>
    <row r="795" spans="1:17" ht="18.75">
      <c r="A795" s="3946"/>
      <c r="B795" s="2482"/>
      <c r="C795" s="2483"/>
      <c r="D795" s="2483"/>
      <c r="E795" s="2483"/>
      <c r="F795" s="2456"/>
      <c r="G795" s="2467" t="str">
        <f>L788</f>
        <v>Kg</v>
      </c>
      <c r="H795" s="2467" t="str">
        <f>L788</f>
        <v>Kg</v>
      </c>
      <c r="I795" s="2467" t="str">
        <f>L788</f>
        <v>Kg</v>
      </c>
      <c r="J795" s="2467" t="str">
        <f>L788</f>
        <v>Kg</v>
      </c>
      <c r="K795" s="2467" t="str">
        <f>L788</f>
        <v>Kg</v>
      </c>
      <c r="L795" s="2353"/>
      <c r="M795" s="2452"/>
      <c r="N795" s="2484"/>
      <c r="O795" s="1201"/>
      <c r="P795" s="1201"/>
      <c r="Q795" s="1201"/>
    </row>
    <row r="796" spans="1:17" ht="15.75">
      <c r="A796" s="3946"/>
      <c r="B796" s="2501" t="s">
        <v>154</v>
      </c>
      <c r="C796" s="2479" t="s">
        <v>1403</v>
      </c>
      <c r="D796" s="2502"/>
      <c r="E796" s="2502"/>
      <c r="F796" s="2502"/>
      <c r="G796" s="2502"/>
      <c r="H796" s="2502"/>
      <c r="I796" s="2502"/>
      <c r="J796" s="2502"/>
      <c r="K796" s="2502"/>
      <c r="L796" s="2502"/>
      <c r="M796" s="2502"/>
      <c r="N796" s="2503"/>
      <c r="O796" s="1201"/>
      <c r="P796" s="1201"/>
      <c r="Q796" s="1201"/>
    </row>
    <row r="797" spans="1:17" ht="18.75">
      <c r="A797" s="3946"/>
      <c r="B797" s="2504" t="s">
        <v>152</v>
      </c>
      <c r="C797" s="2505" t="s">
        <v>1399</v>
      </c>
      <c r="D797" s="2473"/>
      <c r="E797" s="2473"/>
      <c r="F797" s="2473"/>
      <c r="G797" s="2473"/>
      <c r="H797" s="2473"/>
      <c r="I797" s="2473"/>
      <c r="J797" s="2473"/>
      <c r="K797" s="2473"/>
      <c r="L797" s="2473"/>
      <c r="M797" s="2473"/>
      <c r="N797" s="2474"/>
      <c r="O797" s="1201"/>
      <c r="P797" s="1201"/>
      <c r="Q797" s="1201"/>
    </row>
    <row r="798" spans="1:17" ht="18.75">
      <c r="A798" s="3946"/>
      <c r="B798" s="2475"/>
      <c r="C798" s="3934" t="s">
        <v>122</v>
      </c>
      <c r="D798" s="3935"/>
      <c r="E798" s="2476"/>
      <c r="F798" s="3934" t="s">
        <v>1401</v>
      </c>
      <c r="G798" s="3935"/>
      <c r="H798" s="2476"/>
      <c r="I798" s="3934" t="s">
        <v>1402</v>
      </c>
      <c r="J798" s="3935"/>
      <c r="K798" s="2476"/>
      <c r="L798" s="3934" t="s">
        <v>1400</v>
      </c>
      <c r="M798" s="3935"/>
      <c r="N798" s="2477"/>
      <c r="O798" s="1201"/>
      <c r="P798" s="1201"/>
      <c r="Q798" s="1201"/>
    </row>
    <row r="799" spans="1:17" ht="18.75">
      <c r="A799" s="3946"/>
      <c r="B799" s="2475"/>
      <c r="C799" s="2476"/>
      <c r="D799" s="2476"/>
      <c r="E799" s="2476"/>
      <c r="F799" s="2476"/>
      <c r="G799" s="2476"/>
      <c r="H799" s="2476"/>
      <c r="I799" s="2476"/>
      <c r="J799" s="2476"/>
      <c r="K799" s="2476"/>
      <c r="L799" s="2476"/>
      <c r="M799" s="2476"/>
      <c r="N799" s="2477"/>
      <c r="O799" s="1201"/>
      <c r="P799" s="1201"/>
      <c r="Q799" s="1201"/>
    </row>
    <row r="800" spans="1:17">
      <c r="A800" s="3946"/>
      <c r="B800" s="3936" t="s">
        <v>1404</v>
      </c>
      <c r="C800" s="3937"/>
      <c r="D800" s="3937"/>
      <c r="E800" s="3937"/>
      <c r="F800" s="3937"/>
      <c r="G800" s="3937"/>
      <c r="H800" s="3937"/>
      <c r="I800" s="3937"/>
      <c r="J800" s="3937"/>
      <c r="K800" s="3937"/>
      <c r="L800" s="3937"/>
      <c r="M800" s="3937"/>
      <c r="N800" s="3938"/>
      <c r="O800" s="1201"/>
      <c r="P800" s="1201"/>
      <c r="Q800" s="1201"/>
    </row>
    <row r="801" spans="1:17">
      <c r="A801" s="3946"/>
      <c r="B801" s="3939"/>
      <c r="C801" s="3940"/>
      <c r="D801" s="3940"/>
      <c r="E801" s="3940"/>
      <c r="F801" s="3940"/>
      <c r="G801" s="3940"/>
      <c r="H801" s="3940"/>
      <c r="I801" s="3940"/>
      <c r="J801" s="3940"/>
      <c r="K801" s="3940"/>
      <c r="L801" s="3940"/>
      <c r="M801" s="3940"/>
      <c r="N801" s="3941"/>
      <c r="O801" s="1201"/>
      <c r="P801" s="1201"/>
      <c r="Q801" s="1201"/>
    </row>
    <row r="802" spans="1:17">
      <c r="A802" s="3946"/>
      <c r="B802" s="2480" t="s">
        <v>358</v>
      </c>
      <c r="C802" s="3942" t="str">
        <f ca="1">CELL("nomfichier")</f>
        <v>E:\0-UPRT\1-UPRT.FR-SITE-WEB\ff-fiches-fabrications\ff-fiches-fabrication-maj-08-2020\[ff-8-restauration-Christian.Frechede.xlsx]Formats-Formules-Fonctions</v>
      </c>
      <c r="D802" s="3942"/>
      <c r="E802" s="3942"/>
      <c r="F802" s="3942"/>
      <c r="G802" s="3942"/>
      <c r="H802" s="3942"/>
      <c r="I802" s="3942"/>
      <c r="J802" s="3942"/>
      <c r="K802" s="3942"/>
      <c r="L802" s="3942"/>
      <c r="M802" s="3942"/>
      <c r="N802" s="3943"/>
      <c r="O802" s="1201"/>
      <c r="P802" s="1201"/>
      <c r="Q802" s="1201"/>
    </row>
    <row r="803" spans="1:17">
      <c r="A803" s="3946"/>
      <c r="B803" s="2481" t="s">
        <v>359</v>
      </c>
      <c r="C803" s="3944" t="s">
        <v>1405</v>
      </c>
      <c r="D803" s="3944"/>
      <c r="E803" s="3944"/>
      <c r="F803" s="3944"/>
      <c r="G803" s="3944"/>
      <c r="H803" s="3944"/>
      <c r="I803" s="3944"/>
      <c r="J803" s="3944"/>
      <c r="K803" s="3944"/>
      <c r="L803" s="3944"/>
      <c r="M803" s="3944"/>
      <c r="N803" s="3945"/>
      <c r="O803" s="1201"/>
      <c r="P803" s="1201"/>
      <c r="Q803" s="1201"/>
    </row>
    <row r="804" spans="1:17" ht="15.75" thickBot="1">
      <c r="A804" s="3946"/>
      <c r="B804" s="3929" t="s">
        <v>361</v>
      </c>
      <c r="C804" s="3930"/>
      <c r="D804" s="3930"/>
      <c r="E804" s="3930"/>
      <c r="F804" s="3930"/>
      <c r="G804" s="3930"/>
      <c r="H804" s="3930"/>
      <c r="I804" s="3930"/>
      <c r="J804" s="3930"/>
      <c r="K804" s="3930"/>
      <c r="L804" s="3930"/>
      <c r="M804" s="3930"/>
      <c r="N804" s="3931"/>
      <c r="O804" s="1201"/>
      <c r="P804" s="1201"/>
      <c r="Q804" s="1201"/>
    </row>
    <row r="805" spans="1:17">
      <c r="A805" s="1201"/>
      <c r="B805" s="1985"/>
      <c r="C805" s="1985"/>
      <c r="D805" s="1985"/>
      <c r="E805" s="1985"/>
      <c r="F805" s="1985"/>
      <c r="G805" s="1985"/>
      <c r="H805" s="1985"/>
      <c r="I805" s="1985"/>
      <c r="J805" s="1985"/>
      <c r="K805" s="1985"/>
      <c r="L805" s="1985"/>
      <c r="M805" s="1201"/>
      <c r="N805" s="1201"/>
      <c r="O805" s="1201"/>
      <c r="P805" s="1201"/>
      <c r="Q805" s="1201"/>
    </row>
    <row r="806" spans="1:17">
      <c r="A806" s="1201"/>
      <c r="B806" s="1985"/>
      <c r="C806" s="1985"/>
      <c r="D806" s="1985"/>
      <c r="E806" s="1985"/>
      <c r="F806" s="1985"/>
      <c r="G806" s="1985"/>
      <c r="H806" s="1985"/>
      <c r="I806" s="1985"/>
      <c r="J806" s="1985"/>
      <c r="K806" s="1985"/>
      <c r="L806" s="1985"/>
      <c r="M806" s="1201"/>
      <c r="N806" s="1201"/>
      <c r="O806" s="1201"/>
      <c r="P806" s="1201"/>
      <c r="Q806" s="1201"/>
    </row>
    <row r="807" spans="1:17">
      <c r="A807" s="1201"/>
      <c r="B807" s="1985"/>
      <c r="C807" s="1201"/>
      <c r="D807" s="1201"/>
      <c r="E807" s="1201"/>
      <c r="F807" s="1201"/>
      <c r="G807" s="1201"/>
      <c r="H807" s="1201"/>
      <c r="I807" s="1201"/>
      <c r="J807" s="1201"/>
      <c r="K807" s="1201"/>
      <c r="L807" s="1201"/>
      <c r="M807" s="1201"/>
      <c r="N807" s="1201"/>
      <c r="O807" s="1201"/>
      <c r="P807" s="1201"/>
      <c r="Q807" s="1201"/>
    </row>
    <row r="808" spans="1:17" ht="15" customHeight="1">
      <c r="A808" s="3932" t="s">
        <v>1415</v>
      </c>
      <c r="B808" s="3933"/>
      <c r="C808" s="3933"/>
      <c r="D808" s="3933"/>
      <c r="E808" s="3933"/>
      <c r="F808" s="3933"/>
      <c r="G808" s="3933"/>
      <c r="H808" s="3933"/>
      <c r="I808" s="3933"/>
      <c r="J808" s="3933"/>
      <c r="K808" s="3933"/>
      <c r="L808" s="3933"/>
      <c r="M808" s="3933"/>
      <c r="N808" s="3933"/>
      <c r="O808" s="3933"/>
      <c r="P808" s="3933"/>
      <c r="Q808" s="3933"/>
    </row>
    <row r="809" spans="1:17" ht="15.75" customHeight="1">
      <c r="A809" s="3932"/>
      <c r="B809" s="3933"/>
      <c r="C809" s="3933"/>
      <c r="D809" s="3933"/>
      <c r="E809" s="3933"/>
      <c r="F809" s="3933"/>
      <c r="G809" s="3933"/>
      <c r="H809" s="3933"/>
      <c r="I809" s="3933"/>
      <c r="J809" s="3933"/>
      <c r="K809" s="3933"/>
      <c r="L809" s="3933"/>
      <c r="M809" s="3933"/>
      <c r="N809" s="3933"/>
      <c r="O809" s="3933"/>
      <c r="P809" s="3933"/>
      <c r="Q809" s="3933"/>
    </row>
    <row r="810" spans="1:17" ht="20.100000000000001" customHeight="1">
      <c r="A810" s="1201"/>
      <c r="B810" s="1201"/>
      <c r="C810" s="1201"/>
      <c r="D810" s="1201"/>
      <c r="E810" s="1201"/>
      <c r="F810" s="1201"/>
      <c r="G810" s="1201"/>
      <c r="H810" s="1201"/>
      <c r="I810" s="1201"/>
      <c r="J810" s="1201"/>
      <c r="K810" s="1201"/>
      <c r="L810" s="1201"/>
      <c r="M810" s="1201"/>
      <c r="N810" s="1201"/>
      <c r="O810" s="1201"/>
      <c r="P810" s="1201"/>
      <c r="Q810" s="1201"/>
    </row>
    <row r="811" spans="1:17" ht="20.100000000000001" customHeight="1">
      <c r="A811" s="1201"/>
      <c r="B811" s="1201"/>
      <c r="C811" s="1201"/>
      <c r="D811" s="1201"/>
      <c r="E811" s="334" t="s">
        <v>1416</v>
      </c>
      <c r="F811" s="334"/>
      <c r="G811" s="334"/>
      <c r="H811" s="1201"/>
      <c r="I811" s="1201"/>
      <c r="J811" s="1201"/>
      <c r="K811" s="1201"/>
      <c r="L811" s="1201"/>
      <c r="M811" s="1201"/>
      <c r="N811" s="1201"/>
      <c r="O811" s="1201"/>
      <c r="P811" s="1201"/>
      <c r="Q811" s="1201"/>
    </row>
    <row r="812" spans="1:17" ht="20.100000000000001" customHeight="1">
      <c r="A812" s="1201"/>
      <c r="B812" s="1201"/>
      <c r="C812" s="1201"/>
      <c r="D812" s="1201"/>
      <c r="E812" s="334"/>
      <c r="F812" s="334" t="s">
        <v>1417</v>
      </c>
      <c r="G812" s="334"/>
      <c r="H812" s="1201"/>
      <c r="I812" s="1201"/>
      <c r="J812" s="1201"/>
      <c r="K812" s="1201"/>
      <c r="L812" s="1201"/>
      <c r="M812" s="1201"/>
      <c r="N812" s="1201"/>
      <c r="O812" s="1201"/>
      <c r="P812" s="1201"/>
      <c r="Q812" s="1201"/>
    </row>
    <row r="813" spans="1:17" ht="20.100000000000001" customHeight="1">
      <c r="A813" s="1201"/>
      <c r="B813" s="1201"/>
      <c r="C813" s="1201"/>
      <c r="D813" s="1201"/>
      <c r="E813" s="334"/>
      <c r="F813" s="334" t="s">
        <v>1418</v>
      </c>
      <c r="G813" s="334"/>
      <c r="H813" s="1201"/>
      <c r="I813" s="1201"/>
      <c r="J813" s="1201"/>
      <c r="K813" s="1201"/>
      <c r="L813" s="1201"/>
      <c r="M813" s="1201"/>
      <c r="N813" s="1201"/>
      <c r="O813" s="1201"/>
      <c r="P813" s="1201"/>
      <c r="Q813" s="1201"/>
    </row>
    <row r="814" spans="1:17" ht="20.100000000000001" customHeight="1">
      <c r="A814" s="1201"/>
      <c r="B814" s="1201"/>
      <c r="C814" s="1201"/>
      <c r="D814" s="1201"/>
      <c r="E814" s="334"/>
      <c r="F814" s="334" t="s">
        <v>1419</v>
      </c>
      <c r="G814" s="334"/>
      <c r="H814" s="1201"/>
      <c r="I814" s="1201"/>
      <c r="J814" s="1201"/>
      <c r="K814" s="1201"/>
      <c r="L814" s="1201"/>
      <c r="M814" s="1201"/>
      <c r="N814" s="1201"/>
      <c r="O814" s="1201"/>
      <c r="P814" s="1201"/>
      <c r="Q814" s="1201"/>
    </row>
    <row r="815" spans="1:17" ht="20.100000000000001" customHeight="1">
      <c r="A815" s="1201"/>
      <c r="B815" s="1201"/>
      <c r="C815" s="1201"/>
      <c r="D815" s="1201"/>
      <c r="E815" s="1201"/>
      <c r="F815" s="334" t="s">
        <v>1420</v>
      </c>
      <c r="G815" s="1201"/>
      <c r="H815" s="1201"/>
      <c r="I815" s="1201"/>
      <c r="J815" s="1201"/>
      <c r="K815" s="1201"/>
      <c r="L815" s="1201"/>
      <c r="M815" s="1201"/>
      <c r="N815" s="1201"/>
      <c r="O815" s="1201"/>
      <c r="P815" s="1201"/>
      <c r="Q815" s="1201"/>
    </row>
    <row r="816" spans="1:17" ht="20.100000000000001" customHeight="1">
      <c r="A816" s="1201"/>
      <c r="B816" s="1201"/>
      <c r="C816" s="1201"/>
      <c r="D816" s="1201"/>
      <c r="E816" s="334" t="s">
        <v>1421</v>
      </c>
      <c r="F816" s="1201"/>
      <c r="G816" s="1201"/>
      <c r="H816" s="1201"/>
      <c r="I816" s="1201"/>
      <c r="J816" s="1201"/>
      <c r="K816" s="1201"/>
      <c r="L816" s="1201"/>
      <c r="M816" s="1201"/>
      <c r="N816" s="1201"/>
      <c r="O816" s="1201"/>
      <c r="P816" s="1201"/>
      <c r="Q816" s="1201"/>
    </row>
    <row r="817" spans="1:17" ht="20.100000000000001" customHeight="1">
      <c r="A817" s="1201"/>
      <c r="B817" s="1201"/>
      <c r="C817" s="1201"/>
      <c r="D817" s="1201"/>
      <c r="E817" s="1201"/>
      <c r="F817" s="1201"/>
      <c r="G817" s="1201"/>
      <c r="H817" s="1201"/>
      <c r="I817" s="1201"/>
      <c r="J817" s="1201"/>
      <c r="K817" s="1201"/>
      <c r="L817" s="1201"/>
      <c r="M817" s="1201"/>
      <c r="N817" s="1201"/>
      <c r="O817" s="1201"/>
      <c r="P817" s="1201"/>
      <c r="Q817" s="1201"/>
    </row>
    <row r="818" spans="1:17" ht="20.100000000000001" customHeight="1">
      <c r="A818" s="1201"/>
      <c r="B818" s="1201"/>
      <c r="C818" s="1201"/>
      <c r="D818" s="1201"/>
      <c r="E818" s="1201"/>
      <c r="F818" s="1201"/>
      <c r="G818" s="1201"/>
      <c r="H818" s="1201"/>
      <c r="I818" s="1201"/>
      <c r="J818" s="1201"/>
      <c r="K818" s="1201"/>
      <c r="L818" s="1201"/>
      <c r="M818" s="1201"/>
      <c r="N818" s="1201"/>
      <c r="O818" s="1201"/>
      <c r="P818" s="1201"/>
      <c r="Q818" s="1201"/>
    </row>
    <row r="819" spans="1:17" ht="20.100000000000001" customHeight="1">
      <c r="A819" s="1201"/>
      <c r="B819" s="1201"/>
      <c r="C819" s="1201"/>
      <c r="D819" s="1201"/>
      <c r="E819" s="1201"/>
      <c r="F819" s="1201"/>
      <c r="G819" s="1201"/>
      <c r="H819" s="1201"/>
      <c r="I819" s="1201"/>
      <c r="J819" s="1201"/>
      <c r="K819" s="1201"/>
      <c r="L819" s="1201"/>
      <c r="M819" s="1201"/>
      <c r="N819" s="1201"/>
      <c r="O819" s="1201"/>
      <c r="P819" s="1201"/>
      <c r="Q819" s="1201"/>
    </row>
    <row r="820" spans="1:17" ht="20.100000000000001" customHeight="1">
      <c r="A820" s="1201"/>
      <c r="B820" s="1201"/>
      <c r="C820" s="1201"/>
      <c r="D820" s="1201"/>
      <c r="E820" s="1201"/>
      <c r="F820" s="1201"/>
      <c r="G820" s="1201"/>
      <c r="H820" s="1201"/>
      <c r="I820" s="1201"/>
      <c r="J820" s="1201"/>
      <c r="K820" s="1201"/>
      <c r="L820" s="1201"/>
      <c r="M820" s="1201"/>
      <c r="N820" s="1201"/>
      <c r="O820" s="1201"/>
      <c r="P820" s="1201"/>
      <c r="Q820" s="1201"/>
    </row>
    <row r="821" spans="1:17" ht="20.100000000000001" customHeight="1">
      <c r="A821" s="1201"/>
      <c r="B821" s="1201"/>
      <c r="C821" s="335" t="s">
        <v>1422</v>
      </c>
      <c r="D821" s="335"/>
      <c r="E821" s="335"/>
      <c r="F821" s="335"/>
      <c r="G821" s="335"/>
      <c r="H821" s="335"/>
      <c r="I821" s="335" t="s">
        <v>1423</v>
      </c>
      <c r="J821" s="1201"/>
      <c r="K821" s="1201"/>
      <c r="L821" s="1201"/>
      <c r="M821" s="1201"/>
      <c r="N821" s="1201"/>
      <c r="O821" s="1201"/>
      <c r="P821" s="1201"/>
      <c r="Q821" s="1201"/>
    </row>
    <row r="822" spans="1:17" ht="20.100000000000001" customHeight="1">
      <c r="A822" s="1201"/>
      <c r="B822" s="1201"/>
      <c r="C822" s="1201"/>
      <c r="D822" s="1201"/>
      <c r="E822" s="1201"/>
      <c r="F822" s="1201"/>
      <c r="G822" s="1201"/>
      <c r="H822" s="1201"/>
      <c r="I822" s="1201"/>
      <c r="J822" s="1201"/>
      <c r="K822" s="1201"/>
      <c r="L822" s="1201"/>
      <c r="M822" s="1201"/>
      <c r="N822" s="1201"/>
      <c r="O822" s="1201"/>
      <c r="P822" s="1201"/>
      <c r="Q822" s="1201"/>
    </row>
    <row r="823" spans="1:17" ht="20.100000000000001" customHeight="1">
      <c r="A823" s="1201"/>
      <c r="B823" s="1201"/>
      <c r="C823" s="1201"/>
      <c r="D823" s="335" t="s">
        <v>1424</v>
      </c>
      <c r="E823" s="1201"/>
      <c r="F823" s="1201"/>
      <c r="G823" s="1201"/>
      <c r="H823" s="1201"/>
      <c r="I823" s="335"/>
      <c r="J823" s="1201"/>
      <c r="K823" s="1201"/>
      <c r="L823" s="1201"/>
      <c r="M823" s="1201"/>
      <c r="N823" s="1201"/>
      <c r="O823" s="1201"/>
      <c r="P823" s="1201"/>
      <c r="Q823" s="1201"/>
    </row>
    <row r="824" spans="1:17" ht="20.100000000000001" customHeight="1">
      <c r="A824" s="1201"/>
      <c r="B824" s="1201"/>
      <c r="C824" s="1201"/>
      <c r="D824" s="335" t="s">
        <v>99</v>
      </c>
      <c r="E824" s="1201"/>
      <c r="F824" s="1201"/>
      <c r="G824" s="1201"/>
      <c r="H824" s="336" t="s">
        <v>101</v>
      </c>
      <c r="I824" s="335"/>
      <c r="J824" s="1201"/>
      <c r="K824" s="1201"/>
      <c r="L824" s="1201"/>
      <c r="M824" s="1201"/>
      <c r="N824" s="1201"/>
      <c r="O824" s="1201"/>
      <c r="P824" s="1201"/>
      <c r="Q824" s="1201"/>
    </row>
    <row r="825" spans="1:17" ht="20.100000000000001" customHeight="1">
      <c r="A825" s="1201"/>
      <c r="B825" s="1201"/>
      <c r="C825" s="1201"/>
      <c r="D825" s="335" t="s">
        <v>100</v>
      </c>
      <c r="E825" s="1201"/>
      <c r="F825" s="1201"/>
      <c r="G825" s="1201"/>
      <c r="H825" s="337"/>
      <c r="I825" s="337" t="s">
        <v>1425</v>
      </c>
      <c r="J825" s="1201"/>
      <c r="K825" s="1201"/>
      <c r="L825" s="1201"/>
      <c r="M825" s="1201"/>
      <c r="N825" s="1201"/>
      <c r="O825" s="1201"/>
      <c r="P825" s="1201"/>
      <c r="Q825" s="1201"/>
    </row>
    <row r="826" spans="1:17" ht="20.100000000000001" customHeight="1">
      <c r="A826" s="1201"/>
      <c r="B826" s="1201"/>
      <c r="C826" s="1201"/>
      <c r="D826" s="335" t="s">
        <v>101</v>
      </c>
      <c r="E826" s="1201"/>
      <c r="F826" s="1201"/>
      <c r="G826" s="1201"/>
      <c r="H826" s="337"/>
      <c r="I826" s="337" t="s">
        <v>1426</v>
      </c>
      <c r="J826" s="1201"/>
      <c r="K826" s="1201"/>
      <c r="L826" s="1201"/>
      <c r="M826" s="1201"/>
      <c r="N826" s="1201"/>
      <c r="O826" s="1201"/>
      <c r="P826" s="1201"/>
      <c r="Q826" s="1201"/>
    </row>
    <row r="827" spans="1:17" ht="20.100000000000001" customHeight="1">
      <c r="A827" s="1201"/>
      <c r="B827" s="1201"/>
      <c r="C827" s="1201"/>
      <c r="D827" s="335" t="s">
        <v>111</v>
      </c>
      <c r="E827" s="1201"/>
      <c r="F827" s="1201"/>
      <c r="G827" s="1201"/>
      <c r="H827" s="336" t="s">
        <v>142</v>
      </c>
      <c r="I827" s="1201"/>
      <c r="J827" s="1201"/>
      <c r="K827" s="1201"/>
      <c r="L827" s="1201"/>
      <c r="M827" s="1201"/>
      <c r="N827" s="1201"/>
      <c r="O827" s="1201"/>
      <c r="P827" s="1201"/>
      <c r="Q827" s="1201"/>
    </row>
    <row r="828" spans="1:17" ht="20.100000000000001" customHeight="1">
      <c r="A828" s="1201"/>
      <c r="B828" s="1201"/>
      <c r="C828" s="1201"/>
      <c r="D828" s="335" t="s">
        <v>1427</v>
      </c>
      <c r="E828" s="1201"/>
      <c r="F828" s="1201"/>
      <c r="G828" s="1201"/>
      <c r="H828" s="337"/>
      <c r="I828" s="337" t="s">
        <v>1428</v>
      </c>
      <c r="J828" s="1201"/>
      <c r="K828" s="1201"/>
      <c r="L828" s="335"/>
      <c r="M828" s="1201"/>
      <c r="N828" s="1201"/>
      <c r="O828" s="1201"/>
      <c r="P828" s="1201"/>
      <c r="Q828" s="1201"/>
    </row>
    <row r="829" spans="1:17" ht="20.100000000000001" customHeight="1">
      <c r="A829" s="1201"/>
      <c r="B829" s="1201"/>
      <c r="C829" s="1201"/>
      <c r="D829" s="1201"/>
      <c r="E829" s="1201"/>
      <c r="F829" s="1201"/>
      <c r="G829" s="1201"/>
      <c r="H829" s="336" t="s">
        <v>145</v>
      </c>
      <c r="I829" s="335"/>
      <c r="J829" s="335"/>
      <c r="K829" s="1201"/>
      <c r="L829" s="335"/>
      <c r="M829" s="1201"/>
      <c r="N829" s="1201"/>
      <c r="O829" s="1201"/>
      <c r="P829" s="1201"/>
      <c r="Q829" s="1201"/>
    </row>
    <row r="830" spans="1:17" ht="20.100000000000001" customHeight="1">
      <c r="A830" s="1201"/>
      <c r="B830" s="1201"/>
      <c r="C830" s="1201"/>
      <c r="D830" s="335" t="s">
        <v>1429</v>
      </c>
      <c r="E830" s="1201"/>
      <c r="F830" s="1201"/>
      <c r="G830" s="1201"/>
      <c r="H830" s="337"/>
      <c r="I830" s="337" t="s">
        <v>1430</v>
      </c>
      <c r="J830" s="337"/>
      <c r="K830" s="1201"/>
      <c r="L830" s="335"/>
      <c r="M830" s="1201"/>
      <c r="N830" s="1201"/>
      <c r="O830" s="1201"/>
      <c r="P830" s="1201"/>
      <c r="Q830" s="1201"/>
    </row>
    <row r="831" spans="1:17" ht="20.100000000000001" customHeight="1">
      <c r="A831" s="1201"/>
      <c r="B831" s="1201"/>
      <c r="C831" s="1201"/>
      <c r="D831" s="335" t="s">
        <v>99</v>
      </c>
      <c r="E831" s="1201"/>
      <c r="F831" s="1201"/>
      <c r="G831" s="1201"/>
      <c r="H831" s="336" t="s">
        <v>146</v>
      </c>
      <c r="I831" s="335"/>
      <c r="J831" s="1201"/>
      <c r="K831" s="1201"/>
      <c r="L831" s="335"/>
      <c r="M831" s="1201"/>
      <c r="N831" s="1201"/>
      <c r="O831" s="1201"/>
      <c r="P831" s="1201"/>
      <c r="Q831" s="1201"/>
    </row>
    <row r="832" spans="1:17" ht="20.100000000000001" customHeight="1">
      <c r="A832" s="1201"/>
      <c r="B832" s="1201"/>
      <c r="C832" s="1201"/>
      <c r="D832" s="335" t="s">
        <v>100</v>
      </c>
      <c r="E832" s="1201"/>
      <c r="F832" s="1201"/>
      <c r="G832" s="1201"/>
      <c r="H832" s="337"/>
      <c r="I832" s="337" t="s">
        <v>1431</v>
      </c>
      <c r="J832" s="1201"/>
      <c r="K832" s="1201"/>
      <c r="L832" s="335"/>
      <c r="M832" s="1201"/>
      <c r="N832" s="1201"/>
      <c r="O832" s="1201"/>
      <c r="P832" s="1201"/>
      <c r="Q832" s="1201"/>
    </row>
    <row r="833" spans="1:17" ht="20.100000000000001" customHeight="1">
      <c r="A833" s="1201"/>
      <c r="B833" s="1201"/>
      <c r="C833" s="1201"/>
      <c r="D833" s="335" t="s">
        <v>101</v>
      </c>
      <c r="E833" s="1201"/>
      <c r="F833" s="1201"/>
      <c r="G833" s="1201"/>
      <c r="H833" s="336" t="s">
        <v>147</v>
      </c>
      <c r="I833" s="335"/>
      <c r="J833" s="1201"/>
      <c r="K833" s="1201"/>
      <c r="L833" s="335"/>
      <c r="M833" s="1201"/>
      <c r="N833" s="1201"/>
      <c r="O833" s="1201"/>
      <c r="P833" s="1201"/>
      <c r="Q833" s="1201"/>
    </row>
    <row r="834" spans="1:17" ht="20.100000000000001" customHeight="1">
      <c r="A834" s="1201"/>
      <c r="B834" s="1201"/>
      <c r="C834" s="1201"/>
      <c r="D834" s="335" t="s">
        <v>111</v>
      </c>
      <c r="E834" s="1201"/>
      <c r="F834" s="1201"/>
      <c r="G834" s="1201"/>
      <c r="H834" s="337"/>
      <c r="I834" s="337" t="s">
        <v>1432</v>
      </c>
      <c r="J834" s="1201"/>
      <c r="K834" s="1201"/>
      <c r="L834" s="335"/>
      <c r="M834" s="1201"/>
      <c r="N834" s="1201"/>
      <c r="O834" s="1201"/>
      <c r="P834" s="1201"/>
      <c r="Q834" s="1201"/>
    </row>
    <row r="835" spans="1:17" ht="20.100000000000001" customHeight="1">
      <c r="A835" s="1201"/>
      <c r="B835" s="1201"/>
      <c r="C835" s="1201"/>
      <c r="D835" s="335" t="s">
        <v>1427</v>
      </c>
      <c r="E835" s="1201"/>
      <c r="F835" s="1201"/>
      <c r="G835" s="1201"/>
      <c r="H835" s="336" t="s">
        <v>538</v>
      </c>
      <c r="I835" s="335"/>
      <c r="J835" s="1201"/>
      <c r="K835" s="1201"/>
      <c r="L835" s="1201"/>
      <c r="M835" s="1201"/>
      <c r="N835" s="1201"/>
      <c r="O835" s="1201"/>
      <c r="P835" s="1201"/>
      <c r="Q835" s="1201"/>
    </row>
    <row r="836" spans="1:17" ht="20.100000000000001" customHeight="1">
      <c r="A836" s="1201"/>
      <c r="B836" s="1201"/>
      <c r="C836" s="1201"/>
      <c r="D836" s="335"/>
      <c r="E836" s="1201"/>
      <c r="F836" s="1201"/>
      <c r="G836" s="1201"/>
      <c r="H836" s="337"/>
      <c r="I836" s="337" t="s">
        <v>1433</v>
      </c>
      <c r="J836" s="1201"/>
      <c r="K836" s="1201"/>
      <c r="L836" s="335"/>
      <c r="M836" s="1201"/>
      <c r="N836" s="1201"/>
      <c r="O836" s="1201"/>
      <c r="P836" s="1201"/>
      <c r="Q836" s="1201"/>
    </row>
    <row r="837" spans="1:17" ht="20.100000000000001" customHeight="1">
      <c r="A837" s="1201"/>
      <c r="B837" s="1201"/>
      <c r="C837" s="1201"/>
      <c r="D837" s="335" t="s">
        <v>1434</v>
      </c>
      <c r="E837" s="1201"/>
      <c r="F837" s="1201"/>
      <c r="G837" s="1201"/>
      <c r="H837" s="337"/>
      <c r="I837" s="337" t="s">
        <v>1435</v>
      </c>
      <c r="J837" s="1201"/>
      <c r="K837" s="1201"/>
      <c r="L837" s="1201"/>
      <c r="M837" s="1201"/>
      <c r="N837" s="1201"/>
      <c r="O837" s="1201"/>
      <c r="P837" s="1201"/>
      <c r="Q837" s="1201"/>
    </row>
    <row r="838" spans="1:17" ht="20.100000000000001" customHeight="1">
      <c r="A838" s="1201"/>
      <c r="B838" s="1201"/>
      <c r="C838" s="1201"/>
      <c r="D838" s="335" t="s">
        <v>99</v>
      </c>
      <c r="E838" s="1201"/>
      <c r="F838" s="1201"/>
      <c r="G838" s="1201"/>
      <c r="H838" s="337"/>
      <c r="I838" s="337" t="s">
        <v>1436</v>
      </c>
      <c r="J838" s="1201"/>
      <c r="K838" s="1201"/>
      <c r="L838" s="1201"/>
      <c r="M838" s="1201"/>
      <c r="N838" s="1201"/>
      <c r="O838" s="1201"/>
      <c r="P838" s="1201"/>
      <c r="Q838" s="1201"/>
    </row>
    <row r="839" spans="1:17" ht="20.100000000000001" customHeight="1">
      <c r="A839" s="1201"/>
      <c r="B839" s="1201"/>
      <c r="C839" s="1201"/>
      <c r="D839" s="335" t="s">
        <v>100</v>
      </c>
      <c r="E839" s="1201"/>
      <c r="F839" s="1201"/>
      <c r="G839" s="1201"/>
      <c r="H839" s="337"/>
      <c r="I839" s="337" t="s">
        <v>1437</v>
      </c>
      <c r="J839" s="1201"/>
      <c r="K839" s="1201"/>
      <c r="L839" s="1201"/>
      <c r="M839" s="1201"/>
      <c r="N839" s="1201"/>
      <c r="O839" s="1201"/>
      <c r="P839" s="1201"/>
      <c r="Q839" s="1201"/>
    </row>
    <row r="840" spans="1:17" ht="20.100000000000001" customHeight="1">
      <c r="A840" s="1201"/>
      <c r="B840" s="1201"/>
      <c r="C840" s="1201"/>
      <c r="D840" s="335" t="s">
        <v>101</v>
      </c>
      <c r="E840" s="1201"/>
      <c r="F840" s="1201"/>
      <c r="G840" s="1201"/>
      <c r="H840" s="1201"/>
      <c r="I840" s="1201"/>
      <c r="J840" s="1201"/>
      <c r="K840" s="1201"/>
      <c r="L840" s="1201"/>
      <c r="M840" s="1201"/>
      <c r="N840" s="1201"/>
      <c r="O840" s="1201"/>
      <c r="P840" s="1201"/>
      <c r="Q840" s="1201"/>
    </row>
    <row r="841" spans="1:17" ht="20.100000000000001" customHeight="1">
      <c r="A841" s="1201"/>
      <c r="B841" s="1201"/>
      <c r="C841" s="1201"/>
      <c r="D841" s="338" t="s">
        <v>1438</v>
      </c>
      <c r="E841" s="338"/>
      <c r="F841" s="1201"/>
      <c r="G841" s="1201"/>
      <c r="H841" s="1201"/>
      <c r="I841" s="1201"/>
      <c r="J841" s="1201"/>
      <c r="K841" s="1201"/>
      <c r="L841" s="1201"/>
      <c r="M841" s="1201"/>
      <c r="N841" s="1201"/>
      <c r="O841" s="1201"/>
      <c r="P841" s="1201"/>
      <c r="Q841" s="1201"/>
    </row>
    <row r="842" spans="1:17" ht="20.100000000000001" customHeight="1">
      <c r="A842" s="1201"/>
      <c r="B842" s="1201"/>
      <c r="C842" s="1201"/>
      <c r="D842" s="335" t="s">
        <v>111</v>
      </c>
      <c r="E842" s="1201"/>
      <c r="F842" s="1201"/>
      <c r="G842" s="1201"/>
      <c r="H842" s="1201"/>
      <c r="I842" s="1201"/>
      <c r="J842" s="1201"/>
      <c r="K842" s="1201"/>
      <c r="L842" s="1201"/>
      <c r="M842" s="1201"/>
      <c r="N842" s="1201"/>
      <c r="O842" s="1201"/>
      <c r="P842" s="1201"/>
      <c r="Q842" s="1201"/>
    </row>
    <row r="843" spans="1:17" ht="20.100000000000001" customHeight="1">
      <c r="A843" s="1201"/>
      <c r="B843" s="1201"/>
      <c r="C843" s="1201"/>
      <c r="D843" s="335" t="s">
        <v>1427</v>
      </c>
      <c r="E843" s="1201"/>
      <c r="F843" s="1201"/>
      <c r="G843" s="1201"/>
      <c r="H843" s="1201"/>
      <c r="I843" s="1201"/>
      <c r="J843" s="1201"/>
      <c r="K843" s="1201"/>
      <c r="L843" s="1201"/>
      <c r="M843" s="1201"/>
      <c r="N843" s="1201"/>
      <c r="O843" s="1201"/>
      <c r="P843" s="1201"/>
      <c r="Q843" s="1201"/>
    </row>
    <row r="844" spans="1:17" ht="20.100000000000001" customHeight="1">
      <c r="A844" s="1201"/>
      <c r="B844" s="1201"/>
      <c r="C844" s="1201"/>
      <c r="D844" s="335"/>
      <c r="E844" s="1201"/>
      <c r="F844" s="1201"/>
      <c r="G844" s="1201"/>
      <c r="H844" s="1201"/>
      <c r="I844" s="1201"/>
      <c r="J844" s="1201"/>
      <c r="K844" s="1201"/>
      <c r="L844" s="1201"/>
      <c r="M844" s="1201"/>
      <c r="N844" s="1201"/>
      <c r="O844" s="1201"/>
      <c r="P844" s="1201"/>
      <c r="Q844" s="1201"/>
    </row>
    <row r="845" spans="1:17" ht="20.100000000000001" customHeight="1">
      <c r="A845" s="1201"/>
      <c r="B845" s="1201"/>
      <c r="C845" s="1201"/>
      <c r="D845" s="335" t="s">
        <v>1439</v>
      </c>
      <c r="E845" s="1201"/>
      <c r="F845" s="1201"/>
      <c r="G845" s="1201"/>
      <c r="H845" s="1201"/>
      <c r="I845" s="1201"/>
      <c r="J845" s="1201"/>
      <c r="K845" s="1201"/>
      <c r="L845" s="1201"/>
      <c r="M845" s="1201"/>
      <c r="N845" s="1201"/>
      <c r="O845" s="1201"/>
      <c r="P845" s="1201"/>
      <c r="Q845" s="1201"/>
    </row>
    <row r="846" spans="1:17" ht="20.100000000000001" customHeight="1">
      <c r="A846" s="1201"/>
      <c r="B846" s="1201"/>
      <c r="C846" s="1201"/>
      <c r="D846" s="335" t="s">
        <v>99</v>
      </c>
      <c r="E846" s="1201"/>
      <c r="F846" s="1201"/>
      <c r="G846" s="1201"/>
      <c r="H846" s="1201"/>
      <c r="I846" s="1201"/>
      <c r="J846" s="1201"/>
      <c r="K846" s="1201"/>
      <c r="L846" s="1201"/>
      <c r="M846" s="1201"/>
      <c r="N846" s="1201"/>
      <c r="O846" s="1201"/>
      <c r="P846" s="1201"/>
      <c r="Q846" s="1201"/>
    </row>
    <row r="847" spans="1:17" ht="20.100000000000001" customHeight="1">
      <c r="A847" s="1201"/>
      <c r="B847" s="1201"/>
      <c r="C847" s="1201"/>
      <c r="D847" s="335" t="s">
        <v>100</v>
      </c>
      <c r="E847" s="1201"/>
      <c r="F847" s="1201"/>
      <c r="G847" s="1201"/>
      <c r="H847" s="1201"/>
      <c r="I847" s="1201"/>
      <c r="J847" s="1201"/>
      <c r="K847" s="1201"/>
      <c r="L847" s="1201"/>
      <c r="M847" s="1201"/>
      <c r="N847" s="1201"/>
      <c r="O847" s="1201"/>
      <c r="P847" s="1201"/>
      <c r="Q847" s="1201"/>
    </row>
    <row r="848" spans="1:17" ht="20.100000000000001" customHeight="1">
      <c r="A848" s="1201"/>
      <c r="B848" s="1201"/>
      <c r="C848" s="1201"/>
      <c r="D848" s="335" t="s">
        <v>101</v>
      </c>
      <c r="E848" s="1201"/>
      <c r="F848" s="1201"/>
      <c r="G848" s="1201"/>
      <c r="H848" s="1201"/>
      <c r="I848" s="1201"/>
      <c r="J848" s="1201"/>
      <c r="K848" s="1201"/>
      <c r="L848" s="1201"/>
      <c r="M848" s="1201"/>
      <c r="N848" s="1201"/>
      <c r="O848" s="1201"/>
      <c r="P848" s="1201"/>
      <c r="Q848" s="1201"/>
    </row>
    <row r="849" spans="1:17" ht="20.100000000000001" customHeight="1">
      <c r="A849" s="1201"/>
      <c r="B849" s="1201"/>
      <c r="C849" s="1201"/>
      <c r="D849" s="335" t="s">
        <v>111</v>
      </c>
      <c r="E849" s="1201"/>
      <c r="F849" s="1201"/>
      <c r="G849" s="1201"/>
      <c r="H849" s="1201"/>
      <c r="I849" s="1201"/>
      <c r="J849" s="1201"/>
      <c r="K849" s="1201"/>
      <c r="L849" s="1201"/>
      <c r="M849" s="1201"/>
      <c r="N849" s="1201"/>
      <c r="O849" s="1201"/>
      <c r="P849" s="1201"/>
      <c r="Q849" s="1201"/>
    </row>
    <row r="850" spans="1:17" ht="20.100000000000001" customHeight="1">
      <c r="A850" s="1201"/>
      <c r="B850" s="1201"/>
      <c r="C850" s="1201"/>
      <c r="D850" s="335" t="s">
        <v>1427</v>
      </c>
      <c r="E850" s="1201"/>
      <c r="F850" s="1201"/>
      <c r="G850" s="1201"/>
      <c r="H850" s="1201"/>
      <c r="I850" s="1201"/>
      <c r="J850" s="1201"/>
      <c r="K850" s="1201"/>
      <c r="L850" s="1201"/>
      <c r="M850" s="1201"/>
      <c r="N850" s="1201"/>
      <c r="O850" s="1201"/>
      <c r="P850" s="1201"/>
      <c r="Q850" s="1201"/>
    </row>
    <row r="851" spans="1:17" ht="20.100000000000001" customHeight="1">
      <c r="A851" s="1201"/>
      <c r="B851" s="1201"/>
      <c r="C851" s="1201"/>
      <c r="D851" s="335"/>
      <c r="E851" s="1201"/>
      <c r="F851" s="1201"/>
      <c r="G851" s="1201"/>
      <c r="H851" s="1201"/>
      <c r="I851" s="1201"/>
      <c r="J851" s="1201"/>
      <c r="K851" s="1201"/>
      <c r="L851" s="1201"/>
      <c r="M851" s="1201"/>
      <c r="N851" s="1201"/>
      <c r="O851" s="1201"/>
      <c r="P851" s="1201"/>
      <c r="Q851" s="1201"/>
    </row>
    <row r="852" spans="1:17">
      <c r="A852" s="2506"/>
      <c r="B852" s="2507"/>
      <c r="C852" s="2507"/>
      <c r="D852" s="2507"/>
      <c r="E852" s="2507"/>
      <c r="F852" s="2507"/>
      <c r="G852" s="2507"/>
      <c r="H852" s="2507"/>
      <c r="I852" s="2507"/>
      <c r="J852" s="2507"/>
      <c r="K852" s="2507"/>
      <c r="L852" s="2507"/>
      <c r="M852" s="2507"/>
      <c r="N852" s="2507"/>
      <c r="O852" s="2507"/>
      <c r="P852" s="2507"/>
      <c r="Q852" s="2507"/>
    </row>
    <row r="853" spans="1:17" ht="18.75">
      <c r="A853" s="1201"/>
      <c r="B853" s="1985"/>
      <c r="C853" s="2508" t="s">
        <v>1440</v>
      </c>
      <c r="D853" s="1985"/>
      <c r="E853" s="1985"/>
      <c r="F853" s="1985"/>
      <c r="G853" s="1985"/>
      <c r="H853" s="1985"/>
      <c r="I853" s="1985"/>
      <c r="J853" s="1985"/>
      <c r="K853" s="1985"/>
      <c r="L853" s="1985"/>
      <c r="M853" s="1985"/>
      <c r="N853" s="1985"/>
      <c r="O853" s="1985"/>
      <c r="P853" s="1985"/>
      <c r="Q853" s="1985"/>
    </row>
    <row r="854" spans="1:17">
      <c r="A854" s="1201"/>
      <c r="B854" s="1985"/>
      <c r="C854" s="1985"/>
      <c r="D854" s="1985"/>
      <c r="E854" s="1985"/>
      <c r="F854" s="1985"/>
      <c r="G854" s="1985"/>
      <c r="H854" s="1985"/>
      <c r="I854" s="1985"/>
      <c r="J854" s="1985"/>
      <c r="K854" s="1985"/>
      <c r="L854" s="1985"/>
      <c r="M854" s="1201"/>
      <c r="N854" s="1201"/>
      <c r="O854" s="1201"/>
      <c r="P854" s="1201"/>
      <c r="Q854" s="1201"/>
    </row>
    <row r="855" spans="1:17" ht="18.75">
      <c r="A855" s="1201"/>
      <c r="B855" s="1201"/>
      <c r="C855" s="2508" t="s">
        <v>1441</v>
      </c>
      <c r="D855" s="1201"/>
      <c r="E855" s="1201"/>
      <c r="F855" s="1201"/>
      <c r="G855" s="1201"/>
      <c r="H855" s="1201"/>
      <c r="I855" s="1201"/>
      <c r="J855" s="1201"/>
      <c r="K855" s="1201"/>
      <c r="L855" s="1201"/>
      <c r="M855" s="1201"/>
      <c r="N855" s="1201"/>
      <c r="O855" s="1201"/>
      <c r="P855" s="1201"/>
      <c r="Q855" s="1201"/>
    </row>
    <row r="856" spans="1:17">
      <c r="A856" s="1201"/>
      <c r="B856" s="1201"/>
      <c r="C856" s="1201"/>
      <c r="D856" s="1201"/>
      <c r="E856" s="1201"/>
      <c r="F856" s="1201"/>
      <c r="G856" s="1201"/>
      <c r="H856" s="1201"/>
      <c r="I856" s="1201"/>
      <c r="J856" s="1201"/>
      <c r="K856" s="1201"/>
      <c r="L856" s="1201"/>
      <c r="M856" s="1201"/>
      <c r="N856" s="1201"/>
      <c r="O856" s="1201"/>
      <c r="P856" s="1201"/>
      <c r="Q856" s="1201"/>
    </row>
    <row r="857" spans="1:17">
      <c r="A857" s="1997"/>
      <c r="B857" s="1998"/>
      <c r="C857" s="1999"/>
      <c r="D857" s="1999"/>
      <c r="E857" s="1999"/>
      <c r="F857" s="1999"/>
      <c r="G857" s="1999"/>
      <c r="H857" s="1999"/>
      <c r="I857" s="1999"/>
      <c r="J857" s="1998"/>
      <c r="K857" s="1998"/>
      <c r="L857" s="1998"/>
      <c r="M857" s="1997"/>
      <c r="N857" s="1997"/>
      <c r="O857" s="1997"/>
      <c r="P857" s="1997"/>
      <c r="Q857" s="1997"/>
    </row>
    <row r="859" spans="1:17" ht="20.100000000000001" customHeight="1">
      <c r="A859" s="1201"/>
      <c r="B859" s="1201"/>
      <c r="M859" s="1201"/>
      <c r="N859" s="1201"/>
      <c r="O859" s="1201"/>
      <c r="P859" s="1201"/>
      <c r="Q859" s="1201"/>
    </row>
    <row r="860" spans="1:17" ht="20.100000000000001" customHeight="1">
      <c r="A860" s="1201"/>
      <c r="B860" s="1201"/>
      <c r="M860" s="1201"/>
      <c r="N860" s="1201"/>
      <c r="O860" s="1201"/>
      <c r="P860" s="1201"/>
      <c r="Q860" s="1201"/>
    </row>
    <row r="861" spans="1:17" ht="20.100000000000001" customHeight="1">
      <c r="A861" s="1201"/>
      <c r="B861" s="1201"/>
      <c r="M861" s="1201"/>
      <c r="N861" s="1201"/>
      <c r="O861" s="1201"/>
      <c r="P861" s="1201"/>
      <c r="Q861" s="1201"/>
    </row>
    <row r="862" spans="1:17" ht="20.100000000000001" customHeight="1">
      <c r="A862" s="1201"/>
      <c r="B862" s="1201"/>
      <c r="M862" s="1201"/>
      <c r="N862" s="1201"/>
      <c r="O862" s="1201"/>
      <c r="P862" s="1201"/>
      <c r="Q862" s="1201"/>
    </row>
    <row r="863" spans="1:17" ht="20.100000000000001" customHeight="1">
      <c r="A863" s="1201"/>
      <c r="B863" s="1201"/>
      <c r="M863" s="1201"/>
      <c r="N863" s="1201"/>
      <c r="O863" s="1201"/>
      <c r="P863" s="1201"/>
      <c r="Q863" s="1201"/>
    </row>
    <row r="864" spans="1:17" ht="20.100000000000001" customHeight="1">
      <c r="A864" s="1201"/>
      <c r="B864" s="1201"/>
      <c r="M864" s="1201"/>
      <c r="N864" s="1201"/>
      <c r="O864" s="1201"/>
      <c r="P864" s="1201"/>
      <c r="Q864" s="1201"/>
    </row>
    <row r="865" spans="1:17" ht="20.100000000000001" customHeight="1">
      <c r="A865" s="1201"/>
      <c r="B865" s="1201"/>
      <c r="M865" s="1201"/>
      <c r="N865" s="1201"/>
      <c r="O865" s="1201"/>
      <c r="P865" s="1201"/>
      <c r="Q865" s="1201"/>
    </row>
    <row r="866" spans="1:17" ht="20.100000000000001" customHeight="1">
      <c r="A866" s="1201"/>
      <c r="B866" s="1201"/>
      <c r="M866" s="1201"/>
      <c r="N866" s="1201"/>
      <c r="O866" s="1201"/>
      <c r="P866" s="1201"/>
      <c r="Q866" s="1201"/>
    </row>
    <row r="867" spans="1:17" ht="20.100000000000001" customHeight="1">
      <c r="A867" s="1201"/>
      <c r="B867" s="1201"/>
      <c r="M867" s="1201"/>
      <c r="N867" s="1201"/>
      <c r="O867" s="1201"/>
      <c r="P867" s="1201"/>
      <c r="Q867" s="1201"/>
    </row>
    <row r="868" spans="1:17" ht="20.100000000000001" customHeight="1">
      <c r="A868" s="1201"/>
      <c r="B868" s="1201"/>
      <c r="M868" s="1201"/>
      <c r="N868" s="1201"/>
      <c r="O868" s="1201"/>
      <c r="P868" s="1201"/>
      <c r="Q868" s="1201"/>
    </row>
    <row r="869" spans="1:17">
      <c r="A869" s="1201"/>
      <c r="B869" s="1985"/>
      <c r="M869" s="1201"/>
      <c r="N869" s="1201"/>
      <c r="O869" s="1201"/>
      <c r="P869" s="1201"/>
      <c r="Q869" s="1201"/>
    </row>
    <row r="870" spans="1:17">
      <c r="A870" s="1201"/>
      <c r="B870" s="1985"/>
      <c r="M870" s="1201"/>
      <c r="N870" s="1201"/>
      <c r="O870" s="1201"/>
      <c r="P870" s="1201"/>
      <c r="Q870" s="1201"/>
    </row>
    <row r="871" spans="1:17">
      <c r="A871" s="1201"/>
      <c r="B871" s="1985"/>
      <c r="M871" s="1201"/>
      <c r="N871" s="1201"/>
      <c r="O871" s="1201"/>
      <c r="P871" s="1201"/>
      <c r="Q871" s="1201"/>
    </row>
    <row r="872" spans="1:17">
      <c r="A872" s="1201"/>
      <c r="B872" s="1985"/>
      <c r="M872" s="1201"/>
      <c r="N872" s="1201"/>
      <c r="O872" s="1201"/>
      <c r="P872" s="1201"/>
      <c r="Q872" s="1201"/>
    </row>
  </sheetData>
  <mergeCells count="589">
    <mergeCell ref="B2:Q2"/>
    <mergeCell ref="B3:Q3"/>
    <mergeCell ref="B4:Q4"/>
    <mergeCell ref="B5:Q5"/>
    <mergeCell ref="C6:Q6"/>
    <mergeCell ref="B8:Q10"/>
    <mergeCell ref="C44:F44"/>
    <mergeCell ref="C46:D46"/>
    <mergeCell ref="M46:P46"/>
    <mergeCell ref="M47:P50"/>
    <mergeCell ref="C48:E48"/>
    <mergeCell ref="C50:E50"/>
    <mergeCell ref="B12:Q12"/>
    <mergeCell ref="C26:F31"/>
    <mergeCell ref="H26:K29"/>
    <mergeCell ref="M37:P40"/>
    <mergeCell ref="C39:H39"/>
    <mergeCell ref="M41:P43"/>
    <mergeCell ref="C42:J42"/>
    <mergeCell ref="C85:K85"/>
    <mergeCell ref="C86:K86"/>
    <mergeCell ref="C87:K87"/>
    <mergeCell ref="C88:K88"/>
    <mergeCell ref="B89:B91"/>
    <mergeCell ref="C89:K91"/>
    <mergeCell ref="M51:P53"/>
    <mergeCell ref="C52:E52"/>
    <mergeCell ref="C54:F54"/>
    <mergeCell ref="M54:P56"/>
    <mergeCell ref="B64:L64"/>
    <mergeCell ref="E66:L70"/>
    <mergeCell ref="C107:F107"/>
    <mergeCell ref="C110:I110"/>
    <mergeCell ref="C112:D112"/>
    <mergeCell ref="C115:F115"/>
    <mergeCell ref="C118:F118"/>
    <mergeCell ref="C121:D121"/>
    <mergeCell ref="B92:B94"/>
    <mergeCell ref="C92:K94"/>
    <mergeCell ref="B95:B99"/>
    <mergeCell ref="C95:K99"/>
    <mergeCell ref="C103:H103"/>
    <mergeCell ref="C105:F105"/>
    <mergeCell ref="B197:Q197"/>
    <mergeCell ref="B198:Q199"/>
    <mergeCell ref="B200:Q200"/>
    <mergeCell ref="B201:E201"/>
    <mergeCell ref="G201:I201"/>
    <mergeCell ref="K201:M201"/>
    <mergeCell ref="O201:P201"/>
    <mergeCell ref="C123:F123"/>
    <mergeCell ref="C126:G126"/>
    <mergeCell ref="C130:H130"/>
    <mergeCell ref="C132:F132"/>
    <mergeCell ref="C134:F134"/>
    <mergeCell ref="C136:F136"/>
    <mergeCell ref="B204:E204"/>
    <mergeCell ref="G204:I204"/>
    <mergeCell ref="K204:M205"/>
    <mergeCell ref="O204:P204"/>
    <mergeCell ref="B205:E205"/>
    <mergeCell ref="G205:I205"/>
    <mergeCell ref="O205:P205"/>
    <mergeCell ref="B202:E202"/>
    <mergeCell ref="G202:I202"/>
    <mergeCell ref="K202:M202"/>
    <mergeCell ref="O202:P202"/>
    <mergeCell ref="B203:E203"/>
    <mergeCell ref="G203:I203"/>
    <mergeCell ref="K203:M203"/>
    <mergeCell ref="O203:P203"/>
    <mergeCell ref="B208:E208"/>
    <mergeCell ref="G208:I208"/>
    <mergeCell ref="K208:M208"/>
    <mergeCell ref="O208:P208"/>
    <mergeCell ref="B209:E209"/>
    <mergeCell ref="G209:I209"/>
    <mergeCell ref="K209:M209"/>
    <mergeCell ref="O209:P209"/>
    <mergeCell ref="B206:E206"/>
    <mergeCell ref="G206:I206"/>
    <mergeCell ref="K206:M206"/>
    <mergeCell ref="O206:P206"/>
    <mergeCell ref="B207:E207"/>
    <mergeCell ref="G207:I207"/>
    <mergeCell ref="K207:M207"/>
    <mergeCell ref="O207:P207"/>
    <mergeCell ref="B214:E214"/>
    <mergeCell ref="G214:I214"/>
    <mergeCell ref="K214:M214"/>
    <mergeCell ref="O214:Q214"/>
    <mergeCell ref="B217:D217"/>
    <mergeCell ref="B221:G222"/>
    <mergeCell ref="I221:O221"/>
    <mergeCell ref="B210:E210"/>
    <mergeCell ref="G210:I210"/>
    <mergeCell ref="K210:M210"/>
    <mergeCell ref="O210:P210"/>
    <mergeCell ref="O211:P211"/>
    <mergeCell ref="G213:I213"/>
    <mergeCell ref="A222:A246"/>
    <mergeCell ref="B229:G229"/>
    <mergeCell ref="I233:O233"/>
    <mergeCell ref="I234:I237"/>
    <mergeCell ref="J234:J237"/>
    <mergeCell ref="K234:L235"/>
    <mergeCell ref="M234:M235"/>
    <mergeCell ref="N234:N235"/>
    <mergeCell ref="O234:O235"/>
    <mergeCell ref="F235:G235"/>
    <mergeCell ref="I240:O241"/>
    <mergeCell ref="B241:B242"/>
    <mergeCell ref="C241:C242"/>
    <mergeCell ref="E241:E242"/>
    <mergeCell ref="F241:F242"/>
    <mergeCell ref="B243:G243"/>
    <mergeCell ref="I243:N244"/>
    <mergeCell ref="F236:G236"/>
    <mergeCell ref="K236:L237"/>
    <mergeCell ref="M236:M237"/>
    <mergeCell ref="N236:N237"/>
    <mergeCell ref="O236:O237"/>
    <mergeCell ref="B238:B239"/>
    <mergeCell ref="C238:C239"/>
    <mergeCell ref="E238:E239"/>
    <mergeCell ref="F238:F239"/>
    <mergeCell ref="I239:O239"/>
    <mergeCell ref="B245:G246"/>
    <mergeCell ref="I245:N246"/>
    <mergeCell ref="I247:I248"/>
    <mergeCell ref="J247:J248"/>
    <mergeCell ref="K247:K248"/>
    <mergeCell ref="L247:L248"/>
    <mergeCell ref="M247:M248"/>
    <mergeCell ref="N247:N248"/>
    <mergeCell ref="B248:G248"/>
    <mergeCell ref="A249:A267"/>
    <mergeCell ref="B249:G250"/>
    <mergeCell ref="I249:I250"/>
    <mergeCell ref="J249:J250"/>
    <mergeCell ref="K249:K250"/>
    <mergeCell ref="L249:L250"/>
    <mergeCell ref="I255:I256"/>
    <mergeCell ref="J255:J256"/>
    <mergeCell ref="K255:K256"/>
    <mergeCell ref="L255:L256"/>
    <mergeCell ref="M249:M250"/>
    <mergeCell ref="N249:N250"/>
    <mergeCell ref="B251:G253"/>
    <mergeCell ref="I251:N252"/>
    <mergeCell ref="I253:I254"/>
    <mergeCell ref="J253:J254"/>
    <mergeCell ref="K253:K254"/>
    <mergeCell ref="L253:L254"/>
    <mergeCell ref="M253:M254"/>
    <mergeCell ref="N253:N254"/>
    <mergeCell ref="M255:M256"/>
    <mergeCell ref="N255:N256"/>
    <mergeCell ref="I259:N260"/>
    <mergeCell ref="I262:M264"/>
    <mergeCell ref="B265:F267"/>
    <mergeCell ref="I265:I266"/>
    <mergeCell ref="J265:J266"/>
    <mergeCell ref="K265:K266"/>
    <mergeCell ref="L265:L266"/>
    <mergeCell ref="M265:M266"/>
    <mergeCell ref="I267:I268"/>
    <mergeCell ref="J267:J268"/>
    <mergeCell ref="K267:K268"/>
    <mergeCell ref="L267:L268"/>
    <mergeCell ref="M267:M268"/>
    <mergeCell ref="B269:G270"/>
    <mergeCell ref="I269:I270"/>
    <mergeCell ref="J269:J270"/>
    <mergeCell ref="K269:K270"/>
    <mergeCell ref="L269:L270"/>
    <mergeCell ref="M269:M270"/>
    <mergeCell ref="B271:B272"/>
    <mergeCell ref="C271:C272"/>
    <mergeCell ref="D271:D272"/>
    <mergeCell ref="E271:E272"/>
    <mergeCell ref="F271:G272"/>
    <mergeCell ref="I271:I272"/>
    <mergeCell ref="J271:J272"/>
    <mergeCell ref="K271:K272"/>
    <mergeCell ref="L271:L272"/>
    <mergeCell ref="M273:M274"/>
    <mergeCell ref="B275:G275"/>
    <mergeCell ref="I275:I276"/>
    <mergeCell ref="J275:J276"/>
    <mergeCell ref="K275:K276"/>
    <mergeCell ref="L275:L276"/>
    <mergeCell ref="M275:M276"/>
    <mergeCell ref="M271:M272"/>
    <mergeCell ref="B273:B274"/>
    <mergeCell ref="C273:C274"/>
    <mergeCell ref="D273:D274"/>
    <mergeCell ref="E273:E274"/>
    <mergeCell ref="F273:G274"/>
    <mergeCell ref="I273:I274"/>
    <mergeCell ref="J273:J274"/>
    <mergeCell ref="K273:K274"/>
    <mergeCell ref="L273:L274"/>
    <mergeCell ref="B285:B286"/>
    <mergeCell ref="C285:D286"/>
    <mergeCell ref="E285:F286"/>
    <mergeCell ref="G285:H286"/>
    <mergeCell ref="I285:J286"/>
    <mergeCell ref="K285:K286"/>
    <mergeCell ref="I277:M277"/>
    <mergeCell ref="I278:M279"/>
    <mergeCell ref="B281:K282"/>
    <mergeCell ref="B283:K283"/>
    <mergeCell ref="C284:D284"/>
    <mergeCell ref="E284:F284"/>
    <mergeCell ref="G284:H284"/>
    <mergeCell ref="I284:J284"/>
    <mergeCell ref="B291:K291"/>
    <mergeCell ref="C292:K292"/>
    <mergeCell ref="B293:B294"/>
    <mergeCell ref="C293:K294"/>
    <mergeCell ref="B295:K295"/>
    <mergeCell ref="B296:E296"/>
    <mergeCell ref="B288:K288"/>
    <mergeCell ref="B289:B290"/>
    <mergeCell ref="C289:D290"/>
    <mergeCell ref="E289:F290"/>
    <mergeCell ref="G289:H290"/>
    <mergeCell ref="I289:J290"/>
    <mergeCell ref="K289:K290"/>
    <mergeCell ref="B299:K300"/>
    <mergeCell ref="B302:N304"/>
    <mergeCell ref="C305:M305"/>
    <mergeCell ref="C306:M306"/>
    <mergeCell ref="C307:M308"/>
    <mergeCell ref="D309:M309"/>
    <mergeCell ref="B297:C297"/>
    <mergeCell ref="E297:F297"/>
    <mergeCell ref="H297:I297"/>
    <mergeCell ref="B298:C298"/>
    <mergeCell ref="E298:F298"/>
    <mergeCell ref="H298:I298"/>
    <mergeCell ref="I310:I312"/>
    <mergeCell ref="L310:L312"/>
    <mergeCell ref="M310:M312"/>
    <mergeCell ref="C314:C315"/>
    <mergeCell ref="D314:D315"/>
    <mergeCell ref="E314:E315"/>
    <mergeCell ref="F314:F315"/>
    <mergeCell ref="G314:G315"/>
    <mergeCell ref="H314:H315"/>
    <mergeCell ref="I314:I315"/>
    <mergeCell ref="C310:C312"/>
    <mergeCell ref="D310:D312"/>
    <mergeCell ref="E310:E312"/>
    <mergeCell ref="F310:F312"/>
    <mergeCell ref="G310:G312"/>
    <mergeCell ref="H310:H312"/>
    <mergeCell ref="L314:L315"/>
    <mergeCell ref="M314:M315"/>
    <mergeCell ref="D319:M319"/>
    <mergeCell ref="C320:L320"/>
    <mergeCell ref="C321:C322"/>
    <mergeCell ref="D321:D322"/>
    <mergeCell ref="E321:E322"/>
    <mergeCell ref="F321:F322"/>
    <mergeCell ref="G321:G322"/>
    <mergeCell ref="H321:H322"/>
    <mergeCell ref="D333:M333"/>
    <mergeCell ref="C334:M336"/>
    <mergeCell ref="C342:M343"/>
    <mergeCell ref="C349:M350"/>
    <mergeCell ref="B352:J352"/>
    <mergeCell ref="B353:J353"/>
    <mergeCell ref="I321:I322"/>
    <mergeCell ref="L321:L322"/>
    <mergeCell ref="M321:M322"/>
    <mergeCell ref="D323:I323"/>
    <mergeCell ref="J328:K329"/>
    <mergeCell ref="L328:M329"/>
    <mergeCell ref="B354:J355"/>
    <mergeCell ref="B358:J359"/>
    <mergeCell ref="B360:J361"/>
    <mergeCell ref="B362:C363"/>
    <mergeCell ref="D362:D363"/>
    <mergeCell ref="E362:E363"/>
    <mergeCell ref="F362:F363"/>
    <mergeCell ref="G362:G363"/>
    <mergeCell ref="H362:H363"/>
    <mergeCell ref="I362:I363"/>
    <mergeCell ref="B389:C389"/>
    <mergeCell ref="F389:G389"/>
    <mergeCell ref="I389:J389"/>
    <mergeCell ref="M389:N389"/>
    <mergeCell ref="B390:B394"/>
    <mergeCell ref="C390:C394"/>
    <mergeCell ref="I390:I394"/>
    <mergeCell ref="J390:J394"/>
    <mergeCell ref="J362:J363"/>
    <mergeCell ref="B368:J370"/>
    <mergeCell ref="B371:J372"/>
    <mergeCell ref="B380:J381"/>
    <mergeCell ref="B388:G388"/>
    <mergeCell ref="I388:N388"/>
    <mergeCell ref="K409:N409"/>
    <mergeCell ref="K412:M412"/>
    <mergeCell ref="B421:G422"/>
    <mergeCell ref="I421:J422"/>
    <mergeCell ref="K421:L422"/>
    <mergeCell ref="M421:M422"/>
    <mergeCell ref="N421:N422"/>
    <mergeCell ref="F399:I400"/>
    <mergeCell ref="K399:N400"/>
    <mergeCell ref="K401:N401"/>
    <mergeCell ref="F402:I402"/>
    <mergeCell ref="K402:N402"/>
    <mergeCell ref="K403:K404"/>
    <mergeCell ref="L403:L404"/>
    <mergeCell ref="M403:M404"/>
    <mergeCell ref="N403:N404"/>
    <mergeCell ref="B423:G424"/>
    <mergeCell ref="I423:J423"/>
    <mergeCell ref="I424:J424"/>
    <mergeCell ref="C425:G425"/>
    <mergeCell ref="I425:J425"/>
    <mergeCell ref="C426:G426"/>
    <mergeCell ref="I426:J426"/>
    <mergeCell ref="F408:I408"/>
    <mergeCell ref="F409:I409"/>
    <mergeCell ref="B432:B433"/>
    <mergeCell ref="C432:G433"/>
    <mergeCell ref="B434:B435"/>
    <mergeCell ref="C434:G435"/>
    <mergeCell ref="B438:C439"/>
    <mergeCell ref="D438:D439"/>
    <mergeCell ref="E438:E439"/>
    <mergeCell ref="C427:G427"/>
    <mergeCell ref="I427:J427"/>
    <mergeCell ref="C428:G428"/>
    <mergeCell ref="C429:G429"/>
    <mergeCell ref="C430:G430"/>
    <mergeCell ref="C431:G431"/>
    <mergeCell ref="N439:N440"/>
    <mergeCell ref="B440:B441"/>
    <mergeCell ref="C440:C441"/>
    <mergeCell ref="D440:D441"/>
    <mergeCell ref="E440:E441"/>
    <mergeCell ref="H441:H442"/>
    <mergeCell ref="I441:I442"/>
    <mergeCell ref="J441:J442"/>
    <mergeCell ref="K441:K442"/>
    <mergeCell ref="L441:L442"/>
    <mergeCell ref="H439:H440"/>
    <mergeCell ref="I439:I440"/>
    <mergeCell ref="J439:J440"/>
    <mergeCell ref="K439:K440"/>
    <mergeCell ref="L439:L440"/>
    <mergeCell ref="M439:M440"/>
    <mergeCell ref="M441:M442"/>
    <mergeCell ref="N441:N442"/>
    <mergeCell ref="B443:B444"/>
    <mergeCell ref="C443:C444"/>
    <mergeCell ref="D443:D444"/>
    <mergeCell ref="E443:E444"/>
    <mergeCell ref="H443:N443"/>
    <mergeCell ref="H444:H445"/>
    <mergeCell ref="I444:I445"/>
    <mergeCell ref="J444:J445"/>
    <mergeCell ref="K444:K445"/>
    <mergeCell ref="L444:L445"/>
    <mergeCell ref="M444:M445"/>
    <mergeCell ref="N444:N445"/>
    <mergeCell ref="B445:B446"/>
    <mergeCell ref="C445:C446"/>
    <mergeCell ref="D445:D446"/>
    <mergeCell ref="E445:E446"/>
    <mergeCell ref="H446:N446"/>
    <mergeCell ref="B447:E447"/>
    <mergeCell ref="B449:Q450"/>
    <mergeCell ref="B452:N452"/>
    <mergeCell ref="A453:A476"/>
    <mergeCell ref="B453:N454"/>
    <mergeCell ref="B455:N456"/>
    <mergeCell ref="C466:M466"/>
    <mergeCell ref="H467:M467"/>
    <mergeCell ref="D468:E468"/>
    <mergeCell ref="B475:N476"/>
    <mergeCell ref="B509:J509"/>
    <mergeCell ref="B522:G522"/>
    <mergeCell ref="I522:N522"/>
    <mergeCell ref="J530:N530"/>
    <mergeCell ref="M540:N540"/>
    <mergeCell ref="G541:H542"/>
    <mergeCell ref="M541:N541"/>
    <mergeCell ref="B478:N478"/>
    <mergeCell ref="A479:A495"/>
    <mergeCell ref="B479:N480"/>
    <mergeCell ref="B481:N482"/>
    <mergeCell ref="B483:N483"/>
    <mergeCell ref="B485:C485"/>
    <mergeCell ref="G485:H485"/>
    <mergeCell ref="K485:L485"/>
    <mergeCell ref="B494:N495"/>
    <mergeCell ref="G559:H559"/>
    <mergeCell ref="G560:H560"/>
    <mergeCell ref="G564:H564"/>
    <mergeCell ref="G565:H565"/>
    <mergeCell ref="B582:G582"/>
    <mergeCell ref="B588:E588"/>
    <mergeCell ref="M547:N547"/>
    <mergeCell ref="G548:H549"/>
    <mergeCell ref="M548:N548"/>
    <mergeCell ref="M550:N550"/>
    <mergeCell ref="M555:N555"/>
    <mergeCell ref="G557:H558"/>
    <mergeCell ref="C614:E614"/>
    <mergeCell ref="H614:I614"/>
    <mergeCell ref="K614:L614"/>
    <mergeCell ref="C615:E615"/>
    <mergeCell ref="H615:I615"/>
    <mergeCell ref="K615:L615"/>
    <mergeCell ref="B591:F591"/>
    <mergeCell ref="B595:G595"/>
    <mergeCell ref="B596:G596"/>
    <mergeCell ref="B602:F602"/>
    <mergeCell ref="B606:E606"/>
    <mergeCell ref="C613:L613"/>
    <mergeCell ref="C618:E618"/>
    <mergeCell ref="H618:I618"/>
    <mergeCell ref="K618:L618"/>
    <mergeCell ref="C619:E619"/>
    <mergeCell ref="H619:I619"/>
    <mergeCell ref="K619:L619"/>
    <mergeCell ref="C616:E616"/>
    <mergeCell ref="H616:I616"/>
    <mergeCell ref="K616:L616"/>
    <mergeCell ref="C617:E617"/>
    <mergeCell ref="H617:I617"/>
    <mergeCell ref="K617:L617"/>
    <mergeCell ref="C622:E622"/>
    <mergeCell ref="C626:L626"/>
    <mergeCell ref="C627:L627"/>
    <mergeCell ref="C628:L628"/>
    <mergeCell ref="C629:L629"/>
    <mergeCell ref="C630:L630"/>
    <mergeCell ref="C620:E620"/>
    <mergeCell ref="H620:I620"/>
    <mergeCell ref="K620:L620"/>
    <mergeCell ref="C621:E621"/>
    <mergeCell ref="H621:I621"/>
    <mergeCell ref="K621:L621"/>
    <mergeCell ref="D645:F645"/>
    <mergeCell ref="D647:F647"/>
    <mergeCell ref="D649:F649"/>
    <mergeCell ref="C654:L654"/>
    <mergeCell ref="C656:L659"/>
    <mergeCell ref="C660:L663"/>
    <mergeCell ref="I667:I668"/>
    <mergeCell ref="J667:J668"/>
    <mergeCell ref="C632:C634"/>
    <mergeCell ref="D633:F633"/>
    <mergeCell ref="D634:F634"/>
    <mergeCell ref="C636:C641"/>
    <mergeCell ref="D637:F637"/>
    <mergeCell ref="D638:F638"/>
    <mergeCell ref="D639:F639"/>
    <mergeCell ref="D640:F640"/>
    <mergeCell ref="D641:F641"/>
    <mergeCell ref="C664:F665"/>
    <mergeCell ref="G664:H665"/>
    <mergeCell ref="I664:I665"/>
    <mergeCell ref="J664:K665"/>
    <mergeCell ref="L664:L665"/>
    <mergeCell ref="C667:D668"/>
    <mergeCell ref="E667:E668"/>
    <mergeCell ref="F667:F668"/>
    <mergeCell ref="G667:G668"/>
    <mergeCell ref="H667:H668"/>
    <mergeCell ref="C682:M682"/>
    <mergeCell ref="C683:M683"/>
    <mergeCell ref="E684:M684"/>
    <mergeCell ref="C685:M685"/>
    <mergeCell ref="C686:D687"/>
    <mergeCell ref="E686:F687"/>
    <mergeCell ref="K670:L671"/>
    <mergeCell ref="C672:C673"/>
    <mergeCell ref="D672:D673"/>
    <mergeCell ref="E672:F673"/>
    <mergeCell ref="G672:G673"/>
    <mergeCell ref="H672:H673"/>
    <mergeCell ref="J672:J673"/>
    <mergeCell ref="K672:L673"/>
    <mergeCell ref="C670:C671"/>
    <mergeCell ref="D670:D671"/>
    <mergeCell ref="E670:F671"/>
    <mergeCell ref="G670:G671"/>
    <mergeCell ref="H670:H671"/>
    <mergeCell ref="I670:J671"/>
    <mergeCell ref="C693:D694"/>
    <mergeCell ref="E693:F694"/>
    <mergeCell ref="G693:I694"/>
    <mergeCell ref="M693:M694"/>
    <mergeCell ref="C695:D695"/>
    <mergeCell ref="E695:F695"/>
    <mergeCell ref="G695:I695"/>
    <mergeCell ref="C688:D688"/>
    <mergeCell ref="E688:F688"/>
    <mergeCell ref="C689:D689"/>
    <mergeCell ref="E689:F689"/>
    <mergeCell ref="C691:M691"/>
    <mergeCell ref="E692:M692"/>
    <mergeCell ref="C702:D703"/>
    <mergeCell ref="E702:F703"/>
    <mergeCell ref="G702:G703"/>
    <mergeCell ref="H702:M703"/>
    <mergeCell ref="C704:M704"/>
    <mergeCell ref="C705:D705"/>
    <mergeCell ref="E705:F705"/>
    <mergeCell ref="C696:D696"/>
    <mergeCell ref="E696:F696"/>
    <mergeCell ref="G696:I696"/>
    <mergeCell ref="C700:D701"/>
    <mergeCell ref="E700:F701"/>
    <mergeCell ref="G700:G701"/>
    <mergeCell ref="H700:M700"/>
    <mergeCell ref="C709:D709"/>
    <mergeCell ref="E709:F709"/>
    <mergeCell ref="C710:D710"/>
    <mergeCell ref="E710:F710"/>
    <mergeCell ref="C711:D711"/>
    <mergeCell ref="E711:F711"/>
    <mergeCell ref="C706:D706"/>
    <mergeCell ref="E706:F706"/>
    <mergeCell ref="C707:D707"/>
    <mergeCell ref="E707:F707"/>
    <mergeCell ref="C708:D708"/>
    <mergeCell ref="E708:F708"/>
    <mergeCell ref="C715:D715"/>
    <mergeCell ref="E715:F715"/>
    <mergeCell ref="C716:D716"/>
    <mergeCell ref="E716:F716"/>
    <mergeCell ref="C719:M721"/>
    <mergeCell ref="B725:N725"/>
    <mergeCell ref="C712:D712"/>
    <mergeCell ref="E712:F712"/>
    <mergeCell ref="C713:D713"/>
    <mergeCell ref="E713:F713"/>
    <mergeCell ref="C714:D714"/>
    <mergeCell ref="E714:F714"/>
    <mergeCell ref="B727:N727"/>
    <mergeCell ref="J731:L731"/>
    <mergeCell ref="A741:A742"/>
    <mergeCell ref="B741:M742"/>
    <mergeCell ref="N741:N742"/>
    <mergeCell ref="A743:A768"/>
    <mergeCell ref="B743:N743"/>
    <mergeCell ref="B744:N747"/>
    <mergeCell ref="B748:N748"/>
    <mergeCell ref="L749:M749"/>
    <mergeCell ref="C766:N766"/>
    <mergeCell ref="C767:N767"/>
    <mergeCell ref="B768:N768"/>
    <mergeCell ref="A770:A771"/>
    <mergeCell ref="B770:M771"/>
    <mergeCell ref="N770:N771"/>
    <mergeCell ref="L750:M750"/>
    <mergeCell ref="C762:D762"/>
    <mergeCell ref="F762:G762"/>
    <mergeCell ref="I762:J762"/>
    <mergeCell ref="L762:M762"/>
    <mergeCell ref="B764:N765"/>
    <mergeCell ref="B804:N804"/>
    <mergeCell ref="A808:Q809"/>
    <mergeCell ref="F798:G798"/>
    <mergeCell ref="I798:J798"/>
    <mergeCell ref="L798:M798"/>
    <mergeCell ref="B800:N801"/>
    <mergeCell ref="C802:N802"/>
    <mergeCell ref="C803:N803"/>
    <mergeCell ref="A772:A804"/>
    <mergeCell ref="B772:N772"/>
    <mergeCell ref="B773:N776"/>
    <mergeCell ref="B777:N777"/>
    <mergeCell ref="L778:M778"/>
    <mergeCell ref="L779:M780"/>
    <mergeCell ref="B786:N786"/>
    <mergeCell ref="L787:M787"/>
    <mergeCell ref="L788:M788"/>
    <mergeCell ref="C798:D798"/>
  </mergeCells>
  <conditionalFormatting sqref="A221">
    <cfRule type="expression" dxfId="5" priority="3" stopIfTrue="1">
      <formula>OR(ROW()=CELL("ligne"),COLUMN()=CELL("colonne"))</formula>
    </cfRule>
  </conditionalFormatting>
  <conditionalFormatting sqref="A248">
    <cfRule type="expression" dxfId="4" priority="2" stopIfTrue="1">
      <formula>OR(ROW()=CELL("ligne"),COLUMN()=CELL("colonne"))</formula>
    </cfRule>
  </conditionalFormatting>
  <conditionalFormatting sqref="C285">
    <cfRule type="cellIs" dxfId="3" priority="1" operator="greaterThan">
      <formula>1</formula>
    </cfRule>
  </conditionalFormatting>
  <hyperlinks>
    <hyperlink ref="C412" r:id="rId1" xr:uid="{00000000-0004-0000-1700-000000000000}"/>
    <hyperlink ref="C416" r:id="rId2" xr:uid="{00000000-0004-0000-1700-000001000000}"/>
    <hyperlink ref="C37" r:id="rId3" xr:uid="{00000000-0004-0000-1700-000002000000}"/>
    <hyperlink ref="C39" r:id="rId4" xr:uid="{00000000-0004-0000-1700-000003000000}"/>
    <hyperlink ref="B582" r:id="rId5" xr:uid="{00000000-0004-0000-1700-000004000000}"/>
    <hyperlink ref="B588" r:id="rId6" xr:uid="{00000000-0004-0000-1700-000005000000}"/>
    <hyperlink ref="B596" r:id="rId7" xr:uid="{00000000-0004-0000-1700-000006000000}"/>
    <hyperlink ref="B595" r:id="rId8" xr:uid="{00000000-0004-0000-1700-000007000000}"/>
    <hyperlink ref="B602" r:id="rId9" xr:uid="{00000000-0004-0000-1700-000008000000}"/>
    <hyperlink ref="B606" r:id="rId10" xr:uid="{00000000-0004-0000-1700-000009000000}"/>
    <hyperlink ref="B591" r:id="rId11" xr:uid="{00000000-0004-0000-1700-00000A000000}"/>
    <hyperlink ref="J589" r:id="rId12" xr:uid="{00000000-0004-0000-1700-00000B000000}"/>
    <hyperlink ref="J590" r:id="rId13" xr:uid="{00000000-0004-0000-1700-00000C000000}"/>
    <hyperlink ref="J583" r:id="rId14" xr:uid="{00000000-0004-0000-1700-00000D000000}"/>
    <hyperlink ref="J596" r:id="rId15" xr:uid="{00000000-0004-0000-1700-00000E000000}"/>
    <hyperlink ref="J602" r:id="rId16" xr:uid="{00000000-0004-0000-1700-00000F000000}"/>
    <hyperlink ref="J593" r:id="rId17" xr:uid="{00000000-0004-0000-1700-000010000000}"/>
    <hyperlink ref="J607" r:id="rId18" xr:uid="{00000000-0004-0000-1700-000011000000}"/>
    <hyperlink ref="J603" r:id="rId19" xr:uid="{00000000-0004-0000-1700-000012000000}"/>
    <hyperlink ref="J604" r:id="rId20" xr:uid="{00000000-0004-0000-1700-000013000000}"/>
    <hyperlink ref="J599" r:id="rId21" xr:uid="{00000000-0004-0000-1700-000014000000}"/>
    <hyperlink ref="J530" r:id="rId22" xr:uid="{00000000-0004-0000-1700-000015000000}"/>
    <hyperlink ref="K532" r:id="rId23" xr:uid="{00000000-0004-0000-1700-000016000000}"/>
    <hyperlink ref="K534" r:id="rId24" xr:uid="{00000000-0004-0000-1700-000017000000}"/>
    <hyperlink ref="K535" r:id="rId25" xr:uid="{00000000-0004-0000-1700-000018000000}"/>
    <hyperlink ref="K531" r:id="rId26" xr:uid="{00000000-0004-0000-1700-000019000000}"/>
    <hyperlink ref="K536" r:id="rId27" xr:uid="{00000000-0004-0000-1700-00001A000000}"/>
    <hyperlink ref="K537" r:id="rId28" xr:uid="{00000000-0004-0000-1700-00001B000000}"/>
    <hyperlink ref="K533" r:id="rId29" xr:uid="{00000000-0004-0000-1700-00001C000000}"/>
    <hyperlink ref="C130" r:id="rId30" xr:uid="{00000000-0004-0000-1700-00001D000000}"/>
    <hyperlink ref="C132" r:id="rId31" xr:uid="{00000000-0004-0000-1700-00001E000000}"/>
    <hyperlink ref="C134" r:id="rId32" xr:uid="{00000000-0004-0000-1700-00001F000000}"/>
    <hyperlink ref="B534" r:id="rId33" xr:uid="{00000000-0004-0000-1700-000020000000}"/>
    <hyperlink ref="B535" r:id="rId34" xr:uid="{00000000-0004-0000-1700-000021000000}"/>
    <hyperlink ref="B538" r:id="rId35" xr:uid="{00000000-0004-0000-1700-000022000000}"/>
    <hyperlink ref="C157" r:id="rId36" display="http://www.mdf-xlpages.com/modules/publisher/item.php?itemid=167" xr:uid="{00000000-0004-0000-1700-000023000000}"/>
    <hyperlink ref="C158" r:id="rId37" display="http://www.mdf-xlpages.com/modules/publisher/item.php?itemid=149" xr:uid="{00000000-0004-0000-1700-000024000000}"/>
    <hyperlink ref="C159" r:id="rId38" display="http://www.mdf-xlpages.com/modules/publisher/item.php?itemid=152" xr:uid="{00000000-0004-0000-1700-000025000000}"/>
    <hyperlink ref="C160" r:id="rId39" display="http://www.mdf-xlpages.com/modules/publisher/item.php?itemid=153" xr:uid="{00000000-0004-0000-1700-000026000000}"/>
    <hyperlink ref="C162" r:id="rId40" display="http://www.mdf-xlpages.com/modules/publisher/item.php?itemid=134" xr:uid="{00000000-0004-0000-1700-000027000000}"/>
    <hyperlink ref="C163" r:id="rId41" display="http://www.mdf-xlpages.com/modules/publisher/item.php?itemid=105" xr:uid="{00000000-0004-0000-1700-000028000000}"/>
    <hyperlink ref="C164" r:id="rId42" display="http://www.mdf-xlpages.com/modules/publisher/item.php?itemid=91" xr:uid="{00000000-0004-0000-1700-000029000000}"/>
    <hyperlink ref="C165" r:id="rId43" display="http://www.mdf-xlpages.com/modules/publisher/item.php?itemid=99" xr:uid="{00000000-0004-0000-1700-00002A000000}"/>
    <hyperlink ref="C166" r:id="rId44" display="http://www.mdf-xlpages.com/modules/publisher/item.php?itemid=98" xr:uid="{00000000-0004-0000-1700-00002B000000}"/>
    <hyperlink ref="C167" r:id="rId45" display="http://www.mdf-xlpages.com/modules/publisher/item.php?itemid=86" xr:uid="{00000000-0004-0000-1700-00002C000000}"/>
    <hyperlink ref="C168" r:id="rId46" display="http://www.mdf-xlpages.com/modules/publisher/item.php?itemid=97" xr:uid="{00000000-0004-0000-1700-00002D000000}"/>
    <hyperlink ref="C169" r:id="rId47" display="http://www.mdf-xlpages.com/modules/publisher/item.php?itemid=93" xr:uid="{00000000-0004-0000-1700-00002E000000}"/>
    <hyperlink ref="C170" r:id="rId48" display="http://www.mdf-xlpages.com/modules/publisher/item.php?itemid=84" xr:uid="{00000000-0004-0000-1700-00002F000000}"/>
    <hyperlink ref="C171" r:id="rId49" display="http://www.mdf-xlpages.com/modules/publisher/item.php?itemid=94" xr:uid="{00000000-0004-0000-1700-000030000000}"/>
    <hyperlink ref="C172" r:id="rId50" display="http://www.mdf-xlpages.com/modules/publisher/item.php?itemid=83" xr:uid="{00000000-0004-0000-1700-000031000000}"/>
    <hyperlink ref="C173" r:id="rId51" display="http://www.mdf-xlpages.com/modules/publisher/item.php?itemid=87" xr:uid="{00000000-0004-0000-1700-000032000000}"/>
    <hyperlink ref="C174" r:id="rId52" display="http://www.mdf-xlpages.com/modules/publisher/item.php?itemid=85" xr:uid="{00000000-0004-0000-1700-000033000000}"/>
    <hyperlink ref="C175" r:id="rId53" display="http://www.mdf-xlpages.com/modules/publisher/item.php?itemid=81" xr:uid="{00000000-0004-0000-1700-000034000000}"/>
    <hyperlink ref="C176" r:id="rId54" display="http://www.mdf-xlpages.com/modules/publisher/item.php?itemid=82" xr:uid="{00000000-0004-0000-1700-000035000000}"/>
    <hyperlink ref="C177" r:id="rId55" display="http://www.mdf-xlpages.com/modules/publisher/item.php?itemid=90" xr:uid="{00000000-0004-0000-1700-000036000000}"/>
    <hyperlink ref="C178" r:id="rId56" display="http://www.mdf-xlpages.com/modules/publisher/item.php?itemid=76" xr:uid="{00000000-0004-0000-1700-000037000000}"/>
    <hyperlink ref="C179" r:id="rId57" display="http://www.mdf-xlpages.com/modules/publisher/item.php?itemid=64" xr:uid="{00000000-0004-0000-1700-000038000000}"/>
    <hyperlink ref="C180" r:id="rId58" display="http://www.mdf-xlpages.com/modules/publisher/item.php?itemid=63" xr:uid="{00000000-0004-0000-1700-000039000000}"/>
    <hyperlink ref="C181" r:id="rId59" display="http://www.mdf-xlpages.com/modules/publisher/item.php?itemid=62" xr:uid="{00000000-0004-0000-1700-00003A000000}"/>
    <hyperlink ref="C182" r:id="rId60" display="http://www.mdf-xlpages.com/modules/publisher/item.php?itemid=25" xr:uid="{00000000-0004-0000-1700-00003B000000}"/>
    <hyperlink ref="D154" r:id="rId61" xr:uid="{00000000-0004-0000-1700-00003C000000}"/>
    <hyperlink ref="C136" r:id="rId62" xr:uid="{00000000-0004-0000-1700-00003D000000}"/>
    <hyperlink ref="C42" r:id="rId63" xr:uid="{00000000-0004-0000-1700-00003E000000}"/>
    <hyperlink ref="C44" r:id="rId64" display="http://www.uprt.fr/mesimages/fichiers-uprt/ff-fiches-fabrication/ff-fiches-fabrication-maj-02-2015/ff-documents-divers-maj-02-2015/ff-fiches-apprentis-Patissiers-07-03-2016.xlsx" xr:uid="{00000000-0004-0000-1700-00003F000000}"/>
    <hyperlink ref="C46" r:id="rId65" display="http://www.uprt.fr/mesimages/fichiers-uprt/ff-fiches-fabrication/ff-fiches-fabrication-maj-02-2015/ff-documents-divers-maj-02-2015/ff-Croquis.xlsx" xr:uid="{00000000-0004-0000-1700-000040000000}"/>
    <hyperlink ref="C48" r:id="rId66" display="http://www.uprt.fr/mesimages/fichiers-uprt/ff-fiches-fabrication/ff-fiches-fabrication-maj-02-2015/ff-documents-divers-maj-02-2015/ff-qualiterecettes2007.xls" xr:uid="{00000000-0004-0000-1700-000041000000}"/>
    <hyperlink ref="C50" r:id="rId67" display="http://www.uprt.fr/mesimages/fichiers-uprt/ff-fiches-fabrication/ff-fiches-fabrication-maj-02-2015/ff-documents-divers-maj-02-2015/ff-tableau-cuisson.pdf" xr:uid="{00000000-0004-0000-1700-000042000000}"/>
    <hyperlink ref="C54" r:id="rId68" xr:uid="{00000000-0004-0000-1700-000043000000}"/>
    <hyperlink ref="K409" r:id="rId69" xr:uid="{00000000-0004-0000-1700-000044000000}"/>
    <hyperlink ref="F409" r:id="rId70" xr:uid="{00000000-0004-0000-1700-000045000000}"/>
    <hyperlink ref="C110" r:id="rId71" xr:uid="{00000000-0004-0000-1700-000046000000}"/>
    <hyperlink ref="C112" r:id="rId72" xr:uid="{00000000-0004-0000-1700-000047000000}"/>
    <hyperlink ref="C115" r:id="rId73" xr:uid="{00000000-0004-0000-1700-000048000000}"/>
    <hyperlink ref="C118" r:id="rId74" tooltip="Télécharger" display="http://joseph.larmarange.net/IMG/pdf/memo_caracteres_speciaux_windows.pdf" xr:uid="{00000000-0004-0000-1700-000049000000}"/>
    <hyperlink ref="C121" r:id="rId75" xr:uid="{00000000-0004-0000-1700-00004A000000}"/>
    <hyperlink ref="C126" r:id="rId76" xr:uid="{00000000-0004-0000-1700-00004B000000}"/>
    <hyperlink ref="C6" r:id="rId77" xr:uid="{00000000-0004-0000-1700-00004C000000}"/>
    <hyperlink ref="C105" r:id="rId78" xr:uid="{00000000-0004-0000-1700-00004D000000}"/>
    <hyperlink ref="C107:F107" r:id="rId79" display="visualiseur d'Emoji et de symboles" xr:uid="{00000000-0004-0000-1700-00004E000000}"/>
    <hyperlink ref="C123" r:id="rId80" xr:uid="{00000000-0004-0000-1700-00004F000000}"/>
    <hyperlink ref="C103:H103" r:id="rId81" display="caractères  Alphanumériques cerclés" xr:uid="{00000000-0004-0000-1700-000050000000}"/>
    <hyperlink ref="C52" r:id="rId82" display="http://www.uprt.fr/mesimages/fichiers-uprt/pt-procedures-techniques/PT-bonnes-pratiques.doc" xr:uid="{00000000-0004-0000-1700-000051000000}"/>
    <hyperlink ref="H468"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1700-000052000000}"/>
    <hyperlink ref="H469" r:id="rId84" xr:uid="{00000000-0004-0000-1700-000053000000}"/>
    <hyperlink ref="H470" r:id="rId85" xr:uid="{00000000-0004-0000-1700-000054000000}"/>
    <hyperlink ref="H471"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1700-000055000000}"/>
    <hyperlink ref="E493"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1700-000056000000}"/>
    <hyperlink ref="B201" r:id="rId88" xr:uid="{00000000-0004-0000-1700-000057000000}"/>
    <hyperlink ref="B206" r:id="rId89" location="6" display="http://matoumatheux.ac-rennes.fr/num/numeration/doigt.htm - 6" xr:uid="{00000000-0004-0000-1700-000058000000}"/>
    <hyperlink ref="B207" r:id="rId90" location="6" display="http://matoumatheux.ac-rennes.fr/num/probleme/classer.htm - 6" xr:uid="{00000000-0004-0000-1700-000059000000}"/>
    <hyperlink ref="B208" r:id="rId91" location="6" display="http://matoumatheux.ac-rennes.fr/num/probleme/seringue.htm - 6" xr:uid="{00000000-0004-0000-1700-00005A000000}"/>
    <hyperlink ref="B209" r:id="rId92" location="6" display="http://matoumatheux.ac-rennes.fr/num/probleme/etiquettes.htm - 6" xr:uid="{00000000-0004-0000-1700-00005B000000}"/>
    <hyperlink ref="G201" r:id="rId93" location="6" display="http://matoumatheux.ac-rennes.fr/num/fractions/6/menthe1.htm - 6" xr:uid="{00000000-0004-0000-1700-00005C000000}"/>
    <hyperlink ref="G203" r:id="rId94" location="6" display="http://matoumatheux.ac-rennes.fr/num/fractions/6/cocktail2.htm - 6" xr:uid="{00000000-0004-0000-1700-00005D000000}"/>
    <hyperlink ref="G202" r:id="rId95" location="6" display="http://matoumatheux.ac-rennes.fr/num/fractions/6/cocktail1.htm - 6" xr:uid="{00000000-0004-0000-1700-00005E000000}"/>
    <hyperlink ref="G204" r:id="rId96" location="6" display="http://matoumatheux.ac-rennes.fr/num/fractions/6/cocktail3.htm - 6" xr:uid="{00000000-0004-0000-1700-00005F000000}"/>
    <hyperlink ref="G205" r:id="rId97" location="6" display="http://matoumatheux.ac-rennes.fr/num/fractions/6/cocktail4.htm - 6" xr:uid="{00000000-0004-0000-1700-000060000000}"/>
    <hyperlink ref="G207" r:id="rId98" location="6" display="http://matoumatheux.ac-rennes.fr/num/fractions/6/fractionsM.htm - 6" xr:uid="{00000000-0004-0000-1700-000061000000}"/>
    <hyperlink ref="G208" r:id="rId99" location="6" display="http://matoumatheux.ac-rennes.fr/num/fractions/6/fractionsM2.htm - 6" xr:uid="{00000000-0004-0000-1700-000062000000}"/>
    <hyperlink ref="G206" r:id="rId100" location="6" display="http://matoumatheux.ac-rennes.fr/num/fractions/6/menthe.htm - 6" xr:uid="{00000000-0004-0000-1700-000063000000}"/>
    <hyperlink ref="G209" r:id="rId101" location="6" display="http://matoumatheux.ac-rennes.fr/num/fractions/6/poisson.htm - 6" xr:uid="{00000000-0004-0000-1700-000064000000}"/>
    <hyperlink ref="G210" r:id="rId102" location="6" display="http://matoumatheux.ac-rennes.fr/num/proportionnalite/6/creme.htm - 6" xr:uid="{00000000-0004-0000-1700-000065000000}"/>
    <hyperlink ref="K201" r:id="rId103" location="6" display="http://matoumatheux.ac-rennes.fr/num/proportionnalite/6/gateauriz.htm - 6" xr:uid="{00000000-0004-0000-1700-000066000000}"/>
    <hyperlink ref="K202" r:id="rId104" location="6" display="http://matoumatheux.ac-rennes.fr/num/proportionnalite/6/far.htm - 6" xr:uid="{00000000-0004-0000-1700-000067000000}"/>
    <hyperlink ref="K203" r:id="rId105" location="6" display="http://matoumatheux.ac-rennes.fr/num/proportionnalite/6/boulangerie.htm - 6" xr:uid="{00000000-0004-0000-1700-000068000000}"/>
    <hyperlink ref="B210" r:id="rId106" location="6" display="http://matoumatheux.ac-rennes.fr/geom/unite/mesureur.htm - 6" xr:uid="{00000000-0004-0000-1700-000069000000}"/>
    <hyperlink ref="K206" r:id="rId107" location="6" display="http://matoumatheux.ac-rennes.fr/cours/mesures/convlong.htm - 6" xr:uid="{00000000-0004-0000-1700-00006A000000}"/>
    <hyperlink ref="K207" r:id="rId108" location="6" display="http://matoumatheux.ac-rennes.fr/cours/mesures/convmasse.htm - 6" xr:uid="{00000000-0004-0000-1700-00006B000000}"/>
    <hyperlink ref="K208" r:id="rId109" location="6" display="http://matoumatheux.ac-rennes.fr/geom/cercle/Bebert11.htm - 6" xr:uid="{00000000-0004-0000-1700-00006C000000}"/>
    <hyperlink ref="K209" r:id="rId110" location="6" display="http://matoumatheux.ac-rennes.fr/geom/cercle/Bebert21.htm - 6" xr:uid="{00000000-0004-0000-1700-00006D000000}"/>
    <hyperlink ref="K210" r:id="rId111" location="6" display="http://matoumatheux.ac-rennes.fr/geom/cercle/chien.htm - 6" xr:uid="{00000000-0004-0000-1700-00006E000000}"/>
    <hyperlink ref="O201" r:id="rId112" location="6" display="http://matoumatheux.ac-rennes.fr/geom/solides/6/ruban.htm - 6" xr:uid="{00000000-0004-0000-1700-00006F000000}"/>
    <hyperlink ref="O202" r:id="rId113" location="5" display="http://matoumatheux.ac-rennes.fr/geom/cercle/5/aire.htm - 5" xr:uid="{00000000-0004-0000-1700-000070000000}"/>
    <hyperlink ref="O203" r:id="rId114" location="5" display="http://matoumatheux.ac-rennes.fr/geom/cercle/5/rayon.htm - 5" xr:uid="{00000000-0004-0000-1700-000071000000}"/>
    <hyperlink ref="O204" r:id="rId115" location="5" display="http://matoumatheux.ac-rennes.fr/geom/cercle/5/couronne.htm - 5" xr:uid="{00000000-0004-0000-1700-000072000000}"/>
    <hyperlink ref="O205" r:id="rId116" location="5" display="http://matoumatheux.ac-rennes.fr/geom/solides/5/airecylindre.htm - 5" xr:uid="{00000000-0004-0000-1700-000073000000}"/>
    <hyperlink ref="O206" r:id="rId117" location="5" display="http://matoumatheux.ac-rennes.fr/geom/solides/5/volcylindre.htm - 5" xr:uid="{00000000-0004-0000-1700-000074000000}"/>
    <hyperlink ref="O208" r:id="rId118" location="4" display="http://matoumatheux.ac-rennes.fr/num/puissances/gateau.htm - 4" xr:uid="{00000000-0004-0000-1700-000075000000}"/>
    <hyperlink ref="O207" r:id="rId119" location="4" display="http://matoumatheux.ac-rennes.fr/cours/volume/cylindre.htm - 4" xr:uid="{00000000-0004-0000-1700-000076000000}"/>
    <hyperlink ref="O209" r:id="rId120" location="4" display="http://matoumatheux.ac-rennes.fr/cours/aire/airerect.htm - 4" xr:uid="{00000000-0004-0000-1700-000077000000}"/>
    <hyperlink ref="O210" r:id="rId121" location="3" display="http://matoumatheux.ac-rennes.fr/num/diviseur/probleme1.htm - 3" xr:uid="{00000000-0004-0000-1700-000078000000}"/>
    <hyperlink ref="O211" r:id="rId122" location="3" display="http://matoumatheux.ac-rennes.fr/num/courbe/casserole.htm - 3" xr:uid="{00000000-0004-0000-1700-000079000000}"/>
    <hyperlink ref="B214" r:id="rId123" xr:uid="{00000000-0004-0000-1700-00007A000000}"/>
    <hyperlink ref="G214" r:id="rId124" xr:uid="{00000000-0004-0000-1700-00007B000000}"/>
    <hyperlink ref="K214" r:id="rId125" xr:uid="{00000000-0004-0000-1700-00007C000000}"/>
    <hyperlink ref="O214" r:id="rId126" location="q=RECETTES+PATISSERIE" xr:uid="{00000000-0004-0000-1700-00007D000000}"/>
    <hyperlink ref="E217" r:id="rId127" xr:uid="{00000000-0004-0000-1700-00007E000000}"/>
    <hyperlink ref="G217" r:id="rId128" xr:uid="{00000000-0004-0000-1700-00007F000000}"/>
    <hyperlink ref="J217" r:id="rId129" xr:uid="{00000000-0004-0000-1700-000080000000}"/>
    <hyperlink ref="M217" r:id="rId130" xr:uid="{00000000-0004-0000-1700-000081000000}"/>
    <hyperlink ref="J258" r:id="rId131" xr:uid="{00000000-0004-0000-1700-000082000000}"/>
    <hyperlink ref="B382" r:id="rId132" xr:uid="{00000000-0004-0000-1700-000083000000}"/>
    <hyperlink ref="D347" r:id="rId133" xr:uid="{00000000-0004-0000-1700-000084000000}"/>
  </hyperlinks>
  <pageMargins left="0.7" right="0.7" top="0.75" bottom="0.75" header="0.3" footer="0.3"/>
  <pageSetup paperSize="9" orientation="portrait" r:id="rId134"/>
  <drawing r:id="rId1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EC5E-75F7-4F47-A210-E3D043930945}">
  <dimension ref="A2:AN56"/>
  <sheetViews>
    <sheetView workbookViewId="0">
      <selection activeCell="J31" sqref="J31"/>
    </sheetView>
  </sheetViews>
  <sheetFormatPr baseColWidth="10" defaultRowHeight="12.75"/>
  <cols>
    <col min="1" max="1" width="3.5703125" style="2934" customWidth="1"/>
    <col min="2" max="2" width="8.7109375" style="2934" customWidth="1"/>
    <col min="3" max="3" width="25.7109375" style="2934" customWidth="1"/>
    <col min="4" max="5" width="8.7109375" style="2934" customWidth="1"/>
    <col min="6" max="8" width="18.7109375" style="2934" customWidth="1"/>
    <col min="9" max="9" width="3.42578125" style="2934" customWidth="1"/>
    <col min="10" max="18" width="11.42578125" style="2934"/>
    <col min="19" max="19" width="20.7109375" style="2934" customWidth="1"/>
    <col min="20" max="16384" width="11.42578125" style="2934"/>
  </cols>
  <sheetData>
    <row r="2" spans="1:33" ht="12.75" customHeight="1">
      <c r="B2" s="3293" t="s">
        <v>3094</v>
      </c>
      <c r="C2" s="3294"/>
      <c r="D2" s="3294"/>
      <c r="E2" s="3294"/>
      <c r="F2" s="3294"/>
      <c r="G2" s="3294"/>
      <c r="H2" s="3294"/>
      <c r="I2" s="3295"/>
    </row>
    <row r="3" spans="1:33" ht="12.75" customHeight="1">
      <c r="B3" s="3296"/>
      <c r="C3" s="3297"/>
      <c r="D3" s="3297"/>
      <c r="E3" s="3297"/>
      <c r="F3" s="3297"/>
      <c r="G3" s="3297"/>
      <c r="H3" s="3297"/>
      <c r="I3" s="3298"/>
    </row>
    <row r="4" spans="1:33" ht="12.75" customHeight="1">
      <c r="B4" s="3296"/>
      <c r="C4" s="3297"/>
      <c r="D4" s="3297"/>
      <c r="E4" s="3297"/>
      <c r="F4" s="3297"/>
      <c r="G4" s="3297"/>
      <c r="H4" s="3297"/>
      <c r="I4" s="3298"/>
    </row>
    <row r="5" spans="1:33" ht="12.75" customHeight="1">
      <c r="B5" s="3296"/>
      <c r="C5" s="3297"/>
      <c r="D5" s="3297"/>
      <c r="E5" s="3297"/>
      <c r="F5" s="3297"/>
      <c r="G5" s="3297"/>
      <c r="H5" s="3297"/>
      <c r="I5" s="3298"/>
    </row>
    <row r="6" spans="1:33" ht="12.75" customHeight="1">
      <c r="B6" s="3299"/>
      <c r="C6" s="3300"/>
      <c r="D6" s="3300"/>
      <c r="E6" s="3300"/>
      <c r="F6" s="3300"/>
      <c r="G6" s="3300"/>
      <c r="H6" s="3300"/>
      <c r="I6" s="3301"/>
    </row>
    <row r="7" spans="1:33" ht="13.5" thickBot="1"/>
    <row r="8" spans="1:33" ht="15" customHeight="1">
      <c r="A8" s="3302" t="s">
        <v>909</v>
      </c>
      <c r="B8" s="3304" t="s">
        <v>3095</v>
      </c>
      <c r="C8" s="3304"/>
      <c r="D8" s="3304"/>
      <c r="E8" s="3304"/>
      <c r="F8" s="3304"/>
      <c r="G8" s="3304"/>
      <c r="H8" s="3304"/>
      <c r="I8" s="3305"/>
      <c r="K8" s="3308" t="s">
        <v>3229</v>
      </c>
      <c r="L8" s="3309"/>
      <c r="M8" s="3309"/>
      <c r="N8" s="3309"/>
      <c r="O8" s="2935"/>
      <c r="P8" s="2935"/>
      <c r="Q8" s="2935"/>
      <c r="R8" s="2936"/>
      <c r="T8" s="3310" t="s">
        <v>909</v>
      </c>
      <c r="U8" s="3289" t="s">
        <v>3097</v>
      </c>
      <c r="V8" s="3289"/>
      <c r="W8" s="3289"/>
      <c r="X8" s="3289"/>
      <c r="Y8" s="3289"/>
      <c r="Z8" s="3289"/>
      <c r="AA8" s="3289"/>
      <c r="AB8" s="3289"/>
      <c r="AC8" s="3289"/>
      <c r="AD8" s="3289"/>
      <c r="AE8" s="3289"/>
      <c r="AF8" s="3289"/>
      <c r="AG8" s="3290"/>
    </row>
    <row r="9" spans="1:33" ht="15" customHeight="1">
      <c r="A9" s="3303"/>
      <c r="B9" s="3306"/>
      <c r="C9" s="3306"/>
      <c r="D9" s="3306"/>
      <c r="E9" s="3306"/>
      <c r="F9" s="3306"/>
      <c r="G9" s="3306"/>
      <c r="H9" s="3306"/>
      <c r="I9" s="3307"/>
      <c r="K9" s="2937"/>
      <c r="L9" s="2938"/>
      <c r="M9" s="2939"/>
      <c r="N9" s="2939"/>
      <c r="O9" s="2939"/>
      <c r="P9" s="2939"/>
      <c r="Q9" s="2939"/>
      <c r="R9" s="2940"/>
      <c r="T9" s="3311"/>
      <c r="U9" s="3291"/>
      <c r="V9" s="3291"/>
      <c r="W9" s="3291"/>
      <c r="X9" s="3291"/>
      <c r="Y9" s="3291"/>
      <c r="Z9" s="3291"/>
      <c r="AA9" s="3291"/>
      <c r="AB9" s="3291"/>
      <c r="AC9" s="3291"/>
      <c r="AD9" s="3291"/>
      <c r="AE9" s="3291"/>
      <c r="AF9" s="3291"/>
      <c r="AG9" s="3292"/>
    </row>
    <row r="10" spans="1:33" s="2941" customFormat="1" ht="15" customHeight="1">
      <c r="A10" s="3312" t="s">
        <v>3098</v>
      </c>
      <c r="B10" s="3314" t="s">
        <v>3230</v>
      </c>
      <c r="C10" s="3314"/>
      <c r="D10" s="3315" t="s">
        <v>3096</v>
      </c>
      <c r="E10" s="3315"/>
      <c r="F10" s="3315"/>
      <c r="G10" s="3315"/>
      <c r="H10" s="3316"/>
      <c r="I10" s="3317">
        <v>1</v>
      </c>
      <c r="K10" s="2942"/>
      <c r="L10" s="2943" t="s">
        <v>3099</v>
      </c>
      <c r="M10" s="2944"/>
      <c r="N10" s="2944"/>
      <c r="O10" s="2944"/>
      <c r="P10" s="2944"/>
      <c r="Q10" s="2944"/>
      <c r="R10" s="2945"/>
      <c r="T10" s="3312" t="s">
        <v>3098</v>
      </c>
      <c r="U10" s="2946" t="s">
        <v>32</v>
      </c>
      <c r="V10" s="2947" t="s">
        <v>3100</v>
      </c>
      <c r="W10" s="2947"/>
      <c r="X10" s="2948"/>
      <c r="Y10" s="2949"/>
      <c r="Z10" s="2949"/>
      <c r="AA10" s="2949"/>
      <c r="AB10" s="2949"/>
      <c r="AC10" s="2949"/>
      <c r="AD10" s="2949"/>
      <c r="AE10" s="2949"/>
      <c r="AF10" s="2949"/>
      <c r="AG10" s="2950"/>
    </row>
    <row r="11" spans="1:33" s="2941" customFormat="1" ht="15" customHeight="1" thickBot="1">
      <c r="A11" s="3312"/>
      <c r="B11" s="2951" t="s">
        <v>3101</v>
      </c>
      <c r="C11" s="2952"/>
      <c r="D11" s="2952"/>
      <c r="E11" s="2952"/>
      <c r="F11" s="2953"/>
      <c r="G11" s="2953" t="s">
        <v>3102</v>
      </c>
      <c r="H11" s="3207"/>
      <c r="I11" s="3318"/>
      <c r="K11" s="2954"/>
      <c r="L11" s="2944" t="s">
        <v>3103</v>
      </c>
      <c r="M11" s="2944"/>
      <c r="N11" s="2944"/>
      <c r="O11" s="2944"/>
      <c r="P11" s="2944"/>
      <c r="Q11" s="2944"/>
      <c r="R11" s="2945"/>
      <c r="T11" s="3312"/>
      <c r="U11" s="2955"/>
      <c r="V11" s="2956"/>
      <c r="W11" s="2956"/>
      <c r="X11" s="2957"/>
      <c r="Y11" s="2957"/>
      <c r="Z11" s="2957"/>
      <c r="AA11" s="2957"/>
      <c r="AB11" s="2957"/>
      <c r="AC11" s="2957"/>
      <c r="AD11" s="2957"/>
      <c r="AE11" s="2957"/>
      <c r="AF11" s="2957"/>
      <c r="AG11" s="2958"/>
    </row>
    <row r="12" spans="1:33" s="2941" customFormat="1" ht="15" customHeight="1">
      <c r="A12" s="3312"/>
      <c r="B12" s="2959">
        <v>6</v>
      </c>
      <c r="C12" s="2960"/>
      <c r="D12" s="2960"/>
      <c r="E12" s="2961"/>
      <c r="F12" s="2962"/>
      <c r="G12" s="3319">
        <v>7</v>
      </c>
      <c r="H12" s="3320" t="s">
        <v>1401</v>
      </c>
      <c r="I12" s="3321" t="str">
        <f>B8</f>
        <v>NOM DE LA RECETTE</v>
      </c>
      <c r="K12" s="2937"/>
      <c r="L12" s="2944"/>
      <c r="M12" s="2944" t="s">
        <v>3104</v>
      </c>
      <c r="N12" s="2944"/>
      <c r="O12" s="2944"/>
      <c r="P12" s="2944"/>
      <c r="Q12" s="2944"/>
      <c r="R12" s="2945"/>
      <c r="T12" s="3312"/>
      <c r="U12" s="2963" t="s">
        <v>175</v>
      </c>
      <c r="V12" s="2964" t="s">
        <v>3105</v>
      </c>
      <c r="W12" s="2965"/>
      <c r="X12" s="2965" t="s">
        <v>3106</v>
      </c>
      <c r="Y12" s="2957"/>
      <c r="Z12" s="2957"/>
      <c r="AA12" s="2957"/>
      <c r="AB12" s="2957"/>
      <c r="AC12" s="2957"/>
      <c r="AD12" s="2957"/>
      <c r="AE12" s="2957"/>
      <c r="AF12" s="2957"/>
      <c r="AG12" s="2958"/>
    </row>
    <row r="13" spans="1:33" s="2941" customFormat="1" ht="15" customHeight="1" thickBot="1">
      <c r="A13" s="3312"/>
      <c r="B13" s="2966" t="s">
        <v>1401</v>
      </c>
      <c r="C13" s="2960"/>
      <c r="D13" s="2960"/>
      <c r="E13" s="2961"/>
      <c r="F13" s="2962"/>
      <c r="G13" s="3319"/>
      <c r="H13" s="3320"/>
      <c r="I13" s="3321"/>
      <c r="K13" s="2937"/>
      <c r="L13" s="2944"/>
      <c r="M13" s="2944" t="s">
        <v>3107</v>
      </c>
      <c r="N13" s="2944"/>
      <c r="O13" s="2944"/>
      <c r="P13" s="2944"/>
      <c r="Q13" s="2944"/>
      <c r="R13" s="2945"/>
      <c r="T13" s="3312"/>
      <c r="U13" s="2967"/>
      <c r="V13" s="2964"/>
      <c r="W13" s="2965"/>
      <c r="X13" s="2956"/>
      <c r="Y13" s="2957"/>
      <c r="Z13" s="2957"/>
      <c r="AA13" s="2957"/>
      <c r="AB13" s="2957"/>
      <c r="AC13" s="2957"/>
      <c r="AD13" s="2957"/>
      <c r="AE13" s="2957"/>
      <c r="AF13" s="2957"/>
      <c r="AG13" s="2958"/>
    </row>
    <row r="14" spans="1:33" s="2941" customFormat="1" ht="15" customHeight="1">
      <c r="A14" s="3312"/>
      <c r="B14" s="2968"/>
      <c r="C14" s="2969" t="s">
        <v>2331</v>
      </c>
      <c r="D14" s="2969" t="s">
        <v>3108</v>
      </c>
      <c r="E14" s="3323" t="s">
        <v>2196</v>
      </c>
      <c r="F14" s="3323"/>
      <c r="G14" s="2970"/>
      <c r="H14" s="3208"/>
      <c r="I14" s="3321"/>
      <c r="K14" s="2954"/>
      <c r="L14" s="2944" t="s">
        <v>3109</v>
      </c>
      <c r="M14" s="2944"/>
      <c r="N14" s="2944"/>
      <c r="O14" s="2944"/>
      <c r="P14" s="2944"/>
      <c r="Q14" s="2944"/>
      <c r="R14" s="2945"/>
      <c r="T14" s="3312"/>
      <c r="U14" s="2967" t="s">
        <v>176</v>
      </c>
      <c r="V14" s="2964" t="s">
        <v>3110</v>
      </c>
      <c r="W14" s="2965" t="s">
        <v>3111</v>
      </c>
      <c r="X14" s="2956"/>
      <c r="Y14" s="2957"/>
      <c r="Z14" s="2957"/>
      <c r="AA14" s="2957"/>
      <c r="AB14" s="2957"/>
      <c r="AC14" s="2957"/>
      <c r="AD14" s="2957"/>
      <c r="AE14" s="2957"/>
      <c r="AF14" s="2957"/>
      <c r="AG14" s="2958"/>
    </row>
    <row r="15" spans="1:33" s="2941" customFormat="1" ht="15" customHeight="1">
      <c r="A15" s="3312"/>
      <c r="B15" s="2971" t="s">
        <v>176</v>
      </c>
      <c r="C15" s="2972" t="s">
        <v>175</v>
      </c>
      <c r="D15" s="2973"/>
      <c r="E15" s="2971" t="s">
        <v>177</v>
      </c>
      <c r="F15" s="3209"/>
      <c r="G15" s="3209"/>
      <c r="H15" s="3210"/>
      <c r="I15" s="3321"/>
      <c r="K15" s="2954"/>
      <c r="L15" s="2944"/>
      <c r="M15" s="2976"/>
      <c r="N15" s="2976" t="s">
        <v>3112</v>
      </c>
      <c r="O15" s="2977">
        <f>B12</f>
        <v>6</v>
      </c>
      <c r="P15" s="2944" t="s">
        <v>1401</v>
      </c>
      <c r="Q15" s="2944"/>
      <c r="R15" s="2945"/>
      <c r="S15" s="3211" t="s">
        <v>22</v>
      </c>
      <c r="T15" s="3312"/>
      <c r="U15" s="2967"/>
      <c r="V15" s="2964"/>
      <c r="W15" s="2978" t="s">
        <v>736</v>
      </c>
      <c r="X15" s="2956"/>
      <c r="Y15" s="2957"/>
      <c r="Z15" s="2957"/>
      <c r="AA15" s="2957"/>
      <c r="AB15" s="2957"/>
      <c r="AC15" s="2957"/>
      <c r="AD15" s="2957"/>
      <c r="AE15" s="2957"/>
      <c r="AF15" s="2957"/>
      <c r="AG15" s="2958"/>
    </row>
    <row r="16" spans="1:33" s="2941" customFormat="1" ht="15" customHeight="1">
      <c r="A16" s="3312"/>
      <c r="B16" s="2979">
        <v>1.8</v>
      </c>
      <c r="C16" s="3212" t="s">
        <v>3231</v>
      </c>
      <c r="D16" s="3213">
        <f>IF(B16="","",IF(ISTEXT(B16),B16,(B16/B12)*G12))</f>
        <v>2.1</v>
      </c>
      <c r="E16" s="3214" t="s">
        <v>2059</v>
      </c>
      <c r="F16" s="3215" t="s">
        <v>3232</v>
      </c>
      <c r="G16" s="3216"/>
      <c r="H16" s="3217"/>
      <c r="I16" s="3321"/>
      <c r="K16" s="2937"/>
      <c r="L16" s="2938"/>
      <c r="M16" s="2976"/>
      <c r="N16" s="2976" t="s">
        <v>3113</v>
      </c>
      <c r="O16" s="2980">
        <f>G12</f>
        <v>7</v>
      </c>
      <c r="P16" s="2944" t="s">
        <v>1401</v>
      </c>
      <c r="Q16" s="2944"/>
      <c r="R16" s="2945"/>
      <c r="S16" s="3218" t="s">
        <v>3233</v>
      </c>
      <c r="T16" s="3312"/>
      <c r="U16" s="2956"/>
      <c r="V16" s="2956"/>
      <c r="W16" s="2965" t="s">
        <v>3114</v>
      </c>
      <c r="X16" s="2956"/>
      <c r="Y16" s="2957"/>
      <c r="Z16" s="2957"/>
      <c r="AA16" s="2957"/>
      <c r="AB16" s="2957"/>
      <c r="AC16" s="2981"/>
      <c r="AD16" s="2965"/>
      <c r="AE16" s="2957"/>
      <c r="AF16" s="2982"/>
      <c r="AG16" s="2983"/>
    </row>
    <row r="17" spans="1:40" s="2941" customFormat="1" ht="15" customHeight="1">
      <c r="A17" s="3312"/>
      <c r="B17" s="2979">
        <v>2</v>
      </c>
      <c r="C17" s="3212"/>
      <c r="D17" s="3213">
        <f>IF(B17="","",IF(ISTEXT(B17),B17,(B17/B12)*G12))</f>
        <v>2.333333333333333</v>
      </c>
      <c r="E17" s="3214"/>
      <c r="F17" s="3215"/>
      <c r="G17" s="3216"/>
      <c r="H17" s="3217"/>
      <c r="I17" s="3321"/>
      <c r="K17" s="2937"/>
      <c r="L17" s="2984" t="s">
        <v>3115</v>
      </c>
      <c r="M17" s="2944"/>
      <c r="N17" s="2944"/>
      <c r="O17" s="2944"/>
      <c r="P17" s="2944"/>
      <c r="Q17" s="2944"/>
      <c r="R17" s="2945"/>
      <c r="T17" s="3312"/>
      <c r="U17" s="2956"/>
      <c r="V17" s="2956"/>
      <c r="W17" s="2956"/>
      <c r="X17" s="2956"/>
      <c r="Y17" s="2957"/>
      <c r="Z17" s="2957"/>
      <c r="AA17" s="2957"/>
      <c r="AB17" s="2957"/>
      <c r="AC17" s="2957"/>
      <c r="AD17" s="2957"/>
      <c r="AE17" s="2957"/>
      <c r="AF17" s="2957"/>
      <c r="AG17" s="2958"/>
    </row>
    <row r="18" spans="1:40" s="2941" customFormat="1" ht="15" customHeight="1" thickBot="1">
      <c r="A18" s="3312"/>
      <c r="B18" s="2979"/>
      <c r="C18" s="3219"/>
      <c r="D18" s="3213" t="str">
        <f>IF(B18="","",IF(ISTEXT(B18),B18,(B18/B12)*G12))</f>
        <v/>
      </c>
      <c r="E18" s="3214"/>
      <c r="F18" s="3215"/>
      <c r="G18" s="3216"/>
      <c r="H18" s="3217"/>
      <c r="I18" s="3321"/>
      <c r="K18" s="2937"/>
      <c r="L18" s="3324" t="s">
        <v>3116</v>
      </c>
      <c r="M18" s="3324"/>
      <c r="N18" s="3324"/>
      <c r="O18" s="2944" t="s">
        <v>3117</v>
      </c>
      <c r="P18" s="2944"/>
      <c r="Q18" s="2944"/>
      <c r="R18" s="2945"/>
      <c r="T18" s="3312"/>
      <c r="U18" s="2967" t="s">
        <v>177</v>
      </c>
      <c r="V18" s="2964" t="s">
        <v>2330</v>
      </c>
      <c r="W18" s="2981" t="s">
        <v>122</v>
      </c>
      <c r="X18" s="2981" t="s">
        <v>224</v>
      </c>
      <c r="Y18" s="2981" t="s">
        <v>2059</v>
      </c>
      <c r="Z18" s="2981" t="s">
        <v>3118</v>
      </c>
      <c r="AA18" s="2965" t="s">
        <v>3119</v>
      </c>
      <c r="AB18" s="2957"/>
      <c r="AC18" s="2981" t="s">
        <v>3120</v>
      </c>
      <c r="AD18" s="2965" t="s">
        <v>3121</v>
      </c>
      <c r="AE18" s="2957"/>
      <c r="AF18" s="2957"/>
      <c r="AG18" s="2958"/>
    </row>
    <row r="19" spans="1:40" s="2941" customFormat="1" ht="15" customHeight="1">
      <c r="A19" s="3312"/>
      <c r="B19" s="2979">
        <v>3</v>
      </c>
      <c r="C19" s="3219"/>
      <c r="D19" s="3213">
        <f>IF(B19="","",IF(ISTEXT(B19),B19,(B19/B12)*G12))</f>
        <v>3.5</v>
      </c>
      <c r="E19" s="3214"/>
      <c r="F19" s="3215"/>
      <c r="G19" s="3216"/>
      <c r="H19" s="3217"/>
      <c r="I19" s="3321"/>
      <c r="K19" s="2937"/>
      <c r="L19" s="3336" t="s">
        <v>3122</v>
      </c>
      <c r="M19" s="3336"/>
      <c r="N19" s="3336"/>
      <c r="O19" s="2974"/>
      <c r="P19" s="2974"/>
      <c r="Q19" s="2944"/>
      <c r="R19" s="2945"/>
      <c r="T19" s="3312"/>
      <c r="U19" s="2985"/>
      <c r="V19" s="2964"/>
      <c r="W19" s="2965"/>
      <c r="X19" s="2956"/>
      <c r="Y19" s="2957"/>
      <c r="Z19" s="2957"/>
      <c r="AA19" s="2957"/>
      <c r="AB19" s="2957"/>
      <c r="AC19" s="2957"/>
      <c r="AD19" s="2957"/>
      <c r="AE19" s="2957"/>
      <c r="AF19" s="2957"/>
      <c r="AG19" s="2958"/>
    </row>
    <row r="20" spans="1:40" s="2941" customFormat="1" ht="15" customHeight="1">
      <c r="A20" s="3312"/>
      <c r="B20" s="2979">
        <v>8</v>
      </c>
      <c r="C20" s="3212"/>
      <c r="D20" s="3213">
        <f>IF(B20="","",IF(ISTEXT(B20),B20,(B20/B12)*G12))</f>
        <v>9.3333333333333321</v>
      </c>
      <c r="E20" s="3214"/>
      <c r="F20" s="3215"/>
      <c r="G20" s="3216"/>
      <c r="H20" s="3217"/>
      <c r="I20" s="3321"/>
      <c r="K20" s="2986" t="s">
        <v>3123</v>
      </c>
      <c r="L20" s="2974" t="s">
        <v>3124</v>
      </c>
      <c r="M20" s="2944"/>
      <c r="N20" s="2944"/>
      <c r="O20" s="2944"/>
      <c r="P20" s="2944"/>
      <c r="Q20" s="2944"/>
      <c r="R20" s="2945"/>
      <c r="T20" s="3312"/>
      <c r="U20" s="2987"/>
      <c r="V20" s="2988">
        <v>10</v>
      </c>
      <c r="W20" s="2964" t="s">
        <v>3125</v>
      </c>
      <c r="X20" s="2956"/>
      <c r="Y20" s="2965" t="s">
        <v>3126</v>
      </c>
      <c r="Z20" s="2989"/>
      <c r="AA20" s="2989"/>
      <c r="AB20" s="2989"/>
      <c r="AC20" s="2989"/>
      <c r="AD20" s="2989"/>
      <c r="AE20" s="2989"/>
      <c r="AF20" s="2956"/>
      <c r="AG20" s="2990"/>
    </row>
    <row r="21" spans="1:40" s="2941" customFormat="1" ht="15" customHeight="1">
      <c r="A21" s="3312"/>
      <c r="B21" s="2979">
        <v>1</v>
      </c>
      <c r="C21" s="3212"/>
      <c r="D21" s="3213">
        <f>IF(B21="","",IF(ISTEXT(B21),B21,(B21/B12)*G12))</f>
        <v>1.1666666666666665</v>
      </c>
      <c r="E21" s="3214"/>
      <c r="F21" s="3215"/>
      <c r="G21" s="3216"/>
      <c r="H21" s="3217"/>
      <c r="I21" s="3321"/>
      <c r="K21" s="2954"/>
      <c r="L21" s="2974" t="s">
        <v>3127</v>
      </c>
      <c r="M21" s="2944"/>
      <c r="N21" s="2944"/>
      <c r="O21" s="2944"/>
      <c r="P21" s="2944"/>
      <c r="Q21" s="2944"/>
      <c r="R21" s="2945"/>
      <c r="T21" s="3312"/>
      <c r="U21" s="2991"/>
      <c r="V21" s="2956"/>
      <c r="W21" s="2956"/>
      <c r="X21" s="2956"/>
      <c r="Y21" s="2991" t="s">
        <v>1401</v>
      </c>
      <c r="Z21" s="2956"/>
      <c r="AA21" s="2991" t="s">
        <v>122</v>
      </c>
      <c r="AB21" s="2956"/>
      <c r="AC21" s="2991" t="s">
        <v>1429</v>
      </c>
      <c r="AD21" s="2956"/>
      <c r="AE21" s="2991" t="s">
        <v>3128</v>
      </c>
      <c r="AF21" s="2956"/>
      <c r="AG21" s="2990"/>
    </row>
    <row r="22" spans="1:40" s="2941" customFormat="1" ht="15" customHeight="1" thickBot="1">
      <c r="A22" s="3312"/>
      <c r="B22" s="2979"/>
      <c r="C22" s="3212"/>
      <c r="D22" s="3213" t="str">
        <f>IF(B22="","",IF(ISTEXT(B22),B22,(B22/B12)*G12))</f>
        <v/>
      </c>
      <c r="E22" s="3214"/>
      <c r="F22" s="3215"/>
      <c r="G22" s="3216"/>
      <c r="H22" s="3217"/>
      <c r="I22" s="3321"/>
      <c r="K22" s="2937"/>
      <c r="L22" s="2974" t="s">
        <v>3129</v>
      </c>
      <c r="M22" s="2944"/>
      <c r="N22" s="2944"/>
      <c r="O22" s="2944"/>
      <c r="P22" s="2944"/>
      <c r="Q22" s="2944"/>
      <c r="R22" s="2945"/>
      <c r="T22" s="3312"/>
      <c r="U22" s="2951" t="s">
        <v>3101</v>
      </c>
      <c r="V22" s="2956"/>
      <c r="W22" s="2956"/>
      <c r="X22" s="2956"/>
      <c r="Y22" s="2956"/>
      <c r="Z22" s="2956"/>
      <c r="AA22" s="2956"/>
      <c r="AB22" s="2956"/>
      <c r="AC22" s="2956"/>
      <c r="AD22" s="2956"/>
      <c r="AE22" s="2956"/>
      <c r="AF22" s="2956"/>
      <c r="AG22" s="2945"/>
    </row>
    <row r="23" spans="1:40" s="2941" customFormat="1" ht="15" customHeight="1" thickBot="1">
      <c r="A23" s="3312"/>
      <c r="B23" s="2979"/>
      <c r="C23" s="3212"/>
      <c r="D23" s="3213" t="str">
        <f>IF(B23="","",IF(ISTEXT(B23),B23,(B23/B12)*G12))</f>
        <v/>
      </c>
      <c r="E23" s="3214"/>
      <c r="F23" s="3215"/>
      <c r="G23" s="3216"/>
      <c r="H23" s="3217"/>
      <c r="I23" s="3321"/>
      <c r="K23" s="2937"/>
      <c r="L23" s="2974" t="s">
        <v>3130</v>
      </c>
      <c r="M23" s="2944"/>
      <c r="N23" s="2944"/>
      <c r="O23" s="2944"/>
      <c r="P23" s="2944"/>
      <c r="Q23" s="2944"/>
      <c r="R23" s="2945"/>
      <c r="T23" s="3312"/>
      <c r="U23" s="2992">
        <v>10</v>
      </c>
      <c r="V23" s="2993" t="s">
        <v>3131</v>
      </c>
      <c r="W23" s="2993"/>
      <c r="X23" s="2994"/>
      <c r="Y23" s="2956"/>
      <c r="Z23" s="2956"/>
      <c r="AA23" s="2956"/>
      <c r="AB23" s="2956"/>
      <c r="AC23" s="2956"/>
      <c r="AD23" s="2956"/>
      <c r="AE23" s="2956"/>
      <c r="AF23" s="2956"/>
      <c r="AG23" s="2945"/>
    </row>
    <row r="24" spans="1:40" s="2941" customFormat="1" ht="15" customHeight="1" thickBot="1">
      <c r="A24" s="3313"/>
      <c r="B24" s="3220">
        <f>SUM(B16:B23)</f>
        <v>15.8</v>
      </c>
      <c r="C24" s="3221" t="s">
        <v>3234</v>
      </c>
      <c r="D24" s="3222">
        <f>SUM(D16:D23)</f>
        <v>18.433333333333334</v>
      </c>
      <c r="E24" s="3223"/>
      <c r="F24" s="3224"/>
      <c r="G24" s="3225" t="s">
        <v>3235</v>
      </c>
      <c r="H24" s="3226" t="str">
        <f>ADDRESS(ROW(B12),COLUMN(B12),4)</f>
        <v>B12</v>
      </c>
      <c r="I24" s="3322"/>
      <c r="K24" s="2995"/>
      <c r="L24" s="2996"/>
      <c r="M24" s="2996"/>
      <c r="N24" s="2996"/>
      <c r="O24" s="2996"/>
      <c r="P24" s="2996"/>
      <c r="Q24" s="2996"/>
      <c r="R24" s="2997"/>
      <c r="T24" s="3313"/>
      <c r="U24" s="2998"/>
      <c r="V24" s="2999"/>
      <c r="W24" s="2999"/>
      <c r="X24" s="2999"/>
      <c r="Y24" s="2998"/>
      <c r="Z24" s="2999"/>
      <c r="AA24" s="2998"/>
      <c r="AB24" s="2999"/>
      <c r="AC24" s="2998"/>
      <c r="AD24" s="2999"/>
      <c r="AE24" s="2998"/>
      <c r="AF24" s="2999"/>
      <c r="AG24" s="3000"/>
    </row>
    <row r="25" spans="1:40">
      <c r="B25" s="2934">
        <v>10.71</v>
      </c>
      <c r="C25" s="2934">
        <v>10.71</v>
      </c>
      <c r="D25" s="2934">
        <v>18</v>
      </c>
      <c r="E25" s="2934">
        <v>10.71</v>
      </c>
      <c r="F25" s="2934">
        <v>10.71</v>
      </c>
      <c r="G25" s="2934">
        <v>10.71</v>
      </c>
      <c r="H25" s="2934">
        <v>10.71</v>
      </c>
      <c r="T25" s="2941"/>
      <c r="U25" s="2941"/>
      <c r="V25" s="2941"/>
      <c r="W25" s="2941"/>
      <c r="X25" s="2941"/>
      <c r="Y25" s="2941"/>
      <c r="Z25" s="2941"/>
      <c r="AA25" s="2941"/>
      <c r="AB25" s="2941"/>
      <c r="AC25" s="2941"/>
      <c r="AD25" s="2941"/>
      <c r="AE25" s="2941"/>
      <c r="AF25" s="2941"/>
      <c r="AG25" s="2941"/>
      <c r="AH25" s="2941"/>
      <c r="AI25" s="2941"/>
      <c r="AJ25" s="2941"/>
      <c r="AK25" s="2941"/>
      <c r="AL25" s="2941"/>
    </row>
    <row r="26" spans="1:40" ht="15.75" thickBot="1">
      <c r="T26" s="3227"/>
      <c r="U26" s="3228"/>
      <c r="V26" s="3228"/>
      <c r="W26" s="3228"/>
      <c r="X26" s="3228"/>
      <c r="Y26" s="3228"/>
      <c r="Z26" s="3228"/>
      <c r="AA26" s="3228"/>
      <c r="AB26" s="3228"/>
      <c r="AC26" s="3228"/>
      <c r="AD26" s="3228"/>
      <c r="AE26" s="3228"/>
      <c r="AF26" s="3229"/>
      <c r="AH26" s="2941"/>
      <c r="AI26" s="2941"/>
      <c r="AJ26" s="2941"/>
      <c r="AK26" s="2941"/>
      <c r="AL26" s="2941"/>
    </row>
    <row r="27" spans="1:40" ht="15" customHeight="1">
      <c r="A27" s="3302" t="s">
        <v>909</v>
      </c>
      <c r="B27" s="3304" t="s">
        <v>3095</v>
      </c>
      <c r="C27" s="3304"/>
      <c r="D27" s="3304"/>
      <c r="E27" s="3304"/>
      <c r="F27" s="3304"/>
      <c r="G27" s="3304"/>
      <c r="H27" s="3304"/>
      <c r="I27" s="3305"/>
      <c r="K27" s="3326" t="s">
        <v>3236</v>
      </c>
      <c r="L27" s="3327"/>
      <c r="M27" s="3327"/>
      <c r="N27" s="3327"/>
      <c r="O27" s="3001"/>
      <c r="P27" s="3001"/>
      <c r="Q27" s="3001"/>
      <c r="R27" s="3002"/>
      <c r="T27" s="3230"/>
      <c r="U27" s="3231" t="s">
        <v>3237</v>
      </c>
      <c r="V27" s="3231"/>
      <c r="W27" s="3231"/>
      <c r="X27" s="3231"/>
      <c r="Y27" s="3231"/>
      <c r="Z27" s="3231"/>
      <c r="AA27" s="3231"/>
      <c r="AB27" s="3231"/>
      <c r="AC27" s="3231"/>
      <c r="AD27" s="3231"/>
      <c r="AE27" s="3231"/>
      <c r="AF27" s="3232"/>
      <c r="AH27" s="2941"/>
      <c r="AI27" s="2941"/>
      <c r="AJ27" s="2941"/>
      <c r="AK27" s="2941"/>
      <c r="AL27" s="2941"/>
    </row>
    <row r="28" spans="1:40" ht="15" customHeight="1">
      <c r="A28" s="3325"/>
      <c r="B28" s="3306"/>
      <c r="C28" s="3306"/>
      <c r="D28" s="3306"/>
      <c r="E28" s="3306"/>
      <c r="F28" s="3306"/>
      <c r="G28" s="3306"/>
      <c r="H28" s="3306"/>
      <c r="I28" s="3307"/>
      <c r="K28" s="3003"/>
      <c r="L28" s="3004"/>
      <c r="M28" s="3005"/>
      <c r="N28" s="3005"/>
      <c r="O28" s="3005"/>
      <c r="P28" s="3005"/>
      <c r="Q28" s="3005"/>
      <c r="R28" s="3006"/>
      <c r="T28" s="3233"/>
      <c r="U28" s="3234" t="s">
        <v>3238</v>
      </c>
      <c r="V28" s="3234"/>
      <c r="W28" s="3234"/>
      <c r="X28" s="3234"/>
      <c r="Y28" s="3234"/>
      <c r="Z28" s="3234"/>
      <c r="AA28" s="3234"/>
      <c r="AB28" s="3234"/>
      <c r="AC28" s="3234"/>
      <c r="AD28" s="3234"/>
      <c r="AE28" s="3234"/>
      <c r="AF28" s="3235"/>
      <c r="AH28" s="2941"/>
      <c r="AI28" s="2941"/>
      <c r="AJ28" s="2941"/>
      <c r="AK28" s="2941"/>
      <c r="AL28" s="2941"/>
    </row>
    <row r="29" spans="1:40" s="2941" customFormat="1" ht="15" customHeight="1">
      <c r="A29" s="3328" t="s">
        <v>3133</v>
      </c>
      <c r="B29" s="3314" t="s">
        <v>3230</v>
      </c>
      <c r="C29" s="3314"/>
      <c r="D29" s="3330" t="s">
        <v>3132</v>
      </c>
      <c r="E29" s="3330"/>
      <c r="F29" s="3330"/>
      <c r="G29" s="3330"/>
      <c r="H29" s="3331"/>
      <c r="I29" s="3317">
        <v>2</v>
      </c>
      <c r="K29" s="3007"/>
      <c r="L29" s="3008" t="s">
        <v>3134</v>
      </c>
      <c r="M29" s="2974"/>
      <c r="N29" s="2974"/>
      <c r="O29" s="2974"/>
      <c r="P29" s="2974"/>
      <c r="Q29" s="2974"/>
      <c r="R29" s="2975"/>
      <c r="T29" s="3233"/>
      <c r="U29" s="3236" t="s">
        <v>2354</v>
      </c>
      <c r="V29" s="3237" t="s">
        <v>3239</v>
      </c>
      <c r="W29" s="3234"/>
      <c r="X29" s="3234"/>
      <c r="Y29" s="3234"/>
      <c r="Z29" s="3234"/>
      <c r="AA29" s="3234"/>
      <c r="AB29" s="3234"/>
      <c r="AC29" s="3234"/>
      <c r="AD29" s="3234"/>
      <c r="AE29" s="3234"/>
      <c r="AF29" s="3235"/>
      <c r="AG29" s="2934"/>
      <c r="AM29" s="2934"/>
      <c r="AN29" s="2934"/>
    </row>
    <row r="30" spans="1:40" s="2941" customFormat="1" ht="15" customHeight="1" thickBot="1">
      <c r="A30" s="3328"/>
      <c r="B30" s="3009" t="s">
        <v>3135</v>
      </c>
      <c r="C30" s="2952"/>
      <c r="D30" s="2952"/>
      <c r="E30" s="2952"/>
      <c r="F30" s="2953"/>
      <c r="G30" s="2953" t="s">
        <v>3102</v>
      </c>
      <c r="H30" s="3238"/>
      <c r="I30" s="3317"/>
      <c r="K30" s="3003"/>
      <c r="L30" s="3005" t="s">
        <v>3136</v>
      </c>
      <c r="M30" s="2974"/>
      <c r="N30" s="2974"/>
      <c r="O30" s="2974"/>
      <c r="P30" s="2974"/>
      <c r="Q30" s="2974"/>
      <c r="R30" s="2975"/>
      <c r="T30" s="3239"/>
      <c r="U30" s="3240" t="s">
        <v>3240</v>
      </c>
      <c r="V30" s="3231"/>
      <c r="W30" s="3231"/>
      <c r="X30" s="3231"/>
      <c r="Y30" s="3231"/>
      <c r="Z30" s="3231"/>
      <c r="AA30" s="3231"/>
      <c r="AB30" s="3231"/>
      <c r="AC30" s="3231"/>
      <c r="AD30" s="3231"/>
      <c r="AE30" s="3231"/>
      <c r="AF30" s="3232"/>
      <c r="AG30" s="2934"/>
      <c r="AM30" s="2934"/>
      <c r="AN30" s="2934"/>
    </row>
    <row r="31" spans="1:40" s="2941" customFormat="1" ht="15" customHeight="1">
      <c r="A31" s="3328"/>
      <c r="B31" s="3010">
        <v>1.8</v>
      </c>
      <c r="C31" s="2960"/>
      <c r="D31" s="2960"/>
      <c r="E31" s="2961"/>
      <c r="F31" s="2962"/>
      <c r="G31" s="3332">
        <v>5</v>
      </c>
      <c r="H31" s="3333" t="s">
        <v>122</v>
      </c>
      <c r="I31" s="3334" t="str">
        <f>B27</f>
        <v>NOM DE LA RECETTE</v>
      </c>
      <c r="K31" s="3003"/>
      <c r="L31" s="2938"/>
      <c r="M31" s="2974"/>
      <c r="N31" s="3011" t="s">
        <v>3137</v>
      </c>
      <c r="O31" s="3012">
        <f>B43</f>
        <v>16.2</v>
      </c>
      <c r="P31" s="3011" t="s">
        <v>3138</v>
      </c>
      <c r="Q31" s="3008" t="str">
        <f>C43</f>
        <v>si vous voulez refaire la</v>
      </c>
      <c r="R31" s="2975"/>
      <c r="T31" s="3241"/>
      <c r="U31" s="3242" t="s">
        <v>3241</v>
      </c>
      <c r="V31" s="3234"/>
      <c r="W31" s="3234"/>
      <c r="X31" s="3234"/>
      <c r="Y31" s="3243"/>
      <c r="Z31" s="3234"/>
      <c r="AA31" s="3234"/>
      <c r="AB31" s="3234"/>
      <c r="AC31" s="3234"/>
      <c r="AD31" s="3243"/>
      <c r="AE31" s="3243"/>
      <c r="AF31" s="3244"/>
      <c r="AG31" s="2934"/>
      <c r="AM31" s="2934"/>
      <c r="AN31" s="2934"/>
    </row>
    <row r="32" spans="1:40" s="2941" customFormat="1" ht="15" customHeight="1" thickBot="1">
      <c r="A32" s="3328"/>
      <c r="B32" s="3013" t="s">
        <v>122</v>
      </c>
      <c r="C32" s="2960"/>
      <c r="D32" s="2960"/>
      <c r="E32" s="2961"/>
      <c r="F32" s="2962"/>
      <c r="G32" s="3332"/>
      <c r="H32" s="3333"/>
      <c r="I32" s="3334"/>
      <c r="K32" s="3003"/>
      <c r="L32" s="3005" t="s">
        <v>3139</v>
      </c>
      <c r="M32" s="2974"/>
      <c r="N32" s="2974"/>
      <c r="O32" s="2974"/>
      <c r="P32" s="2974"/>
      <c r="Q32" s="2974"/>
      <c r="R32" s="2975"/>
      <c r="T32" s="3241"/>
      <c r="U32" s="3242" t="s">
        <v>3242</v>
      </c>
      <c r="V32" s="3234"/>
      <c r="W32" s="3234"/>
      <c r="X32" s="3234"/>
      <c r="Y32" s="3243"/>
      <c r="Z32" s="3234"/>
      <c r="AA32" s="3234"/>
      <c r="AB32" s="3234"/>
      <c r="AC32" s="3234"/>
      <c r="AD32" s="3243"/>
      <c r="AE32" s="3243"/>
      <c r="AF32" s="3244"/>
      <c r="AG32" s="2934"/>
      <c r="AM32" s="2934"/>
      <c r="AN32" s="2934"/>
    </row>
    <row r="33" spans="1:40" s="2941" customFormat="1" ht="15" customHeight="1">
      <c r="A33" s="3328"/>
      <c r="B33" s="2968"/>
      <c r="C33" s="2970" t="s">
        <v>2331</v>
      </c>
      <c r="D33" s="2969" t="s">
        <v>3108</v>
      </c>
      <c r="E33" s="3323" t="s">
        <v>2196</v>
      </c>
      <c r="F33" s="3323"/>
      <c r="G33" s="3014" t="s">
        <v>3140</v>
      </c>
      <c r="H33" s="3014"/>
      <c r="I33" s="3334"/>
      <c r="K33" s="3003"/>
      <c r="L33" s="3005" t="s">
        <v>3141</v>
      </c>
      <c r="M33" s="2974"/>
      <c r="N33" s="2974"/>
      <c r="O33" s="2974"/>
      <c r="P33" s="2974"/>
      <c r="Q33" s="2974"/>
      <c r="R33" s="2975"/>
      <c r="T33" s="3245"/>
      <c r="U33" s="3246" t="s">
        <v>3243</v>
      </c>
      <c r="V33" s="3247"/>
      <c r="W33" s="3247"/>
      <c r="X33" s="3247"/>
      <c r="Y33" s="3247"/>
      <c r="Z33" s="3247"/>
      <c r="AA33" s="3247"/>
      <c r="AB33" s="3247"/>
      <c r="AC33" s="3247"/>
      <c r="AD33" s="3247"/>
      <c r="AE33" s="3247"/>
      <c r="AF33" s="3248"/>
      <c r="AG33" s="2934"/>
      <c r="AM33" s="2934"/>
      <c r="AN33" s="2934"/>
    </row>
    <row r="34" spans="1:40" s="2941" customFormat="1" ht="15" customHeight="1">
      <c r="A34" s="3328"/>
      <c r="B34" s="2971" t="s">
        <v>176</v>
      </c>
      <c r="C34" s="2972" t="s">
        <v>175</v>
      </c>
      <c r="D34" s="2973"/>
      <c r="E34" s="2971" t="s">
        <v>177</v>
      </c>
      <c r="F34" s="3209"/>
      <c r="G34" s="3209"/>
      <c r="H34" s="3210"/>
      <c r="I34" s="3334"/>
      <c r="K34" s="3003"/>
      <c r="L34" s="2938"/>
      <c r="M34" s="2974"/>
      <c r="N34" s="2974"/>
      <c r="O34" s="2974"/>
      <c r="P34" s="2974"/>
      <c r="Q34" s="2974"/>
      <c r="R34" s="2975"/>
      <c r="T34" s="3245"/>
      <c r="U34" s="3246" t="s">
        <v>3244</v>
      </c>
      <c r="V34" s="3247"/>
      <c r="W34" s="3247"/>
      <c r="X34" s="3247"/>
      <c r="Y34" s="3249"/>
      <c r="Z34" s="3247"/>
      <c r="AA34" s="3247"/>
      <c r="AB34" s="3247"/>
      <c r="AC34" s="3247"/>
      <c r="AD34" s="3249"/>
      <c r="AE34" s="3249"/>
      <c r="AF34" s="3250"/>
      <c r="AG34" s="2934"/>
      <c r="AM34" s="2934"/>
      <c r="AN34" s="2934"/>
    </row>
    <row r="35" spans="1:40" s="2941" customFormat="1" ht="15" customHeight="1">
      <c r="A35" s="3328"/>
      <c r="B35" s="2979">
        <v>1.8</v>
      </c>
      <c r="C35" s="3212" t="s">
        <v>3231</v>
      </c>
      <c r="D35" s="3213">
        <f>IF(B35="","",IF(ISTEXT(B35),B35,(B35/B31)*G31))</f>
        <v>5</v>
      </c>
      <c r="E35" s="3214" t="s">
        <v>2059</v>
      </c>
      <c r="F35" s="3215" t="s">
        <v>3232</v>
      </c>
      <c r="G35" s="3216"/>
      <c r="H35" s="3217"/>
      <c r="I35" s="3334"/>
      <c r="K35" s="3003"/>
      <c r="L35" s="2938" t="s">
        <v>3142</v>
      </c>
      <c r="M35" s="2974"/>
      <c r="N35" s="2974"/>
      <c r="O35" s="2974"/>
      <c r="P35" s="2974"/>
      <c r="Q35" s="2974"/>
      <c r="R35" s="2975"/>
      <c r="T35" s="3245"/>
      <c r="U35" s="3246" t="s">
        <v>3245</v>
      </c>
      <c r="V35" s="3247"/>
      <c r="W35" s="3247"/>
      <c r="X35" s="3247"/>
      <c r="Y35" s="3249"/>
      <c r="Z35" s="3247"/>
      <c r="AA35" s="3247"/>
      <c r="AB35" s="3247"/>
      <c r="AC35" s="3247"/>
      <c r="AD35" s="3249"/>
      <c r="AE35" s="3249"/>
      <c r="AF35" s="3250"/>
      <c r="AG35" s="2934"/>
      <c r="AM35" s="2934"/>
      <c r="AN35" s="2934"/>
    </row>
    <row r="36" spans="1:40" s="2941" customFormat="1" ht="15" customHeight="1">
      <c r="A36" s="3328"/>
      <c r="B36" s="2979">
        <v>2</v>
      </c>
      <c r="C36" s="3212"/>
      <c r="D36" s="3213">
        <f>IF(B36="","",IF(ISTEXT(B36),B36,(B36/B31)*G31))</f>
        <v>5.5555555555555554</v>
      </c>
      <c r="E36" s="3214"/>
      <c r="F36" s="3215"/>
      <c r="G36" s="3216"/>
      <c r="H36" s="3217"/>
      <c r="I36" s="3334"/>
      <c r="K36" s="3003"/>
      <c r="L36" s="2938"/>
      <c r="M36" s="2974"/>
      <c r="N36" s="2974"/>
      <c r="O36" s="2974"/>
      <c r="P36" s="2974"/>
      <c r="Q36" s="2974"/>
      <c r="R36" s="2975"/>
      <c r="T36" s="3251"/>
      <c r="U36" s="3252" t="s">
        <v>3246</v>
      </c>
      <c r="V36" s="3253"/>
      <c r="W36" s="3253"/>
      <c r="X36" s="3253"/>
      <c r="Y36" s="3253"/>
      <c r="Z36" s="3253"/>
      <c r="AA36" s="3253"/>
      <c r="AB36" s="3253"/>
      <c r="AC36" s="3253"/>
      <c r="AD36" s="3253"/>
      <c r="AE36" s="3253"/>
      <c r="AF36" s="3254"/>
      <c r="AG36" s="2934"/>
      <c r="AM36" s="2934"/>
      <c r="AN36" s="2934"/>
    </row>
    <row r="37" spans="1:40" s="2941" customFormat="1" ht="15" customHeight="1">
      <c r="A37" s="3328"/>
      <c r="B37" s="2979"/>
      <c r="C37" s="3219"/>
      <c r="D37" s="3213" t="str">
        <f>IF(B37="","",IF(ISTEXT(B37),B37,(B37/B31)*G31))</f>
        <v/>
      </c>
      <c r="E37" s="3214"/>
      <c r="F37" s="3215"/>
      <c r="G37" s="3216"/>
      <c r="H37" s="3217"/>
      <c r="I37" s="3334"/>
      <c r="K37" s="2954"/>
      <c r="L37" s="2939" t="s">
        <v>3115</v>
      </c>
      <c r="M37" s="2938"/>
      <c r="N37" s="2944"/>
      <c r="O37" s="2944"/>
      <c r="P37" s="2974"/>
      <c r="Q37" s="2974"/>
      <c r="R37" s="2975"/>
      <c r="T37" s="3251"/>
      <c r="U37" s="3252" t="s">
        <v>3247</v>
      </c>
      <c r="V37" s="3253"/>
      <c r="W37" s="3253"/>
      <c r="X37" s="3253"/>
      <c r="Y37" s="3253"/>
      <c r="Z37" s="3253"/>
      <c r="AA37" s="3253"/>
      <c r="AB37" s="3253"/>
      <c r="AC37" s="3253"/>
      <c r="AD37" s="3253"/>
      <c r="AE37" s="3253"/>
      <c r="AF37" s="3254"/>
      <c r="AG37" s="2934"/>
      <c r="AM37" s="2934"/>
      <c r="AN37" s="2934"/>
    </row>
    <row r="38" spans="1:40" s="2941" customFormat="1" ht="15" customHeight="1" thickBot="1">
      <c r="A38" s="3328"/>
      <c r="B38" s="2979">
        <v>3</v>
      </c>
      <c r="C38" s="3219"/>
      <c r="D38" s="3213">
        <f>IF(B38="","",IF(ISTEXT(B38),B38,(B38/B31)*G31))</f>
        <v>8.3333333333333321</v>
      </c>
      <c r="E38" s="3214"/>
      <c r="F38" s="3215"/>
      <c r="G38" s="3216"/>
      <c r="H38" s="3217"/>
      <c r="I38" s="3334"/>
      <c r="K38" s="2954"/>
      <c r="L38" s="3324" t="s">
        <v>3116</v>
      </c>
      <c r="M38" s="3324"/>
      <c r="N38" s="3324"/>
      <c r="O38" s="2944" t="s">
        <v>3143</v>
      </c>
      <c r="P38" s="2974"/>
      <c r="Q38" s="2974"/>
      <c r="R38" s="2975"/>
      <c r="T38" s="3251"/>
      <c r="U38" s="3252" t="s">
        <v>3248</v>
      </c>
      <c r="V38" s="3253"/>
      <c r="W38" s="3253"/>
      <c r="X38" s="3253"/>
      <c r="Y38" s="3253"/>
      <c r="Z38" s="3253"/>
      <c r="AA38" s="3253"/>
      <c r="AB38" s="3253"/>
      <c r="AC38" s="3253"/>
      <c r="AD38" s="3253"/>
      <c r="AE38" s="3253"/>
      <c r="AF38" s="3254"/>
      <c r="AG38" s="2934"/>
      <c r="AM38" s="2934"/>
      <c r="AN38" s="2934"/>
    </row>
    <row r="39" spans="1:40" s="2941" customFormat="1" ht="15" customHeight="1">
      <c r="A39" s="3328"/>
      <c r="B39" s="2979">
        <v>8</v>
      </c>
      <c r="C39" s="3212"/>
      <c r="D39" s="3213">
        <f>IF(B39="","",IF(ISTEXT(B39),B39,(B39/B31)*G31))</f>
        <v>22.222222222222221</v>
      </c>
      <c r="E39" s="3214"/>
      <c r="F39" s="3215"/>
      <c r="G39" s="3216"/>
      <c r="H39" s="3217"/>
      <c r="I39" s="3334"/>
      <c r="K39" s="2954"/>
      <c r="L39" s="3336" t="s">
        <v>3144</v>
      </c>
      <c r="M39" s="3336"/>
      <c r="N39" s="3336"/>
      <c r="O39" s="2974"/>
      <c r="P39" s="2974"/>
      <c r="Q39" s="2974"/>
      <c r="R39" s="2975"/>
      <c r="T39" s="3251"/>
      <c r="U39" s="3252" t="s">
        <v>3249</v>
      </c>
      <c r="V39" s="3253"/>
      <c r="W39" s="3253"/>
      <c r="X39" s="3253"/>
      <c r="Y39" s="3253"/>
      <c r="Z39" s="3253"/>
      <c r="AA39" s="3253"/>
      <c r="AB39" s="3253"/>
      <c r="AC39" s="3253"/>
      <c r="AD39" s="3253"/>
      <c r="AE39" s="3253"/>
      <c r="AF39" s="3254"/>
      <c r="AG39" s="2934"/>
      <c r="AM39" s="2934"/>
      <c r="AN39" s="2934"/>
    </row>
    <row r="40" spans="1:40" s="2941" customFormat="1" ht="15" customHeight="1">
      <c r="A40" s="3328"/>
      <c r="B40" s="2979">
        <v>1</v>
      </c>
      <c r="C40" s="3212"/>
      <c r="D40" s="3213">
        <f>IF(B40="","",IF(ISTEXT(B40),B40,(B40/B31)*G31))</f>
        <v>2.7777777777777777</v>
      </c>
      <c r="E40" s="3214"/>
      <c r="F40" s="3215"/>
      <c r="G40" s="3216"/>
      <c r="H40" s="3217"/>
      <c r="I40" s="3334"/>
      <c r="K40" s="3003"/>
      <c r="L40" s="2974"/>
      <c r="M40" s="2974"/>
      <c r="N40" s="2974"/>
      <c r="O40" s="2974"/>
      <c r="P40" s="2974"/>
      <c r="Q40" s="2974"/>
      <c r="R40" s="2975"/>
      <c r="T40" s="3251"/>
      <c r="U40" s="3252" t="s">
        <v>3250</v>
      </c>
      <c r="V40" s="3253"/>
      <c r="W40" s="3253"/>
      <c r="X40" s="3253"/>
      <c r="Y40" s="3255"/>
      <c r="Z40" s="3253"/>
      <c r="AA40" s="3253"/>
      <c r="AB40" s="3253"/>
      <c r="AC40" s="3253"/>
      <c r="AD40" s="3255"/>
      <c r="AE40" s="3255"/>
      <c r="AF40" s="3256"/>
      <c r="AG40" s="2934"/>
      <c r="AM40" s="2934"/>
      <c r="AN40" s="2934"/>
    </row>
    <row r="41" spans="1:40" s="2941" customFormat="1" ht="15" customHeight="1">
      <c r="A41" s="3328"/>
      <c r="B41" s="2979">
        <v>0.2</v>
      </c>
      <c r="C41" s="3212"/>
      <c r="D41" s="3213">
        <f>IF(B41="","",IF(ISTEXT(B41),B41,(B41/B$31)*G$31))</f>
        <v>0.55555555555555558</v>
      </c>
      <c r="E41" s="3214"/>
      <c r="F41" s="3215"/>
      <c r="G41" s="3216"/>
      <c r="H41" s="3217"/>
      <c r="I41" s="3334"/>
      <c r="K41" s="3003"/>
      <c r="L41" s="2974"/>
      <c r="M41" s="2974"/>
      <c r="N41" s="2974"/>
      <c r="O41" s="2974"/>
      <c r="P41" s="2976" t="s">
        <v>3145</v>
      </c>
      <c r="Q41" s="3015">
        <f>B43</f>
        <v>16.2</v>
      </c>
      <c r="R41" s="2975"/>
      <c r="T41" s="3251"/>
      <c r="U41" s="3257" t="s">
        <v>3251</v>
      </c>
      <c r="V41" s="3258"/>
      <c r="W41" s="3259"/>
      <c r="X41" s="3259"/>
      <c r="Y41" s="3259"/>
      <c r="Z41" s="3259"/>
      <c r="AA41" s="3259"/>
      <c r="AB41" s="3259"/>
      <c r="AC41" s="3259"/>
      <c r="AD41" s="3259"/>
      <c r="AE41" s="3259"/>
      <c r="AF41" s="3260"/>
      <c r="AG41" s="2934"/>
      <c r="AM41" s="2934"/>
      <c r="AN41" s="2934"/>
    </row>
    <row r="42" spans="1:40" s="2941" customFormat="1" ht="15" customHeight="1">
      <c r="A42" s="3328"/>
      <c r="B42" s="2979">
        <v>0.2</v>
      </c>
      <c r="C42" s="3212"/>
      <c r="D42" s="3213">
        <f>IF(B42="","",IF(ISTEXT(B42),B42,(B42/B$31)*G$31))</f>
        <v>0.55555555555555558</v>
      </c>
      <c r="E42" s="3214"/>
      <c r="F42" s="3215"/>
      <c r="G42" s="3216"/>
      <c r="H42" s="3217"/>
      <c r="I42" s="3334"/>
      <c r="K42" s="3003"/>
      <c r="L42" s="2974"/>
      <c r="M42" s="2974"/>
      <c r="N42" s="2974"/>
      <c r="O42" s="2974"/>
      <c r="P42" s="2974" t="s">
        <v>3146</v>
      </c>
      <c r="Q42" s="2974" t="str">
        <f>C43</f>
        <v>si vous voulez refaire la</v>
      </c>
      <c r="R42" s="2975"/>
      <c r="T42" s="3251"/>
      <c r="U42" s="3257" t="s">
        <v>3252</v>
      </c>
      <c r="V42" s="3258"/>
      <c r="W42" s="3259"/>
      <c r="X42" s="3259"/>
      <c r="Y42" s="3259"/>
      <c r="Z42" s="3259"/>
      <c r="AA42" s="3259"/>
      <c r="AB42" s="3259"/>
      <c r="AC42" s="3259"/>
      <c r="AD42" s="3259"/>
      <c r="AE42" s="3259"/>
      <c r="AF42" s="3260"/>
      <c r="AG42" s="2934"/>
      <c r="AM42" s="2934"/>
      <c r="AN42" s="2934"/>
    </row>
    <row r="43" spans="1:40" s="2941" customFormat="1" ht="15" customHeight="1" thickBot="1">
      <c r="A43" s="3329"/>
      <c r="B43" s="3261">
        <f>SUM(B35:B42)</f>
        <v>16.2</v>
      </c>
      <c r="C43" s="3262" t="s">
        <v>3234</v>
      </c>
      <c r="D43" s="3263">
        <f>SUM(D35:D42)</f>
        <v>45</v>
      </c>
      <c r="E43" s="3264"/>
      <c r="F43" s="3265"/>
      <c r="G43" s="3266" t="s">
        <v>3235</v>
      </c>
      <c r="H43" s="3226" t="str">
        <f>ADDRESS(ROW(B31),COLUMN(B31),4)</f>
        <v>B31</v>
      </c>
      <c r="I43" s="3335"/>
      <c r="K43" s="3016"/>
      <c r="L43" s="3017"/>
      <c r="M43" s="3017"/>
      <c r="N43" s="3017"/>
      <c r="O43" s="3017"/>
      <c r="P43" s="3017"/>
      <c r="Q43" s="3017"/>
      <c r="R43" s="3018"/>
      <c r="T43" s="3251"/>
      <c r="U43" s="3267"/>
      <c r="V43" s="3267"/>
      <c r="W43" s="3267"/>
      <c r="X43" s="3267"/>
      <c r="Y43" s="3267"/>
      <c r="Z43" s="3267"/>
      <c r="AA43" s="3267"/>
      <c r="AB43" s="3267"/>
      <c r="AC43" s="801"/>
      <c r="AD43" s="3268" t="s">
        <v>3253</v>
      </c>
      <c r="AE43" s="3269" t="s">
        <v>909</v>
      </c>
      <c r="AF43" s="3270" t="s">
        <v>909</v>
      </c>
      <c r="AG43" s="2934"/>
      <c r="AM43" s="2934"/>
      <c r="AN43" s="2934"/>
    </row>
    <row r="44" spans="1:40" ht="18.75">
      <c r="T44" s="3241"/>
      <c r="U44" s="3242" t="s">
        <v>3254</v>
      </c>
      <c r="V44" s="3271"/>
      <c r="W44" s="3271"/>
      <c r="X44" s="3271"/>
      <c r="Y44" s="3272"/>
      <c r="Z44" s="3271"/>
      <c r="AA44" s="3271"/>
      <c r="AB44" s="3271"/>
      <c r="AC44" s="3271"/>
      <c r="AD44" s="3271"/>
      <c r="AE44" s="3271"/>
      <c r="AF44" s="3273"/>
      <c r="AH44" s="2941"/>
      <c r="AI44" s="2941"/>
      <c r="AJ44" s="2941"/>
      <c r="AK44" s="2941"/>
      <c r="AL44" s="2941"/>
    </row>
    <row r="45" spans="1:40" ht="18.75">
      <c r="T45" s="3241"/>
      <c r="U45" s="3242" t="s">
        <v>3255</v>
      </c>
      <c r="V45" s="3234"/>
      <c r="W45" s="3243"/>
      <c r="X45" s="3243"/>
      <c r="Y45" s="3243"/>
      <c r="Z45" s="3243"/>
      <c r="AA45" s="3243"/>
      <c r="AB45" s="3243"/>
      <c r="AC45" s="3243"/>
      <c r="AD45" s="3243"/>
      <c r="AE45" s="3243"/>
      <c r="AF45" s="3244"/>
      <c r="AH45" s="2941"/>
      <c r="AI45" s="2941"/>
      <c r="AJ45" s="2941"/>
      <c r="AK45" s="2941"/>
      <c r="AL45" s="2941"/>
    </row>
    <row r="46" spans="1:40" ht="18.75">
      <c r="A46" s="3274">
        <v>2.86</v>
      </c>
      <c r="B46" s="3275">
        <v>8</v>
      </c>
      <c r="C46" s="3275">
        <v>25</v>
      </c>
      <c r="D46" s="3275">
        <v>8</v>
      </c>
      <c r="E46" s="3275">
        <v>8</v>
      </c>
      <c r="F46" s="3275">
        <v>18</v>
      </c>
      <c r="G46" s="3275">
        <v>18</v>
      </c>
      <c r="H46" s="3275">
        <v>18</v>
      </c>
      <c r="I46" s="3274">
        <v>2.86</v>
      </c>
      <c r="J46" s="3276" t="s">
        <v>1958</v>
      </c>
      <c r="T46" s="3277"/>
      <c r="U46" s="3278" t="s">
        <v>3256</v>
      </c>
      <c r="V46" s="3243"/>
      <c r="W46" s="3243"/>
      <c r="X46" s="3243"/>
      <c r="Y46" s="3243"/>
      <c r="Z46" s="3243"/>
      <c r="AA46" s="3243"/>
      <c r="AB46" s="3243"/>
      <c r="AC46" s="3243"/>
      <c r="AD46" s="3243"/>
      <c r="AE46" s="3243"/>
      <c r="AF46" s="3244"/>
      <c r="AH46" s="2941"/>
      <c r="AI46" s="2941"/>
      <c r="AJ46" s="2941"/>
      <c r="AK46" s="2941"/>
      <c r="AL46" s="2941"/>
    </row>
    <row r="47" spans="1:40" ht="18.75">
      <c r="T47" s="3279"/>
      <c r="U47" s="3280" t="s">
        <v>3257</v>
      </c>
      <c r="V47" s="3280"/>
      <c r="W47" s="3280"/>
      <c r="X47" s="3280"/>
      <c r="Y47" s="3280"/>
      <c r="Z47" s="3280"/>
      <c r="AA47" s="3280"/>
      <c r="AB47" s="3280"/>
      <c r="AC47" s="3280"/>
      <c r="AD47" s="3280"/>
      <c r="AE47" s="3280"/>
      <c r="AF47" s="3281"/>
      <c r="AH47" s="2941"/>
      <c r="AI47" s="2941"/>
      <c r="AJ47" s="2941"/>
      <c r="AK47" s="2941"/>
      <c r="AL47" s="2941"/>
    </row>
    <row r="48" spans="1:40">
      <c r="AH48" s="2941"/>
      <c r="AI48" s="2941"/>
      <c r="AJ48" s="2941"/>
      <c r="AK48" s="2941"/>
      <c r="AL48" s="2941"/>
    </row>
    <row r="49" spans="34:38">
      <c r="AH49" s="2941"/>
      <c r="AI49" s="2941"/>
      <c r="AJ49" s="2941"/>
      <c r="AK49" s="2941"/>
      <c r="AL49" s="2941"/>
    </row>
    <row r="50" spans="34:38">
      <c r="AH50" s="2941"/>
      <c r="AI50" s="2941"/>
      <c r="AJ50" s="2941"/>
      <c r="AK50" s="2941"/>
      <c r="AL50" s="2941"/>
    </row>
    <row r="51" spans="34:38">
      <c r="AH51" s="2941"/>
      <c r="AI51" s="2941"/>
      <c r="AJ51" s="2941"/>
      <c r="AK51" s="2941"/>
      <c r="AL51" s="2941"/>
    </row>
    <row r="52" spans="34:38">
      <c r="AH52" s="2941"/>
      <c r="AI52" s="2941"/>
      <c r="AJ52" s="2941"/>
      <c r="AK52" s="2941"/>
      <c r="AL52" s="2941"/>
    </row>
    <row r="53" spans="34:38">
      <c r="AH53" s="2941"/>
      <c r="AI53" s="2941"/>
      <c r="AJ53" s="2941"/>
      <c r="AK53" s="2941"/>
      <c r="AL53" s="2941"/>
    </row>
    <row r="54" spans="34:38">
      <c r="AH54" s="2941"/>
      <c r="AI54" s="2941"/>
      <c r="AJ54" s="2941"/>
      <c r="AK54" s="2941"/>
      <c r="AL54" s="2941"/>
    </row>
    <row r="55" spans="34:38">
      <c r="AH55" s="2941"/>
      <c r="AI55" s="2941"/>
      <c r="AJ55" s="2941"/>
      <c r="AK55" s="2941"/>
      <c r="AL55" s="2941"/>
    </row>
    <row r="56" spans="34:38">
      <c r="AH56" s="2941"/>
      <c r="AI56" s="2941"/>
      <c r="AJ56" s="2941"/>
      <c r="AK56" s="2941"/>
      <c r="AL56" s="2941"/>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2362B5D4-B326-4502-8272-244F30DC712E}"/>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1DD4-EE26-4A57-8A47-8F6BF231BFC2}">
  <dimension ref="A2:S71"/>
  <sheetViews>
    <sheetView workbookViewId="0">
      <selection activeCell="B2" sqref="B2:S2"/>
    </sheetView>
  </sheetViews>
  <sheetFormatPr baseColWidth="10" defaultRowHeight="12.75"/>
  <cols>
    <col min="1" max="1" width="3.7109375" style="835" customWidth="1"/>
    <col min="2" max="2" width="11.42578125" style="835"/>
    <col min="3" max="3" width="29.42578125" style="835" bestFit="1" customWidth="1"/>
    <col min="4" max="6" width="11.42578125" style="835"/>
    <col min="7" max="7" width="3.7109375" style="835" customWidth="1"/>
    <col min="8" max="8" width="11.42578125" style="835"/>
    <col min="9" max="9" width="33.140625" style="835" bestFit="1" customWidth="1"/>
    <col min="10" max="12" width="11.42578125" style="835"/>
    <col min="13" max="13" width="3.7109375" style="835" customWidth="1"/>
    <col min="14" max="14" width="11.42578125" style="835"/>
    <col min="15" max="15" width="32.85546875" style="835" bestFit="1" customWidth="1"/>
    <col min="16" max="18" width="11.42578125" style="835"/>
    <col min="19" max="19" width="3.7109375" style="835" customWidth="1"/>
    <col min="20" max="16384" width="11.42578125" style="835"/>
  </cols>
  <sheetData>
    <row r="2" spans="1:19" ht="37.5" customHeight="1">
      <c r="B2" s="4589" t="s">
        <v>2927</v>
      </c>
      <c r="C2" s="4589"/>
      <c r="D2" s="4589"/>
      <c r="E2" s="4589"/>
      <c r="F2" s="4589"/>
      <c r="G2" s="4589"/>
      <c r="H2" s="4589"/>
      <c r="I2" s="4589"/>
      <c r="J2" s="4589"/>
      <c r="K2" s="4589"/>
      <c r="L2" s="4589"/>
      <c r="M2" s="4589"/>
      <c r="N2" s="4589"/>
      <c r="O2" s="4589"/>
      <c r="P2" s="4589"/>
      <c r="Q2" s="4589"/>
      <c r="R2" s="4589"/>
      <c r="S2" s="4589"/>
    </row>
    <row r="4" spans="1:19" ht="13.5" thickBot="1"/>
    <row r="5" spans="1:19" ht="12.75" customHeight="1">
      <c r="B5" s="4590" t="s">
        <v>2928</v>
      </c>
      <c r="C5" s="4591"/>
      <c r="D5" s="4591"/>
      <c r="E5" s="4591"/>
      <c r="F5" s="4592"/>
      <c r="H5" s="4590" t="s">
        <v>2928</v>
      </c>
      <c r="I5" s="4591"/>
      <c r="J5" s="4591"/>
      <c r="K5" s="4591"/>
      <c r="L5" s="4592"/>
      <c r="N5" s="4590" t="s">
        <v>2928</v>
      </c>
      <c r="O5" s="4591"/>
      <c r="P5" s="4591"/>
      <c r="Q5" s="4591"/>
      <c r="R5" s="4592"/>
    </row>
    <row r="6" spans="1:19" ht="17.25" customHeight="1" thickBot="1">
      <c r="B6" s="4593"/>
      <c r="C6" s="4594"/>
      <c r="D6" s="4594"/>
      <c r="E6" s="4594"/>
      <c r="F6" s="4595"/>
      <c r="H6" s="4593"/>
      <c r="I6" s="4594"/>
      <c r="J6" s="4594"/>
      <c r="K6" s="4594"/>
      <c r="L6" s="4595"/>
      <c r="N6" s="4593"/>
      <c r="O6" s="4594"/>
      <c r="P6" s="4594"/>
      <c r="Q6" s="4594"/>
      <c r="R6" s="4595"/>
    </row>
    <row r="7" spans="1:19" ht="17.25" customHeight="1">
      <c r="B7" s="2916"/>
      <c r="C7" s="2916"/>
      <c r="D7" s="2916"/>
      <c r="E7" s="2916"/>
      <c r="F7" s="2916"/>
    </row>
    <row r="8" spans="1:19" ht="25.5" customHeight="1">
      <c r="A8" s="4596"/>
      <c r="B8" s="2917" t="s">
        <v>2929</v>
      </c>
      <c r="C8" s="2917" t="s">
        <v>2930</v>
      </c>
      <c r="D8" s="2918" t="s">
        <v>2931</v>
      </c>
      <c r="E8" s="2919" t="s">
        <v>2500</v>
      </c>
      <c r="F8" s="2920" t="s">
        <v>2932</v>
      </c>
      <c r="G8" s="4596"/>
      <c r="H8" s="2917" t="s">
        <v>2929</v>
      </c>
      <c r="I8" s="2917" t="s">
        <v>2930</v>
      </c>
      <c r="J8" s="2918" t="s">
        <v>2931</v>
      </c>
      <c r="K8" s="2919" t="s">
        <v>2500</v>
      </c>
      <c r="L8" s="2920" t="s">
        <v>2932</v>
      </c>
      <c r="M8" s="4596"/>
      <c r="N8" s="2917" t="s">
        <v>2929</v>
      </c>
      <c r="O8" s="2917" t="s">
        <v>2930</v>
      </c>
      <c r="P8" s="2918" t="s">
        <v>2931</v>
      </c>
      <c r="Q8" s="2919" t="s">
        <v>2500</v>
      </c>
      <c r="R8" s="2920" t="s">
        <v>2932</v>
      </c>
      <c r="S8" s="4596"/>
    </row>
    <row r="9" spans="1:19" ht="25.5" customHeight="1">
      <c r="A9" s="4596"/>
      <c r="C9" s="2921" t="s">
        <v>99</v>
      </c>
      <c r="D9" s="2922"/>
      <c r="E9" s="2923"/>
      <c r="F9" s="2924"/>
      <c r="G9" s="4596"/>
      <c r="H9" s="2925"/>
      <c r="I9" s="2921" t="s">
        <v>143</v>
      </c>
      <c r="J9" s="2926"/>
      <c r="K9" s="2927"/>
      <c r="L9" s="2928"/>
      <c r="M9" s="4596"/>
      <c r="N9" s="2925"/>
      <c r="O9" s="2921" t="s">
        <v>504</v>
      </c>
      <c r="P9" s="2926"/>
      <c r="Q9" s="2927"/>
      <c r="R9" s="2928"/>
      <c r="S9" s="4596"/>
    </row>
    <row r="10" spans="1:19" ht="15.75">
      <c r="A10" s="4596"/>
      <c r="B10" s="2929">
        <v>1</v>
      </c>
      <c r="C10" s="2930" t="s">
        <v>2933</v>
      </c>
      <c r="D10" s="2926">
        <v>10</v>
      </c>
      <c r="E10" s="2927">
        <v>5.5E-2</v>
      </c>
      <c r="F10" s="2928">
        <f t="shared" ref="F10:F17" si="0">E10*D10</f>
        <v>0.55000000000000004</v>
      </c>
      <c r="G10" s="4596"/>
      <c r="H10" s="2929">
        <v>56</v>
      </c>
      <c r="I10" s="2930" t="s">
        <v>2934</v>
      </c>
      <c r="J10" s="2926">
        <v>10</v>
      </c>
      <c r="K10" s="2927">
        <v>0.17</v>
      </c>
      <c r="L10" s="2928">
        <f>K10*J10</f>
        <v>1.7000000000000002</v>
      </c>
      <c r="M10" s="4596"/>
      <c r="N10" s="2929">
        <v>113</v>
      </c>
      <c r="O10" s="2930" t="s">
        <v>2935</v>
      </c>
      <c r="P10" s="2926">
        <v>10</v>
      </c>
      <c r="Q10" s="2927">
        <v>0.02</v>
      </c>
      <c r="R10" s="2928">
        <f>Q10*P10</f>
        <v>0.2</v>
      </c>
      <c r="S10" s="4596"/>
    </row>
    <row r="11" spans="1:19" ht="15.75">
      <c r="A11" s="4596"/>
      <c r="B11" s="2929">
        <v>2</v>
      </c>
      <c r="C11" s="2930" t="s">
        <v>2936</v>
      </c>
      <c r="D11" s="2926">
        <v>10</v>
      </c>
      <c r="E11" s="2927">
        <v>5.0000000000000001E-3</v>
      </c>
      <c r="F11" s="2928">
        <f t="shared" si="0"/>
        <v>0.05</v>
      </c>
      <c r="G11" s="4596"/>
      <c r="H11" s="2929">
        <v>57</v>
      </c>
      <c r="I11" s="2930" t="s">
        <v>2937</v>
      </c>
      <c r="J11" s="2926">
        <v>10</v>
      </c>
      <c r="K11" s="2927">
        <v>0.16</v>
      </c>
      <c r="L11" s="2928">
        <f>K11*J11</f>
        <v>1.6</v>
      </c>
      <c r="M11" s="4596"/>
      <c r="N11" s="2929">
        <v>114</v>
      </c>
      <c r="O11" s="2930" t="s">
        <v>2938</v>
      </c>
      <c r="P11" s="2926">
        <v>10</v>
      </c>
      <c r="Q11" s="2927">
        <v>0.125</v>
      </c>
      <c r="R11" s="2928">
        <f>Q11*P11</f>
        <v>1.25</v>
      </c>
      <c r="S11" s="4596"/>
    </row>
    <row r="12" spans="1:19" ht="20.25">
      <c r="A12" s="4596"/>
      <c r="B12" s="2929">
        <v>3</v>
      </c>
      <c r="C12" s="2930" t="s">
        <v>2939</v>
      </c>
      <c r="D12" s="2926">
        <v>10</v>
      </c>
      <c r="E12" s="2927">
        <v>8.0000000000000002E-3</v>
      </c>
      <c r="F12" s="2928">
        <f t="shared" si="0"/>
        <v>0.08</v>
      </c>
      <c r="G12" s="4596"/>
      <c r="H12" s="2929">
        <v>58</v>
      </c>
      <c r="I12" s="2930" t="s">
        <v>2940</v>
      </c>
      <c r="J12" s="2926">
        <v>10</v>
      </c>
      <c r="K12" s="2927">
        <v>0.88500000000000001</v>
      </c>
      <c r="L12" s="2928">
        <f>K12*J12</f>
        <v>8.85</v>
      </c>
      <c r="M12" s="4596"/>
      <c r="N12" s="2925"/>
      <c r="O12" s="2931" t="s">
        <v>538</v>
      </c>
      <c r="P12" s="2926"/>
      <c r="Q12" s="2927"/>
      <c r="R12" s="2928"/>
      <c r="S12" s="4596"/>
    </row>
    <row r="13" spans="1:19" ht="15.75">
      <c r="A13" s="4596"/>
      <c r="B13" s="2929">
        <v>4</v>
      </c>
      <c r="C13" s="2930" t="s">
        <v>2941</v>
      </c>
      <c r="D13" s="2926">
        <v>10</v>
      </c>
      <c r="E13" s="2927">
        <v>0.05</v>
      </c>
      <c r="F13" s="2928">
        <f t="shared" si="0"/>
        <v>0.5</v>
      </c>
      <c r="G13" s="4596"/>
      <c r="H13" s="2929">
        <v>59</v>
      </c>
      <c r="I13" s="2930" t="s">
        <v>2942</v>
      </c>
      <c r="J13" s="2926">
        <v>10</v>
      </c>
      <c r="K13" s="2927">
        <v>0.5</v>
      </c>
      <c r="L13" s="2928">
        <f>K13*J13</f>
        <v>5</v>
      </c>
      <c r="M13" s="4596"/>
      <c r="N13" s="2932">
        <v>115</v>
      </c>
      <c r="O13" s="2930" t="s">
        <v>2943</v>
      </c>
      <c r="P13" s="2926">
        <v>10</v>
      </c>
      <c r="Q13" s="2927">
        <v>4.4999999999999998E-2</v>
      </c>
      <c r="R13" s="2928">
        <f t="shared" ref="R13:R36" si="1">Q13*P13</f>
        <v>0.44999999999999996</v>
      </c>
      <c r="S13" s="4596"/>
    </row>
    <row r="14" spans="1:19" ht="20.25">
      <c r="A14" s="4596"/>
      <c r="B14" s="2929">
        <v>5</v>
      </c>
      <c r="C14" s="2930" t="s">
        <v>2944</v>
      </c>
      <c r="D14" s="2926">
        <v>10</v>
      </c>
      <c r="E14" s="2927">
        <v>2</v>
      </c>
      <c r="F14" s="2928">
        <f t="shared" si="0"/>
        <v>20</v>
      </c>
      <c r="G14" s="4596"/>
      <c r="H14" s="2925"/>
      <c r="I14" s="2931" t="s">
        <v>224</v>
      </c>
      <c r="J14" s="2926"/>
      <c r="K14" s="2927"/>
      <c r="L14" s="2928"/>
      <c r="M14" s="4596"/>
      <c r="N14" s="2932">
        <v>116</v>
      </c>
      <c r="O14" s="2930" t="s">
        <v>2945</v>
      </c>
      <c r="P14" s="2926">
        <v>10</v>
      </c>
      <c r="Q14" s="2927">
        <v>1E-3</v>
      </c>
      <c r="R14" s="2928">
        <f t="shared" si="1"/>
        <v>0.01</v>
      </c>
      <c r="S14" s="4596"/>
    </row>
    <row r="15" spans="1:19" ht="15.75">
      <c r="A15" s="4596"/>
      <c r="B15" s="2929">
        <v>6</v>
      </c>
      <c r="C15" s="2930" t="s">
        <v>2946</v>
      </c>
      <c r="D15" s="2926">
        <v>10</v>
      </c>
      <c r="E15" s="2927">
        <v>0.35</v>
      </c>
      <c r="F15" s="2928">
        <f t="shared" si="0"/>
        <v>3.5</v>
      </c>
      <c r="G15" s="4596"/>
      <c r="H15" s="2932">
        <v>60</v>
      </c>
      <c r="I15" s="2930" t="s">
        <v>2947</v>
      </c>
      <c r="J15" s="2926">
        <v>10</v>
      </c>
      <c r="K15" s="2927">
        <v>1.5</v>
      </c>
      <c r="L15" s="2928">
        <f>K15*J15</f>
        <v>15</v>
      </c>
      <c r="M15" s="4596"/>
      <c r="N15" s="2932">
        <v>117</v>
      </c>
      <c r="O15" s="2930" t="s">
        <v>2948</v>
      </c>
      <c r="P15" s="2926">
        <v>10</v>
      </c>
      <c r="Q15" s="2927">
        <v>0.05</v>
      </c>
      <c r="R15" s="2928">
        <f t="shared" si="1"/>
        <v>0.5</v>
      </c>
      <c r="S15" s="4596"/>
    </row>
    <row r="16" spans="1:19" ht="15.75">
      <c r="A16" s="4596"/>
      <c r="B16" s="2929">
        <v>7</v>
      </c>
      <c r="C16" s="2930" t="s">
        <v>2949</v>
      </c>
      <c r="D16" s="2926">
        <v>10</v>
      </c>
      <c r="E16" s="2927">
        <v>0.11</v>
      </c>
      <c r="F16" s="2928">
        <f t="shared" si="0"/>
        <v>1.1000000000000001</v>
      </c>
      <c r="G16" s="4596"/>
      <c r="H16" s="2932">
        <v>61</v>
      </c>
      <c r="I16" s="2930" t="s">
        <v>2950</v>
      </c>
      <c r="J16" s="2926">
        <v>10</v>
      </c>
      <c r="K16" s="2927">
        <v>0.15</v>
      </c>
      <c r="L16" s="2928">
        <f>K16*J16</f>
        <v>1.5</v>
      </c>
      <c r="M16" s="4596"/>
      <c r="N16" s="2932">
        <v>118</v>
      </c>
      <c r="O16" s="2930" t="s">
        <v>2951</v>
      </c>
      <c r="P16" s="2926">
        <v>10</v>
      </c>
      <c r="Q16" s="2927">
        <v>1.4999999999999999E-2</v>
      </c>
      <c r="R16" s="2928">
        <f t="shared" si="1"/>
        <v>0.15</v>
      </c>
      <c r="S16" s="4596"/>
    </row>
    <row r="17" spans="1:19" ht="20.25">
      <c r="A17" s="4596"/>
      <c r="B17" s="2929">
        <v>8</v>
      </c>
      <c r="C17" s="2930" t="s">
        <v>2952</v>
      </c>
      <c r="D17" s="2926">
        <v>10</v>
      </c>
      <c r="E17" s="2927">
        <v>0.22</v>
      </c>
      <c r="F17" s="2928">
        <f t="shared" si="0"/>
        <v>2.2000000000000002</v>
      </c>
      <c r="G17" s="4596"/>
      <c r="H17" s="2925"/>
      <c r="I17" s="2921" t="s">
        <v>316</v>
      </c>
      <c r="J17" s="2926"/>
      <c r="K17" s="2927"/>
      <c r="L17" s="2928"/>
      <c r="M17" s="4596"/>
      <c r="N17" s="2932">
        <v>119</v>
      </c>
      <c r="O17" s="2930" t="s">
        <v>2953</v>
      </c>
      <c r="P17" s="2926">
        <v>10</v>
      </c>
      <c r="Q17" s="2927">
        <v>0.2</v>
      </c>
      <c r="R17" s="2928">
        <f t="shared" si="1"/>
        <v>2</v>
      </c>
      <c r="S17" s="4596"/>
    </row>
    <row r="18" spans="1:19" ht="20.25">
      <c r="A18" s="4596"/>
      <c r="B18" s="2925"/>
      <c r="C18" s="2931" t="s">
        <v>100</v>
      </c>
      <c r="D18" s="2926"/>
      <c r="E18" s="2927"/>
      <c r="F18" s="2928"/>
      <c r="G18" s="4596"/>
      <c r="H18" s="2929">
        <v>62</v>
      </c>
      <c r="I18" s="2930" t="s">
        <v>2954</v>
      </c>
      <c r="J18" s="2926">
        <v>10</v>
      </c>
      <c r="K18" s="2927">
        <v>0.01</v>
      </c>
      <c r="L18" s="2928">
        <f t="shared" ref="L18:L29" si="2">K18*J18</f>
        <v>0.1</v>
      </c>
      <c r="M18" s="4596"/>
      <c r="N18" s="2932">
        <v>120</v>
      </c>
      <c r="O18" s="2930" t="s">
        <v>2955</v>
      </c>
      <c r="P18" s="2926">
        <v>10</v>
      </c>
      <c r="Q18" s="2927">
        <v>1.2E-2</v>
      </c>
      <c r="R18" s="2928">
        <f t="shared" si="1"/>
        <v>0.12</v>
      </c>
      <c r="S18" s="4596"/>
    </row>
    <row r="19" spans="1:19" ht="15.75">
      <c r="A19" s="4596"/>
      <c r="B19" s="2932">
        <v>9</v>
      </c>
      <c r="C19" s="2930" t="s">
        <v>2956</v>
      </c>
      <c r="D19" s="2926">
        <v>10</v>
      </c>
      <c r="E19" s="2927">
        <v>0.12</v>
      </c>
      <c r="F19" s="2928">
        <f t="shared" ref="F19:F35" si="3">E19*D19</f>
        <v>1.2</v>
      </c>
      <c r="G19" s="4596"/>
      <c r="H19" s="2929">
        <v>63</v>
      </c>
      <c r="I19" s="2930" t="s">
        <v>2957</v>
      </c>
      <c r="J19" s="2926">
        <v>10</v>
      </c>
      <c r="K19" s="2927">
        <v>0.8</v>
      </c>
      <c r="L19" s="2928">
        <f t="shared" si="2"/>
        <v>8</v>
      </c>
      <c r="M19" s="4596"/>
      <c r="N19" s="2932">
        <v>121</v>
      </c>
      <c r="O19" s="2930" t="s">
        <v>2958</v>
      </c>
      <c r="P19" s="2926">
        <v>10</v>
      </c>
      <c r="Q19" s="2927">
        <v>1.2E-2</v>
      </c>
      <c r="R19" s="2928">
        <f t="shared" si="1"/>
        <v>0.12</v>
      </c>
      <c r="S19" s="4596"/>
    </row>
    <row r="20" spans="1:19" ht="15.75">
      <c r="A20" s="4596"/>
      <c r="B20" s="2932">
        <v>10</v>
      </c>
      <c r="C20" s="2930" t="s">
        <v>2959</v>
      </c>
      <c r="D20" s="2926">
        <v>10</v>
      </c>
      <c r="E20" s="2927">
        <v>8.0000000000000002E-3</v>
      </c>
      <c r="F20" s="2928">
        <f t="shared" si="3"/>
        <v>0.08</v>
      </c>
      <c r="G20" s="4596"/>
      <c r="H20" s="2929">
        <v>64</v>
      </c>
      <c r="I20" s="2930" t="s">
        <v>2960</v>
      </c>
      <c r="J20" s="2926">
        <v>10</v>
      </c>
      <c r="K20" s="2927">
        <v>0.5</v>
      </c>
      <c r="L20" s="2928">
        <f t="shared" si="2"/>
        <v>5</v>
      </c>
      <c r="M20" s="4596"/>
      <c r="N20" s="2932">
        <v>122</v>
      </c>
      <c r="O20" s="2930" t="s">
        <v>2961</v>
      </c>
      <c r="P20" s="2926">
        <v>10</v>
      </c>
      <c r="Q20" s="2927">
        <v>1.9E-2</v>
      </c>
      <c r="R20" s="2928">
        <f t="shared" si="1"/>
        <v>0.19</v>
      </c>
      <c r="S20" s="4596"/>
    </row>
    <row r="21" spans="1:19" ht="15.75">
      <c r="A21" s="4596"/>
      <c r="B21" s="2932">
        <v>11</v>
      </c>
      <c r="C21" s="2930" t="s">
        <v>2962</v>
      </c>
      <c r="D21" s="2926">
        <v>10</v>
      </c>
      <c r="E21" s="2927">
        <v>4.0000000000000001E-3</v>
      </c>
      <c r="F21" s="2928">
        <f t="shared" si="3"/>
        <v>0.04</v>
      </c>
      <c r="G21" s="4596"/>
      <c r="H21" s="2929">
        <v>65</v>
      </c>
      <c r="I21" s="2930" t="s">
        <v>2963</v>
      </c>
      <c r="J21" s="2926">
        <v>10</v>
      </c>
      <c r="K21" s="2927">
        <v>0.23</v>
      </c>
      <c r="L21" s="2928">
        <f t="shared" si="2"/>
        <v>2.3000000000000003</v>
      </c>
      <c r="M21" s="4596"/>
      <c r="N21" s="2932">
        <v>123</v>
      </c>
      <c r="O21" s="2930" t="s">
        <v>2964</v>
      </c>
      <c r="P21" s="2926">
        <v>10</v>
      </c>
      <c r="Q21" s="2927">
        <v>1.2E-2</v>
      </c>
      <c r="R21" s="2928">
        <f t="shared" si="1"/>
        <v>0.12</v>
      </c>
      <c r="S21" s="4596"/>
    </row>
    <row r="22" spans="1:19" ht="15.75">
      <c r="A22" s="4596"/>
      <c r="B22" s="2932">
        <v>12</v>
      </c>
      <c r="C22" s="2930" t="s">
        <v>2965</v>
      </c>
      <c r="D22" s="2926">
        <v>10</v>
      </c>
      <c r="E22" s="2927">
        <v>1.4999999999999999E-2</v>
      </c>
      <c r="F22" s="2928">
        <f t="shared" si="3"/>
        <v>0.15</v>
      </c>
      <c r="G22" s="4596"/>
      <c r="H22" s="2929">
        <v>66</v>
      </c>
      <c r="I22" s="2930" t="s">
        <v>2966</v>
      </c>
      <c r="J22" s="2926">
        <v>10</v>
      </c>
      <c r="K22" s="2927">
        <v>9.5</v>
      </c>
      <c r="L22" s="2928">
        <f t="shared" si="2"/>
        <v>95</v>
      </c>
      <c r="M22" s="4596"/>
      <c r="N22" s="2932">
        <v>124</v>
      </c>
      <c r="O22" s="2930" t="s">
        <v>2967</v>
      </c>
      <c r="P22" s="2926">
        <v>10</v>
      </c>
      <c r="Q22" s="2927">
        <v>1.2999999999999999E-2</v>
      </c>
      <c r="R22" s="2928">
        <f t="shared" si="1"/>
        <v>0.13</v>
      </c>
      <c r="S22" s="4596"/>
    </row>
    <row r="23" spans="1:19" ht="15.75">
      <c r="A23" s="4596"/>
      <c r="B23" s="2932">
        <v>13</v>
      </c>
      <c r="C23" s="2930" t="s">
        <v>2968</v>
      </c>
      <c r="D23" s="2926">
        <v>10</v>
      </c>
      <c r="E23" s="2927">
        <v>4.0000000000000001E-3</v>
      </c>
      <c r="F23" s="2928">
        <f t="shared" si="3"/>
        <v>0.04</v>
      </c>
      <c r="G23" s="4596"/>
      <c r="H23" s="2929">
        <v>67</v>
      </c>
      <c r="I23" s="2930" t="s">
        <v>2969</v>
      </c>
      <c r="J23" s="2926">
        <v>10</v>
      </c>
      <c r="K23" s="2927">
        <v>0.9</v>
      </c>
      <c r="L23" s="2928">
        <f t="shared" si="2"/>
        <v>9</v>
      </c>
      <c r="M23" s="4596"/>
      <c r="N23" s="2932">
        <v>125</v>
      </c>
      <c r="O23" s="2930" t="s">
        <v>2970</v>
      </c>
      <c r="P23" s="2926">
        <v>10</v>
      </c>
      <c r="Q23" s="2927">
        <v>1.2E-2</v>
      </c>
      <c r="R23" s="2928">
        <f t="shared" si="1"/>
        <v>0.12</v>
      </c>
      <c r="S23" s="4596"/>
    </row>
    <row r="24" spans="1:19" ht="15.75">
      <c r="A24" s="4596"/>
      <c r="B24" s="2932">
        <v>14</v>
      </c>
      <c r="C24" s="2930" t="s">
        <v>2971</v>
      </c>
      <c r="D24" s="2926">
        <v>10</v>
      </c>
      <c r="E24" s="2927">
        <v>1.4999999999999999E-2</v>
      </c>
      <c r="F24" s="2928">
        <f t="shared" si="3"/>
        <v>0.15</v>
      </c>
      <c r="G24" s="4596"/>
      <c r="H24" s="2929">
        <v>68</v>
      </c>
      <c r="I24" s="2930" t="s">
        <v>2972</v>
      </c>
      <c r="J24" s="2926">
        <v>10</v>
      </c>
      <c r="K24" s="2927">
        <v>0.9</v>
      </c>
      <c r="L24" s="2928">
        <f t="shared" si="2"/>
        <v>9</v>
      </c>
      <c r="M24" s="4596"/>
      <c r="N24" s="2932">
        <v>126</v>
      </c>
      <c r="O24" s="2930" t="s">
        <v>2973</v>
      </c>
      <c r="P24" s="2926">
        <v>10</v>
      </c>
      <c r="Q24" s="2927">
        <v>1.2999999999999999E-2</v>
      </c>
      <c r="R24" s="2928">
        <f t="shared" si="1"/>
        <v>0.13</v>
      </c>
      <c r="S24" s="4596"/>
    </row>
    <row r="25" spans="1:19" ht="15.75">
      <c r="A25" s="4596"/>
      <c r="B25" s="2932">
        <v>15</v>
      </c>
      <c r="C25" s="2930" t="s">
        <v>2974</v>
      </c>
      <c r="D25" s="2926">
        <v>10</v>
      </c>
      <c r="E25" s="2927">
        <v>0.2</v>
      </c>
      <c r="F25" s="2928">
        <f t="shared" si="3"/>
        <v>2</v>
      </c>
      <c r="G25" s="4596"/>
      <c r="H25" s="2929">
        <v>69</v>
      </c>
      <c r="I25" s="2930" t="s">
        <v>2975</v>
      </c>
      <c r="J25" s="2926">
        <v>10</v>
      </c>
      <c r="K25" s="2927">
        <v>0.23</v>
      </c>
      <c r="L25" s="2928">
        <f t="shared" si="2"/>
        <v>2.3000000000000003</v>
      </c>
      <c r="M25" s="4596"/>
      <c r="N25" s="2932">
        <v>127</v>
      </c>
      <c r="O25" s="2930" t="s">
        <v>2976</v>
      </c>
      <c r="P25" s="2926">
        <v>10</v>
      </c>
      <c r="Q25" s="2927">
        <v>0.11</v>
      </c>
      <c r="R25" s="2928">
        <f t="shared" si="1"/>
        <v>1.1000000000000001</v>
      </c>
      <c r="S25" s="4596"/>
    </row>
    <row r="26" spans="1:19" ht="15.75">
      <c r="A26" s="4596"/>
      <c r="B26" s="2932">
        <v>16</v>
      </c>
      <c r="C26" s="2930" t="s">
        <v>2977</v>
      </c>
      <c r="D26" s="2926">
        <v>10</v>
      </c>
      <c r="E26" s="2927">
        <v>0.5</v>
      </c>
      <c r="F26" s="2928">
        <f t="shared" si="3"/>
        <v>5</v>
      </c>
      <c r="G26" s="4596"/>
      <c r="H26" s="2929">
        <v>70</v>
      </c>
      <c r="I26" s="2930" t="s">
        <v>2978</v>
      </c>
      <c r="J26" s="2926">
        <v>10</v>
      </c>
      <c r="K26" s="2927">
        <v>0.23</v>
      </c>
      <c r="L26" s="2928">
        <f t="shared" si="2"/>
        <v>2.3000000000000003</v>
      </c>
      <c r="M26" s="4596"/>
      <c r="N26" s="2932">
        <v>128</v>
      </c>
      <c r="O26" s="2930" t="s">
        <v>2979</v>
      </c>
      <c r="P26" s="2926">
        <v>10</v>
      </c>
      <c r="Q26" s="2927">
        <v>0.13</v>
      </c>
      <c r="R26" s="2928">
        <f t="shared" si="1"/>
        <v>1.3</v>
      </c>
      <c r="S26" s="4596"/>
    </row>
    <row r="27" spans="1:19" ht="15.75">
      <c r="A27" s="4596"/>
      <c r="B27" s="2932">
        <v>17</v>
      </c>
      <c r="C27" s="2930" t="s">
        <v>2980</v>
      </c>
      <c r="D27" s="2926">
        <v>10</v>
      </c>
      <c r="E27" s="2927">
        <v>2.75</v>
      </c>
      <c r="F27" s="2928">
        <f t="shared" si="3"/>
        <v>27.5</v>
      </c>
      <c r="G27" s="4596"/>
      <c r="H27" s="2929">
        <v>71</v>
      </c>
      <c r="I27" s="2930" t="s">
        <v>2981</v>
      </c>
      <c r="J27" s="2926">
        <v>10</v>
      </c>
      <c r="K27" s="2927">
        <v>1.7</v>
      </c>
      <c r="L27" s="2928">
        <f t="shared" si="2"/>
        <v>17</v>
      </c>
      <c r="M27" s="4596"/>
      <c r="N27" s="2932">
        <v>129</v>
      </c>
      <c r="O27" s="2930" t="s">
        <v>2982</v>
      </c>
      <c r="P27" s="2926">
        <v>10</v>
      </c>
      <c r="Q27" s="2927">
        <v>0.28000000000000003</v>
      </c>
      <c r="R27" s="2928">
        <f t="shared" si="1"/>
        <v>2.8000000000000003</v>
      </c>
      <c r="S27" s="4596"/>
    </row>
    <row r="28" spans="1:19" ht="15.75">
      <c r="A28" s="4596"/>
      <c r="B28" s="2932">
        <v>18</v>
      </c>
      <c r="C28" s="2930" t="s">
        <v>2983</v>
      </c>
      <c r="D28" s="2926">
        <v>10</v>
      </c>
      <c r="E28" s="2927">
        <v>6</v>
      </c>
      <c r="F28" s="2928">
        <f t="shared" si="3"/>
        <v>60</v>
      </c>
      <c r="G28" s="4596"/>
      <c r="H28" s="2929">
        <v>72</v>
      </c>
      <c r="I28" s="2930" t="s">
        <v>2984</v>
      </c>
      <c r="J28" s="2926">
        <v>10</v>
      </c>
      <c r="K28" s="2927">
        <v>2.2000000000000002</v>
      </c>
      <c r="L28" s="2928">
        <f t="shared" si="2"/>
        <v>22</v>
      </c>
      <c r="M28" s="4596"/>
      <c r="N28" s="2932">
        <v>130</v>
      </c>
      <c r="O28" s="2930" t="s">
        <v>2985</v>
      </c>
      <c r="P28" s="2926">
        <v>10</v>
      </c>
      <c r="Q28" s="2927">
        <v>0.35</v>
      </c>
      <c r="R28" s="2928">
        <f t="shared" si="1"/>
        <v>3.5</v>
      </c>
      <c r="S28" s="4596"/>
    </row>
    <row r="29" spans="1:19" ht="15.75">
      <c r="A29" s="4596"/>
      <c r="B29" s="2932">
        <v>19</v>
      </c>
      <c r="C29" s="2930" t="s">
        <v>2986</v>
      </c>
      <c r="D29" s="2926">
        <v>10</v>
      </c>
      <c r="E29" s="2927">
        <v>8</v>
      </c>
      <c r="F29" s="2928">
        <f t="shared" si="3"/>
        <v>80</v>
      </c>
      <c r="G29" s="4596"/>
      <c r="H29" s="2929">
        <v>73</v>
      </c>
      <c r="I29" s="2930" t="s">
        <v>2987</v>
      </c>
      <c r="J29" s="2926">
        <v>10</v>
      </c>
      <c r="K29" s="2927">
        <v>2</v>
      </c>
      <c r="L29" s="2928">
        <f t="shared" si="2"/>
        <v>20</v>
      </c>
      <c r="M29" s="4596"/>
      <c r="N29" s="2932">
        <v>131</v>
      </c>
      <c r="O29" s="2930" t="s">
        <v>2988</v>
      </c>
      <c r="P29" s="2926">
        <v>10</v>
      </c>
      <c r="Q29" s="2927">
        <v>0.5</v>
      </c>
      <c r="R29" s="2928">
        <f t="shared" si="1"/>
        <v>5</v>
      </c>
      <c r="S29" s="4596"/>
    </row>
    <row r="30" spans="1:19" ht="20.25">
      <c r="A30" s="4596"/>
      <c r="B30" s="2932">
        <v>20</v>
      </c>
      <c r="C30" s="2930" t="s">
        <v>2989</v>
      </c>
      <c r="D30" s="2926">
        <v>10</v>
      </c>
      <c r="E30" s="2927">
        <v>4.2</v>
      </c>
      <c r="F30" s="2928">
        <f t="shared" si="3"/>
        <v>42</v>
      </c>
      <c r="G30" s="4596"/>
      <c r="H30" s="2929"/>
      <c r="I30" s="2931" t="s">
        <v>654</v>
      </c>
      <c r="J30" s="2926"/>
      <c r="K30" s="2927"/>
      <c r="L30" s="2928"/>
      <c r="M30" s="4596"/>
      <c r="N30" s="2932">
        <v>132</v>
      </c>
      <c r="O30" s="2930" t="s">
        <v>2990</v>
      </c>
      <c r="P30" s="2926">
        <v>10</v>
      </c>
      <c r="Q30" s="2927">
        <v>0.6</v>
      </c>
      <c r="R30" s="2928">
        <f t="shared" si="1"/>
        <v>6</v>
      </c>
      <c r="S30" s="4596"/>
    </row>
    <row r="31" spans="1:19" ht="15.75">
      <c r="A31" s="4596"/>
      <c r="B31" s="2932">
        <v>21</v>
      </c>
      <c r="C31" s="2930" t="s">
        <v>2991</v>
      </c>
      <c r="D31" s="2926">
        <v>10</v>
      </c>
      <c r="E31" s="2927">
        <v>8.5</v>
      </c>
      <c r="F31" s="2928">
        <f t="shared" si="3"/>
        <v>85</v>
      </c>
      <c r="G31" s="4596"/>
      <c r="H31" s="2932">
        <v>74</v>
      </c>
      <c r="I31" s="2930" t="s">
        <v>2992</v>
      </c>
      <c r="J31" s="2926">
        <v>10</v>
      </c>
      <c r="K31" s="2927">
        <v>8.0000000000000002E-3</v>
      </c>
      <c r="L31" s="2928">
        <f>K31*J31</f>
        <v>0.08</v>
      </c>
      <c r="M31" s="4596"/>
      <c r="N31" s="2932">
        <v>133</v>
      </c>
      <c r="O31" s="2930" t="s">
        <v>2990</v>
      </c>
      <c r="P31" s="2926">
        <v>10</v>
      </c>
      <c r="Q31" s="2927">
        <v>0.8</v>
      </c>
      <c r="R31" s="2928">
        <f t="shared" si="1"/>
        <v>8</v>
      </c>
      <c r="S31" s="4596"/>
    </row>
    <row r="32" spans="1:19" ht="15.75">
      <c r="A32" s="4596"/>
      <c r="B32" s="2932">
        <v>22</v>
      </c>
      <c r="C32" s="2930" t="s">
        <v>2993</v>
      </c>
      <c r="D32" s="2926">
        <v>10</v>
      </c>
      <c r="E32" s="2927">
        <v>4</v>
      </c>
      <c r="F32" s="2928">
        <f t="shared" si="3"/>
        <v>40</v>
      </c>
      <c r="G32" s="4596"/>
      <c r="H32" s="2932">
        <v>75</v>
      </c>
      <c r="I32" s="2930" t="s">
        <v>2994</v>
      </c>
      <c r="J32" s="2926">
        <v>10</v>
      </c>
      <c r="K32" s="2927">
        <v>0.05</v>
      </c>
      <c r="L32" s="2928">
        <f>K32*J32</f>
        <v>0.5</v>
      </c>
      <c r="M32" s="4596"/>
      <c r="N32" s="2932">
        <v>134</v>
      </c>
      <c r="O32" s="2930" t="s">
        <v>2995</v>
      </c>
      <c r="P32" s="2926">
        <v>10</v>
      </c>
      <c r="Q32" s="2927">
        <v>5.0000000000000001E-3</v>
      </c>
      <c r="R32" s="2928">
        <f t="shared" si="1"/>
        <v>0.05</v>
      </c>
      <c r="S32" s="4596"/>
    </row>
    <row r="33" spans="1:19" ht="20.25">
      <c r="A33" s="4596"/>
      <c r="B33" s="2932">
        <v>23</v>
      </c>
      <c r="C33" s="2930" t="s">
        <v>2996</v>
      </c>
      <c r="D33" s="2926">
        <v>10</v>
      </c>
      <c r="E33" s="2927">
        <v>1</v>
      </c>
      <c r="F33" s="2928">
        <f t="shared" si="3"/>
        <v>10</v>
      </c>
      <c r="G33" s="4596"/>
      <c r="H33" s="2925"/>
      <c r="I33" s="2921" t="s">
        <v>2997</v>
      </c>
      <c r="J33" s="2926"/>
      <c r="K33" s="2927"/>
      <c r="L33" s="2928"/>
      <c r="M33" s="4596"/>
      <c r="N33" s="2932">
        <v>135</v>
      </c>
      <c r="O33" s="2930" t="s">
        <v>2998</v>
      </c>
      <c r="P33" s="2926">
        <v>10</v>
      </c>
      <c r="Q33" s="2927">
        <v>5.0000000000000001E-3</v>
      </c>
      <c r="R33" s="2928">
        <f t="shared" si="1"/>
        <v>0.05</v>
      </c>
      <c r="S33" s="4596"/>
    </row>
    <row r="34" spans="1:19" ht="15.75">
      <c r="A34" s="4596"/>
      <c r="B34" s="2932">
        <v>24</v>
      </c>
      <c r="C34" s="2930" t="s">
        <v>2999</v>
      </c>
      <c r="D34" s="2926">
        <v>10</v>
      </c>
      <c r="E34" s="2927">
        <v>8.5</v>
      </c>
      <c r="F34" s="2928">
        <f t="shared" si="3"/>
        <v>85</v>
      </c>
      <c r="G34" s="4596"/>
      <c r="H34" s="2929">
        <v>76</v>
      </c>
      <c r="I34" s="2930" t="s">
        <v>3000</v>
      </c>
      <c r="J34" s="2926">
        <v>10</v>
      </c>
      <c r="K34" s="2927">
        <v>0.03</v>
      </c>
      <c r="L34" s="2928">
        <f t="shared" ref="L34:L45" si="4">K34*J34</f>
        <v>0.3</v>
      </c>
      <c r="M34" s="4596"/>
      <c r="N34" s="2932">
        <v>136</v>
      </c>
      <c r="O34" s="2930" t="s">
        <v>3001</v>
      </c>
      <c r="P34" s="2926">
        <v>10</v>
      </c>
      <c r="Q34" s="2927">
        <v>1.4999999999999999E-2</v>
      </c>
      <c r="R34" s="2928">
        <f t="shared" si="1"/>
        <v>0.15</v>
      </c>
      <c r="S34" s="4596"/>
    </row>
    <row r="35" spans="1:19" ht="15.75">
      <c r="A35" s="4596"/>
      <c r="B35" s="2932">
        <v>25</v>
      </c>
      <c r="C35" s="2930" t="s">
        <v>3002</v>
      </c>
      <c r="D35" s="2926">
        <v>10</v>
      </c>
      <c r="E35" s="2927">
        <v>1.25</v>
      </c>
      <c r="F35" s="2928">
        <f t="shared" si="3"/>
        <v>12.5</v>
      </c>
      <c r="G35" s="4596"/>
      <c r="H35" s="2929">
        <v>77</v>
      </c>
      <c r="I35" s="2930" t="s">
        <v>3003</v>
      </c>
      <c r="J35" s="2926">
        <v>10</v>
      </c>
      <c r="K35" s="2927">
        <v>0.06</v>
      </c>
      <c r="L35" s="2928">
        <f t="shared" si="4"/>
        <v>0.6</v>
      </c>
      <c r="M35" s="4596"/>
      <c r="N35" s="2932">
        <v>137</v>
      </c>
      <c r="O35" s="2930" t="s">
        <v>3004</v>
      </c>
      <c r="P35" s="2926">
        <v>10</v>
      </c>
      <c r="Q35" s="2927">
        <v>0.2</v>
      </c>
      <c r="R35" s="2928">
        <f t="shared" si="1"/>
        <v>2</v>
      </c>
      <c r="S35" s="4596"/>
    </row>
    <row r="36" spans="1:19" ht="20.25">
      <c r="A36" s="4596"/>
      <c r="B36" s="2925"/>
      <c r="C36" s="2921" t="s">
        <v>101</v>
      </c>
      <c r="D36" s="2926"/>
      <c r="E36" s="2927"/>
      <c r="F36" s="2928"/>
      <c r="G36" s="4596"/>
      <c r="H36" s="2929">
        <v>78</v>
      </c>
      <c r="I36" s="2930" t="s">
        <v>3005</v>
      </c>
      <c r="J36" s="2926">
        <v>10</v>
      </c>
      <c r="K36" s="2927">
        <v>0.05</v>
      </c>
      <c r="L36" s="2928">
        <f t="shared" si="4"/>
        <v>0.5</v>
      </c>
      <c r="M36" s="4596"/>
      <c r="N36" s="2932">
        <v>138</v>
      </c>
      <c r="O36" s="2930" t="s">
        <v>3006</v>
      </c>
      <c r="P36" s="2926">
        <v>10</v>
      </c>
      <c r="Q36" s="2927">
        <v>0.15</v>
      </c>
      <c r="R36" s="2928">
        <f t="shared" si="1"/>
        <v>1.5</v>
      </c>
      <c r="S36" s="4596"/>
    </row>
    <row r="37" spans="1:19" ht="20.25">
      <c r="A37" s="4596"/>
      <c r="B37" s="2929">
        <v>26</v>
      </c>
      <c r="C37" s="2930" t="s">
        <v>3007</v>
      </c>
      <c r="D37" s="2926">
        <v>10</v>
      </c>
      <c r="E37" s="2927">
        <v>8.0000000000000002E-3</v>
      </c>
      <c r="F37" s="2928">
        <f t="shared" ref="F37:F54" si="5">E37*D37</f>
        <v>0.08</v>
      </c>
      <c r="G37" s="4596"/>
      <c r="H37" s="2929">
        <v>79</v>
      </c>
      <c r="I37" s="2930" t="s">
        <v>3008</v>
      </c>
      <c r="J37" s="2926">
        <v>10</v>
      </c>
      <c r="K37" s="2927">
        <v>0.04</v>
      </c>
      <c r="L37" s="2928">
        <f t="shared" si="4"/>
        <v>0.4</v>
      </c>
      <c r="M37" s="4596"/>
      <c r="N37" s="2925"/>
      <c r="O37" s="2921" t="s">
        <v>562</v>
      </c>
      <c r="P37" s="2926"/>
      <c r="Q37" s="2927"/>
      <c r="R37" s="2928"/>
      <c r="S37" s="4596"/>
    </row>
    <row r="38" spans="1:19" ht="15.75">
      <c r="A38" s="4596"/>
      <c r="B38" s="2929">
        <v>27</v>
      </c>
      <c r="C38" s="2930" t="s">
        <v>3009</v>
      </c>
      <c r="D38" s="2926">
        <v>10</v>
      </c>
      <c r="E38" s="2927">
        <v>0.12</v>
      </c>
      <c r="F38" s="2928">
        <f t="shared" si="5"/>
        <v>1.2</v>
      </c>
      <c r="G38" s="4596"/>
      <c r="H38" s="2929">
        <v>80</v>
      </c>
      <c r="I38" s="2930" t="s">
        <v>3010</v>
      </c>
      <c r="J38" s="2926">
        <v>12</v>
      </c>
      <c r="K38" s="2927">
        <v>0.05</v>
      </c>
      <c r="L38" s="2928">
        <f t="shared" si="4"/>
        <v>0.60000000000000009</v>
      </c>
      <c r="M38" s="4596"/>
      <c r="N38" s="2929">
        <v>139</v>
      </c>
      <c r="O38" s="2930" t="s">
        <v>3011</v>
      </c>
      <c r="P38" s="2926">
        <v>10</v>
      </c>
      <c r="Q38" s="2927">
        <v>0.1</v>
      </c>
      <c r="R38" s="2928">
        <f t="shared" ref="R38:R49" si="6">Q38*P38</f>
        <v>1</v>
      </c>
      <c r="S38" s="4596"/>
    </row>
    <row r="39" spans="1:19" ht="15.75">
      <c r="A39" s="4596"/>
      <c r="B39" s="2929">
        <v>28</v>
      </c>
      <c r="C39" s="2930" t="s">
        <v>3012</v>
      </c>
      <c r="D39" s="2926">
        <v>10</v>
      </c>
      <c r="E39" s="2927">
        <v>1.5</v>
      </c>
      <c r="F39" s="2928">
        <f t="shared" si="5"/>
        <v>15</v>
      </c>
      <c r="G39" s="4596"/>
      <c r="H39" s="2929">
        <v>81</v>
      </c>
      <c r="I39" s="2930" t="s">
        <v>3013</v>
      </c>
      <c r="J39" s="2926">
        <v>10</v>
      </c>
      <c r="K39" s="2927">
        <v>0.03</v>
      </c>
      <c r="L39" s="2928">
        <f t="shared" si="4"/>
        <v>0.3</v>
      </c>
      <c r="M39" s="4596"/>
      <c r="N39" s="2929">
        <v>140</v>
      </c>
      <c r="O39" s="2930" t="s">
        <v>3014</v>
      </c>
      <c r="P39" s="2926">
        <v>10</v>
      </c>
      <c r="Q39" s="2927">
        <v>0.08</v>
      </c>
      <c r="R39" s="2928">
        <f t="shared" si="6"/>
        <v>0.8</v>
      </c>
      <c r="S39" s="4596"/>
    </row>
    <row r="40" spans="1:19" ht="15.75">
      <c r="A40" s="4596"/>
      <c r="B40" s="2929">
        <v>29</v>
      </c>
      <c r="C40" s="2930" t="s">
        <v>3015</v>
      </c>
      <c r="D40" s="2926">
        <v>10</v>
      </c>
      <c r="E40" s="2927">
        <v>0.12</v>
      </c>
      <c r="F40" s="2928">
        <f t="shared" si="5"/>
        <v>1.2</v>
      </c>
      <c r="G40" s="4596"/>
      <c r="H40" s="2929">
        <v>82</v>
      </c>
      <c r="I40" s="2930" t="s">
        <v>3016</v>
      </c>
      <c r="J40" s="2926">
        <v>10</v>
      </c>
      <c r="K40" s="2927">
        <v>0.05</v>
      </c>
      <c r="L40" s="2928">
        <f t="shared" si="4"/>
        <v>0.5</v>
      </c>
      <c r="M40" s="4596"/>
      <c r="N40" s="2929">
        <v>141</v>
      </c>
      <c r="O40" s="2930" t="s">
        <v>3017</v>
      </c>
      <c r="P40" s="2926">
        <v>10</v>
      </c>
      <c r="Q40" s="2927">
        <v>0.26</v>
      </c>
      <c r="R40" s="2928">
        <f t="shared" si="6"/>
        <v>2.6</v>
      </c>
      <c r="S40" s="4596"/>
    </row>
    <row r="41" spans="1:19" ht="15.75">
      <c r="A41" s="4596"/>
      <c r="B41" s="2929">
        <v>30</v>
      </c>
      <c r="C41" s="2930" t="s">
        <v>3018</v>
      </c>
      <c r="D41" s="2926">
        <v>10</v>
      </c>
      <c r="E41" s="2927">
        <v>3.5000000000000003E-2</v>
      </c>
      <c r="F41" s="2928">
        <f t="shared" si="5"/>
        <v>0.35000000000000003</v>
      </c>
      <c r="G41" s="4596"/>
      <c r="H41" s="2929">
        <v>83</v>
      </c>
      <c r="I41" s="2930" t="s">
        <v>3019</v>
      </c>
      <c r="J41" s="2926">
        <v>10</v>
      </c>
      <c r="K41" s="2927">
        <v>0.02</v>
      </c>
      <c r="L41" s="2928">
        <f t="shared" si="4"/>
        <v>0.2</v>
      </c>
      <c r="M41" s="4596"/>
      <c r="N41" s="2929">
        <v>142</v>
      </c>
      <c r="O41" s="2930" t="s">
        <v>3020</v>
      </c>
      <c r="P41" s="2926">
        <v>10</v>
      </c>
      <c r="Q41" s="2927">
        <v>0.16</v>
      </c>
      <c r="R41" s="2928">
        <f t="shared" si="6"/>
        <v>1.6</v>
      </c>
      <c r="S41" s="4596"/>
    </row>
    <row r="42" spans="1:19" ht="15.75">
      <c r="A42" s="4596"/>
      <c r="B42" s="2929">
        <v>31</v>
      </c>
      <c r="C42" s="2930" t="s">
        <v>3021</v>
      </c>
      <c r="D42" s="2926">
        <v>10</v>
      </c>
      <c r="E42" s="2927">
        <v>1</v>
      </c>
      <c r="F42" s="2928">
        <f t="shared" si="5"/>
        <v>10</v>
      </c>
      <c r="G42" s="4596"/>
      <c r="H42" s="2929">
        <v>84</v>
      </c>
      <c r="I42" s="2930" t="s">
        <v>3022</v>
      </c>
      <c r="J42" s="2926">
        <v>10</v>
      </c>
      <c r="K42" s="2927">
        <v>7.0000000000000007E-2</v>
      </c>
      <c r="L42" s="2928">
        <f t="shared" si="4"/>
        <v>0.70000000000000007</v>
      </c>
      <c r="M42" s="4596"/>
      <c r="N42" s="2929">
        <v>143</v>
      </c>
      <c r="O42" s="2930" t="s">
        <v>3023</v>
      </c>
      <c r="P42" s="2926">
        <v>10</v>
      </c>
      <c r="Q42" s="2927">
        <v>0.43</v>
      </c>
      <c r="R42" s="2928">
        <f t="shared" si="6"/>
        <v>4.3</v>
      </c>
      <c r="S42" s="4596"/>
    </row>
    <row r="43" spans="1:19" ht="15.75">
      <c r="A43" s="4596"/>
      <c r="B43" s="2929">
        <v>32</v>
      </c>
      <c r="C43" s="2930" t="s">
        <v>3024</v>
      </c>
      <c r="D43" s="2926">
        <v>10</v>
      </c>
      <c r="E43" s="2927">
        <v>6.5000000000000002E-2</v>
      </c>
      <c r="F43" s="2928">
        <f t="shared" si="5"/>
        <v>0.65</v>
      </c>
      <c r="G43" s="4596"/>
      <c r="H43" s="2929">
        <v>85</v>
      </c>
      <c r="I43" s="2930" t="s">
        <v>3025</v>
      </c>
      <c r="J43" s="2926">
        <v>10</v>
      </c>
      <c r="K43" s="2927">
        <v>4.0000000000000001E-3</v>
      </c>
      <c r="L43" s="2928">
        <f t="shared" si="4"/>
        <v>0.04</v>
      </c>
      <c r="M43" s="4596"/>
      <c r="N43" s="2929">
        <v>144</v>
      </c>
      <c r="O43" s="2930" t="s">
        <v>3026</v>
      </c>
      <c r="P43" s="2926">
        <v>10</v>
      </c>
      <c r="Q43" s="2927">
        <v>5.1999999999999998E-2</v>
      </c>
      <c r="R43" s="2928">
        <f t="shared" si="6"/>
        <v>0.52</v>
      </c>
      <c r="S43" s="4596"/>
    </row>
    <row r="44" spans="1:19" ht="15.75">
      <c r="A44" s="4596"/>
      <c r="B44" s="2929">
        <v>33</v>
      </c>
      <c r="C44" s="2930" t="s">
        <v>3027</v>
      </c>
      <c r="D44" s="2926">
        <v>10</v>
      </c>
      <c r="E44" s="2927">
        <v>1.5</v>
      </c>
      <c r="F44" s="2928">
        <f t="shared" si="5"/>
        <v>15</v>
      </c>
      <c r="G44" s="4596"/>
      <c r="H44" s="2929">
        <v>86</v>
      </c>
      <c r="I44" s="2930" t="s">
        <v>3028</v>
      </c>
      <c r="J44" s="2926">
        <v>10</v>
      </c>
      <c r="K44" s="2927">
        <v>0.24</v>
      </c>
      <c r="L44" s="2928">
        <f t="shared" si="4"/>
        <v>2.4</v>
      </c>
      <c r="M44" s="4596"/>
      <c r="N44" s="2929">
        <v>145</v>
      </c>
      <c r="O44" s="2930" t="s">
        <v>3029</v>
      </c>
      <c r="P44" s="2926">
        <v>10</v>
      </c>
      <c r="Q44" s="2927">
        <v>0.11799999999999999</v>
      </c>
      <c r="R44" s="2928">
        <f t="shared" si="6"/>
        <v>1.18</v>
      </c>
      <c r="S44" s="4596"/>
    </row>
    <row r="45" spans="1:19" ht="15.75">
      <c r="A45" s="4596"/>
      <c r="B45" s="2929">
        <v>34</v>
      </c>
      <c r="C45" s="2930" t="s">
        <v>3030</v>
      </c>
      <c r="D45" s="2926">
        <v>10</v>
      </c>
      <c r="E45" s="2927">
        <v>2</v>
      </c>
      <c r="F45" s="2928">
        <f t="shared" si="5"/>
        <v>20</v>
      </c>
      <c r="G45" s="4596"/>
      <c r="H45" s="2929">
        <v>87</v>
      </c>
      <c r="I45" s="2930" t="s">
        <v>3031</v>
      </c>
      <c r="J45" s="2926">
        <v>10</v>
      </c>
      <c r="K45" s="2927">
        <v>0.14000000000000001</v>
      </c>
      <c r="L45" s="2928">
        <f t="shared" si="4"/>
        <v>1.4000000000000001</v>
      </c>
      <c r="M45" s="4596"/>
      <c r="N45" s="2929">
        <v>146</v>
      </c>
      <c r="O45" s="2930" t="s">
        <v>3032</v>
      </c>
      <c r="P45" s="2926">
        <v>10</v>
      </c>
      <c r="Q45" s="2927">
        <v>0.11</v>
      </c>
      <c r="R45" s="2928">
        <f t="shared" si="6"/>
        <v>1.1000000000000001</v>
      </c>
      <c r="S45" s="4596"/>
    </row>
    <row r="46" spans="1:19" ht="20.25">
      <c r="A46" s="4596"/>
      <c r="B46" s="2929">
        <v>35</v>
      </c>
      <c r="C46" s="2930" t="s">
        <v>3033</v>
      </c>
      <c r="D46" s="2926">
        <v>10</v>
      </c>
      <c r="E46" s="2927">
        <v>0.08</v>
      </c>
      <c r="F46" s="2928">
        <f t="shared" si="5"/>
        <v>0.8</v>
      </c>
      <c r="G46" s="4596"/>
      <c r="H46" s="2925"/>
      <c r="I46" s="2931" t="s">
        <v>318</v>
      </c>
      <c r="J46" s="2926"/>
      <c r="K46" s="2927"/>
      <c r="L46" s="2928"/>
      <c r="M46" s="4596"/>
      <c r="N46" s="2929">
        <v>147</v>
      </c>
      <c r="O46" s="2930" t="s">
        <v>3034</v>
      </c>
      <c r="P46" s="2926">
        <v>10</v>
      </c>
      <c r="Q46" s="2927">
        <v>0.05</v>
      </c>
      <c r="R46" s="2928">
        <f t="shared" si="6"/>
        <v>0.5</v>
      </c>
      <c r="S46" s="4596"/>
    </row>
    <row r="47" spans="1:19" ht="15.75">
      <c r="A47" s="4596"/>
      <c r="B47" s="2929">
        <v>36</v>
      </c>
      <c r="C47" s="2930" t="s">
        <v>3035</v>
      </c>
      <c r="D47" s="2926">
        <v>10</v>
      </c>
      <c r="E47" s="2927">
        <v>7.0000000000000007E-2</v>
      </c>
      <c r="F47" s="2928">
        <f t="shared" si="5"/>
        <v>0.70000000000000007</v>
      </c>
      <c r="G47" s="4596"/>
      <c r="H47" s="2932">
        <v>88</v>
      </c>
      <c r="I47" s="2930" t="s">
        <v>3036</v>
      </c>
      <c r="J47" s="2926">
        <v>10</v>
      </c>
      <c r="K47" s="2927">
        <v>0.4</v>
      </c>
      <c r="L47" s="2928">
        <f t="shared" ref="L47:L71" si="7">K47*J47</f>
        <v>4</v>
      </c>
      <c r="M47" s="4596"/>
      <c r="N47" s="2929">
        <v>148</v>
      </c>
      <c r="O47" s="2930" t="s">
        <v>3037</v>
      </c>
      <c r="P47" s="2926">
        <v>10</v>
      </c>
      <c r="Q47" s="2927">
        <v>0.05</v>
      </c>
      <c r="R47" s="2928">
        <f t="shared" si="6"/>
        <v>0.5</v>
      </c>
      <c r="S47" s="4596"/>
    </row>
    <row r="48" spans="1:19" ht="15.75">
      <c r="A48" s="4596"/>
      <c r="B48" s="2929">
        <v>37</v>
      </c>
      <c r="C48" s="2930" t="s">
        <v>3038</v>
      </c>
      <c r="D48" s="2926">
        <v>10</v>
      </c>
      <c r="E48" s="2927">
        <v>2</v>
      </c>
      <c r="F48" s="2928">
        <f t="shared" si="5"/>
        <v>20</v>
      </c>
      <c r="G48" s="4596"/>
      <c r="H48" s="2932">
        <v>89</v>
      </c>
      <c r="I48" s="2930" t="s">
        <v>3039</v>
      </c>
      <c r="J48" s="2926">
        <v>10</v>
      </c>
      <c r="K48" s="2927">
        <v>0.12</v>
      </c>
      <c r="L48" s="2928">
        <f t="shared" si="7"/>
        <v>1.2</v>
      </c>
      <c r="M48" s="4596"/>
      <c r="N48" s="2929">
        <v>149</v>
      </c>
      <c r="O48" s="2930" t="s">
        <v>3040</v>
      </c>
      <c r="P48" s="2926">
        <v>10</v>
      </c>
      <c r="Q48" s="2927">
        <v>0.25</v>
      </c>
      <c r="R48" s="2928">
        <f t="shared" si="6"/>
        <v>2.5</v>
      </c>
      <c r="S48" s="4596"/>
    </row>
    <row r="49" spans="1:19" ht="15.75">
      <c r="A49" s="4596"/>
      <c r="B49" s="2929">
        <v>38</v>
      </c>
      <c r="C49" s="2930" t="s">
        <v>378</v>
      </c>
      <c r="D49" s="2926">
        <v>10</v>
      </c>
      <c r="E49" s="2927">
        <v>0.2</v>
      </c>
      <c r="F49" s="2928">
        <f t="shared" si="5"/>
        <v>2</v>
      </c>
      <c r="G49" s="4596"/>
      <c r="H49" s="2932">
        <v>90</v>
      </c>
      <c r="I49" s="2930" t="s">
        <v>3041</v>
      </c>
      <c r="J49" s="2926">
        <v>10</v>
      </c>
      <c r="K49" s="2927">
        <v>1</v>
      </c>
      <c r="L49" s="2928">
        <f t="shared" si="7"/>
        <v>10</v>
      </c>
      <c r="M49" s="4596"/>
      <c r="N49" s="2929">
        <v>150</v>
      </c>
      <c r="O49" s="2930" t="s">
        <v>3042</v>
      </c>
      <c r="P49" s="2926">
        <v>10</v>
      </c>
      <c r="Q49" s="2927">
        <v>3.5</v>
      </c>
      <c r="R49" s="2928">
        <f t="shared" si="6"/>
        <v>35</v>
      </c>
      <c r="S49" s="4596"/>
    </row>
    <row r="50" spans="1:19" ht="20.25">
      <c r="A50" s="4596"/>
      <c r="B50" s="2929">
        <v>39</v>
      </c>
      <c r="C50" s="2930" t="s">
        <v>3043</v>
      </c>
      <c r="D50" s="2926">
        <v>10</v>
      </c>
      <c r="E50" s="2927">
        <v>0.12</v>
      </c>
      <c r="F50" s="2928">
        <f t="shared" si="5"/>
        <v>1.2</v>
      </c>
      <c r="G50" s="4596"/>
      <c r="H50" s="2932">
        <v>91</v>
      </c>
      <c r="I50" s="2930" t="s">
        <v>3044</v>
      </c>
      <c r="J50" s="2926">
        <v>10</v>
      </c>
      <c r="K50" s="2927">
        <v>0.2</v>
      </c>
      <c r="L50" s="2928">
        <f t="shared" si="7"/>
        <v>2</v>
      </c>
      <c r="M50" s="4596"/>
      <c r="N50" s="2925"/>
      <c r="O50" s="2931" t="s">
        <v>590</v>
      </c>
      <c r="P50" s="2926"/>
      <c r="Q50" s="2927"/>
      <c r="R50" s="2928"/>
      <c r="S50" s="4596"/>
    </row>
    <row r="51" spans="1:19" ht="15.75">
      <c r="A51" s="4596"/>
      <c r="B51" s="2929">
        <v>40</v>
      </c>
      <c r="C51" s="2930" t="s">
        <v>3045</v>
      </c>
      <c r="D51" s="2926">
        <v>10</v>
      </c>
      <c r="E51" s="2927">
        <v>0.35</v>
      </c>
      <c r="F51" s="2928">
        <f t="shared" si="5"/>
        <v>3.5</v>
      </c>
      <c r="G51" s="4596"/>
      <c r="H51" s="2932">
        <v>92</v>
      </c>
      <c r="I51" s="2930" t="s">
        <v>3046</v>
      </c>
      <c r="J51" s="2926">
        <v>10</v>
      </c>
      <c r="K51" s="2927">
        <v>0.04</v>
      </c>
      <c r="L51" s="2928">
        <f t="shared" si="7"/>
        <v>0.4</v>
      </c>
      <c r="M51" s="4596"/>
      <c r="N51" s="2932">
        <v>151</v>
      </c>
      <c r="O51" s="2930" t="s">
        <v>3047</v>
      </c>
      <c r="P51" s="2926">
        <v>10</v>
      </c>
      <c r="Q51" s="2927">
        <v>2.2000000000000002</v>
      </c>
      <c r="R51" s="2928">
        <f t="shared" ref="R51:R61" si="8">Q51*P51</f>
        <v>22</v>
      </c>
      <c r="S51" s="4596"/>
    </row>
    <row r="52" spans="1:19" ht="15.75">
      <c r="A52" s="4596"/>
      <c r="B52" s="2929">
        <v>41</v>
      </c>
      <c r="C52" s="2930" t="s">
        <v>3048</v>
      </c>
      <c r="D52" s="2926">
        <v>10</v>
      </c>
      <c r="E52" s="2927">
        <v>0.2</v>
      </c>
      <c r="F52" s="2928">
        <f t="shared" si="5"/>
        <v>2</v>
      </c>
      <c r="G52" s="4596"/>
      <c r="H52" s="2932">
        <v>93</v>
      </c>
      <c r="I52" s="2930" t="s">
        <v>3049</v>
      </c>
      <c r="J52" s="2926">
        <v>10</v>
      </c>
      <c r="K52" s="2927">
        <v>0.15</v>
      </c>
      <c r="L52" s="2928">
        <f t="shared" si="7"/>
        <v>1.5</v>
      </c>
      <c r="M52" s="4596"/>
      <c r="N52" s="2932">
        <v>152</v>
      </c>
      <c r="O52" s="2930" t="s">
        <v>3050</v>
      </c>
      <c r="P52" s="2926">
        <v>10</v>
      </c>
      <c r="Q52" s="2927">
        <v>2</v>
      </c>
      <c r="R52" s="2928">
        <f t="shared" si="8"/>
        <v>20</v>
      </c>
      <c r="S52" s="4596"/>
    </row>
    <row r="53" spans="1:19" ht="15.75">
      <c r="A53" s="4596"/>
      <c r="B53" s="2929">
        <v>42</v>
      </c>
      <c r="C53" s="2930" t="s">
        <v>3051</v>
      </c>
      <c r="D53" s="2926">
        <v>10</v>
      </c>
      <c r="E53" s="2927">
        <v>5.0000000000000001E-3</v>
      </c>
      <c r="F53" s="2928">
        <f t="shared" si="5"/>
        <v>0.05</v>
      </c>
      <c r="G53" s="4596"/>
      <c r="H53" s="2932">
        <v>94</v>
      </c>
      <c r="I53" s="2930" t="s">
        <v>3052</v>
      </c>
      <c r="J53" s="2926">
        <v>10</v>
      </c>
      <c r="K53" s="2927">
        <v>0.15</v>
      </c>
      <c r="L53" s="2928">
        <f t="shared" si="7"/>
        <v>1.5</v>
      </c>
      <c r="M53" s="4596"/>
      <c r="N53" s="2932">
        <v>153</v>
      </c>
      <c r="O53" s="2930" t="s">
        <v>3053</v>
      </c>
      <c r="P53" s="2926">
        <v>10</v>
      </c>
      <c r="Q53" s="2927">
        <v>0.3</v>
      </c>
      <c r="R53" s="2928">
        <f t="shared" si="8"/>
        <v>3</v>
      </c>
      <c r="S53" s="4596"/>
    </row>
    <row r="54" spans="1:19" ht="15.75">
      <c r="A54" s="4596"/>
      <c r="B54" s="2929">
        <v>43</v>
      </c>
      <c r="C54" s="2930" t="s">
        <v>3054</v>
      </c>
      <c r="D54" s="2926">
        <v>10</v>
      </c>
      <c r="E54" s="2927">
        <v>0.01</v>
      </c>
      <c r="F54" s="2928">
        <f t="shared" si="5"/>
        <v>0.1</v>
      </c>
      <c r="G54" s="4596"/>
      <c r="H54" s="2932">
        <v>95</v>
      </c>
      <c r="I54" s="2930" t="s">
        <v>3055</v>
      </c>
      <c r="J54" s="2926">
        <v>10</v>
      </c>
      <c r="K54" s="2927">
        <v>0.2</v>
      </c>
      <c r="L54" s="2928">
        <f t="shared" si="7"/>
        <v>2</v>
      </c>
      <c r="M54" s="4596"/>
      <c r="N54" s="2932">
        <v>154</v>
      </c>
      <c r="O54" s="2930" t="s">
        <v>3056</v>
      </c>
      <c r="P54" s="2926">
        <v>10</v>
      </c>
      <c r="Q54" s="2927">
        <v>0.9</v>
      </c>
      <c r="R54" s="2928">
        <f t="shared" si="8"/>
        <v>9</v>
      </c>
      <c r="S54" s="4596"/>
    </row>
    <row r="55" spans="1:19" ht="20.25">
      <c r="A55" s="4596"/>
      <c r="B55" s="2929"/>
      <c r="C55" s="2931" t="s">
        <v>111</v>
      </c>
      <c r="D55" s="2926"/>
      <c r="E55" s="2927"/>
      <c r="F55" s="2928"/>
      <c r="G55" s="4596"/>
      <c r="H55" s="2932">
        <v>96</v>
      </c>
      <c r="I55" s="2930" t="s">
        <v>3057</v>
      </c>
      <c r="J55" s="2926">
        <v>10</v>
      </c>
      <c r="K55" s="2927">
        <v>0.14000000000000001</v>
      </c>
      <c r="L55" s="2928">
        <f t="shared" si="7"/>
        <v>1.4000000000000001</v>
      </c>
      <c r="M55" s="4596"/>
      <c r="N55" s="2932">
        <v>155</v>
      </c>
      <c r="O55" s="2930" t="s">
        <v>3058</v>
      </c>
      <c r="P55" s="2926">
        <v>10</v>
      </c>
      <c r="Q55" s="2927">
        <v>3.5</v>
      </c>
      <c r="R55" s="2928">
        <f t="shared" si="8"/>
        <v>35</v>
      </c>
      <c r="S55" s="4596"/>
    </row>
    <row r="56" spans="1:19" ht="15.75">
      <c r="A56" s="4596"/>
      <c r="B56" s="2932">
        <v>44</v>
      </c>
      <c r="C56" s="2930" t="s">
        <v>3059</v>
      </c>
      <c r="D56" s="2926">
        <v>10</v>
      </c>
      <c r="E56" s="2927">
        <v>0.6</v>
      </c>
      <c r="F56" s="2928">
        <f>E56*D56</f>
        <v>6</v>
      </c>
      <c r="G56" s="4596"/>
      <c r="H56" s="2932">
        <v>97</v>
      </c>
      <c r="I56" s="2930" t="s">
        <v>3060</v>
      </c>
      <c r="J56" s="2926">
        <v>10</v>
      </c>
      <c r="K56" s="2927">
        <v>0.1</v>
      </c>
      <c r="L56" s="2928">
        <f t="shared" si="7"/>
        <v>1</v>
      </c>
      <c r="M56" s="4596"/>
      <c r="N56" s="2932">
        <v>156</v>
      </c>
      <c r="O56" s="2930" t="s">
        <v>3061</v>
      </c>
      <c r="P56" s="2926">
        <v>10</v>
      </c>
      <c r="Q56" s="2927">
        <v>1.2</v>
      </c>
      <c r="R56" s="2928">
        <f t="shared" si="8"/>
        <v>12</v>
      </c>
      <c r="S56" s="4596"/>
    </row>
    <row r="57" spans="1:19" ht="20.25">
      <c r="A57" s="4596"/>
      <c r="B57" s="2932"/>
      <c r="C57" s="2921" t="s">
        <v>112</v>
      </c>
      <c r="D57" s="2926"/>
      <c r="E57" s="2927"/>
      <c r="F57" s="2928"/>
      <c r="G57" s="4596"/>
      <c r="H57" s="2932">
        <v>98</v>
      </c>
      <c r="I57" s="2930" t="s">
        <v>3062</v>
      </c>
      <c r="J57" s="2926">
        <v>10</v>
      </c>
      <c r="K57" s="2927">
        <v>0.15</v>
      </c>
      <c r="L57" s="2928">
        <f t="shared" si="7"/>
        <v>1.5</v>
      </c>
      <c r="M57" s="4596"/>
      <c r="N57" s="2932">
        <v>157</v>
      </c>
      <c r="O57" s="2930" t="s">
        <v>3063</v>
      </c>
      <c r="P57" s="2926">
        <v>10</v>
      </c>
      <c r="Q57" s="2927">
        <v>3.1</v>
      </c>
      <c r="R57" s="2928">
        <f t="shared" si="8"/>
        <v>31</v>
      </c>
      <c r="S57" s="4596"/>
    </row>
    <row r="58" spans="1:19" ht="15.75">
      <c r="A58" s="4596"/>
      <c r="B58" s="2929">
        <v>45</v>
      </c>
      <c r="C58" s="2930" t="s">
        <v>3064</v>
      </c>
      <c r="D58" s="2926">
        <v>10</v>
      </c>
      <c r="E58" s="2927">
        <v>0.2</v>
      </c>
      <c r="F58" s="2928">
        <f>E58*D58</f>
        <v>2</v>
      </c>
      <c r="G58" s="4596"/>
      <c r="H58" s="2932">
        <v>99</v>
      </c>
      <c r="I58" s="2930" t="s">
        <v>3065</v>
      </c>
      <c r="J58" s="2926">
        <v>10</v>
      </c>
      <c r="K58" s="2927">
        <v>0.1</v>
      </c>
      <c r="L58" s="2928">
        <f t="shared" si="7"/>
        <v>1</v>
      </c>
      <c r="M58" s="4596"/>
      <c r="N58" s="2932">
        <v>158</v>
      </c>
      <c r="O58" s="2930" t="s">
        <v>3066</v>
      </c>
      <c r="P58" s="2926">
        <v>10</v>
      </c>
      <c r="Q58" s="2927">
        <v>2.65</v>
      </c>
      <c r="R58" s="2928">
        <f t="shared" si="8"/>
        <v>26.5</v>
      </c>
      <c r="S58" s="4596"/>
    </row>
    <row r="59" spans="1:19" ht="15.75">
      <c r="A59" s="4596"/>
      <c r="B59" s="2929">
        <v>46</v>
      </c>
      <c r="C59" s="2930" t="s">
        <v>3067</v>
      </c>
      <c r="D59" s="2926">
        <v>10</v>
      </c>
      <c r="E59" s="2927">
        <v>2.5000000000000001E-2</v>
      </c>
      <c r="F59" s="2928">
        <f>E59*D59</f>
        <v>0.25</v>
      </c>
      <c r="G59" s="4596"/>
      <c r="H59" s="2932">
        <v>100</v>
      </c>
      <c r="I59" s="2930" t="s">
        <v>3068</v>
      </c>
      <c r="J59" s="2926">
        <v>10</v>
      </c>
      <c r="K59" s="2927">
        <v>0.2</v>
      </c>
      <c r="L59" s="2928">
        <f t="shared" si="7"/>
        <v>2</v>
      </c>
      <c r="M59" s="4596"/>
      <c r="N59" s="2932">
        <v>159</v>
      </c>
      <c r="O59" s="2930" t="s">
        <v>3069</v>
      </c>
      <c r="P59" s="2926">
        <v>10</v>
      </c>
      <c r="Q59" s="2927">
        <v>0.75</v>
      </c>
      <c r="R59" s="2928">
        <f t="shared" si="8"/>
        <v>7.5</v>
      </c>
      <c r="S59" s="4596"/>
    </row>
    <row r="60" spans="1:19" ht="15.75">
      <c r="A60" s="4596"/>
      <c r="B60" s="2929">
        <v>47</v>
      </c>
      <c r="C60" s="2930" t="s">
        <v>3070</v>
      </c>
      <c r="D60" s="2926">
        <v>10</v>
      </c>
      <c r="E60" s="2927">
        <v>1.7999999999999999E-2</v>
      </c>
      <c r="F60" s="2928">
        <f>E60*D60</f>
        <v>0.18</v>
      </c>
      <c r="G60" s="4596"/>
      <c r="H60" s="2932">
        <v>101</v>
      </c>
      <c r="I60" s="2930" t="s">
        <v>3071</v>
      </c>
      <c r="J60" s="2926">
        <v>10</v>
      </c>
      <c r="K60" s="2927">
        <v>0.12</v>
      </c>
      <c r="L60" s="2928">
        <f t="shared" si="7"/>
        <v>1.2</v>
      </c>
      <c r="M60" s="4596"/>
      <c r="N60" s="2932">
        <v>160</v>
      </c>
      <c r="O60" s="2930" t="s">
        <v>3072</v>
      </c>
      <c r="P60" s="2926">
        <v>10</v>
      </c>
      <c r="Q60" s="2927">
        <v>0.35</v>
      </c>
      <c r="R60" s="2928">
        <f t="shared" si="8"/>
        <v>3.5</v>
      </c>
      <c r="S60" s="4596"/>
    </row>
    <row r="61" spans="1:19" ht="15.75">
      <c r="A61" s="4596"/>
      <c r="B61" s="2929">
        <v>48</v>
      </c>
      <c r="C61" s="2930" t="s">
        <v>3073</v>
      </c>
      <c r="D61" s="2926">
        <v>10</v>
      </c>
      <c r="E61" s="2927">
        <v>0.01</v>
      </c>
      <c r="F61" s="2928">
        <f>E61*D61</f>
        <v>0.1</v>
      </c>
      <c r="G61" s="4596"/>
      <c r="H61" s="2932">
        <v>102</v>
      </c>
      <c r="I61" s="2930" t="s">
        <v>3074</v>
      </c>
      <c r="J61" s="2926">
        <v>10</v>
      </c>
      <c r="K61" s="2927">
        <v>0.08</v>
      </c>
      <c r="L61" s="2928">
        <f t="shared" si="7"/>
        <v>0.8</v>
      </c>
      <c r="M61" s="4596"/>
      <c r="N61" s="2932">
        <v>161</v>
      </c>
      <c r="O61" s="2930" t="s">
        <v>3075</v>
      </c>
      <c r="P61" s="2926">
        <v>10</v>
      </c>
      <c r="Q61" s="2927">
        <v>6.2</v>
      </c>
      <c r="R61" s="2928">
        <f t="shared" si="8"/>
        <v>62</v>
      </c>
      <c r="S61" s="4596"/>
    </row>
    <row r="62" spans="1:19" ht="15.75">
      <c r="A62" s="4596"/>
      <c r="B62" s="2929">
        <v>49</v>
      </c>
      <c r="C62" s="2930" t="s">
        <v>3076</v>
      </c>
      <c r="D62" s="2926">
        <v>10</v>
      </c>
      <c r="E62" s="2927">
        <v>3.5000000000000003E-2</v>
      </c>
      <c r="F62" s="2928">
        <f>E62*D62</f>
        <v>0.35000000000000003</v>
      </c>
      <c r="G62" s="4596"/>
      <c r="H62" s="2932">
        <v>103</v>
      </c>
      <c r="I62" s="2930" t="s">
        <v>3077</v>
      </c>
      <c r="J62" s="2926">
        <v>10</v>
      </c>
      <c r="K62" s="2927">
        <v>0.22500000000000001</v>
      </c>
      <c r="L62" s="2928">
        <f t="shared" si="7"/>
        <v>2.25</v>
      </c>
      <c r="M62" s="4596"/>
      <c r="P62" s="2933"/>
      <c r="Q62" s="2933"/>
      <c r="R62" s="2933"/>
      <c r="S62" s="4596"/>
    </row>
    <row r="63" spans="1:19" ht="20.25">
      <c r="A63" s="4596"/>
      <c r="B63" s="2925"/>
      <c r="C63" s="2931" t="s">
        <v>142</v>
      </c>
      <c r="D63" s="2926"/>
      <c r="E63" s="2927"/>
      <c r="F63" s="2928"/>
      <c r="G63" s="4596"/>
      <c r="H63" s="2932">
        <v>104</v>
      </c>
      <c r="I63" s="2930" t="s">
        <v>3078</v>
      </c>
      <c r="J63" s="2926">
        <v>10</v>
      </c>
      <c r="K63" s="2927">
        <v>0.22500000000000001</v>
      </c>
      <c r="L63" s="2928">
        <f t="shared" si="7"/>
        <v>2.25</v>
      </c>
      <c r="M63" s="4596"/>
      <c r="P63" s="2933"/>
      <c r="Q63" s="2933"/>
      <c r="R63" s="2933"/>
      <c r="S63" s="4596"/>
    </row>
    <row r="64" spans="1:19" ht="15.75">
      <c r="A64" s="4596"/>
      <c r="B64" s="2932">
        <v>50</v>
      </c>
      <c r="C64" s="2930" t="s">
        <v>3079</v>
      </c>
      <c r="D64" s="2926">
        <v>10</v>
      </c>
      <c r="E64" s="2927">
        <v>3.0000000000000001E-3</v>
      </c>
      <c r="F64" s="2928">
        <f t="shared" ref="F64:F69" si="9">E64*D64</f>
        <v>0.03</v>
      </c>
      <c r="G64" s="4596"/>
      <c r="H64" s="2932">
        <v>105</v>
      </c>
      <c r="I64" s="2930" t="s">
        <v>3080</v>
      </c>
      <c r="J64" s="2926">
        <v>10</v>
      </c>
      <c r="K64" s="2927">
        <v>0.75</v>
      </c>
      <c r="L64" s="2928">
        <f t="shared" si="7"/>
        <v>7.5</v>
      </c>
      <c r="M64" s="4596"/>
      <c r="P64" s="2933"/>
      <c r="Q64" s="2933"/>
      <c r="R64" s="2933"/>
      <c r="S64" s="4596"/>
    </row>
    <row r="65" spans="1:19" ht="15.75">
      <c r="A65" s="4596"/>
      <c r="B65" s="2932">
        <v>51</v>
      </c>
      <c r="C65" s="2930" t="s">
        <v>3081</v>
      </c>
      <c r="D65" s="2926">
        <v>10</v>
      </c>
      <c r="E65" s="2927">
        <v>8.0000000000000002E-3</v>
      </c>
      <c r="F65" s="2928">
        <f t="shared" si="9"/>
        <v>0.08</v>
      </c>
      <c r="G65" s="4596"/>
      <c r="H65" s="2932">
        <v>106</v>
      </c>
      <c r="I65" s="2930" t="s">
        <v>3082</v>
      </c>
      <c r="J65" s="2926">
        <v>10</v>
      </c>
      <c r="K65" s="2927">
        <v>8.6</v>
      </c>
      <c r="L65" s="2928">
        <f t="shared" si="7"/>
        <v>86</v>
      </c>
      <c r="M65" s="4596"/>
      <c r="P65" s="2933"/>
      <c r="Q65" s="2933"/>
      <c r="R65" s="2933"/>
      <c r="S65" s="4596"/>
    </row>
    <row r="66" spans="1:19" ht="15.75">
      <c r="A66" s="4596"/>
      <c r="B66" s="2932">
        <v>52</v>
      </c>
      <c r="C66" s="2930" t="s">
        <v>3083</v>
      </c>
      <c r="D66" s="2926">
        <v>10</v>
      </c>
      <c r="E66" s="2927">
        <v>0.1</v>
      </c>
      <c r="F66" s="2928">
        <f t="shared" si="9"/>
        <v>1</v>
      </c>
      <c r="G66" s="4596"/>
      <c r="H66" s="2932">
        <v>107</v>
      </c>
      <c r="I66" s="2930" t="s">
        <v>3084</v>
      </c>
      <c r="J66" s="2926">
        <v>10</v>
      </c>
      <c r="K66" s="2927">
        <v>11.5</v>
      </c>
      <c r="L66" s="2928">
        <f t="shared" si="7"/>
        <v>115</v>
      </c>
      <c r="M66" s="4596"/>
      <c r="P66" s="2933"/>
      <c r="Q66" s="2933"/>
      <c r="R66" s="2933"/>
      <c r="S66" s="4596"/>
    </row>
    <row r="67" spans="1:19" ht="15.75">
      <c r="A67" s="4596"/>
      <c r="B67" s="2932">
        <v>53</v>
      </c>
      <c r="C67" s="2930" t="s">
        <v>3085</v>
      </c>
      <c r="D67" s="2926">
        <v>10</v>
      </c>
      <c r="E67" s="2927">
        <v>0.1</v>
      </c>
      <c r="F67" s="2928">
        <f t="shared" si="9"/>
        <v>1</v>
      </c>
      <c r="G67" s="4596"/>
      <c r="H67" s="2932">
        <v>108</v>
      </c>
      <c r="I67" s="2930" t="s">
        <v>3086</v>
      </c>
      <c r="J67" s="2926">
        <v>10</v>
      </c>
      <c r="K67" s="2927">
        <v>3.7</v>
      </c>
      <c r="L67" s="2928">
        <f t="shared" si="7"/>
        <v>37</v>
      </c>
      <c r="M67" s="4596"/>
      <c r="P67" s="2933"/>
      <c r="Q67" s="2933"/>
      <c r="R67" s="2933"/>
      <c r="S67" s="4596"/>
    </row>
    <row r="68" spans="1:19" ht="15.75">
      <c r="A68" s="4596"/>
      <c r="B68" s="2932">
        <v>54</v>
      </c>
      <c r="C68" s="2930" t="s">
        <v>3087</v>
      </c>
      <c r="D68" s="2926">
        <v>10</v>
      </c>
      <c r="E68" s="2927">
        <v>0.13500000000000001</v>
      </c>
      <c r="F68" s="2928">
        <f t="shared" si="9"/>
        <v>1.35</v>
      </c>
      <c r="G68" s="4596"/>
      <c r="H68" s="2932">
        <v>109</v>
      </c>
      <c r="I68" s="2930" t="s">
        <v>3088</v>
      </c>
      <c r="J68" s="2926">
        <v>10</v>
      </c>
      <c r="K68" s="2927">
        <v>0.17</v>
      </c>
      <c r="L68" s="2928">
        <f t="shared" si="7"/>
        <v>1.7000000000000002</v>
      </c>
      <c r="M68" s="4596"/>
      <c r="S68" s="4596"/>
    </row>
    <row r="69" spans="1:19" ht="15.75">
      <c r="A69" s="4596"/>
      <c r="B69" s="2932">
        <v>55</v>
      </c>
      <c r="C69" s="2930" t="s">
        <v>3089</v>
      </c>
      <c r="D69" s="2926">
        <v>10</v>
      </c>
      <c r="E69" s="2927">
        <v>1.2E-2</v>
      </c>
      <c r="F69" s="2928">
        <f t="shared" si="9"/>
        <v>0.12</v>
      </c>
      <c r="G69" s="4596"/>
      <c r="H69" s="2932">
        <v>110</v>
      </c>
      <c r="I69" s="2930" t="s">
        <v>3090</v>
      </c>
      <c r="J69" s="2926">
        <v>10</v>
      </c>
      <c r="K69" s="2927">
        <v>1</v>
      </c>
      <c r="L69" s="2928">
        <f t="shared" si="7"/>
        <v>10</v>
      </c>
      <c r="M69" s="4596"/>
      <c r="S69" s="4596"/>
    </row>
    <row r="70" spans="1:19" ht="15.75">
      <c r="A70" s="4596"/>
      <c r="D70" s="2933"/>
      <c r="E70" s="2933"/>
      <c r="F70" s="2933"/>
      <c r="G70" s="4596"/>
      <c r="H70" s="2932">
        <v>111</v>
      </c>
      <c r="I70" s="2930" t="s">
        <v>3091</v>
      </c>
      <c r="J70" s="2926">
        <v>10</v>
      </c>
      <c r="K70" s="2927">
        <v>1.5</v>
      </c>
      <c r="L70" s="2928">
        <f t="shared" si="7"/>
        <v>15</v>
      </c>
      <c r="M70" s="4596"/>
      <c r="S70" s="4596"/>
    </row>
    <row r="71" spans="1:19" ht="15.75">
      <c r="A71" s="4596"/>
      <c r="D71" s="2933"/>
      <c r="E71" s="2933"/>
      <c r="F71" s="2933"/>
      <c r="G71" s="4596"/>
      <c r="H71" s="2932">
        <v>112</v>
      </c>
      <c r="I71" s="2930" t="s">
        <v>3092</v>
      </c>
      <c r="J71" s="2926">
        <v>10</v>
      </c>
      <c r="K71" s="2927">
        <v>1.4999999999999999E-2</v>
      </c>
      <c r="L71" s="2928">
        <f t="shared" si="7"/>
        <v>0.15</v>
      </c>
      <c r="M71" s="4596"/>
      <c r="S71" s="4596"/>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347"/>
  <sheetViews>
    <sheetView zoomScaleNormal="100" workbookViewId="0">
      <selection activeCell="V18" sqref="V18"/>
    </sheetView>
  </sheetViews>
  <sheetFormatPr baseColWidth="10" defaultRowHeight="15"/>
  <cols>
    <col min="1" max="1" width="4.5703125" style="1180" customWidth="1"/>
    <col min="2" max="2" width="10.42578125" style="2509" customWidth="1"/>
    <col min="3" max="8" width="11.42578125" style="2509"/>
    <col min="9" max="9" width="12.85546875" style="2509" customWidth="1"/>
    <col min="10" max="10" width="11.42578125" style="2509"/>
    <col min="11" max="12" width="11.5703125" style="2509" bestFit="1" customWidth="1"/>
    <col min="13" max="13" width="11.42578125" style="2509"/>
    <col min="14" max="14" width="11.42578125" style="1180"/>
    <col min="15" max="15" width="12.28515625" style="1180" bestFit="1" customWidth="1"/>
    <col min="16" max="16" width="11.5703125" style="1180" bestFit="1" customWidth="1"/>
    <col min="17" max="17" width="11.42578125" style="1180"/>
    <col min="18" max="18" width="12.28515625" style="1180" bestFit="1" customWidth="1"/>
    <col min="19" max="19" width="11.5703125" style="1180" bestFit="1" customWidth="1"/>
    <col min="20" max="256" width="11.42578125" style="1180"/>
    <col min="257" max="257" width="4.5703125" style="1180" customWidth="1"/>
    <col min="258" max="258" width="10.42578125" style="1180" customWidth="1"/>
    <col min="259" max="264" width="11.42578125" style="1180"/>
    <col min="265" max="265" width="12.85546875" style="1180" customWidth="1"/>
    <col min="266" max="266" width="11.42578125" style="1180"/>
    <col min="267" max="268" width="11.5703125" style="1180" bestFit="1" customWidth="1"/>
    <col min="269" max="270" width="11.42578125" style="1180"/>
    <col min="271" max="271" width="12.28515625" style="1180" bestFit="1" customWidth="1"/>
    <col min="272" max="272" width="11.5703125" style="1180" bestFit="1" customWidth="1"/>
    <col min="273" max="273" width="11.42578125" style="1180"/>
    <col min="274" max="274" width="12.28515625" style="1180" bestFit="1" customWidth="1"/>
    <col min="275" max="275" width="11.5703125" style="1180" bestFit="1" customWidth="1"/>
    <col min="276" max="512" width="11.42578125" style="1180"/>
    <col min="513" max="513" width="4.5703125" style="1180" customWidth="1"/>
    <col min="514" max="514" width="10.42578125" style="1180" customWidth="1"/>
    <col min="515" max="520" width="11.42578125" style="1180"/>
    <col min="521" max="521" width="12.85546875" style="1180" customWidth="1"/>
    <col min="522" max="522" width="11.42578125" style="1180"/>
    <col min="523" max="524" width="11.5703125" style="1180" bestFit="1" customWidth="1"/>
    <col min="525" max="526" width="11.42578125" style="1180"/>
    <col min="527" max="527" width="12.28515625" style="1180" bestFit="1" customWidth="1"/>
    <col min="528" max="528" width="11.5703125" style="1180" bestFit="1" customWidth="1"/>
    <col min="529" max="529" width="11.42578125" style="1180"/>
    <col min="530" max="530" width="12.28515625" style="1180" bestFit="1" customWidth="1"/>
    <col min="531" max="531" width="11.5703125" style="1180" bestFit="1" customWidth="1"/>
    <col min="532" max="768" width="11.42578125" style="1180"/>
    <col min="769" max="769" width="4.5703125" style="1180" customWidth="1"/>
    <col min="770" max="770" width="10.42578125" style="1180" customWidth="1"/>
    <col min="771" max="776" width="11.42578125" style="1180"/>
    <col min="777" max="777" width="12.85546875" style="1180" customWidth="1"/>
    <col min="778" max="778" width="11.42578125" style="1180"/>
    <col min="779" max="780" width="11.5703125" style="1180" bestFit="1" customWidth="1"/>
    <col min="781" max="782" width="11.42578125" style="1180"/>
    <col min="783" max="783" width="12.28515625" style="1180" bestFit="1" customWidth="1"/>
    <col min="784" max="784" width="11.5703125" style="1180" bestFit="1" customWidth="1"/>
    <col min="785" max="785" width="11.42578125" style="1180"/>
    <col min="786" max="786" width="12.28515625" style="1180" bestFit="1" customWidth="1"/>
    <col min="787" max="787" width="11.5703125" style="1180" bestFit="1" customWidth="1"/>
    <col min="788" max="1024" width="11.42578125" style="1180"/>
    <col min="1025" max="1025" width="4.5703125" style="1180" customWidth="1"/>
    <col min="1026" max="1026" width="10.42578125" style="1180" customWidth="1"/>
    <col min="1027" max="1032" width="11.42578125" style="1180"/>
    <col min="1033" max="1033" width="12.85546875" style="1180" customWidth="1"/>
    <col min="1034" max="1034" width="11.42578125" style="1180"/>
    <col min="1035" max="1036" width="11.5703125" style="1180" bestFit="1" customWidth="1"/>
    <col min="1037" max="1038" width="11.42578125" style="1180"/>
    <col min="1039" max="1039" width="12.28515625" style="1180" bestFit="1" customWidth="1"/>
    <col min="1040" max="1040" width="11.5703125" style="1180" bestFit="1" customWidth="1"/>
    <col min="1041" max="1041" width="11.42578125" style="1180"/>
    <col min="1042" max="1042" width="12.28515625" style="1180" bestFit="1" customWidth="1"/>
    <col min="1043" max="1043" width="11.5703125" style="1180" bestFit="1" customWidth="1"/>
    <col min="1044" max="1280" width="11.42578125" style="1180"/>
    <col min="1281" max="1281" width="4.5703125" style="1180" customWidth="1"/>
    <col min="1282" max="1282" width="10.42578125" style="1180" customWidth="1"/>
    <col min="1283" max="1288" width="11.42578125" style="1180"/>
    <col min="1289" max="1289" width="12.85546875" style="1180" customWidth="1"/>
    <col min="1290" max="1290" width="11.42578125" style="1180"/>
    <col min="1291" max="1292" width="11.5703125" style="1180" bestFit="1" customWidth="1"/>
    <col min="1293" max="1294" width="11.42578125" style="1180"/>
    <col min="1295" max="1295" width="12.28515625" style="1180" bestFit="1" customWidth="1"/>
    <col min="1296" max="1296" width="11.5703125" style="1180" bestFit="1" customWidth="1"/>
    <col min="1297" max="1297" width="11.42578125" style="1180"/>
    <col min="1298" max="1298" width="12.28515625" style="1180" bestFit="1" customWidth="1"/>
    <col min="1299" max="1299" width="11.5703125" style="1180" bestFit="1" customWidth="1"/>
    <col min="1300" max="1536" width="11.42578125" style="1180"/>
    <col min="1537" max="1537" width="4.5703125" style="1180" customWidth="1"/>
    <col min="1538" max="1538" width="10.42578125" style="1180" customWidth="1"/>
    <col min="1539" max="1544" width="11.42578125" style="1180"/>
    <col min="1545" max="1545" width="12.85546875" style="1180" customWidth="1"/>
    <col min="1546" max="1546" width="11.42578125" style="1180"/>
    <col min="1547" max="1548" width="11.5703125" style="1180" bestFit="1" customWidth="1"/>
    <col min="1549" max="1550" width="11.42578125" style="1180"/>
    <col min="1551" max="1551" width="12.28515625" style="1180" bestFit="1" customWidth="1"/>
    <col min="1552" max="1552" width="11.5703125" style="1180" bestFit="1" customWidth="1"/>
    <col min="1553" max="1553" width="11.42578125" style="1180"/>
    <col min="1554" max="1554" width="12.28515625" style="1180" bestFit="1" customWidth="1"/>
    <col min="1555" max="1555" width="11.5703125" style="1180" bestFit="1" customWidth="1"/>
    <col min="1556" max="1792" width="11.42578125" style="1180"/>
    <col min="1793" max="1793" width="4.5703125" style="1180" customWidth="1"/>
    <col min="1794" max="1794" width="10.42578125" style="1180" customWidth="1"/>
    <col min="1795" max="1800" width="11.42578125" style="1180"/>
    <col min="1801" max="1801" width="12.85546875" style="1180" customWidth="1"/>
    <col min="1802" max="1802" width="11.42578125" style="1180"/>
    <col min="1803" max="1804" width="11.5703125" style="1180" bestFit="1" customWidth="1"/>
    <col min="1805" max="1806" width="11.42578125" style="1180"/>
    <col min="1807" max="1807" width="12.28515625" style="1180" bestFit="1" customWidth="1"/>
    <col min="1808" max="1808" width="11.5703125" style="1180" bestFit="1" customWidth="1"/>
    <col min="1809" max="1809" width="11.42578125" style="1180"/>
    <col min="1810" max="1810" width="12.28515625" style="1180" bestFit="1" customWidth="1"/>
    <col min="1811" max="1811" width="11.5703125" style="1180" bestFit="1" customWidth="1"/>
    <col min="1812" max="2048" width="11.42578125" style="1180"/>
    <col min="2049" max="2049" width="4.5703125" style="1180" customWidth="1"/>
    <col min="2050" max="2050" width="10.42578125" style="1180" customWidth="1"/>
    <col min="2051" max="2056" width="11.42578125" style="1180"/>
    <col min="2057" max="2057" width="12.85546875" style="1180" customWidth="1"/>
    <col min="2058" max="2058" width="11.42578125" style="1180"/>
    <col min="2059" max="2060" width="11.5703125" style="1180" bestFit="1" customWidth="1"/>
    <col min="2061" max="2062" width="11.42578125" style="1180"/>
    <col min="2063" max="2063" width="12.28515625" style="1180" bestFit="1" customWidth="1"/>
    <col min="2064" max="2064" width="11.5703125" style="1180" bestFit="1" customWidth="1"/>
    <col min="2065" max="2065" width="11.42578125" style="1180"/>
    <col min="2066" max="2066" width="12.28515625" style="1180" bestFit="1" customWidth="1"/>
    <col min="2067" max="2067" width="11.5703125" style="1180" bestFit="1" customWidth="1"/>
    <col min="2068" max="2304" width="11.42578125" style="1180"/>
    <col min="2305" max="2305" width="4.5703125" style="1180" customWidth="1"/>
    <col min="2306" max="2306" width="10.42578125" style="1180" customWidth="1"/>
    <col min="2307" max="2312" width="11.42578125" style="1180"/>
    <col min="2313" max="2313" width="12.85546875" style="1180" customWidth="1"/>
    <col min="2314" max="2314" width="11.42578125" style="1180"/>
    <col min="2315" max="2316" width="11.5703125" style="1180" bestFit="1" customWidth="1"/>
    <col min="2317" max="2318" width="11.42578125" style="1180"/>
    <col min="2319" max="2319" width="12.28515625" style="1180" bestFit="1" customWidth="1"/>
    <col min="2320" max="2320" width="11.5703125" style="1180" bestFit="1" customWidth="1"/>
    <col min="2321" max="2321" width="11.42578125" style="1180"/>
    <col min="2322" max="2322" width="12.28515625" style="1180" bestFit="1" customWidth="1"/>
    <col min="2323" max="2323" width="11.5703125" style="1180" bestFit="1" customWidth="1"/>
    <col min="2324" max="2560" width="11.42578125" style="1180"/>
    <col min="2561" max="2561" width="4.5703125" style="1180" customWidth="1"/>
    <col min="2562" max="2562" width="10.42578125" style="1180" customWidth="1"/>
    <col min="2563" max="2568" width="11.42578125" style="1180"/>
    <col min="2569" max="2569" width="12.85546875" style="1180" customWidth="1"/>
    <col min="2570" max="2570" width="11.42578125" style="1180"/>
    <col min="2571" max="2572" width="11.5703125" style="1180" bestFit="1" customWidth="1"/>
    <col min="2573" max="2574" width="11.42578125" style="1180"/>
    <col min="2575" max="2575" width="12.28515625" style="1180" bestFit="1" customWidth="1"/>
    <col min="2576" max="2576" width="11.5703125" style="1180" bestFit="1" customWidth="1"/>
    <col min="2577" max="2577" width="11.42578125" style="1180"/>
    <col min="2578" max="2578" width="12.28515625" style="1180" bestFit="1" customWidth="1"/>
    <col min="2579" max="2579" width="11.5703125" style="1180" bestFit="1" customWidth="1"/>
    <col min="2580" max="2816" width="11.42578125" style="1180"/>
    <col min="2817" max="2817" width="4.5703125" style="1180" customWidth="1"/>
    <col min="2818" max="2818" width="10.42578125" style="1180" customWidth="1"/>
    <col min="2819" max="2824" width="11.42578125" style="1180"/>
    <col min="2825" max="2825" width="12.85546875" style="1180" customWidth="1"/>
    <col min="2826" max="2826" width="11.42578125" style="1180"/>
    <col min="2827" max="2828" width="11.5703125" style="1180" bestFit="1" customWidth="1"/>
    <col min="2829" max="2830" width="11.42578125" style="1180"/>
    <col min="2831" max="2831" width="12.28515625" style="1180" bestFit="1" customWidth="1"/>
    <col min="2832" max="2832" width="11.5703125" style="1180" bestFit="1" customWidth="1"/>
    <col min="2833" max="2833" width="11.42578125" style="1180"/>
    <col min="2834" max="2834" width="12.28515625" style="1180" bestFit="1" customWidth="1"/>
    <col min="2835" max="2835" width="11.5703125" style="1180" bestFit="1" customWidth="1"/>
    <col min="2836" max="3072" width="11.42578125" style="1180"/>
    <col min="3073" max="3073" width="4.5703125" style="1180" customWidth="1"/>
    <col min="3074" max="3074" width="10.42578125" style="1180" customWidth="1"/>
    <col min="3075" max="3080" width="11.42578125" style="1180"/>
    <col min="3081" max="3081" width="12.85546875" style="1180" customWidth="1"/>
    <col min="3082" max="3082" width="11.42578125" style="1180"/>
    <col min="3083" max="3084" width="11.5703125" style="1180" bestFit="1" customWidth="1"/>
    <col min="3085" max="3086" width="11.42578125" style="1180"/>
    <col min="3087" max="3087" width="12.28515625" style="1180" bestFit="1" customWidth="1"/>
    <col min="3088" max="3088" width="11.5703125" style="1180" bestFit="1" customWidth="1"/>
    <col min="3089" max="3089" width="11.42578125" style="1180"/>
    <col min="3090" max="3090" width="12.28515625" style="1180" bestFit="1" customWidth="1"/>
    <col min="3091" max="3091" width="11.5703125" style="1180" bestFit="1" customWidth="1"/>
    <col min="3092" max="3328" width="11.42578125" style="1180"/>
    <col min="3329" max="3329" width="4.5703125" style="1180" customWidth="1"/>
    <col min="3330" max="3330" width="10.42578125" style="1180" customWidth="1"/>
    <col min="3331" max="3336" width="11.42578125" style="1180"/>
    <col min="3337" max="3337" width="12.85546875" style="1180" customWidth="1"/>
    <col min="3338" max="3338" width="11.42578125" style="1180"/>
    <col min="3339" max="3340" width="11.5703125" style="1180" bestFit="1" customWidth="1"/>
    <col min="3341" max="3342" width="11.42578125" style="1180"/>
    <col min="3343" max="3343" width="12.28515625" style="1180" bestFit="1" customWidth="1"/>
    <col min="3344" max="3344" width="11.5703125" style="1180" bestFit="1" customWidth="1"/>
    <col min="3345" max="3345" width="11.42578125" style="1180"/>
    <col min="3346" max="3346" width="12.28515625" style="1180" bestFit="1" customWidth="1"/>
    <col min="3347" max="3347" width="11.5703125" style="1180" bestFit="1" customWidth="1"/>
    <col min="3348" max="3584" width="11.42578125" style="1180"/>
    <col min="3585" max="3585" width="4.5703125" style="1180" customWidth="1"/>
    <col min="3586" max="3586" width="10.42578125" style="1180" customWidth="1"/>
    <col min="3587" max="3592" width="11.42578125" style="1180"/>
    <col min="3593" max="3593" width="12.85546875" style="1180" customWidth="1"/>
    <col min="3594" max="3594" width="11.42578125" style="1180"/>
    <col min="3595" max="3596" width="11.5703125" style="1180" bestFit="1" customWidth="1"/>
    <col min="3597" max="3598" width="11.42578125" style="1180"/>
    <col min="3599" max="3599" width="12.28515625" style="1180" bestFit="1" customWidth="1"/>
    <col min="3600" max="3600" width="11.5703125" style="1180" bestFit="1" customWidth="1"/>
    <col min="3601" max="3601" width="11.42578125" style="1180"/>
    <col min="3602" max="3602" width="12.28515625" style="1180" bestFit="1" customWidth="1"/>
    <col min="3603" max="3603" width="11.5703125" style="1180" bestFit="1" customWidth="1"/>
    <col min="3604" max="3840" width="11.42578125" style="1180"/>
    <col min="3841" max="3841" width="4.5703125" style="1180" customWidth="1"/>
    <col min="3842" max="3842" width="10.42578125" style="1180" customWidth="1"/>
    <col min="3843" max="3848" width="11.42578125" style="1180"/>
    <col min="3849" max="3849" width="12.85546875" style="1180" customWidth="1"/>
    <col min="3850" max="3850" width="11.42578125" style="1180"/>
    <col min="3851" max="3852" width="11.5703125" style="1180" bestFit="1" customWidth="1"/>
    <col min="3853" max="3854" width="11.42578125" style="1180"/>
    <col min="3855" max="3855" width="12.28515625" style="1180" bestFit="1" customWidth="1"/>
    <col min="3856" max="3856" width="11.5703125" style="1180" bestFit="1" customWidth="1"/>
    <col min="3857" max="3857" width="11.42578125" style="1180"/>
    <col min="3858" max="3858" width="12.28515625" style="1180" bestFit="1" customWidth="1"/>
    <col min="3859" max="3859" width="11.5703125" style="1180" bestFit="1" customWidth="1"/>
    <col min="3860" max="4096" width="11.42578125" style="1180"/>
    <col min="4097" max="4097" width="4.5703125" style="1180" customWidth="1"/>
    <col min="4098" max="4098" width="10.42578125" style="1180" customWidth="1"/>
    <col min="4099" max="4104" width="11.42578125" style="1180"/>
    <col min="4105" max="4105" width="12.85546875" style="1180" customWidth="1"/>
    <col min="4106" max="4106" width="11.42578125" style="1180"/>
    <col min="4107" max="4108" width="11.5703125" style="1180" bestFit="1" customWidth="1"/>
    <col min="4109" max="4110" width="11.42578125" style="1180"/>
    <col min="4111" max="4111" width="12.28515625" style="1180" bestFit="1" customWidth="1"/>
    <col min="4112" max="4112" width="11.5703125" style="1180" bestFit="1" customWidth="1"/>
    <col min="4113" max="4113" width="11.42578125" style="1180"/>
    <col min="4114" max="4114" width="12.28515625" style="1180" bestFit="1" customWidth="1"/>
    <col min="4115" max="4115" width="11.5703125" style="1180" bestFit="1" customWidth="1"/>
    <col min="4116" max="4352" width="11.42578125" style="1180"/>
    <col min="4353" max="4353" width="4.5703125" style="1180" customWidth="1"/>
    <col min="4354" max="4354" width="10.42578125" style="1180" customWidth="1"/>
    <col min="4355" max="4360" width="11.42578125" style="1180"/>
    <col min="4361" max="4361" width="12.85546875" style="1180" customWidth="1"/>
    <col min="4362" max="4362" width="11.42578125" style="1180"/>
    <col min="4363" max="4364" width="11.5703125" style="1180" bestFit="1" customWidth="1"/>
    <col min="4365" max="4366" width="11.42578125" style="1180"/>
    <col min="4367" max="4367" width="12.28515625" style="1180" bestFit="1" customWidth="1"/>
    <col min="4368" max="4368" width="11.5703125" style="1180" bestFit="1" customWidth="1"/>
    <col min="4369" max="4369" width="11.42578125" style="1180"/>
    <col min="4370" max="4370" width="12.28515625" style="1180" bestFit="1" customWidth="1"/>
    <col min="4371" max="4371" width="11.5703125" style="1180" bestFit="1" customWidth="1"/>
    <col min="4372" max="4608" width="11.42578125" style="1180"/>
    <col min="4609" max="4609" width="4.5703125" style="1180" customWidth="1"/>
    <col min="4610" max="4610" width="10.42578125" style="1180" customWidth="1"/>
    <col min="4611" max="4616" width="11.42578125" style="1180"/>
    <col min="4617" max="4617" width="12.85546875" style="1180" customWidth="1"/>
    <col min="4618" max="4618" width="11.42578125" style="1180"/>
    <col min="4619" max="4620" width="11.5703125" style="1180" bestFit="1" customWidth="1"/>
    <col min="4621" max="4622" width="11.42578125" style="1180"/>
    <col min="4623" max="4623" width="12.28515625" style="1180" bestFit="1" customWidth="1"/>
    <col min="4624" max="4624" width="11.5703125" style="1180" bestFit="1" customWidth="1"/>
    <col min="4625" max="4625" width="11.42578125" style="1180"/>
    <col min="4626" max="4626" width="12.28515625" style="1180" bestFit="1" customWidth="1"/>
    <col min="4627" max="4627" width="11.5703125" style="1180" bestFit="1" customWidth="1"/>
    <col min="4628" max="4864" width="11.42578125" style="1180"/>
    <col min="4865" max="4865" width="4.5703125" style="1180" customWidth="1"/>
    <col min="4866" max="4866" width="10.42578125" style="1180" customWidth="1"/>
    <col min="4867" max="4872" width="11.42578125" style="1180"/>
    <col min="4873" max="4873" width="12.85546875" style="1180" customWidth="1"/>
    <col min="4874" max="4874" width="11.42578125" style="1180"/>
    <col min="4875" max="4876" width="11.5703125" style="1180" bestFit="1" customWidth="1"/>
    <col min="4877" max="4878" width="11.42578125" style="1180"/>
    <col min="4879" max="4879" width="12.28515625" style="1180" bestFit="1" customWidth="1"/>
    <col min="4880" max="4880" width="11.5703125" style="1180" bestFit="1" customWidth="1"/>
    <col min="4881" max="4881" width="11.42578125" style="1180"/>
    <col min="4882" max="4882" width="12.28515625" style="1180" bestFit="1" customWidth="1"/>
    <col min="4883" max="4883" width="11.5703125" style="1180" bestFit="1" customWidth="1"/>
    <col min="4884" max="5120" width="11.42578125" style="1180"/>
    <col min="5121" max="5121" width="4.5703125" style="1180" customWidth="1"/>
    <col min="5122" max="5122" width="10.42578125" style="1180" customWidth="1"/>
    <col min="5123" max="5128" width="11.42578125" style="1180"/>
    <col min="5129" max="5129" width="12.85546875" style="1180" customWidth="1"/>
    <col min="5130" max="5130" width="11.42578125" style="1180"/>
    <col min="5131" max="5132" width="11.5703125" style="1180" bestFit="1" customWidth="1"/>
    <col min="5133" max="5134" width="11.42578125" style="1180"/>
    <col min="5135" max="5135" width="12.28515625" style="1180" bestFit="1" customWidth="1"/>
    <col min="5136" max="5136" width="11.5703125" style="1180" bestFit="1" customWidth="1"/>
    <col min="5137" max="5137" width="11.42578125" style="1180"/>
    <col min="5138" max="5138" width="12.28515625" style="1180" bestFit="1" customWidth="1"/>
    <col min="5139" max="5139" width="11.5703125" style="1180" bestFit="1" customWidth="1"/>
    <col min="5140" max="5376" width="11.42578125" style="1180"/>
    <col min="5377" max="5377" width="4.5703125" style="1180" customWidth="1"/>
    <col min="5378" max="5378" width="10.42578125" style="1180" customWidth="1"/>
    <col min="5379" max="5384" width="11.42578125" style="1180"/>
    <col min="5385" max="5385" width="12.85546875" style="1180" customWidth="1"/>
    <col min="5386" max="5386" width="11.42578125" style="1180"/>
    <col min="5387" max="5388" width="11.5703125" style="1180" bestFit="1" customWidth="1"/>
    <col min="5389" max="5390" width="11.42578125" style="1180"/>
    <col min="5391" max="5391" width="12.28515625" style="1180" bestFit="1" customWidth="1"/>
    <col min="5392" max="5392" width="11.5703125" style="1180" bestFit="1" customWidth="1"/>
    <col min="5393" max="5393" width="11.42578125" style="1180"/>
    <col min="5394" max="5394" width="12.28515625" style="1180" bestFit="1" customWidth="1"/>
    <col min="5395" max="5395" width="11.5703125" style="1180" bestFit="1" customWidth="1"/>
    <col min="5396" max="5632" width="11.42578125" style="1180"/>
    <col min="5633" max="5633" width="4.5703125" style="1180" customWidth="1"/>
    <col min="5634" max="5634" width="10.42578125" style="1180" customWidth="1"/>
    <col min="5635" max="5640" width="11.42578125" style="1180"/>
    <col min="5641" max="5641" width="12.85546875" style="1180" customWidth="1"/>
    <col min="5642" max="5642" width="11.42578125" style="1180"/>
    <col min="5643" max="5644" width="11.5703125" style="1180" bestFit="1" customWidth="1"/>
    <col min="5645" max="5646" width="11.42578125" style="1180"/>
    <col min="5647" max="5647" width="12.28515625" style="1180" bestFit="1" customWidth="1"/>
    <col min="5648" max="5648" width="11.5703125" style="1180" bestFit="1" customWidth="1"/>
    <col min="5649" max="5649" width="11.42578125" style="1180"/>
    <col min="5650" max="5650" width="12.28515625" style="1180" bestFit="1" customWidth="1"/>
    <col min="5651" max="5651" width="11.5703125" style="1180" bestFit="1" customWidth="1"/>
    <col min="5652" max="5888" width="11.42578125" style="1180"/>
    <col min="5889" max="5889" width="4.5703125" style="1180" customWidth="1"/>
    <col min="5890" max="5890" width="10.42578125" style="1180" customWidth="1"/>
    <col min="5891" max="5896" width="11.42578125" style="1180"/>
    <col min="5897" max="5897" width="12.85546875" style="1180" customWidth="1"/>
    <col min="5898" max="5898" width="11.42578125" style="1180"/>
    <col min="5899" max="5900" width="11.5703125" style="1180" bestFit="1" customWidth="1"/>
    <col min="5901" max="5902" width="11.42578125" style="1180"/>
    <col min="5903" max="5903" width="12.28515625" style="1180" bestFit="1" customWidth="1"/>
    <col min="5904" max="5904" width="11.5703125" style="1180" bestFit="1" customWidth="1"/>
    <col min="5905" max="5905" width="11.42578125" style="1180"/>
    <col min="5906" max="5906" width="12.28515625" style="1180" bestFit="1" customWidth="1"/>
    <col min="5907" max="5907" width="11.5703125" style="1180" bestFit="1" customWidth="1"/>
    <col min="5908" max="6144" width="11.42578125" style="1180"/>
    <col min="6145" max="6145" width="4.5703125" style="1180" customWidth="1"/>
    <col min="6146" max="6146" width="10.42578125" style="1180" customWidth="1"/>
    <col min="6147" max="6152" width="11.42578125" style="1180"/>
    <col min="6153" max="6153" width="12.85546875" style="1180" customWidth="1"/>
    <col min="6154" max="6154" width="11.42578125" style="1180"/>
    <col min="6155" max="6156" width="11.5703125" style="1180" bestFit="1" customWidth="1"/>
    <col min="6157" max="6158" width="11.42578125" style="1180"/>
    <col min="6159" max="6159" width="12.28515625" style="1180" bestFit="1" customWidth="1"/>
    <col min="6160" max="6160" width="11.5703125" style="1180" bestFit="1" customWidth="1"/>
    <col min="6161" max="6161" width="11.42578125" style="1180"/>
    <col min="6162" max="6162" width="12.28515625" style="1180" bestFit="1" customWidth="1"/>
    <col min="6163" max="6163" width="11.5703125" style="1180" bestFit="1" customWidth="1"/>
    <col min="6164" max="6400" width="11.42578125" style="1180"/>
    <col min="6401" max="6401" width="4.5703125" style="1180" customWidth="1"/>
    <col min="6402" max="6402" width="10.42578125" style="1180" customWidth="1"/>
    <col min="6403" max="6408" width="11.42578125" style="1180"/>
    <col min="6409" max="6409" width="12.85546875" style="1180" customWidth="1"/>
    <col min="6410" max="6410" width="11.42578125" style="1180"/>
    <col min="6411" max="6412" width="11.5703125" style="1180" bestFit="1" customWidth="1"/>
    <col min="6413" max="6414" width="11.42578125" style="1180"/>
    <col min="6415" max="6415" width="12.28515625" style="1180" bestFit="1" customWidth="1"/>
    <col min="6416" max="6416" width="11.5703125" style="1180" bestFit="1" customWidth="1"/>
    <col min="6417" max="6417" width="11.42578125" style="1180"/>
    <col min="6418" max="6418" width="12.28515625" style="1180" bestFit="1" customWidth="1"/>
    <col min="6419" max="6419" width="11.5703125" style="1180" bestFit="1" customWidth="1"/>
    <col min="6420" max="6656" width="11.42578125" style="1180"/>
    <col min="6657" max="6657" width="4.5703125" style="1180" customWidth="1"/>
    <col min="6658" max="6658" width="10.42578125" style="1180" customWidth="1"/>
    <col min="6659" max="6664" width="11.42578125" style="1180"/>
    <col min="6665" max="6665" width="12.85546875" style="1180" customWidth="1"/>
    <col min="6666" max="6666" width="11.42578125" style="1180"/>
    <col min="6667" max="6668" width="11.5703125" style="1180" bestFit="1" customWidth="1"/>
    <col min="6669" max="6670" width="11.42578125" style="1180"/>
    <col min="6671" max="6671" width="12.28515625" style="1180" bestFit="1" customWidth="1"/>
    <col min="6672" max="6672" width="11.5703125" style="1180" bestFit="1" customWidth="1"/>
    <col min="6673" max="6673" width="11.42578125" style="1180"/>
    <col min="6674" max="6674" width="12.28515625" style="1180" bestFit="1" customWidth="1"/>
    <col min="6675" max="6675" width="11.5703125" style="1180" bestFit="1" customWidth="1"/>
    <col min="6676" max="6912" width="11.42578125" style="1180"/>
    <col min="6913" max="6913" width="4.5703125" style="1180" customWidth="1"/>
    <col min="6914" max="6914" width="10.42578125" style="1180" customWidth="1"/>
    <col min="6915" max="6920" width="11.42578125" style="1180"/>
    <col min="6921" max="6921" width="12.85546875" style="1180" customWidth="1"/>
    <col min="6922" max="6922" width="11.42578125" style="1180"/>
    <col min="6923" max="6924" width="11.5703125" style="1180" bestFit="1" customWidth="1"/>
    <col min="6925" max="6926" width="11.42578125" style="1180"/>
    <col min="6927" max="6927" width="12.28515625" style="1180" bestFit="1" customWidth="1"/>
    <col min="6928" max="6928" width="11.5703125" style="1180" bestFit="1" customWidth="1"/>
    <col min="6929" max="6929" width="11.42578125" style="1180"/>
    <col min="6930" max="6930" width="12.28515625" style="1180" bestFit="1" customWidth="1"/>
    <col min="6931" max="6931" width="11.5703125" style="1180" bestFit="1" customWidth="1"/>
    <col min="6932" max="7168" width="11.42578125" style="1180"/>
    <col min="7169" max="7169" width="4.5703125" style="1180" customWidth="1"/>
    <col min="7170" max="7170" width="10.42578125" style="1180" customWidth="1"/>
    <col min="7171" max="7176" width="11.42578125" style="1180"/>
    <col min="7177" max="7177" width="12.85546875" style="1180" customWidth="1"/>
    <col min="7178" max="7178" width="11.42578125" style="1180"/>
    <col min="7179" max="7180" width="11.5703125" style="1180" bestFit="1" customWidth="1"/>
    <col min="7181" max="7182" width="11.42578125" style="1180"/>
    <col min="7183" max="7183" width="12.28515625" style="1180" bestFit="1" customWidth="1"/>
    <col min="7184" max="7184" width="11.5703125" style="1180" bestFit="1" customWidth="1"/>
    <col min="7185" max="7185" width="11.42578125" style="1180"/>
    <col min="7186" max="7186" width="12.28515625" style="1180" bestFit="1" customWidth="1"/>
    <col min="7187" max="7187" width="11.5703125" style="1180" bestFit="1" customWidth="1"/>
    <col min="7188" max="7424" width="11.42578125" style="1180"/>
    <col min="7425" max="7425" width="4.5703125" style="1180" customWidth="1"/>
    <col min="7426" max="7426" width="10.42578125" style="1180" customWidth="1"/>
    <col min="7427" max="7432" width="11.42578125" style="1180"/>
    <col min="7433" max="7433" width="12.85546875" style="1180" customWidth="1"/>
    <col min="7434" max="7434" width="11.42578125" style="1180"/>
    <col min="7435" max="7436" width="11.5703125" style="1180" bestFit="1" customWidth="1"/>
    <col min="7437" max="7438" width="11.42578125" style="1180"/>
    <col min="7439" max="7439" width="12.28515625" style="1180" bestFit="1" customWidth="1"/>
    <col min="7440" max="7440" width="11.5703125" style="1180" bestFit="1" customWidth="1"/>
    <col min="7441" max="7441" width="11.42578125" style="1180"/>
    <col min="7442" max="7442" width="12.28515625" style="1180" bestFit="1" customWidth="1"/>
    <col min="7443" max="7443" width="11.5703125" style="1180" bestFit="1" customWidth="1"/>
    <col min="7444" max="7680" width="11.42578125" style="1180"/>
    <col min="7681" max="7681" width="4.5703125" style="1180" customWidth="1"/>
    <col min="7682" max="7682" width="10.42578125" style="1180" customWidth="1"/>
    <col min="7683" max="7688" width="11.42578125" style="1180"/>
    <col min="7689" max="7689" width="12.85546875" style="1180" customWidth="1"/>
    <col min="7690" max="7690" width="11.42578125" style="1180"/>
    <col min="7691" max="7692" width="11.5703125" style="1180" bestFit="1" customWidth="1"/>
    <col min="7693" max="7694" width="11.42578125" style="1180"/>
    <col min="7695" max="7695" width="12.28515625" style="1180" bestFit="1" customWidth="1"/>
    <col min="7696" max="7696" width="11.5703125" style="1180" bestFit="1" customWidth="1"/>
    <col min="7697" max="7697" width="11.42578125" style="1180"/>
    <col min="7698" max="7698" width="12.28515625" style="1180" bestFit="1" customWidth="1"/>
    <col min="7699" max="7699" width="11.5703125" style="1180" bestFit="1" customWidth="1"/>
    <col min="7700" max="7936" width="11.42578125" style="1180"/>
    <col min="7937" max="7937" width="4.5703125" style="1180" customWidth="1"/>
    <col min="7938" max="7938" width="10.42578125" style="1180" customWidth="1"/>
    <col min="7939" max="7944" width="11.42578125" style="1180"/>
    <col min="7945" max="7945" width="12.85546875" style="1180" customWidth="1"/>
    <col min="7946" max="7946" width="11.42578125" style="1180"/>
    <col min="7947" max="7948" width="11.5703125" style="1180" bestFit="1" customWidth="1"/>
    <col min="7949" max="7950" width="11.42578125" style="1180"/>
    <col min="7951" max="7951" width="12.28515625" style="1180" bestFit="1" customWidth="1"/>
    <col min="7952" max="7952" width="11.5703125" style="1180" bestFit="1" customWidth="1"/>
    <col min="7953" max="7953" width="11.42578125" style="1180"/>
    <col min="7954" max="7954" width="12.28515625" style="1180" bestFit="1" customWidth="1"/>
    <col min="7955" max="7955" width="11.5703125" style="1180" bestFit="1" customWidth="1"/>
    <col min="7956" max="8192" width="11.42578125" style="1180"/>
    <col min="8193" max="8193" width="4.5703125" style="1180" customWidth="1"/>
    <col min="8194" max="8194" width="10.42578125" style="1180" customWidth="1"/>
    <col min="8195" max="8200" width="11.42578125" style="1180"/>
    <col min="8201" max="8201" width="12.85546875" style="1180" customWidth="1"/>
    <col min="8202" max="8202" width="11.42578125" style="1180"/>
    <col min="8203" max="8204" width="11.5703125" style="1180" bestFit="1" customWidth="1"/>
    <col min="8205" max="8206" width="11.42578125" style="1180"/>
    <col min="8207" max="8207" width="12.28515625" style="1180" bestFit="1" customWidth="1"/>
    <col min="8208" max="8208" width="11.5703125" style="1180" bestFit="1" customWidth="1"/>
    <col min="8209" max="8209" width="11.42578125" style="1180"/>
    <col min="8210" max="8210" width="12.28515625" style="1180" bestFit="1" customWidth="1"/>
    <col min="8211" max="8211" width="11.5703125" style="1180" bestFit="1" customWidth="1"/>
    <col min="8212" max="8448" width="11.42578125" style="1180"/>
    <col min="8449" max="8449" width="4.5703125" style="1180" customWidth="1"/>
    <col min="8450" max="8450" width="10.42578125" style="1180" customWidth="1"/>
    <col min="8451" max="8456" width="11.42578125" style="1180"/>
    <col min="8457" max="8457" width="12.85546875" style="1180" customWidth="1"/>
    <col min="8458" max="8458" width="11.42578125" style="1180"/>
    <col min="8459" max="8460" width="11.5703125" style="1180" bestFit="1" customWidth="1"/>
    <col min="8461" max="8462" width="11.42578125" style="1180"/>
    <col min="8463" max="8463" width="12.28515625" style="1180" bestFit="1" customWidth="1"/>
    <col min="8464" max="8464" width="11.5703125" style="1180" bestFit="1" customWidth="1"/>
    <col min="8465" max="8465" width="11.42578125" style="1180"/>
    <col min="8466" max="8466" width="12.28515625" style="1180" bestFit="1" customWidth="1"/>
    <col min="8467" max="8467" width="11.5703125" style="1180" bestFit="1" customWidth="1"/>
    <col min="8468" max="8704" width="11.42578125" style="1180"/>
    <col min="8705" max="8705" width="4.5703125" style="1180" customWidth="1"/>
    <col min="8706" max="8706" width="10.42578125" style="1180" customWidth="1"/>
    <col min="8707" max="8712" width="11.42578125" style="1180"/>
    <col min="8713" max="8713" width="12.85546875" style="1180" customWidth="1"/>
    <col min="8714" max="8714" width="11.42578125" style="1180"/>
    <col min="8715" max="8716" width="11.5703125" style="1180" bestFit="1" customWidth="1"/>
    <col min="8717" max="8718" width="11.42578125" style="1180"/>
    <col min="8719" max="8719" width="12.28515625" style="1180" bestFit="1" customWidth="1"/>
    <col min="8720" max="8720" width="11.5703125" style="1180" bestFit="1" customWidth="1"/>
    <col min="8721" max="8721" width="11.42578125" style="1180"/>
    <col min="8722" max="8722" width="12.28515625" style="1180" bestFit="1" customWidth="1"/>
    <col min="8723" max="8723" width="11.5703125" style="1180" bestFit="1" customWidth="1"/>
    <col min="8724" max="8960" width="11.42578125" style="1180"/>
    <col min="8961" max="8961" width="4.5703125" style="1180" customWidth="1"/>
    <col min="8962" max="8962" width="10.42578125" style="1180" customWidth="1"/>
    <col min="8963" max="8968" width="11.42578125" style="1180"/>
    <col min="8969" max="8969" width="12.85546875" style="1180" customWidth="1"/>
    <col min="8970" max="8970" width="11.42578125" style="1180"/>
    <col min="8971" max="8972" width="11.5703125" style="1180" bestFit="1" customWidth="1"/>
    <col min="8973" max="8974" width="11.42578125" style="1180"/>
    <col min="8975" max="8975" width="12.28515625" style="1180" bestFit="1" customWidth="1"/>
    <col min="8976" max="8976" width="11.5703125" style="1180" bestFit="1" customWidth="1"/>
    <col min="8977" max="8977" width="11.42578125" style="1180"/>
    <col min="8978" max="8978" width="12.28515625" style="1180" bestFit="1" customWidth="1"/>
    <col min="8979" max="8979" width="11.5703125" style="1180" bestFit="1" customWidth="1"/>
    <col min="8980" max="9216" width="11.42578125" style="1180"/>
    <col min="9217" max="9217" width="4.5703125" style="1180" customWidth="1"/>
    <col min="9218" max="9218" width="10.42578125" style="1180" customWidth="1"/>
    <col min="9219" max="9224" width="11.42578125" style="1180"/>
    <col min="9225" max="9225" width="12.85546875" style="1180" customWidth="1"/>
    <col min="9226" max="9226" width="11.42578125" style="1180"/>
    <col min="9227" max="9228" width="11.5703125" style="1180" bestFit="1" customWidth="1"/>
    <col min="9229" max="9230" width="11.42578125" style="1180"/>
    <col min="9231" max="9231" width="12.28515625" style="1180" bestFit="1" customWidth="1"/>
    <col min="9232" max="9232" width="11.5703125" style="1180" bestFit="1" customWidth="1"/>
    <col min="9233" max="9233" width="11.42578125" style="1180"/>
    <col min="9234" max="9234" width="12.28515625" style="1180" bestFit="1" customWidth="1"/>
    <col min="9235" max="9235" width="11.5703125" style="1180" bestFit="1" customWidth="1"/>
    <col min="9236" max="9472" width="11.42578125" style="1180"/>
    <col min="9473" max="9473" width="4.5703125" style="1180" customWidth="1"/>
    <col min="9474" max="9474" width="10.42578125" style="1180" customWidth="1"/>
    <col min="9475" max="9480" width="11.42578125" style="1180"/>
    <col min="9481" max="9481" width="12.85546875" style="1180" customWidth="1"/>
    <col min="9482" max="9482" width="11.42578125" style="1180"/>
    <col min="9483" max="9484" width="11.5703125" style="1180" bestFit="1" customWidth="1"/>
    <col min="9485" max="9486" width="11.42578125" style="1180"/>
    <col min="9487" max="9487" width="12.28515625" style="1180" bestFit="1" customWidth="1"/>
    <col min="9488" max="9488" width="11.5703125" style="1180" bestFit="1" customWidth="1"/>
    <col min="9489" max="9489" width="11.42578125" style="1180"/>
    <col min="9490" max="9490" width="12.28515625" style="1180" bestFit="1" customWidth="1"/>
    <col min="9491" max="9491" width="11.5703125" style="1180" bestFit="1" customWidth="1"/>
    <col min="9492" max="9728" width="11.42578125" style="1180"/>
    <col min="9729" max="9729" width="4.5703125" style="1180" customWidth="1"/>
    <col min="9730" max="9730" width="10.42578125" style="1180" customWidth="1"/>
    <col min="9731" max="9736" width="11.42578125" style="1180"/>
    <col min="9737" max="9737" width="12.85546875" style="1180" customWidth="1"/>
    <col min="9738" max="9738" width="11.42578125" style="1180"/>
    <col min="9739" max="9740" width="11.5703125" style="1180" bestFit="1" customWidth="1"/>
    <col min="9741" max="9742" width="11.42578125" style="1180"/>
    <col min="9743" max="9743" width="12.28515625" style="1180" bestFit="1" customWidth="1"/>
    <col min="9744" max="9744" width="11.5703125" style="1180" bestFit="1" customWidth="1"/>
    <col min="9745" max="9745" width="11.42578125" style="1180"/>
    <col min="9746" max="9746" width="12.28515625" style="1180" bestFit="1" customWidth="1"/>
    <col min="9747" max="9747" width="11.5703125" style="1180" bestFit="1" customWidth="1"/>
    <col min="9748" max="9984" width="11.42578125" style="1180"/>
    <col min="9985" max="9985" width="4.5703125" style="1180" customWidth="1"/>
    <col min="9986" max="9986" width="10.42578125" style="1180" customWidth="1"/>
    <col min="9987" max="9992" width="11.42578125" style="1180"/>
    <col min="9993" max="9993" width="12.85546875" style="1180" customWidth="1"/>
    <col min="9994" max="9994" width="11.42578125" style="1180"/>
    <col min="9995" max="9996" width="11.5703125" style="1180" bestFit="1" customWidth="1"/>
    <col min="9997" max="9998" width="11.42578125" style="1180"/>
    <col min="9999" max="9999" width="12.28515625" style="1180" bestFit="1" customWidth="1"/>
    <col min="10000" max="10000" width="11.5703125" style="1180" bestFit="1" customWidth="1"/>
    <col min="10001" max="10001" width="11.42578125" style="1180"/>
    <col min="10002" max="10002" width="12.28515625" style="1180" bestFit="1" customWidth="1"/>
    <col min="10003" max="10003" width="11.5703125" style="1180" bestFit="1" customWidth="1"/>
    <col min="10004" max="10240" width="11.42578125" style="1180"/>
    <col min="10241" max="10241" width="4.5703125" style="1180" customWidth="1"/>
    <col min="10242" max="10242" width="10.42578125" style="1180" customWidth="1"/>
    <col min="10243" max="10248" width="11.42578125" style="1180"/>
    <col min="10249" max="10249" width="12.85546875" style="1180" customWidth="1"/>
    <col min="10250" max="10250" width="11.42578125" style="1180"/>
    <col min="10251" max="10252" width="11.5703125" style="1180" bestFit="1" customWidth="1"/>
    <col min="10253" max="10254" width="11.42578125" style="1180"/>
    <col min="10255" max="10255" width="12.28515625" style="1180" bestFit="1" customWidth="1"/>
    <col min="10256" max="10256" width="11.5703125" style="1180" bestFit="1" customWidth="1"/>
    <col min="10257" max="10257" width="11.42578125" style="1180"/>
    <col min="10258" max="10258" width="12.28515625" style="1180" bestFit="1" customWidth="1"/>
    <col min="10259" max="10259" width="11.5703125" style="1180" bestFit="1" customWidth="1"/>
    <col min="10260" max="10496" width="11.42578125" style="1180"/>
    <col min="10497" max="10497" width="4.5703125" style="1180" customWidth="1"/>
    <col min="10498" max="10498" width="10.42578125" style="1180" customWidth="1"/>
    <col min="10499" max="10504" width="11.42578125" style="1180"/>
    <col min="10505" max="10505" width="12.85546875" style="1180" customWidth="1"/>
    <col min="10506" max="10506" width="11.42578125" style="1180"/>
    <col min="10507" max="10508" width="11.5703125" style="1180" bestFit="1" customWidth="1"/>
    <col min="10509" max="10510" width="11.42578125" style="1180"/>
    <col min="10511" max="10511" width="12.28515625" style="1180" bestFit="1" customWidth="1"/>
    <col min="10512" max="10512" width="11.5703125" style="1180" bestFit="1" customWidth="1"/>
    <col min="10513" max="10513" width="11.42578125" style="1180"/>
    <col min="10514" max="10514" width="12.28515625" style="1180" bestFit="1" customWidth="1"/>
    <col min="10515" max="10515" width="11.5703125" style="1180" bestFit="1" customWidth="1"/>
    <col min="10516" max="10752" width="11.42578125" style="1180"/>
    <col min="10753" max="10753" width="4.5703125" style="1180" customWidth="1"/>
    <col min="10754" max="10754" width="10.42578125" style="1180" customWidth="1"/>
    <col min="10755" max="10760" width="11.42578125" style="1180"/>
    <col min="10761" max="10761" width="12.85546875" style="1180" customWidth="1"/>
    <col min="10762" max="10762" width="11.42578125" style="1180"/>
    <col min="10763" max="10764" width="11.5703125" style="1180" bestFit="1" customWidth="1"/>
    <col min="10765" max="10766" width="11.42578125" style="1180"/>
    <col min="10767" max="10767" width="12.28515625" style="1180" bestFit="1" customWidth="1"/>
    <col min="10768" max="10768" width="11.5703125" style="1180" bestFit="1" customWidth="1"/>
    <col min="10769" max="10769" width="11.42578125" style="1180"/>
    <col min="10770" max="10770" width="12.28515625" style="1180" bestFit="1" customWidth="1"/>
    <col min="10771" max="10771" width="11.5703125" style="1180" bestFit="1" customWidth="1"/>
    <col min="10772" max="11008" width="11.42578125" style="1180"/>
    <col min="11009" max="11009" width="4.5703125" style="1180" customWidth="1"/>
    <col min="11010" max="11010" width="10.42578125" style="1180" customWidth="1"/>
    <col min="11011" max="11016" width="11.42578125" style="1180"/>
    <col min="11017" max="11017" width="12.85546875" style="1180" customWidth="1"/>
    <col min="11018" max="11018" width="11.42578125" style="1180"/>
    <col min="11019" max="11020" width="11.5703125" style="1180" bestFit="1" customWidth="1"/>
    <col min="11021" max="11022" width="11.42578125" style="1180"/>
    <col min="11023" max="11023" width="12.28515625" style="1180" bestFit="1" customWidth="1"/>
    <col min="11024" max="11024" width="11.5703125" style="1180" bestFit="1" customWidth="1"/>
    <col min="11025" max="11025" width="11.42578125" style="1180"/>
    <col min="11026" max="11026" width="12.28515625" style="1180" bestFit="1" customWidth="1"/>
    <col min="11027" max="11027" width="11.5703125" style="1180" bestFit="1" customWidth="1"/>
    <col min="11028" max="11264" width="11.42578125" style="1180"/>
    <col min="11265" max="11265" width="4.5703125" style="1180" customWidth="1"/>
    <col min="11266" max="11266" width="10.42578125" style="1180" customWidth="1"/>
    <col min="11267" max="11272" width="11.42578125" style="1180"/>
    <col min="11273" max="11273" width="12.85546875" style="1180" customWidth="1"/>
    <col min="11274" max="11274" width="11.42578125" style="1180"/>
    <col min="11275" max="11276" width="11.5703125" style="1180" bestFit="1" customWidth="1"/>
    <col min="11277" max="11278" width="11.42578125" style="1180"/>
    <col min="11279" max="11279" width="12.28515625" style="1180" bestFit="1" customWidth="1"/>
    <col min="11280" max="11280" width="11.5703125" style="1180" bestFit="1" customWidth="1"/>
    <col min="11281" max="11281" width="11.42578125" style="1180"/>
    <col min="11282" max="11282" width="12.28515625" style="1180" bestFit="1" customWidth="1"/>
    <col min="11283" max="11283" width="11.5703125" style="1180" bestFit="1" customWidth="1"/>
    <col min="11284" max="11520" width="11.42578125" style="1180"/>
    <col min="11521" max="11521" width="4.5703125" style="1180" customWidth="1"/>
    <col min="11522" max="11522" width="10.42578125" style="1180" customWidth="1"/>
    <col min="11523" max="11528" width="11.42578125" style="1180"/>
    <col min="11529" max="11529" width="12.85546875" style="1180" customWidth="1"/>
    <col min="11530" max="11530" width="11.42578125" style="1180"/>
    <col min="11531" max="11532" width="11.5703125" style="1180" bestFit="1" customWidth="1"/>
    <col min="11533" max="11534" width="11.42578125" style="1180"/>
    <col min="11535" max="11535" width="12.28515625" style="1180" bestFit="1" customWidth="1"/>
    <col min="11536" max="11536" width="11.5703125" style="1180" bestFit="1" customWidth="1"/>
    <col min="11537" max="11537" width="11.42578125" style="1180"/>
    <col min="11538" max="11538" width="12.28515625" style="1180" bestFit="1" customWidth="1"/>
    <col min="11539" max="11539" width="11.5703125" style="1180" bestFit="1" customWidth="1"/>
    <col min="11540" max="11776" width="11.42578125" style="1180"/>
    <col min="11777" max="11777" width="4.5703125" style="1180" customWidth="1"/>
    <col min="11778" max="11778" width="10.42578125" style="1180" customWidth="1"/>
    <col min="11779" max="11784" width="11.42578125" style="1180"/>
    <col min="11785" max="11785" width="12.85546875" style="1180" customWidth="1"/>
    <col min="11786" max="11786" width="11.42578125" style="1180"/>
    <col min="11787" max="11788" width="11.5703125" style="1180" bestFit="1" customWidth="1"/>
    <col min="11789" max="11790" width="11.42578125" style="1180"/>
    <col min="11791" max="11791" width="12.28515625" style="1180" bestFit="1" customWidth="1"/>
    <col min="11792" max="11792" width="11.5703125" style="1180" bestFit="1" customWidth="1"/>
    <col min="11793" max="11793" width="11.42578125" style="1180"/>
    <col min="11794" max="11794" width="12.28515625" style="1180" bestFit="1" customWidth="1"/>
    <col min="11795" max="11795" width="11.5703125" style="1180" bestFit="1" customWidth="1"/>
    <col min="11796" max="12032" width="11.42578125" style="1180"/>
    <col min="12033" max="12033" width="4.5703125" style="1180" customWidth="1"/>
    <col min="12034" max="12034" width="10.42578125" style="1180" customWidth="1"/>
    <col min="12035" max="12040" width="11.42578125" style="1180"/>
    <col min="12041" max="12041" width="12.85546875" style="1180" customWidth="1"/>
    <col min="12042" max="12042" width="11.42578125" style="1180"/>
    <col min="12043" max="12044" width="11.5703125" style="1180" bestFit="1" customWidth="1"/>
    <col min="12045" max="12046" width="11.42578125" style="1180"/>
    <col min="12047" max="12047" width="12.28515625" style="1180" bestFit="1" customWidth="1"/>
    <col min="12048" max="12048" width="11.5703125" style="1180" bestFit="1" customWidth="1"/>
    <col min="12049" max="12049" width="11.42578125" style="1180"/>
    <col min="12050" max="12050" width="12.28515625" style="1180" bestFit="1" customWidth="1"/>
    <col min="12051" max="12051" width="11.5703125" style="1180" bestFit="1" customWidth="1"/>
    <col min="12052" max="12288" width="11.42578125" style="1180"/>
    <col min="12289" max="12289" width="4.5703125" style="1180" customWidth="1"/>
    <col min="12290" max="12290" width="10.42578125" style="1180" customWidth="1"/>
    <col min="12291" max="12296" width="11.42578125" style="1180"/>
    <col min="12297" max="12297" width="12.85546875" style="1180" customWidth="1"/>
    <col min="12298" max="12298" width="11.42578125" style="1180"/>
    <col min="12299" max="12300" width="11.5703125" style="1180" bestFit="1" customWidth="1"/>
    <col min="12301" max="12302" width="11.42578125" style="1180"/>
    <col min="12303" max="12303" width="12.28515625" style="1180" bestFit="1" customWidth="1"/>
    <col min="12304" max="12304" width="11.5703125" style="1180" bestFit="1" customWidth="1"/>
    <col min="12305" max="12305" width="11.42578125" style="1180"/>
    <col min="12306" max="12306" width="12.28515625" style="1180" bestFit="1" customWidth="1"/>
    <col min="12307" max="12307" width="11.5703125" style="1180" bestFit="1" customWidth="1"/>
    <col min="12308" max="12544" width="11.42578125" style="1180"/>
    <col min="12545" max="12545" width="4.5703125" style="1180" customWidth="1"/>
    <col min="12546" max="12546" width="10.42578125" style="1180" customWidth="1"/>
    <col min="12547" max="12552" width="11.42578125" style="1180"/>
    <col min="12553" max="12553" width="12.85546875" style="1180" customWidth="1"/>
    <col min="12554" max="12554" width="11.42578125" style="1180"/>
    <col min="12555" max="12556" width="11.5703125" style="1180" bestFit="1" customWidth="1"/>
    <col min="12557" max="12558" width="11.42578125" style="1180"/>
    <col min="12559" max="12559" width="12.28515625" style="1180" bestFit="1" customWidth="1"/>
    <col min="12560" max="12560" width="11.5703125" style="1180" bestFit="1" customWidth="1"/>
    <col min="12561" max="12561" width="11.42578125" style="1180"/>
    <col min="12562" max="12562" width="12.28515625" style="1180" bestFit="1" customWidth="1"/>
    <col min="12563" max="12563" width="11.5703125" style="1180" bestFit="1" customWidth="1"/>
    <col min="12564" max="12800" width="11.42578125" style="1180"/>
    <col min="12801" max="12801" width="4.5703125" style="1180" customWidth="1"/>
    <col min="12802" max="12802" width="10.42578125" style="1180" customWidth="1"/>
    <col min="12803" max="12808" width="11.42578125" style="1180"/>
    <col min="12809" max="12809" width="12.85546875" style="1180" customWidth="1"/>
    <col min="12810" max="12810" width="11.42578125" style="1180"/>
    <col min="12811" max="12812" width="11.5703125" style="1180" bestFit="1" customWidth="1"/>
    <col min="12813" max="12814" width="11.42578125" style="1180"/>
    <col min="12815" max="12815" width="12.28515625" style="1180" bestFit="1" customWidth="1"/>
    <col min="12816" max="12816" width="11.5703125" style="1180" bestFit="1" customWidth="1"/>
    <col min="12817" max="12817" width="11.42578125" style="1180"/>
    <col min="12818" max="12818" width="12.28515625" style="1180" bestFit="1" customWidth="1"/>
    <col min="12819" max="12819" width="11.5703125" style="1180" bestFit="1" customWidth="1"/>
    <col min="12820" max="13056" width="11.42578125" style="1180"/>
    <col min="13057" max="13057" width="4.5703125" style="1180" customWidth="1"/>
    <col min="13058" max="13058" width="10.42578125" style="1180" customWidth="1"/>
    <col min="13059" max="13064" width="11.42578125" style="1180"/>
    <col min="13065" max="13065" width="12.85546875" style="1180" customWidth="1"/>
    <col min="13066" max="13066" width="11.42578125" style="1180"/>
    <col min="13067" max="13068" width="11.5703125" style="1180" bestFit="1" customWidth="1"/>
    <col min="13069" max="13070" width="11.42578125" style="1180"/>
    <col min="13071" max="13071" width="12.28515625" style="1180" bestFit="1" customWidth="1"/>
    <col min="13072" max="13072" width="11.5703125" style="1180" bestFit="1" customWidth="1"/>
    <col min="13073" max="13073" width="11.42578125" style="1180"/>
    <col min="13074" max="13074" width="12.28515625" style="1180" bestFit="1" customWidth="1"/>
    <col min="13075" max="13075" width="11.5703125" style="1180" bestFit="1" customWidth="1"/>
    <col min="13076" max="13312" width="11.42578125" style="1180"/>
    <col min="13313" max="13313" width="4.5703125" style="1180" customWidth="1"/>
    <col min="13314" max="13314" width="10.42578125" style="1180" customWidth="1"/>
    <col min="13315" max="13320" width="11.42578125" style="1180"/>
    <col min="13321" max="13321" width="12.85546875" style="1180" customWidth="1"/>
    <col min="13322" max="13322" width="11.42578125" style="1180"/>
    <col min="13323" max="13324" width="11.5703125" style="1180" bestFit="1" customWidth="1"/>
    <col min="13325" max="13326" width="11.42578125" style="1180"/>
    <col min="13327" max="13327" width="12.28515625" style="1180" bestFit="1" customWidth="1"/>
    <col min="13328" max="13328" width="11.5703125" style="1180" bestFit="1" customWidth="1"/>
    <col min="13329" max="13329" width="11.42578125" style="1180"/>
    <col min="13330" max="13330" width="12.28515625" style="1180" bestFit="1" customWidth="1"/>
    <col min="13331" max="13331" width="11.5703125" style="1180" bestFit="1" customWidth="1"/>
    <col min="13332" max="13568" width="11.42578125" style="1180"/>
    <col min="13569" max="13569" width="4.5703125" style="1180" customWidth="1"/>
    <col min="13570" max="13570" width="10.42578125" style="1180" customWidth="1"/>
    <col min="13571" max="13576" width="11.42578125" style="1180"/>
    <col min="13577" max="13577" width="12.85546875" style="1180" customWidth="1"/>
    <col min="13578" max="13578" width="11.42578125" style="1180"/>
    <col min="13579" max="13580" width="11.5703125" style="1180" bestFit="1" customWidth="1"/>
    <col min="13581" max="13582" width="11.42578125" style="1180"/>
    <col min="13583" max="13583" width="12.28515625" style="1180" bestFit="1" customWidth="1"/>
    <col min="13584" max="13584" width="11.5703125" style="1180" bestFit="1" customWidth="1"/>
    <col min="13585" max="13585" width="11.42578125" style="1180"/>
    <col min="13586" max="13586" width="12.28515625" style="1180" bestFit="1" customWidth="1"/>
    <col min="13587" max="13587" width="11.5703125" style="1180" bestFit="1" customWidth="1"/>
    <col min="13588" max="13824" width="11.42578125" style="1180"/>
    <col min="13825" max="13825" width="4.5703125" style="1180" customWidth="1"/>
    <col min="13826" max="13826" width="10.42578125" style="1180" customWidth="1"/>
    <col min="13827" max="13832" width="11.42578125" style="1180"/>
    <col min="13833" max="13833" width="12.85546875" style="1180" customWidth="1"/>
    <col min="13834" max="13834" width="11.42578125" style="1180"/>
    <col min="13835" max="13836" width="11.5703125" style="1180" bestFit="1" customWidth="1"/>
    <col min="13837" max="13838" width="11.42578125" style="1180"/>
    <col min="13839" max="13839" width="12.28515625" style="1180" bestFit="1" customWidth="1"/>
    <col min="13840" max="13840" width="11.5703125" style="1180" bestFit="1" customWidth="1"/>
    <col min="13841" max="13841" width="11.42578125" style="1180"/>
    <col min="13842" max="13842" width="12.28515625" style="1180" bestFit="1" customWidth="1"/>
    <col min="13843" max="13843" width="11.5703125" style="1180" bestFit="1" customWidth="1"/>
    <col min="13844" max="14080" width="11.42578125" style="1180"/>
    <col min="14081" max="14081" width="4.5703125" style="1180" customWidth="1"/>
    <col min="14082" max="14082" width="10.42578125" style="1180" customWidth="1"/>
    <col min="14083" max="14088" width="11.42578125" style="1180"/>
    <col min="14089" max="14089" width="12.85546875" style="1180" customWidth="1"/>
    <col min="14090" max="14090" width="11.42578125" style="1180"/>
    <col min="14091" max="14092" width="11.5703125" style="1180" bestFit="1" customWidth="1"/>
    <col min="14093" max="14094" width="11.42578125" style="1180"/>
    <col min="14095" max="14095" width="12.28515625" style="1180" bestFit="1" customWidth="1"/>
    <col min="14096" max="14096" width="11.5703125" style="1180" bestFit="1" customWidth="1"/>
    <col min="14097" max="14097" width="11.42578125" style="1180"/>
    <col min="14098" max="14098" width="12.28515625" style="1180" bestFit="1" customWidth="1"/>
    <col min="14099" max="14099" width="11.5703125" style="1180" bestFit="1" customWidth="1"/>
    <col min="14100" max="14336" width="11.42578125" style="1180"/>
    <col min="14337" max="14337" width="4.5703125" style="1180" customWidth="1"/>
    <col min="14338" max="14338" width="10.42578125" style="1180" customWidth="1"/>
    <col min="14339" max="14344" width="11.42578125" style="1180"/>
    <col min="14345" max="14345" width="12.85546875" style="1180" customWidth="1"/>
    <col min="14346" max="14346" width="11.42578125" style="1180"/>
    <col min="14347" max="14348" width="11.5703125" style="1180" bestFit="1" customWidth="1"/>
    <col min="14349" max="14350" width="11.42578125" style="1180"/>
    <col min="14351" max="14351" width="12.28515625" style="1180" bestFit="1" customWidth="1"/>
    <col min="14352" max="14352" width="11.5703125" style="1180" bestFit="1" customWidth="1"/>
    <col min="14353" max="14353" width="11.42578125" style="1180"/>
    <col min="14354" max="14354" width="12.28515625" style="1180" bestFit="1" customWidth="1"/>
    <col min="14355" max="14355" width="11.5703125" style="1180" bestFit="1" customWidth="1"/>
    <col min="14356" max="14592" width="11.42578125" style="1180"/>
    <col min="14593" max="14593" width="4.5703125" style="1180" customWidth="1"/>
    <col min="14594" max="14594" width="10.42578125" style="1180" customWidth="1"/>
    <col min="14595" max="14600" width="11.42578125" style="1180"/>
    <col min="14601" max="14601" width="12.85546875" style="1180" customWidth="1"/>
    <col min="14602" max="14602" width="11.42578125" style="1180"/>
    <col min="14603" max="14604" width="11.5703125" style="1180" bestFit="1" customWidth="1"/>
    <col min="14605" max="14606" width="11.42578125" style="1180"/>
    <col min="14607" max="14607" width="12.28515625" style="1180" bestFit="1" customWidth="1"/>
    <col min="14608" max="14608" width="11.5703125" style="1180" bestFit="1" customWidth="1"/>
    <col min="14609" max="14609" width="11.42578125" style="1180"/>
    <col min="14610" max="14610" width="12.28515625" style="1180" bestFit="1" customWidth="1"/>
    <col min="14611" max="14611" width="11.5703125" style="1180" bestFit="1" customWidth="1"/>
    <col min="14612" max="14848" width="11.42578125" style="1180"/>
    <col min="14849" max="14849" width="4.5703125" style="1180" customWidth="1"/>
    <col min="14850" max="14850" width="10.42578125" style="1180" customWidth="1"/>
    <col min="14851" max="14856" width="11.42578125" style="1180"/>
    <col min="14857" max="14857" width="12.85546875" style="1180" customWidth="1"/>
    <col min="14858" max="14858" width="11.42578125" style="1180"/>
    <col min="14859" max="14860" width="11.5703125" style="1180" bestFit="1" customWidth="1"/>
    <col min="14861" max="14862" width="11.42578125" style="1180"/>
    <col min="14863" max="14863" width="12.28515625" style="1180" bestFit="1" customWidth="1"/>
    <col min="14864" max="14864" width="11.5703125" style="1180" bestFit="1" customWidth="1"/>
    <col min="14865" max="14865" width="11.42578125" style="1180"/>
    <col min="14866" max="14866" width="12.28515625" style="1180" bestFit="1" customWidth="1"/>
    <col min="14867" max="14867" width="11.5703125" style="1180" bestFit="1" customWidth="1"/>
    <col min="14868" max="15104" width="11.42578125" style="1180"/>
    <col min="15105" max="15105" width="4.5703125" style="1180" customWidth="1"/>
    <col min="15106" max="15106" width="10.42578125" style="1180" customWidth="1"/>
    <col min="15107" max="15112" width="11.42578125" style="1180"/>
    <col min="15113" max="15113" width="12.85546875" style="1180" customWidth="1"/>
    <col min="15114" max="15114" width="11.42578125" style="1180"/>
    <col min="15115" max="15116" width="11.5703125" style="1180" bestFit="1" customWidth="1"/>
    <col min="15117" max="15118" width="11.42578125" style="1180"/>
    <col min="15119" max="15119" width="12.28515625" style="1180" bestFit="1" customWidth="1"/>
    <col min="15120" max="15120" width="11.5703125" style="1180" bestFit="1" customWidth="1"/>
    <col min="15121" max="15121" width="11.42578125" style="1180"/>
    <col min="15122" max="15122" width="12.28515625" style="1180" bestFit="1" customWidth="1"/>
    <col min="15123" max="15123" width="11.5703125" style="1180" bestFit="1" customWidth="1"/>
    <col min="15124" max="15360" width="11.42578125" style="1180"/>
    <col min="15361" max="15361" width="4.5703125" style="1180" customWidth="1"/>
    <col min="15362" max="15362" width="10.42578125" style="1180" customWidth="1"/>
    <col min="15363" max="15368" width="11.42578125" style="1180"/>
    <col min="15369" max="15369" width="12.85546875" style="1180" customWidth="1"/>
    <col min="15370" max="15370" width="11.42578125" style="1180"/>
    <col min="15371" max="15372" width="11.5703125" style="1180" bestFit="1" customWidth="1"/>
    <col min="15373" max="15374" width="11.42578125" style="1180"/>
    <col min="15375" max="15375" width="12.28515625" style="1180" bestFit="1" customWidth="1"/>
    <col min="15376" max="15376" width="11.5703125" style="1180" bestFit="1" customWidth="1"/>
    <col min="15377" max="15377" width="11.42578125" style="1180"/>
    <col min="15378" max="15378" width="12.28515625" style="1180" bestFit="1" customWidth="1"/>
    <col min="15379" max="15379" width="11.5703125" style="1180" bestFit="1" customWidth="1"/>
    <col min="15380" max="15616" width="11.42578125" style="1180"/>
    <col min="15617" max="15617" width="4.5703125" style="1180" customWidth="1"/>
    <col min="15618" max="15618" width="10.42578125" style="1180" customWidth="1"/>
    <col min="15619" max="15624" width="11.42578125" style="1180"/>
    <col min="15625" max="15625" width="12.85546875" style="1180" customWidth="1"/>
    <col min="15626" max="15626" width="11.42578125" style="1180"/>
    <col min="15627" max="15628" width="11.5703125" style="1180" bestFit="1" customWidth="1"/>
    <col min="15629" max="15630" width="11.42578125" style="1180"/>
    <col min="15631" max="15631" width="12.28515625" style="1180" bestFit="1" customWidth="1"/>
    <col min="15632" max="15632" width="11.5703125" style="1180" bestFit="1" customWidth="1"/>
    <col min="15633" max="15633" width="11.42578125" style="1180"/>
    <col min="15634" max="15634" width="12.28515625" style="1180" bestFit="1" customWidth="1"/>
    <col min="15635" max="15635" width="11.5703125" style="1180" bestFit="1" customWidth="1"/>
    <col min="15636" max="15872" width="11.42578125" style="1180"/>
    <col min="15873" max="15873" width="4.5703125" style="1180" customWidth="1"/>
    <col min="15874" max="15874" width="10.42578125" style="1180" customWidth="1"/>
    <col min="15875" max="15880" width="11.42578125" style="1180"/>
    <col min="15881" max="15881" width="12.85546875" style="1180" customWidth="1"/>
    <col min="15882" max="15882" width="11.42578125" style="1180"/>
    <col min="15883" max="15884" width="11.5703125" style="1180" bestFit="1" customWidth="1"/>
    <col min="15885" max="15886" width="11.42578125" style="1180"/>
    <col min="15887" max="15887" width="12.28515625" style="1180" bestFit="1" customWidth="1"/>
    <col min="15888" max="15888" width="11.5703125" style="1180" bestFit="1" customWidth="1"/>
    <col min="15889" max="15889" width="11.42578125" style="1180"/>
    <col min="15890" max="15890" width="12.28515625" style="1180" bestFit="1" customWidth="1"/>
    <col min="15891" max="15891" width="11.5703125" style="1180" bestFit="1" customWidth="1"/>
    <col min="15892" max="16128" width="11.42578125" style="1180"/>
    <col min="16129" max="16129" width="4.5703125" style="1180" customWidth="1"/>
    <col min="16130" max="16130" width="10.42578125" style="1180" customWidth="1"/>
    <col min="16131" max="16136" width="11.42578125" style="1180"/>
    <col min="16137" max="16137" width="12.85546875" style="1180" customWidth="1"/>
    <col min="16138" max="16138" width="11.42578125" style="1180"/>
    <col min="16139" max="16140" width="11.5703125" style="1180" bestFit="1" customWidth="1"/>
    <col min="16141" max="16142" width="11.42578125" style="1180"/>
    <col min="16143" max="16143" width="12.28515625" style="1180" bestFit="1" customWidth="1"/>
    <col min="16144" max="16144" width="11.5703125" style="1180" bestFit="1" customWidth="1"/>
    <col min="16145" max="16145" width="11.42578125" style="1180"/>
    <col min="16146" max="16146" width="12.28515625" style="1180" bestFit="1" customWidth="1"/>
    <col min="16147" max="16147" width="11.5703125" style="1180" bestFit="1" customWidth="1"/>
    <col min="16148" max="16384" width="11.42578125" style="1180"/>
  </cols>
  <sheetData>
    <row r="1" spans="1:27" s="2509" customFormat="1">
      <c r="A1" s="1201"/>
      <c r="B1" s="1985"/>
      <c r="C1" s="1985"/>
      <c r="D1" s="1985"/>
      <c r="E1" s="1985"/>
      <c r="F1" s="1985"/>
      <c r="G1" s="1985"/>
      <c r="H1" s="1985"/>
      <c r="I1" s="1985"/>
      <c r="J1" s="1985"/>
      <c r="K1" s="1985"/>
      <c r="L1" s="1985"/>
      <c r="M1" s="1985"/>
      <c r="N1" s="1201"/>
      <c r="O1" s="1201"/>
      <c r="P1" s="1201"/>
      <c r="Q1" s="1201"/>
      <c r="R1" s="1201"/>
      <c r="S1" s="1201"/>
      <c r="T1" s="1201"/>
      <c r="U1" s="1201"/>
      <c r="V1" s="1201"/>
      <c r="W1" s="1180"/>
      <c r="X1" s="1180"/>
      <c r="Y1" s="1180"/>
      <c r="Z1" s="1180"/>
      <c r="AA1" s="1180"/>
    </row>
    <row r="2" spans="1:27" s="2509" customFormat="1" ht="37.5" customHeight="1">
      <c r="A2" s="1201"/>
      <c r="B2" s="1985"/>
      <c r="C2" s="2510" t="s">
        <v>244</v>
      </c>
      <c r="D2" s="1985"/>
      <c r="E2" s="1985"/>
      <c r="F2" s="1985"/>
      <c r="G2" s="1985"/>
      <c r="H2" s="1985"/>
      <c r="I2" s="1985"/>
      <c r="J2" s="1985"/>
      <c r="K2" s="1985"/>
      <c r="L2" s="1985"/>
      <c r="M2" s="1985"/>
      <c r="N2" s="1201"/>
      <c r="O2" s="1201"/>
      <c r="P2" s="1201"/>
      <c r="Q2" s="1201"/>
      <c r="R2" s="1201"/>
      <c r="S2" s="1201"/>
      <c r="T2" s="1201"/>
      <c r="U2" s="1201"/>
      <c r="V2" s="1201"/>
      <c r="W2" s="1180"/>
      <c r="X2" s="1180"/>
      <c r="Y2" s="1180"/>
      <c r="Z2" s="1180"/>
      <c r="AA2" s="1180"/>
    </row>
    <row r="3" spans="1:27" s="2509" customFormat="1" ht="37.5" customHeight="1">
      <c r="A3" s="1201"/>
      <c r="B3" s="1985"/>
      <c r="C3" s="2510" t="s">
        <v>245</v>
      </c>
      <c r="D3" s="1985"/>
      <c r="E3" s="1985"/>
      <c r="F3" s="1985"/>
      <c r="G3" s="1985"/>
      <c r="H3" s="1985"/>
      <c r="I3" s="1985"/>
      <c r="J3" s="1985"/>
      <c r="K3" s="1985"/>
      <c r="L3" s="1985"/>
      <c r="M3" s="1985"/>
      <c r="N3" s="1201"/>
      <c r="O3" s="1201"/>
      <c r="P3" s="1201"/>
      <c r="Q3" s="1201"/>
      <c r="R3" s="1201"/>
      <c r="S3" s="1201"/>
      <c r="T3" s="1201"/>
      <c r="U3" s="1201"/>
      <c r="V3" s="1201"/>
      <c r="W3" s="1180"/>
      <c r="X3" s="1180"/>
      <c r="Y3" s="1180"/>
      <c r="Z3" s="1180"/>
      <c r="AA3" s="1180"/>
    </row>
    <row r="4" spans="1:27" s="2509" customFormat="1" ht="21">
      <c r="A4" s="1201"/>
      <c r="B4" s="2511"/>
      <c r="C4" s="1985"/>
      <c r="D4" s="1985"/>
      <c r="E4" s="1985"/>
      <c r="F4" s="1985"/>
      <c r="G4" s="1985"/>
      <c r="H4" s="2511"/>
      <c r="I4" s="2511"/>
      <c r="J4" s="2511"/>
      <c r="K4" s="1985"/>
      <c r="L4" s="1985"/>
      <c r="M4" s="1985"/>
      <c r="N4" s="1201"/>
      <c r="O4" s="1201"/>
      <c r="P4" s="1201"/>
      <c r="Q4" s="1201"/>
      <c r="R4" s="1201"/>
      <c r="S4" s="1201"/>
      <c r="T4" s="1201"/>
      <c r="U4" s="1201"/>
      <c r="V4" s="1201"/>
      <c r="W4" s="1180"/>
      <c r="X4" s="1180"/>
      <c r="Y4" s="1180"/>
      <c r="Z4" s="1180"/>
      <c r="AA4" s="1180"/>
    </row>
    <row r="5" spans="1:27" s="2520" customFormat="1" ht="36.75" customHeight="1">
      <c r="A5" s="2512"/>
      <c r="B5" s="2513" t="s">
        <v>246</v>
      </c>
      <c r="C5" s="2514"/>
      <c r="D5" s="2514"/>
      <c r="E5" s="2515"/>
      <c r="F5" s="2515"/>
      <c r="G5" s="2515"/>
      <c r="H5" s="2515"/>
      <c r="I5" s="2515"/>
      <c r="J5" s="2515"/>
      <c r="K5" s="2515"/>
      <c r="L5" s="2516"/>
      <c r="M5" s="2517"/>
      <c r="N5" s="2517"/>
      <c r="O5" s="2517"/>
      <c r="P5" s="2517"/>
      <c r="Q5" s="2517"/>
      <c r="R5" s="2517"/>
      <c r="S5" s="2517"/>
      <c r="T5" s="2518" t="s">
        <v>247</v>
      </c>
      <c r="U5" s="2519"/>
      <c r="V5" s="2519"/>
    </row>
    <row r="6" spans="1:27" s="2521" customFormat="1" ht="6.75" customHeight="1">
      <c r="A6" s="2512"/>
      <c r="O6" s="2522"/>
      <c r="Q6" s="2522"/>
      <c r="R6" s="2522"/>
      <c r="S6" s="2522"/>
      <c r="T6" s="2522"/>
      <c r="U6" s="2523"/>
      <c r="V6" s="2523"/>
    </row>
    <row r="7" spans="1:27" s="2521" customFormat="1" ht="6.75" customHeight="1">
      <c r="A7" s="2512"/>
      <c r="O7" s="2522"/>
      <c r="Q7" s="2522"/>
      <c r="R7" s="2522"/>
      <c r="S7" s="2522"/>
      <c r="T7" s="2522"/>
      <c r="U7" s="2523"/>
      <c r="V7" s="2523"/>
    </row>
    <row r="8" spans="1:27" s="2521" customFormat="1" ht="21.75" customHeight="1">
      <c r="A8" s="2524"/>
      <c r="B8" s="4824" t="s">
        <v>248</v>
      </c>
      <c r="C8" s="4825"/>
      <c r="D8" s="4825"/>
      <c r="E8" s="4825"/>
      <c r="F8" s="4825"/>
      <c r="G8" s="4825"/>
      <c r="H8" s="4825"/>
      <c r="I8" s="4825"/>
      <c r="J8" s="4825"/>
      <c r="K8" s="4825"/>
      <c r="L8" s="4826" t="s">
        <v>249</v>
      </c>
      <c r="M8" s="4827"/>
      <c r="N8" s="4827"/>
      <c r="O8" s="4827"/>
      <c r="P8" s="4827"/>
      <c r="Q8" s="4827"/>
      <c r="R8" s="4827"/>
      <c r="S8" s="4827"/>
      <c r="T8" s="4828"/>
      <c r="U8" s="2523"/>
      <c r="V8" s="2523"/>
    </row>
    <row r="9" spans="1:27" s="2524" customFormat="1" ht="15" customHeight="1">
      <c r="B9" s="4829" t="s">
        <v>250</v>
      </c>
      <c r="C9" s="4830"/>
      <c r="D9" s="4830"/>
      <c r="E9" s="4835" t="s">
        <v>251</v>
      </c>
      <c r="F9" s="4838" t="s">
        <v>252</v>
      </c>
      <c r="G9" s="4841" t="s">
        <v>253</v>
      </c>
      <c r="H9" s="4842"/>
      <c r="I9" s="4842"/>
      <c r="J9" s="4842"/>
      <c r="K9" s="4843"/>
      <c r="L9" s="4844" t="s">
        <v>254</v>
      </c>
      <c r="M9" s="4845"/>
      <c r="N9" s="4848" t="s">
        <v>255</v>
      </c>
      <c r="O9" s="4849"/>
      <c r="P9" s="4849"/>
      <c r="Q9" s="4849"/>
      <c r="R9" s="4849"/>
      <c r="S9" s="4849"/>
      <c r="T9" s="4850"/>
      <c r="U9" s="2525"/>
      <c r="V9" s="2525"/>
    </row>
    <row r="10" spans="1:27" s="2524" customFormat="1" ht="15" customHeight="1">
      <c r="B10" s="4831"/>
      <c r="C10" s="4832"/>
      <c r="D10" s="4832"/>
      <c r="E10" s="4836"/>
      <c r="F10" s="4839"/>
      <c r="G10" s="2526" t="s">
        <v>256</v>
      </c>
      <c r="H10" s="2527" t="s">
        <v>257</v>
      </c>
      <c r="I10" s="2528" t="s">
        <v>258</v>
      </c>
      <c r="J10" s="2528" t="s">
        <v>259</v>
      </c>
      <c r="K10" s="2528" t="s">
        <v>260</v>
      </c>
      <c r="L10" s="4846"/>
      <c r="M10" s="4847"/>
      <c r="N10" s="4851"/>
      <c r="O10" s="4852"/>
      <c r="P10" s="4852"/>
      <c r="Q10" s="4852"/>
      <c r="R10" s="4852"/>
      <c r="S10" s="4852"/>
      <c r="T10" s="4853"/>
      <c r="U10" s="2525"/>
      <c r="V10" s="2525"/>
    </row>
    <row r="11" spans="1:27" s="2524" customFormat="1" ht="15" customHeight="1">
      <c r="B11" s="4831"/>
      <c r="C11" s="4832"/>
      <c r="D11" s="4832"/>
      <c r="E11" s="4836"/>
      <c r="F11" s="4839"/>
      <c r="G11" s="2529">
        <v>1</v>
      </c>
      <c r="H11" s="2529">
        <v>1</v>
      </c>
      <c r="I11" s="2529">
        <v>1</v>
      </c>
      <c r="J11" s="2529">
        <v>1</v>
      </c>
      <c r="K11" s="2529">
        <v>1</v>
      </c>
      <c r="L11" s="4857" t="s">
        <v>261</v>
      </c>
      <c r="M11" s="4858"/>
      <c r="N11" s="4851"/>
      <c r="O11" s="4852"/>
      <c r="P11" s="4852"/>
      <c r="Q11" s="4852"/>
      <c r="R11" s="4852"/>
      <c r="S11" s="4852"/>
      <c r="T11" s="4853"/>
      <c r="U11" s="2525"/>
      <c r="V11" s="2525"/>
    </row>
    <row r="12" spans="1:27" s="2524" customFormat="1" ht="31.5" customHeight="1" thickBot="1">
      <c r="B12" s="4833"/>
      <c r="C12" s="4834"/>
      <c r="D12" s="4834"/>
      <c r="E12" s="4837"/>
      <c r="F12" s="4840"/>
      <c r="G12" s="4859" t="s">
        <v>262</v>
      </c>
      <c r="H12" s="4859"/>
      <c r="I12" s="4859"/>
      <c r="J12" s="4859"/>
      <c r="K12" s="4859"/>
      <c r="L12" s="4821">
        <f>SUM(G11:K11)</f>
        <v>5</v>
      </c>
      <c r="M12" s="4822"/>
      <c r="N12" s="4854"/>
      <c r="O12" s="4855"/>
      <c r="P12" s="4855"/>
      <c r="Q12" s="4855"/>
      <c r="R12" s="4855"/>
      <c r="S12" s="4855"/>
      <c r="T12" s="4856"/>
      <c r="U12" s="2525"/>
      <c r="V12" s="2525"/>
    </row>
    <row r="13" spans="1:27" s="2524" customFormat="1" ht="30" customHeight="1">
      <c r="B13" s="2530"/>
      <c r="C13" s="2531"/>
      <c r="D13" s="2531"/>
      <c r="E13" s="2531"/>
      <c r="F13" s="2531"/>
      <c r="G13" s="2531"/>
      <c r="H13" s="2531"/>
      <c r="I13" s="2531"/>
      <c r="J13" s="2531"/>
      <c r="K13" s="2531"/>
      <c r="L13" s="2531"/>
      <c r="M13" s="2531"/>
      <c r="N13" s="2531"/>
      <c r="O13" s="2531"/>
      <c r="P13" s="2531"/>
      <c r="Q13" s="2531"/>
      <c r="R13" s="2531"/>
      <c r="S13" s="2531"/>
      <c r="T13" s="2532" t="s">
        <v>263</v>
      </c>
      <c r="U13" s="2525"/>
      <c r="V13" s="2525"/>
    </row>
    <row r="14" spans="1:27" s="2524" customFormat="1" ht="38.25" customHeight="1">
      <c r="B14" s="4820" t="s">
        <v>264</v>
      </c>
      <c r="C14" s="4809"/>
      <c r="D14" s="4809"/>
      <c r="E14" s="2533">
        <v>16</v>
      </c>
      <c r="F14" s="2534" t="s">
        <v>265</v>
      </c>
      <c r="G14" s="2535">
        <v>0.5</v>
      </c>
      <c r="H14" s="2535">
        <v>1</v>
      </c>
      <c r="I14" s="2535">
        <v>1</v>
      </c>
      <c r="J14" s="2535">
        <v>1</v>
      </c>
      <c r="K14" s="2535">
        <v>1</v>
      </c>
      <c r="L14" s="16">
        <f>(G14*G11)+(H14*H11)+(I14*I11)+(J14*J11)+(K14*K11)</f>
        <v>4.5</v>
      </c>
      <c r="M14" s="4823" t="str">
        <f t="shared" ref="M14:M25" si="0">F14</f>
        <v>Cuisses</v>
      </c>
      <c r="N14" s="4823"/>
      <c r="O14" s="2536">
        <f t="shared" ref="O14:O21" si="1">IF(L14=0,0,INT(L14/E14))</f>
        <v>0</v>
      </c>
      <c r="P14" s="2537">
        <f t="shared" ref="P14:P21" si="2">L14-(O14*E14)</f>
        <v>4.5</v>
      </c>
      <c r="Q14" s="2538" t="str">
        <f t="shared" ref="Q14:Q21" si="3">IF(P14=0,0,F14)</f>
        <v>Cuisses</v>
      </c>
      <c r="R14" s="2539">
        <f t="shared" ref="R14:R21" si="4">IF(P14=0,0,O14+1)</f>
        <v>1</v>
      </c>
      <c r="S14" s="2537">
        <f t="shared" ref="S14:S21" si="5">IF(P14=0,0,L14-(R14*E14))</f>
        <v>-11.5</v>
      </c>
      <c r="T14" s="2540" t="str">
        <f t="shared" ref="T14:T21" si="6">IF(S14=0,0,F14)</f>
        <v>Cuisses</v>
      </c>
      <c r="U14" s="2525"/>
      <c r="V14" s="2525"/>
    </row>
    <row r="15" spans="1:27" s="2524" customFormat="1" ht="38.25" customHeight="1">
      <c r="B15" s="4820" t="s">
        <v>266</v>
      </c>
      <c r="C15" s="4809"/>
      <c r="D15" s="4809"/>
      <c r="E15" s="2541">
        <v>24</v>
      </c>
      <c r="F15" s="2542" t="s">
        <v>265</v>
      </c>
      <c r="G15" s="2543">
        <v>0.5</v>
      </c>
      <c r="H15" s="2543">
        <v>1</v>
      </c>
      <c r="I15" s="2543">
        <v>1</v>
      </c>
      <c r="J15" s="2543">
        <v>1</v>
      </c>
      <c r="K15" s="2543">
        <v>1</v>
      </c>
      <c r="L15" s="17">
        <f>(G15*G11)+(H15*H11)+(I15*I11)+(J15*J11)+(K15*K11)</f>
        <v>4.5</v>
      </c>
      <c r="M15" s="4810" t="str">
        <f t="shared" si="0"/>
        <v>Cuisses</v>
      </c>
      <c r="N15" s="4810"/>
      <c r="O15" s="2544">
        <f t="shared" si="1"/>
        <v>0</v>
      </c>
      <c r="P15" s="2545">
        <f t="shared" si="2"/>
        <v>4.5</v>
      </c>
      <c r="Q15" s="2546" t="str">
        <f t="shared" si="3"/>
        <v>Cuisses</v>
      </c>
      <c r="R15" s="2547">
        <f t="shared" si="4"/>
        <v>1</v>
      </c>
      <c r="S15" s="2545">
        <f t="shared" si="5"/>
        <v>-19.5</v>
      </c>
      <c r="T15" s="2548" t="str">
        <f t="shared" si="6"/>
        <v>Cuisses</v>
      </c>
      <c r="U15" s="2525"/>
      <c r="V15" s="2525"/>
    </row>
    <row r="16" spans="1:27" s="2524" customFormat="1" ht="38.25" customHeight="1">
      <c r="B16" s="4820" t="s">
        <v>267</v>
      </c>
      <c r="C16" s="4809"/>
      <c r="D16" s="4809"/>
      <c r="E16" s="2541">
        <v>20</v>
      </c>
      <c r="F16" s="2542" t="s">
        <v>265</v>
      </c>
      <c r="G16" s="2543">
        <v>1</v>
      </c>
      <c r="H16" s="2543">
        <v>1</v>
      </c>
      <c r="I16" s="2543">
        <v>1</v>
      </c>
      <c r="J16" s="2543">
        <v>1</v>
      </c>
      <c r="K16" s="2543">
        <v>1</v>
      </c>
      <c r="L16" s="17">
        <f>(G16*G11)+(H16*H11)+(I16*I11)+(J16*J11)+(K16*K11)</f>
        <v>5</v>
      </c>
      <c r="M16" s="4810" t="str">
        <f t="shared" si="0"/>
        <v>Cuisses</v>
      </c>
      <c r="N16" s="4810"/>
      <c r="O16" s="2544">
        <f t="shared" si="1"/>
        <v>0</v>
      </c>
      <c r="P16" s="2545">
        <f t="shared" si="2"/>
        <v>5</v>
      </c>
      <c r="Q16" s="2546" t="str">
        <f t="shared" si="3"/>
        <v>Cuisses</v>
      </c>
      <c r="R16" s="2547">
        <f t="shared" si="4"/>
        <v>1</v>
      </c>
      <c r="S16" s="2545">
        <f t="shared" si="5"/>
        <v>-15</v>
      </c>
      <c r="T16" s="2548" t="str">
        <f t="shared" si="6"/>
        <v>Cuisses</v>
      </c>
      <c r="U16" s="2525"/>
      <c r="V16" s="2525"/>
    </row>
    <row r="17" spans="2:22" s="2524" customFormat="1" ht="38.25" customHeight="1">
      <c r="B17" s="4820" t="s">
        <v>268</v>
      </c>
      <c r="C17" s="4809"/>
      <c r="D17" s="4809"/>
      <c r="E17" s="2541">
        <v>25</v>
      </c>
      <c r="F17" s="2542" t="s">
        <v>269</v>
      </c>
      <c r="G17" s="2543">
        <v>0.5</v>
      </c>
      <c r="H17" s="2543">
        <v>1</v>
      </c>
      <c r="I17" s="2543">
        <v>1</v>
      </c>
      <c r="J17" s="2543">
        <v>1</v>
      </c>
      <c r="K17" s="2543">
        <v>1</v>
      </c>
      <c r="L17" s="17">
        <f>(G17*G11)+(H17*H11)+(I17*I11)+(J17*J11)+(K17*K11)</f>
        <v>4.5</v>
      </c>
      <c r="M17" s="4810" t="str">
        <f t="shared" si="0"/>
        <v>escalopes</v>
      </c>
      <c r="N17" s="4810"/>
      <c r="O17" s="2544">
        <f t="shared" si="1"/>
        <v>0</v>
      </c>
      <c r="P17" s="2545">
        <f t="shared" si="2"/>
        <v>4.5</v>
      </c>
      <c r="Q17" s="2546" t="str">
        <f t="shared" si="3"/>
        <v>escalopes</v>
      </c>
      <c r="R17" s="2547">
        <f t="shared" si="4"/>
        <v>1</v>
      </c>
      <c r="S17" s="2545">
        <f t="shared" si="5"/>
        <v>-20.5</v>
      </c>
      <c r="T17" s="2548" t="str">
        <f t="shared" si="6"/>
        <v>escalopes</v>
      </c>
      <c r="U17" s="2525"/>
      <c r="V17" s="2525"/>
    </row>
    <row r="18" spans="2:22" s="2524" customFormat="1" ht="38.25" customHeight="1">
      <c r="B18" s="4820" t="s">
        <v>270</v>
      </c>
      <c r="C18" s="4809"/>
      <c r="D18" s="4809"/>
      <c r="E18" s="2541">
        <v>25</v>
      </c>
      <c r="F18" s="2542" t="s">
        <v>271</v>
      </c>
      <c r="G18" s="2543">
        <v>0.5</v>
      </c>
      <c r="H18" s="2543">
        <v>1</v>
      </c>
      <c r="I18" s="2543">
        <v>1</v>
      </c>
      <c r="J18" s="2543">
        <v>1</v>
      </c>
      <c r="K18" s="2543">
        <v>1</v>
      </c>
      <c r="L18" s="17">
        <f>(G18*G11)+(H18*H11)+(I18*I11)+(J18*J11)+(K18*K11)</f>
        <v>4.5</v>
      </c>
      <c r="M18" s="4810" t="str">
        <f t="shared" si="0"/>
        <v>paupiettes</v>
      </c>
      <c r="N18" s="4810"/>
      <c r="O18" s="2544">
        <f t="shared" si="1"/>
        <v>0</v>
      </c>
      <c r="P18" s="2545">
        <f t="shared" si="2"/>
        <v>4.5</v>
      </c>
      <c r="Q18" s="2546" t="str">
        <f t="shared" si="3"/>
        <v>paupiettes</v>
      </c>
      <c r="R18" s="2547">
        <f t="shared" si="4"/>
        <v>1</v>
      </c>
      <c r="S18" s="2545">
        <f t="shared" si="5"/>
        <v>-20.5</v>
      </c>
      <c r="T18" s="2548" t="str">
        <f t="shared" si="6"/>
        <v>paupiettes</v>
      </c>
      <c r="U18" s="2525"/>
      <c r="V18" s="2525"/>
    </row>
    <row r="19" spans="2:22" s="2524" customFormat="1" ht="38.25" customHeight="1">
      <c r="B19" s="4820" t="s">
        <v>272</v>
      </c>
      <c r="C19" s="4809"/>
      <c r="D19" s="4809"/>
      <c r="E19" s="2541">
        <v>12</v>
      </c>
      <c r="F19" s="2542" t="s">
        <v>265</v>
      </c>
      <c r="G19" s="2543">
        <v>1</v>
      </c>
      <c r="H19" s="2543">
        <v>1</v>
      </c>
      <c r="I19" s="2543">
        <v>1</v>
      </c>
      <c r="J19" s="2543">
        <v>1</v>
      </c>
      <c r="K19" s="2543">
        <v>1</v>
      </c>
      <c r="L19" s="17">
        <f>(G19*G11)+(H19*H11)+(I19*I11)+(J19*J11)+(K19*K11)</f>
        <v>5</v>
      </c>
      <c r="M19" s="4810" t="str">
        <f t="shared" si="0"/>
        <v>Cuisses</v>
      </c>
      <c r="N19" s="4810"/>
      <c r="O19" s="2544">
        <f t="shared" si="1"/>
        <v>0</v>
      </c>
      <c r="P19" s="2545">
        <f t="shared" si="2"/>
        <v>5</v>
      </c>
      <c r="Q19" s="2546" t="str">
        <f t="shared" si="3"/>
        <v>Cuisses</v>
      </c>
      <c r="R19" s="2547">
        <f t="shared" si="4"/>
        <v>1</v>
      </c>
      <c r="S19" s="2545">
        <f t="shared" si="5"/>
        <v>-7</v>
      </c>
      <c r="T19" s="2548" t="str">
        <f t="shared" si="6"/>
        <v>Cuisses</v>
      </c>
      <c r="U19" s="2525"/>
      <c r="V19" s="2525"/>
    </row>
    <row r="20" spans="2:22" s="2524" customFormat="1" ht="30" customHeight="1">
      <c r="B20" s="4820" t="s">
        <v>273</v>
      </c>
      <c r="C20" s="4809"/>
      <c r="D20" s="4809"/>
      <c r="E20" s="2541">
        <v>60</v>
      </c>
      <c r="F20" s="2542" t="s">
        <v>274</v>
      </c>
      <c r="G20" s="2543">
        <v>1</v>
      </c>
      <c r="H20" s="2543">
        <v>1.5</v>
      </c>
      <c r="I20" s="2543">
        <v>2</v>
      </c>
      <c r="J20" s="2543">
        <v>3</v>
      </c>
      <c r="K20" s="2543">
        <v>2</v>
      </c>
      <c r="L20" s="17">
        <f>(G20*G11)+(H20*H11)+(I20*I11)+(J20*J11)+(K20*K11)</f>
        <v>9.5</v>
      </c>
      <c r="M20" s="4810" t="str">
        <f t="shared" si="0"/>
        <v>tranches</v>
      </c>
      <c r="N20" s="4810"/>
      <c r="O20" s="2544">
        <f t="shared" si="1"/>
        <v>0</v>
      </c>
      <c r="P20" s="2545">
        <f t="shared" si="2"/>
        <v>9.5</v>
      </c>
      <c r="Q20" s="2546" t="str">
        <f t="shared" si="3"/>
        <v>tranches</v>
      </c>
      <c r="R20" s="2547">
        <f t="shared" si="4"/>
        <v>1</v>
      </c>
      <c r="S20" s="2545">
        <f t="shared" si="5"/>
        <v>-50.5</v>
      </c>
      <c r="T20" s="2548" t="str">
        <f t="shared" si="6"/>
        <v>tranches</v>
      </c>
      <c r="U20" s="2525"/>
      <c r="V20" s="2525"/>
    </row>
    <row r="21" spans="2:22" s="2524" customFormat="1" ht="30" customHeight="1" thickBot="1">
      <c r="B21" s="4820" t="s">
        <v>275</v>
      </c>
      <c r="C21" s="4809"/>
      <c r="D21" s="4809"/>
      <c r="E21" s="2541">
        <v>20</v>
      </c>
      <c r="F21" s="2542" t="s">
        <v>276</v>
      </c>
      <c r="G21" s="2543">
        <v>1</v>
      </c>
      <c r="H21" s="2543">
        <v>1.5</v>
      </c>
      <c r="I21" s="2543">
        <v>2</v>
      </c>
      <c r="J21" s="2543">
        <v>3</v>
      </c>
      <c r="K21" s="2543">
        <v>2</v>
      </c>
      <c r="L21" s="18">
        <f>(G21*G11)+(H21*H11)+(I21*I11)+(J21*J11)+(K21*K11)</f>
        <v>9.5</v>
      </c>
      <c r="M21" s="4813" t="str">
        <f t="shared" si="0"/>
        <v>tomates</v>
      </c>
      <c r="N21" s="4813"/>
      <c r="O21" s="2549">
        <f t="shared" si="1"/>
        <v>0</v>
      </c>
      <c r="P21" s="2550">
        <f t="shared" si="2"/>
        <v>9.5</v>
      </c>
      <c r="Q21" s="2551" t="str">
        <f t="shared" si="3"/>
        <v>tomates</v>
      </c>
      <c r="R21" s="2552">
        <f t="shared" si="4"/>
        <v>1</v>
      </c>
      <c r="S21" s="2550">
        <f t="shared" si="5"/>
        <v>-10.5</v>
      </c>
      <c r="T21" s="2553" t="str">
        <f t="shared" si="6"/>
        <v>tomates</v>
      </c>
      <c r="U21" s="2525"/>
      <c r="V21" s="2525"/>
    </row>
    <row r="22" spans="2:22" s="2524" customFormat="1" ht="30" customHeight="1">
      <c r="B22" s="2530"/>
      <c r="C22" s="2531"/>
      <c r="D22" s="2531"/>
      <c r="E22" s="2531"/>
      <c r="F22" s="2531"/>
      <c r="G22" s="2531"/>
      <c r="H22" s="2531"/>
      <c r="I22" s="2531"/>
      <c r="J22" s="2531"/>
      <c r="K22" s="2531"/>
      <c r="L22" s="2531"/>
      <c r="M22" s="2531"/>
      <c r="N22" s="2531"/>
      <c r="O22" s="2531"/>
      <c r="P22" s="2531"/>
      <c r="Q22" s="2531"/>
      <c r="R22" s="2531"/>
      <c r="S22" s="2531"/>
      <c r="T22" s="2532" t="s">
        <v>277</v>
      </c>
      <c r="U22" s="2525"/>
      <c r="V22" s="2525"/>
    </row>
    <row r="23" spans="2:22" s="2524" customFormat="1" ht="30" customHeight="1">
      <c r="B23" s="4808" t="s">
        <v>278</v>
      </c>
      <c r="C23" s="4809"/>
      <c r="D23" s="4809"/>
      <c r="E23" s="2541">
        <v>3</v>
      </c>
      <c r="F23" s="2542" t="s">
        <v>122</v>
      </c>
      <c r="G23" s="2543">
        <v>7.4999999999999997E-2</v>
      </c>
      <c r="H23" s="2554">
        <v>0.09</v>
      </c>
      <c r="I23" s="2554">
        <v>0.15</v>
      </c>
      <c r="J23" s="2554">
        <v>0.18</v>
      </c>
      <c r="K23" s="2554">
        <v>0.13</v>
      </c>
      <c r="L23" s="19">
        <f>(G23*G11)+(H23*H11)+(I23*I11)+(J23*J11)+(K23*K11)</f>
        <v>0.625</v>
      </c>
      <c r="M23" s="4810" t="str">
        <f>F23</f>
        <v>Kg</v>
      </c>
      <c r="N23" s="4810"/>
      <c r="O23" s="2544">
        <f>IF(L23=0,0,INT(L23/E23))</f>
        <v>0</v>
      </c>
      <c r="P23" s="2555">
        <f>L23-(O23*E23)</f>
        <v>0.625</v>
      </c>
      <c r="Q23" s="2546" t="str">
        <f>IF(P23=0,0,F23)</f>
        <v>Kg</v>
      </c>
      <c r="R23" s="2547">
        <f>IF(P23=0,0,O23+1)</f>
        <v>1</v>
      </c>
      <c r="S23" s="2545">
        <f>IF(P23=0,0,L23-(R23*E23))</f>
        <v>-2.375</v>
      </c>
      <c r="T23" s="2556" t="str">
        <f>IF(S23=0,0,F23)</f>
        <v>Kg</v>
      </c>
      <c r="U23" s="2525"/>
      <c r="V23" s="2525"/>
    </row>
    <row r="24" spans="2:22" s="2524" customFormat="1" ht="25.5" customHeight="1">
      <c r="B24" s="4808" t="s">
        <v>279</v>
      </c>
      <c r="C24" s="4809"/>
      <c r="D24" s="4809"/>
      <c r="E24" s="2541">
        <v>7.2</v>
      </c>
      <c r="F24" s="2557" t="s">
        <v>122</v>
      </c>
      <c r="G24" s="2554">
        <v>0.2</v>
      </c>
      <c r="H24" s="2554">
        <v>0.25</v>
      </c>
      <c r="I24" s="2554">
        <v>0.35</v>
      </c>
      <c r="J24" s="2554">
        <v>0.45</v>
      </c>
      <c r="K24" s="2554">
        <v>0.35</v>
      </c>
      <c r="L24" s="19">
        <f>(G24*G11)+(H24*H11)+(I24*I11)+(J24*J11)+(K24*K11)</f>
        <v>1.6</v>
      </c>
      <c r="M24" s="4810" t="str">
        <f t="shared" si="0"/>
        <v>Kg</v>
      </c>
      <c r="N24" s="4810"/>
      <c r="O24" s="2544">
        <f>IF(L24=0,0,INT(L24/E24))</f>
        <v>0</v>
      </c>
      <c r="P24" s="2555">
        <f>L24-(O24*E24)</f>
        <v>1.6</v>
      </c>
      <c r="Q24" s="2546" t="str">
        <f>IF(P24=0,0,F24)</f>
        <v>Kg</v>
      </c>
      <c r="R24" s="2547">
        <f>IF(P24=0,0,O24+1)</f>
        <v>1</v>
      </c>
      <c r="S24" s="2545">
        <f>IF(P24=0,0,L24-(R24*E24))</f>
        <v>-5.6</v>
      </c>
      <c r="T24" s="2556" t="str">
        <f>IF(S24=0,0,F24)</f>
        <v>Kg</v>
      </c>
      <c r="U24" s="2525"/>
      <c r="V24" s="2525"/>
    </row>
    <row r="25" spans="2:22" s="2524" customFormat="1" ht="25.5" customHeight="1" thickBot="1">
      <c r="B25" s="4811" t="s">
        <v>280</v>
      </c>
      <c r="C25" s="4812"/>
      <c r="D25" s="4812"/>
      <c r="E25" s="2558">
        <v>4</v>
      </c>
      <c r="F25" s="2559" t="s">
        <v>122</v>
      </c>
      <c r="G25" s="2560">
        <v>0.2</v>
      </c>
      <c r="H25" s="2560">
        <v>0.25</v>
      </c>
      <c r="I25" s="2560">
        <v>0.35</v>
      </c>
      <c r="J25" s="2560">
        <v>0.45</v>
      </c>
      <c r="K25" s="2560">
        <v>0.35</v>
      </c>
      <c r="L25" s="20">
        <f>(G25*G11)+(H25*H11)+(I25*I11)+(J25*J11)+(K25*K11)</f>
        <v>1.6</v>
      </c>
      <c r="M25" s="4813" t="str">
        <f t="shared" si="0"/>
        <v>Kg</v>
      </c>
      <c r="N25" s="4813"/>
      <c r="O25" s="2549">
        <f>IF(L25=0,0,INT(L25/E25))</f>
        <v>0</v>
      </c>
      <c r="P25" s="2561">
        <f>L25-(O25*E25)</f>
        <v>1.6</v>
      </c>
      <c r="Q25" s="2551" t="str">
        <f>IF(P25=0,0,F25)</f>
        <v>Kg</v>
      </c>
      <c r="R25" s="2552">
        <f>IF(P25=0,0,O25+1)</f>
        <v>1</v>
      </c>
      <c r="S25" s="2550">
        <f>IF(P25=0,0,L25-(R25*E25))</f>
        <v>-2.4</v>
      </c>
      <c r="T25" s="2562" t="str">
        <f>IF(S25=0,0,F25)</f>
        <v>Kg</v>
      </c>
      <c r="U25" s="2525"/>
      <c r="V25" s="2525"/>
    </row>
    <row r="26" spans="2:22" s="2524" customFormat="1" ht="25.5" customHeight="1" thickBot="1">
      <c r="B26" s="2563"/>
      <c r="C26" s="2563"/>
      <c r="D26" s="2563"/>
      <c r="E26" s="2563"/>
      <c r="F26" s="2563"/>
      <c r="G26" s="2563"/>
      <c r="H26" s="2563"/>
      <c r="I26" s="2563"/>
      <c r="J26" s="2563"/>
      <c r="K26" s="2563"/>
      <c r="L26" s="2563"/>
      <c r="M26" s="2563"/>
      <c r="N26" s="2563"/>
      <c r="O26" s="2563"/>
      <c r="P26" s="2563"/>
      <c r="Q26" s="2563"/>
      <c r="R26" s="2563"/>
      <c r="S26" s="2564"/>
      <c r="T26" s="2565"/>
      <c r="U26" s="2525"/>
      <c r="V26" s="2525"/>
    </row>
    <row r="27" spans="2:22" s="2524" customFormat="1" ht="30" customHeight="1">
      <c r="B27" s="4814" t="s">
        <v>281</v>
      </c>
      <c r="C27" s="4815"/>
      <c r="D27" s="4815"/>
      <c r="E27" s="4815"/>
      <c r="F27" s="4815"/>
      <c r="G27" s="4815"/>
      <c r="H27" s="4815"/>
      <c r="I27" s="4815"/>
      <c r="J27" s="4815"/>
      <c r="K27" s="4815"/>
      <c r="L27" s="4815"/>
      <c r="M27" s="2531"/>
      <c r="N27" s="2531"/>
      <c r="O27" s="2531"/>
      <c r="P27" s="2531"/>
      <c r="Q27" s="2531"/>
      <c r="R27" s="2531"/>
      <c r="S27" s="2531"/>
      <c r="T27" s="2566" t="s">
        <v>282</v>
      </c>
      <c r="U27" s="2525"/>
      <c r="V27" s="2525"/>
    </row>
    <row r="28" spans="2:22" s="2524" customFormat="1" ht="30" customHeight="1">
      <c r="B28" s="2567"/>
      <c r="C28" s="2568"/>
      <c r="D28" s="2568"/>
      <c r="E28" s="2569"/>
      <c r="F28" s="2570" t="s">
        <v>283</v>
      </c>
      <c r="G28" s="2571">
        <v>0.45</v>
      </c>
      <c r="H28" s="2572" t="s">
        <v>122</v>
      </c>
      <c r="I28" s="2569"/>
      <c r="J28" s="2569"/>
      <c r="K28" s="2569"/>
      <c r="L28" s="2573"/>
      <c r="P28" s="21" t="s">
        <v>284</v>
      </c>
      <c r="Q28" s="2574">
        <v>10</v>
      </c>
      <c r="R28" s="2572" t="s">
        <v>285</v>
      </c>
      <c r="S28" s="2575"/>
      <c r="T28" s="2576"/>
      <c r="U28" s="2525"/>
      <c r="V28" s="2525"/>
    </row>
    <row r="29" spans="2:22" s="2524" customFormat="1" ht="16.5" customHeight="1">
      <c r="B29" s="2567"/>
      <c r="C29" s="2568"/>
      <c r="D29" s="2568"/>
      <c r="E29" s="2569"/>
      <c r="F29" s="2570"/>
      <c r="G29" s="2577" t="s">
        <v>256</v>
      </c>
      <c r="H29" s="2578" t="s">
        <v>257</v>
      </c>
      <c r="I29" s="2579" t="s">
        <v>258</v>
      </c>
      <c r="J29" s="2579" t="s">
        <v>259</v>
      </c>
      <c r="K29" s="2579" t="s">
        <v>260</v>
      </c>
      <c r="L29" s="2573"/>
      <c r="P29" s="21"/>
      <c r="Q29" s="21"/>
      <c r="R29" s="21"/>
      <c r="S29" s="2575"/>
      <c r="T29" s="2576"/>
      <c r="U29" s="2525"/>
      <c r="V29" s="2525"/>
    </row>
    <row r="30" spans="2:22" s="2524" customFormat="1" ht="30" customHeight="1">
      <c r="B30" s="22"/>
      <c r="C30" s="23"/>
      <c r="D30" s="23"/>
      <c r="E30" s="2580"/>
      <c r="F30" s="24" t="s">
        <v>286</v>
      </c>
      <c r="G30" s="25">
        <v>0.2</v>
      </c>
      <c r="H30" s="25">
        <v>0.25</v>
      </c>
      <c r="I30" s="25">
        <v>0.35</v>
      </c>
      <c r="J30" s="25">
        <v>0.45</v>
      </c>
      <c r="K30" s="25">
        <v>0.35</v>
      </c>
      <c r="L30" s="2581">
        <f>(G30*G11)+(H30*H11)+(I30*I11)+(J30*J11)+(K30*K11)</f>
        <v>1.6</v>
      </c>
      <c r="M30" s="2582" t="str">
        <f>H28</f>
        <v>Kg</v>
      </c>
      <c r="N30" s="2583">
        <f>G28*Q28</f>
        <v>4.5</v>
      </c>
      <c r="O30" s="2584">
        <f>IF(L30=0,0,INT(L30/(G28*Q28)))</f>
        <v>0</v>
      </c>
      <c r="P30" s="2585">
        <f>L30-(O30*(G28*Q28))</f>
        <v>1.6</v>
      </c>
      <c r="Q30" s="2586" t="str">
        <f>IF(P30=0,0,H28)</f>
        <v>Kg</v>
      </c>
      <c r="R30" s="2584">
        <f>IF(P30=0,0,O30+1)</f>
        <v>1</v>
      </c>
      <c r="S30" s="2585">
        <f>IF(P30=0,0,L30-(R30*N30))</f>
        <v>-2.9</v>
      </c>
      <c r="T30" s="2587" t="str">
        <f>IF(S30=0,0,H28)</f>
        <v>Kg</v>
      </c>
      <c r="U30" s="2525"/>
      <c r="V30" s="2525"/>
    </row>
    <row r="31" spans="2:22" s="2524" customFormat="1" ht="37.5" customHeight="1" thickBot="1">
      <c r="B31" s="26"/>
      <c r="C31" s="27"/>
      <c r="D31" s="27"/>
      <c r="E31" s="2588"/>
      <c r="F31" s="28" t="s">
        <v>287</v>
      </c>
      <c r="G31" s="29">
        <f>G30/G28</f>
        <v>0.44444444444444448</v>
      </c>
      <c r="H31" s="29">
        <f>H30/G28</f>
        <v>0.55555555555555558</v>
      </c>
      <c r="I31" s="29">
        <f>I30/G28</f>
        <v>0.77777777777777768</v>
      </c>
      <c r="J31" s="29">
        <f>J30/G28</f>
        <v>1</v>
      </c>
      <c r="K31" s="29">
        <f>K30/G28</f>
        <v>0.77777777777777768</v>
      </c>
      <c r="L31" s="2589">
        <f>(G31*G11)+(H31*H11)+(I31*I11)+(J31*J11)+(K31*K11)</f>
        <v>3.5555555555555554</v>
      </c>
      <c r="M31" s="2590" t="str">
        <f>R28</f>
        <v>portions</v>
      </c>
      <c r="N31" s="2591"/>
      <c r="O31" s="2592">
        <f>IF(L31=0,0,INT(L31/Q28))</f>
        <v>0</v>
      </c>
      <c r="P31" s="2593">
        <f>L31-(O31*Q28)</f>
        <v>3.5555555555555554</v>
      </c>
      <c r="Q31" s="2594" t="str">
        <f>IF(P31=0,0,R28)</f>
        <v>portions</v>
      </c>
      <c r="R31" s="2592">
        <f>IF(P31=0,0,O31+1)</f>
        <v>1</v>
      </c>
      <c r="S31" s="2593">
        <f>IF(P31=0,0,L31-(R31*Q28))</f>
        <v>-6.4444444444444446</v>
      </c>
      <c r="T31" s="2595" t="str">
        <f>IF(S31=0,0,R28)</f>
        <v>portions</v>
      </c>
      <c r="U31" s="2525"/>
      <c r="V31" s="2525"/>
    </row>
    <row r="32" spans="2:22" ht="33" customHeight="1">
      <c r="U32" s="1201"/>
      <c r="V32" s="1201"/>
    </row>
    <row r="33" spans="1:22" s="2520" customFormat="1" ht="36.75" customHeight="1">
      <c r="A33" s="2512"/>
      <c r="B33" s="2596" t="s">
        <v>288</v>
      </c>
      <c r="C33" s="2597"/>
      <c r="D33" s="2597"/>
      <c r="E33" s="2598"/>
      <c r="F33" s="2598"/>
      <c r="G33" s="2598"/>
      <c r="H33" s="2598"/>
      <c r="I33" s="2598"/>
      <c r="J33" s="2598"/>
      <c r="K33" s="2598"/>
      <c r="L33" s="2599"/>
      <c r="M33" s="2600"/>
      <c r="N33" s="2600"/>
      <c r="O33" s="2600"/>
      <c r="P33" s="2600"/>
      <c r="Q33" s="2600"/>
      <c r="R33" s="2600"/>
      <c r="S33" s="2600"/>
      <c r="T33" s="2601" t="s">
        <v>247</v>
      </c>
      <c r="U33" s="2519"/>
      <c r="V33" s="2519"/>
    </row>
    <row r="34" spans="1:22" ht="32.25">
      <c r="B34" s="2602" t="s">
        <v>289</v>
      </c>
      <c r="C34" s="2603"/>
      <c r="D34" s="2603"/>
      <c r="E34" s="2604"/>
      <c r="F34" s="2604"/>
      <c r="G34" s="2604"/>
      <c r="H34" s="2604"/>
      <c r="I34" s="2604"/>
      <c r="J34" s="2605"/>
      <c r="K34" s="2606"/>
      <c r="L34" s="2606"/>
      <c r="M34" s="2606"/>
      <c r="N34" s="2606"/>
      <c r="O34" s="2606"/>
      <c r="P34" s="2606"/>
      <c r="Q34" s="2606"/>
      <c r="R34" s="2606"/>
      <c r="S34" s="2606"/>
      <c r="T34" s="2607" t="s">
        <v>290</v>
      </c>
      <c r="U34" s="2519"/>
      <c r="V34" s="1201"/>
    </row>
    <row r="35" spans="1:22" ht="21">
      <c r="B35" s="4788" t="s">
        <v>248</v>
      </c>
      <c r="C35" s="4789"/>
      <c r="D35" s="4789"/>
      <c r="E35" s="4789"/>
      <c r="F35" s="4789"/>
      <c r="G35" s="4789"/>
      <c r="H35" s="4789"/>
      <c r="I35" s="4789"/>
      <c r="J35" s="4816"/>
      <c r="K35" s="4817" t="s">
        <v>249</v>
      </c>
      <c r="L35" s="4818"/>
      <c r="M35" s="4818"/>
      <c r="N35" s="4818"/>
      <c r="O35" s="4818"/>
      <c r="P35" s="4818"/>
      <c r="Q35" s="4818"/>
      <c r="R35" s="4818"/>
      <c r="S35" s="4818"/>
      <c r="T35" s="4819"/>
      <c r="U35" s="2523"/>
      <c r="V35" s="1201"/>
    </row>
    <row r="36" spans="1:22" ht="38.25">
      <c r="B36" s="4801" t="s">
        <v>250</v>
      </c>
      <c r="C36" s="4802"/>
      <c r="D36" s="4802"/>
      <c r="E36" s="4802"/>
      <c r="F36" s="2608" t="s">
        <v>251</v>
      </c>
      <c r="G36" s="4803" t="s">
        <v>252</v>
      </c>
      <c r="H36" s="4803"/>
      <c r="I36" s="2609" t="s">
        <v>291</v>
      </c>
      <c r="J36" s="2610" t="s">
        <v>292</v>
      </c>
      <c r="K36" s="2611" t="s">
        <v>293</v>
      </c>
      <c r="L36" s="4804" t="s">
        <v>254</v>
      </c>
      <c r="M36" s="4805"/>
      <c r="N36" s="4805"/>
      <c r="O36" s="2612" t="s">
        <v>255</v>
      </c>
      <c r="P36" s="2613"/>
      <c r="Q36" s="2613"/>
      <c r="R36" s="2614"/>
      <c r="S36" s="2614"/>
      <c r="T36" s="2615"/>
      <c r="U36" s="2525"/>
      <c r="V36" s="1201"/>
    </row>
    <row r="37" spans="1:22" ht="28.5" customHeight="1">
      <c r="B37" s="4770" t="s">
        <v>294</v>
      </c>
      <c r="C37" s="4771"/>
      <c r="D37" s="4771"/>
      <c r="E37" s="4771"/>
      <c r="F37" s="30">
        <v>16</v>
      </c>
      <c r="G37" s="4806" t="s">
        <v>265</v>
      </c>
      <c r="H37" s="4806"/>
      <c r="I37" s="31">
        <v>1</v>
      </c>
      <c r="J37" s="32">
        <v>1250</v>
      </c>
      <c r="K37" s="33">
        <f>F37/I37</f>
        <v>16</v>
      </c>
      <c r="L37" s="34">
        <f>I37*J37</f>
        <v>1250</v>
      </c>
      <c r="M37" s="4807" t="str">
        <f>G37</f>
        <v>Cuisses</v>
      </c>
      <c r="N37" s="4807"/>
      <c r="O37" s="35">
        <f>IF(L37=0,0,INT(L37/F37))</f>
        <v>78</v>
      </c>
      <c r="P37" s="36">
        <f>L37-(O37*F37)</f>
        <v>2</v>
      </c>
      <c r="Q37" s="37" t="str">
        <f>IF(P37=0,0,G37)</f>
        <v>Cuisses</v>
      </c>
      <c r="R37" s="35">
        <f>IF(P37=0,0,O37+1)</f>
        <v>79</v>
      </c>
      <c r="S37" s="36">
        <f>IF(P37=0,0,L37-(R37*F37))</f>
        <v>-14</v>
      </c>
      <c r="T37" s="38" t="str">
        <f>IF(S37=0,0,G37)</f>
        <v>Cuisses</v>
      </c>
      <c r="U37" s="2525"/>
      <c r="V37" s="1201"/>
    </row>
    <row r="38" spans="1:22">
      <c r="U38" s="1201"/>
      <c r="V38" s="1201"/>
    </row>
    <row r="39" spans="1:22">
      <c r="U39" s="1201"/>
      <c r="V39" s="1201"/>
    </row>
    <row r="40" spans="1:22" s="2520" customFormat="1" ht="36.75" customHeight="1">
      <c r="A40" s="2512"/>
      <c r="B40" s="2616" t="s">
        <v>295</v>
      </c>
      <c r="C40" s="2617"/>
      <c r="D40" s="2617"/>
      <c r="E40" s="2618"/>
      <c r="F40" s="2618"/>
      <c r="G40" s="2618"/>
      <c r="H40" s="2618"/>
      <c r="I40" s="2618"/>
      <c r="J40" s="2618"/>
      <c r="K40" s="2618"/>
      <c r="L40" s="2619"/>
      <c r="M40" s="2620"/>
      <c r="N40" s="2620"/>
      <c r="O40" s="2620"/>
      <c r="P40" s="2620"/>
      <c r="Q40" s="2620"/>
      <c r="R40" s="2620"/>
      <c r="S40" s="2620"/>
      <c r="T40" s="2621" t="s">
        <v>247</v>
      </c>
      <c r="U40" s="2519"/>
      <c r="V40" s="2519"/>
    </row>
    <row r="41" spans="1:22" ht="25.5" customHeight="1">
      <c r="B41" s="2622" t="s">
        <v>296</v>
      </c>
      <c r="C41" s="2623"/>
      <c r="D41" s="2623"/>
      <c r="E41" s="2624"/>
      <c r="F41" s="2624"/>
      <c r="G41" s="2624"/>
      <c r="H41" s="2624"/>
      <c r="I41" s="2624"/>
      <c r="J41" s="2625"/>
      <c r="K41" s="2626"/>
      <c r="L41" s="2626"/>
      <c r="M41" s="2626"/>
      <c r="N41" s="2626"/>
      <c r="O41" s="2626"/>
      <c r="P41" s="2626"/>
      <c r="Q41" s="2626"/>
      <c r="R41" s="2626"/>
      <c r="S41" s="2626"/>
      <c r="T41" s="2627" t="s">
        <v>297</v>
      </c>
      <c r="U41" s="2519"/>
      <c r="V41" s="1201"/>
    </row>
    <row r="42" spans="1:22" ht="21">
      <c r="B42" s="4788" t="s">
        <v>248</v>
      </c>
      <c r="C42" s="4789"/>
      <c r="D42" s="4789"/>
      <c r="E42" s="4789"/>
      <c r="F42" s="4789"/>
      <c r="G42" s="4789"/>
      <c r="H42" s="4789"/>
      <c r="I42" s="4789"/>
      <c r="J42" s="4789"/>
      <c r="K42" s="4790" t="s">
        <v>249</v>
      </c>
      <c r="L42" s="4791"/>
      <c r="M42" s="4791"/>
      <c r="N42" s="4791"/>
      <c r="O42" s="4791"/>
      <c r="P42" s="4791"/>
      <c r="Q42" s="4791"/>
      <c r="R42" s="4791"/>
      <c r="S42" s="4791"/>
      <c r="T42" s="4792"/>
      <c r="U42" s="1201"/>
      <c r="V42" s="1201"/>
    </row>
    <row r="43" spans="1:22" ht="38.25" customHeight="1">
      <c r="B43" s="4793" t="s">
        <v>250</v>
      </c>
      <c r="C43" s="4794"/>
      <c r="D43" s="4794"/>
      <c r="E43" s="4795"/>
      <c r="F43" s="2608" t="s">
        <v>251</v>
      </c>
      <c r="G43" s="2628" t="s">
        <v>252</v>
      </c>
      <c r="H43" s="4796" t="s">
        <v>298</v>
      </c>
      <c r="I43" s="4796"/>
      <c r="J43" s="2610" t="s">
        <v>292</v>
      </c>
      <c r="K43" s="4797" t="s">
        <v>291</v>
      </c>
      <c r="L43" s="4798"/>
      <c r="M43" s="4799" t="s">
        <v>254</v>
      </c>
      <c r="N43" s="4800"/>
      <c r="O43" s="2612" t="s">
        <v>255</v>
      </c>
      <c r="P43" s="2613"/>
      <c r="Q43" s="2613"/>
      <c r="R43" s="2614"/>
      <c r="S43" s="2614"/>
      <c r="T43" s="2615"/>
      <c r="U43" s="1201"/>
      <c r="V43" s="1201"/>
    </row>
    <row r="44" spans="1:22" ht="18.75">
      <c r="B44" s="4770" t="s">
        <v>278</v>
      </c>
      <c r="C44" s="4771"/>
      <c r="D44" s="4771"/>
      <c r="E44" s="4771"/>
      <c r="F44" s="30">
        <v>3</v>
      </c>
      <c r="G44" s="39" t="s">
        <v>122</v>
      </c>
      <c r="H44" s="4772">
        <v>23</v>
      </c>
      <c r="I44" s="4773"/>
      <c r="J44" s="40">
        <v>100</v>
      </c>
      <c r="K44" s="4774">
        <f>F44/H44</f>
        <v>0.13043478260869565</v>
      </c>
      <c r="L44" s="4775"/>
      <c r="M44" s="34">
        <f>K44*J44</f>
        <v>13.043478260869565</v>
      </c>
      <c r="N44" s="1076" t="str">
        <f>G44</f>
        <v>Kg</v>
      </c>
      <c r="O44" s="41">
        <f>IF(M44=0,0,INT(M44/F44))</f>
        <v>4</v>
      </c>
      <c r="P44" s="42">
        <f>M44-(O44*F44)</f>
        <v>1.0434782608695645</v>
      </c>
      <c r="Q44" s="43" t="str">
        <f>IF(P44=0,0,G44)</f>
        <v>Kg</v>
      </c>
      <c r="R44" s="41">
        <f>IF(P44=0,0,O44+1)</f>
        <v>5</v>
      </c>
      <c r="S44" s="42">
        <f>IF(P44=0,0,M44-(R44*F44))</f>
        <v>-1.9565217391304355</v>
      </c>
      <c r="T44" s="44" t="str">
        <f>IF(S44=0,0,G44)</f>
        <v>Kg</v>
      </c>
      <c r="U44" s="1201"/>
      <c r="V44" s="1201"/>
    </row>
    <row r="45" spans="1:22">
      <c r="P45" s="1201"/>
      <c r="Q45" s="1201"/>
      <c r="R45" s="1201"/>
      <c r="S45" s="1201"/>
      <c r="T45" s="1201"/>
      <c r="U45" s="1201"/>
      <c r="V45" s="1201"/>
    </row>
    <row r="46" spans="1:22">
      <c r="P46" s="1201"/>
      <c r="Q46" s="1201"/>
      <c r="R46" s="1201"/>
      <c r="S46" s="1201"/>
      <c r="T46" s="1201"/>
      <c r="U46" s="1201"/>
      <c r="V46" s="1201"/>
    </row>
    <row r="47" spans="1:22">
      <c r="B47" s="2464"/>
      <c r="C47" s="2464"/>
      <c r="D47" s="2464"/>
      <c r="E47" s="2464"/>
      <c r="F47" s="2464"/>
      <c r="G47" s="2464"/>
      <c r="H47" s="2464"/>
      <c r="I47" s="2464"/>
      <c r="J47" s="2464"/>
      <c r="K47" s="2464"/>
      <c r="L47" s="2464"/>
      <c r="M47" s="2464"/>
      <c r="N47" s="2464"/>
      <c r="O47" s="2464"/>
      <c r="P47" s="1200"/>
      <c r="Q47" s="1201"/>
      <c r="R47" s="1201"/>
      <c r="S47" s="1201"/>
      <c r="T47" s="1201"/>
      <c r="U47" s="1201"/>
      <c r="V47" s="1201"/>
    </row>
    <row r="48" spans="1:22">
      <c r="A48" s="2629"/>
      <c r="B48" s="4776" t="s">
        <v>299</v>
      </c>
      <c r="C48" s="4776"/>
      <c r="D48" s="4776"/>
      <c r="E48" s="4776"/>
      <c r="F48" s="4776"/>
      <c r="G48" s="4776"/>
      <c r="H48" s="4776"/>
      <c r="I48" s="4776"/>
      <c r="J48" s="4776"/>
      <c r="K48" s="4776"/>
      <c r="L48" s="4776"/>
      <c r="M48" s="4776"/>
      <c r="N48" s="4776"/>
      <c r="O48" s="4776"/>
      <c r="P48" s="1200"/>
      <c r="Q48" s="1200"/>
      <c r="R48" s="1200"/>
      <c r="S48" s="1200"/>
      <c r="T48" s="1200"/>
      <c r="U48" s="1200"/>
      <c r="V48" s="1200"/>
    </row>
    <row r="49" spans="1:22">
      <c r="A49" s="2629"/>
      <c r="B49" s="4776"/>
      <c r="C49" s="4776"/>
      <c r="D49" s="4776"/>
      <c r="E49" s="4776"/>
      <c r="F49" s="4776"/>
      <c r="G49" s="4776"/>
      <c r="H49" s="4776"/>
      <c r="I49" s="4776"/>
      <c r="J49" s="4776"/>
      <c r="K49" s="4776"/>
      <c r="L49" s="4776"/>
      <c r="M49" s="4776"/>
      <c r="N49" s="4776"/>
      <c r="O49" s="4776"/>
      <c r="P49" s="1200"/>
      <c r="Q49" s="1200"/>
      <c r="R49" s="1200"/>
      <c r="S49" s="1200"/>
      <c r="T49" s="1200"/>
      <c r="U49" s="1200"/>
      <c r="V49" s="1200"/>
    </row>
    <row r="50" spans="1:22">
      <c r="A50" s="2629"/>
      <c r="B50" s="4776"/>
      <c r="C50" s="4776"/>
      <c r="D50" s="4776"/>
      <c r="E50" s="4776"/>
      <c r="F50" s="4776"/>
      <c r="G50" s="4776"/>
      <c r="H50" s="4776"/>
      <c r="I50" s="4776"/>
      <c r="J50" s="4776"/>
      <c r="K50" s="4776"/>
      <c r="L50" s="4776"/>
      <c r="M50" s="4776"/>
      <c r="N50" s="4776"/>
      <c r="O50" s="4776"/>
      <c r="P50" s="1200"/>
      <c r="Q50" s="1200"/>
      <c r="R50" s="1200"/>
      <c r="S50" s="1200"/>
      <c r="T50" s="1200"/>
      <c r="U50" s="1200"/>
      <c r="V50" s="1200"/>
    </row>
    <row r="51" spans="1:22" ht="15.75" thickBot="1">
      <c r="B51" s="2630"/>
      <c r="C51" s="2630"/>
      <c r="D51" s="2629"/>
      <c r="E51" s="2629"/>
      <c r="F51" s="2629"/>
      <c r="G51" s="2629"/>
      <c r="H51" s="2629"/>
      <c r="I51" s="2629"/>
      <c r="J51" s="2629"/>
      <c r="K51" s="2629"/>
      <c r="L51" s="2629"/>
      <c r="M51" s="2629"/>
      <c r="N51" s="2629"/>
      <c r="O51" s="2629"/>
      <c r="P51" s="1200"/>
      <c r="Q51" s="1201"/>
      <c r="R51" s="1201"/>
      <c r="S51" s="1201"/>
      <c r="T51" s="1201"/>
      <c r="U51" s="1201"/>
      <c r="V51" s="1201"/>
    </row>
    <row r="52" spans="1:22">
      <c r="B52" s="4777" t="s">
        <v>300</v>
      </c>
      <c r="C52" s="4779">
        <f ca="1">NOW()</f>
        <v>44545.461550462962</v>
      </c>
      <c r="D52" s="4779"/>
      <c r="E52" s="4781" t="s">
        <v>301</v>
      </c>
      <c r="F52" s="4781"/>
      <c r="G52" s="4781"/>
      <c r="H52" s="4781"/>
      <c r="I52" s="4781"/>
      <c r="J52" s="4781"/>
      <c r="K52" s="4781"/>
      <c r="L52" s="4781"/>
      <c r="M52" s="4782" t="s">
        <v>302</v>
      </c>
      <c r="N52" s="4784" t="s">
        <v>303</v>
      </c>
      <c r="O52" s="4786">
        <v>1</v>
      </c>
      <c r="P52" s="1200"/>
      <c r="Q52" s="1201"/>
      <c r="R52" s="2631" t="s">
        <v>304</v>
      </c>
      <c r="S52" s="1201"/>
      <c r="T52" s="1201"/>
      <c r="U52" s="1201"/>
      <c r="V52" s="1201"/>
    </row>
    <row r="53" spans="1:22">
      <c r="B53" s="4778"/>
      <c r="C53" s="4780"/>
      <c r="D53" s="4780"/>
      <c r="E53" s="4662"/>
      <c r="F53" s="4662"/>
      <c r="G53" s="4662"/>
      <c r="H53" s="4662"/>
      <c r="I53" s="4662"/>
      <c r="J53" s="4662"/>
      <c r="K53" s="4662"/>
      <c r="L53" s="4662"/>
      <c r="M53" s="4783"/>
      <c r="N53" s="4785"/>
      <c r="O53" s="4787"/>
      <c r="P53" s="1200"/>
      <c r="Q53" s="1201"/>
      <c r="R53" s="1201"/>
      <c r="S53" s="1201"/>
      <c r="T53" s="1201"/>
      <c r="U53" s="1201"/>
      <c r="V53" s="1201"/>
    </row>
    <row r="54" spans="1:22">
      <c r="B54" s="4759" t="s">
        <v>305</v>
      </c>
      <c r="C54" s="4760"/>
      <c r="D54" s="4760"/>
      <c r="E54" s="4760"/>
      <c r="F54" s="4760"/>
      <c r="G54" s="4760"/>
      <c r="H54" s="4760"/>
      <c r="I54" s="4760"/>
      <c r="J54" s="4760"/>
      <c r="K54" s="4760"/>
      <c r="L54" s="4760"/>
      <c r="M54" s="4760"/>
      <c r="N54" s="4760"/>
      <c r="O54" s="4761"/>
      <c r="P54" s="1200"/>
      <c r="Q54" s="1201"/>
      <c r="R54" s="1201"/>
      <c r="S54" s="1201"/>
      <c r="T54" s="1201"/>
      <c r="U54" s="1201"/>
      <c r="V54" s="1201"/>
    </row>
    <row r="55" spans="1:22" ht="15.75">
      <c r="B55" s="4762"/>
      <c r="C55" s="4763"/>
      <c r="D55" s="4763"/>
      <c r="E55" s="4763"/>
      <c r="F55" s="4763"/>
      <c r="G55" s="4763"/>
      <c r="H55" s="4763"/>
      <c r="I55" s="4763"/>
      <c r="J55" s="4763"/>
      <c r="K55" s="4763"/>
      <c r="L55" s="4763"/>
      <c r="M55" s="4763"/>
      <c r="N55" s="4763"/>
      <c r="O55" s="4764"/>
      <c r="P55" s="1200"/>
      <c r="Q55" s="1201"/>
      <c r="R55" s="4649" t="s">
        <v>306</v>
      </c>
      <c r="S55" s="4649"/>
      <c r="T55" s="4649"/>
      <c r="U55" s="4649"/>
      <c r="V55" s="4649"/>
    </row>
    <row r="56" spans="1:22">
      <c r="B56" s="4658" t="s">
        <v>307</v>
      </c>
      <c r="C56" s="4659"/>
      <c r="D56" s="4659"/>
      <c r="E56" s="4659"/>
      <c r="F56" s="4659"/>
      <c r="G56" s="4659"/>
      <c r="H56" s="4659"/>
      <c r="I56" s="4659"/>
      <c r="J56" s="4659"/>
      <c r="K56" s="4659"/>
      <c r="L56" s="4659"/>
      <c r="M56" s="4659"/>
      <c r="N56" s="4659"/>
      <c r="O56" s="4660"/>
      <c r="P56" s="1200"/>
      <c r="Q56" s="1201"/>
      <c r="R56" s="1201"/>
      <c r="S56" s="1201"/>
      <c r="T56" s="1201"/>
      <c r="U56" s="1201"/>
      <c r="V56" s="1201"/>
    </row>
    <row r="57" spans="1:22">
      <c r="B57" s="4661"/>
      <c r="C57" s="4662"/>
      <c r="D57" s="4662"/>
      <c r="E57" s="4662"/>
      <c r="F57" s="4662"/>
      <c r="G57" s="4662"/>
      <c r="H57" s="4662"/>
      <c r="I57" s="4662"/>
      <c r="J57" s="4662"/>
      <c r="K57" s="4662"/>
      <c r="L57" s="4662"/>
      <c r="M57" s="4662"/>
      <c r="N57" s="4662"/>
      <c r="O57" s="4663"/>
      <c r="P57" s="1200"/>
      <c r="Q57" s="1201"/>
      <c r="R57" s="1201"/>
      <c r="S57" s="1201"/>
      <c r="T57" s="1201"/>
      <c r="U57" s="1201"/>
      <c r="V57" s="1201"/>
    </row>
    <row r="58" spans="1:22">
      <c r="B58" s="4713" t="s">
        <v>308</v>
      </c>
      <c r="C58" s="4715" t="s">
        <v>292</v>
      </c>
      <c r="D58" s="4766" t="s">
        <v>309</v>
      </c>
      <c r="E58" s="4719" t="s">
        <v>310</v>
      </c>
      <c r="F58" s="4721" t="s">
        <v>311</v>
      </c>
      <c r="G58" s="4694" t="s">
        <v>312</v>
      </c>
      <c r="H58" s="4694"/>
      <c r="I58" s="4694" t="s">
        <v>313</v>
      </c>
      <c r="J58" s="4694"/>
      <c r="K58" s="4694" t="s">
        <v>314</v>
      </c>
      <c r="L58" s="4694"/>
      <c r="M58" s="2632" t="s">
        <v>315</v>
      </c>
      <c r="N58" s="2633"/>
      <c r="O58" s="2634"/>
      <c r="P58" s="1200"/>
      <c r="Q58" s="1201"/>
      <c r="R58" s="1201"/>
      <c r="S58" s="1201"/>
      <c r="T58" s="1201"/>
      <c r="U58" s="1201"/>
      <c r="V58" s="1201"/>
    </row>
    <row r="59" spans="1:22">
      <c r="B59" s="4765"/>
      <c r="C59" s="4716"/>
      <c r="D59" s="4767"/>
      <c r="E59" s="4720"/>
      <c r="F59" s="4722"/>
      <c r="G59" s="4695"/>
      <c r="H59" s="4695"/>
      <c r="I59" s="4695"/>
      <c r="J59" s="4695"/>
      <c r="K59" s="4695"/>
      <c r="L59" s="4695"/>
      <c r="M59" s="2635"/>
      <c r="N59" s="2636"/>
      <c r="O59" s="2637"/>
      <c r="P59" s="1200"/>
      <c r="Q59" s="1201"/>
      <c r="R59" s="1201"/>
      <c r="S59" s="1201"/>
      <c r="T59" s="1201"/>
      <c r="U59" s="1201"/>
      <c r="V59" s="1201"/>
    </row>
    <row r="60" spans="1:22">
      <c r="B60" s="4714"/>
      <c r="C60" s="4716"/>
      <c r="D60" s="4767"/>
      <c r="E60" s="4720"/>
      <c r="F60" s="4722"/>
      <c r="G60" s="4695"/>
      <c r="H60" s="4695"/>
      <c r="I60" s="4695"/>
      <c r="J60" s="4695"/>
      <c r="K60" s="4695"/>
      <c r="L60" s="4695"/>
      <c r="M60" s="4768"/>
      <c r="N60" s="4768"/>
      <c r="O60" s="4769"/>
      <c r="P60" s="1200"/>
      <c r="Q60" s="1201"/>
      <c r="R60" s="1201"/>
      <c r="S60" s="1201"/>
      <c r="T60" s="1201"/>
      <c r="U60" s="1201"/>
      <c r="V60" s="1201"/>
    </row>
    <row r="61" spans="1:22">
      <c r="B61" s="2638" t="s">
        <v>316</v>
      </c>
      <c r="C61" s="2639">
        <v>100</v>
      </c>
      <c r="D61" s="2640">
        <v>0.05</v>
      </c>
      <c r="E61" s="2641">
        <v>1.2</v>
      </c>
      <c r="F61" s="2642">
        <v>30</v>
      </c>
      <c r="G61" s="2643">
        <f t="shared" ref="G61:G66" si="7">(D61*E61)/(100-F61)*100</f>
        <v>8.5714285714285715E-2</v>
      </c>
      <c r="H61" s="2644" t="s">
        <v>122</v>
      </c>
      <c r="I61" s="2645">
        <f t="shared" ref="I61:I66" si="8">(D61*E61)*C61</f>
        <v>6</v>
      </c>
      <c r="J61" s="2644" t="s">
        <v>122</v>
      </c>
      <c r="K61" s="2646">
        <f t="shared" ref="K61:K66" si="9">G61*C61</f>
        <v>8.5714285714285712</v>
      </c>
      <c r="L61" s="2644" t="s">
        <v>122</v>
      </c>
      <c r="M61" s="4768"/>
      <c r="N61" s="4768"/>
      <c r="O61" s="4769"/>
      <c r="P61" s="1200"/>
      <c r="Q61" s="1201"/>
      <c r="R61" s="2647" t="s">
        <v>317</v>
      </c>
      <c r="S61" s="1201"/>
      <c r="T61" s="1201"/>
      <c r="U61" s="1201"/>
      <c r="V61" s="1201"/>
    </row>
    <row r="62" spans="1:22">
      <c r="B62" s="2638" t="s">
        <v>318</v>
      </c>
      <c r="C62" s="2639">
        <v>100</v>
      </c>
      <c r="D62" s="2640">
        <v>7.0000000000000007E-2</v>
      </c>
      <c r="E62" s="2641">
        <v>2</v>
      </c>
      <c r="F62" s="2642">
        <v>30</v>
      </c>
      <c r="G62" s="2643">
        <f t="shared" si="7"/>
        <v>0.2</v>
      </c>
      <c r="H62" s="2644" t="s">
        <v>122</v>
      </c>
      <c r="I62" s="2645">
        <f t="shared" si="8"/>
        <v>14.000000000000002</v>
      </c>
      <c r="J62" s="2644" t="s">
        <v>122</v>
      </c>
      <c r="K62" s="2646">
        <f t="shared" si="9"/>
        <v>20</v>
      </c>
      <c r="L62" s="2644" t="s">
        <v>122</v>
      </c>
      <c r="M62" s="4768"/>
      <c r="N62" s="4768"/>
      <c r="O62" s="4769"/>
      <c r="P62" s="1200"/>
      <c r="Q62" s="1201"/>
      <c r="R62" s="1201"/>
      <c r="S62" s="1201"/>
      <c r="T62" s="1201"/>
      <c r="U62" s="1201"/>
      <c r="V62" s="1201"/>
    </row>
    <row r="63" spans="1:22">
      <c r="B63" s="2648" t="s">
        <v>99</v>
      </c>
      <c r="C63" s="2649">
        <v>100</v>
      </c>
      <c r="D63" s="2650">
        <v>0.11</v>
      </c>
      <c r="E63" s="2641">
        <v>2.5</v>
      </c>
      <c r="F63" s="2642">
        <v>30</v>
      </c>
      <c r="G63" s="2645">
        <f t="shared" si="7"/>
        <v>0.3928571428571429</v>
      </c>
      <c r="H63" s="2644" t="s">
        <v>122</v>
      </c>
      <c r="I63" s="2645">
        <f t="shared" si="8"/>
        <v>27.500000000000004</v>
      </c>
      <c r="J63" s="2644" t="s">
        <v>122</v>
      </c>
      <c r="K63" s="2646">
        <f t="shared" si="9"/>
        <v>39.285714285714292</v>
      </c>
      <c r="L63" s="2644" t="s">
        <v>122</v>
      </c>
      <c r="M63" s="4768"/>
      <c r="N63" s="4768"/>
      <c r="O63" s="4769"/>
      <c r="P63" s="1200"/>
      <c r="Q63" s="1201"/>
      <c r="R63" s="1201"/>
      <c r="S63" s="1201"/>
      <c r="T63" s="1201"/>
      <c r="U63" s="1201"/>
      <c r="V63" s="1201"/>
    </row>
    <row r="64" spans="1:22">
      <c r="B64" s="2638" t="s">
        <v>319</v>
      </c>
      <c r="C64" s="2651">
        <v>100</v>
      </c>
      <c r="D64" s="2652">
        <f>(D63*M64%)+D63</f>
        <v>0.121</v>
      </c>
      <c r="E64" s="2641">
        <v>3</v>
      </c>
      <c r="F64" s="2642">
        <v>30</v>
      </c>
      <c r="G64" s="2645">
        <f t="shared" si="7"/>
        <v>0.51857142857142857</v>
      </c>
      <c r="H64" s="2644" t="s">
        <v>122</v>
      </c>
      <c r="I64" s="2645">
        <f t="shared" si="8"/>
        <v>36.299999999999997</v>
      </c>
      <c r="J64" s="2644" t="s">
        <v>122</v>
      </c>
      <c r="K64" s="2646">
        <f t="shared" si="9"/>
        <v>51.857142857142854</v>
      </c>
      <c r="L64" s="2644" t="s">
        <v>122</v>
      </c>
      <c r="M64" s="2653">
        <v>10</v>
      </c>
      <c r="N64" s="2654" t="s">
        <v>320</v>
      </c>
      <c r="O64" s="2655"/>
      <c r="P64" s="1200"/>
      <c r="Q64" s="1201"/>
      <c r="R64" s="1201"/>
      <c r="S64" s="1201"/>
      <c r="T64" s="1201"/>
      <c r="U64" s="1201"/>
      <c r="V64" s="1201"/>
    </row>
    <row r="65" spans="2:22">
      <c r="B65" s="2638" t="s">
        <v>321</v>
      </c>
      <c r="C65" s="2639">
        <v>8</v>
      </c>
      <c r="D65" s="2656">
        <v>0.1</v>
      </c>
      <c r="E65" s="2641">
        <v>2.5</v>
      </c>
      <c r="F65" s="2642">
        <v>30</v>
      </c>
      <c r="G65" s="2643">
        <f t="shared" si="7"/>
        <v>0.35714285714285715</v>
      </c>
      <c r="H65" s="2644" t="s">
        <v>122</v>
      </c>
      <c r="I65" s="2645">
        <f t="shared" si="8"/>
        <v>2</v>
      </c>
      <c r="J65" s="2644" t="s">
        <v>122</v>
      </c>
      <c r="K65" s="2646">
        <f t="shared" si="9"/>
        <v>2.8571428571428572</v>
      </c>
      <c r="L65" s="2644" t="s">
        <v>122</v>
      </c>
      <c r="M65" s="4751" t="s">
        <v>322</v>
      </c>
      <c r="N65" s="4751"/>
      <c r="O65" s="4752"/>
      <c r="P65" s="1200"/>
      <c r="Q65" s="1201"/>
      <c r="R65" s="1201"/>
      <c r="S65" s="1201"/>
      <c r="T65" s="1201"/>
      <c r="U65" s="1201"/>
      <c r="V65" s="1201"/>
    </row>
    <row r="66" spans="2:22">
      <c r="B66" s="2638" t="s">
        <v>323</v>
      </c>
      <c r="C66" s="2639">
        <v>4</v>
      </c>
      <c r="D66" s="2640">
        <v>7.0000000000000007E-2</v>
      </c>
      <c r="E66" s="2641">
        <v>2</v>
      </c>
      <c r="F66" s="2642">
        <v>30</v>
      </c>
      <c r="G66" s="2643">
        <f t="shared" si="7"/>
        <v>0.2</v>
      </c>
      <c r="H66" s="2644" t="s">
        <v>122</v>
      </c>
      <c r="I66" s="2645">
        <f t="shared" si="8"/>
        <v>0.56000000000000005</v>
      </c>
      <c r="J66" s="2644" t="s">
        <v>122</v>
      </c>
      <c r="K66" s="2646">
        <f t="shared" si="9"/>
        <v>0.8</v>
      </c>
      <c r="L66" s="2644" t="s">
        <v>122</v>
      </c>
      <c r="M66" s="4751"/>
      <c r="N66" s="4751"/>
      <c r="O66" s="4752"/>
      <c r="P66" s="1200"/>
      <c r="Q66" s="1201"/>
      <c r="R66" s="1201"/>
      <c r="S66" s="1201"/>
      <c r="T66" s="1201"/>
      <c r="U66" s="1201"/>
      <c r="V66" s="1201"/>
    </row>
    <row r="67" spans="2:22">
      <c r="B67" s="4745" t="s">
        <v>324</v>
      </c>
      <c r="C67" s="4746"/>
      <c r="D67" s="4746"/>
      <c r="E67" s="4746"/>
      <c r="F67" s="4746"/>
      <c r="G67" s="4746"/>
      <c r="H67" s="4746"/>
      <c r="I67" s="4746"/>
      <c r="J67" s="4746"/>
      <c r="K67" s="4746"/>
      <c r="L67" s="4746"/>
      <c r="M67" s="4746"/>
      <c r="N67" s="4746"/>
      <c r="O67" s="4747"/>
      <c r="P67" s="1200"/>
      <c r="Q67" s="1201"/>
      <c r="R67" s="1201"/>
      <c r="S67" s="1201"/>
      <c r="T67" s="1201"/>
      <c r="U67" s="1201"/>
      <c r="V67" s="1201"/>
    </row>
    <row r="68" spans="2:22">
      <c r="B68" s="4651" t="s">
        <v>325</v>
      </c>
      <c r="C68" s="4653">
        <f>SUM(C61:C66)</f>
        <v>412</v>
      </c>
      <c r="D68" s="2657"/>
      <c r="E68" s="2657"/>
      <c r="F68" s="2657"/>
      <c r="G68" s="2658"/>
      <c r="H68" s="2659"/>
      <c r="I68" s="4755">
        <f>SUM(I61:I66)</f>
        <v>86.36</v>
      </c>
      <c r="J68" s="4757" t="s">
        <v>122</v>
      </c>
      <c r="K68" s="4755">
        <f>SUM(K61:K66)</f>
        <v>123.37142857142858</v>
      </c>
      <c r="L68" s="4757" t="s">
        <v>122</v>
      </c>
      <c r="M68" s="2660"/>
      <c r="N68" s="2660"/>
      <c r="O68" s="2661"/>
      <c r="P68" s="1200"/>
      <c r="Q68" s="1201"/>
      <c r="R68" s="1201"/>
      <c r="S68" s="1201"/>
      <c r="T68" s="1201"/>
      <c r="U68" s="1201"/>
      <c r="V68" s="1201"/>
    </row>
    <row r="69" spans="2:22">
      <c r="B69" s="4753"/>
      <c r="C69" s="4754"/>
      <c r="D69" s="2662"/>
      <c r="E69" s="2662"/>
      <c r="F69" s="2662"/>
      <c r="G69" s="2663"/>
      <c r="H69" s="2664"/>
      <c r="I69" s="4756"/>
      <c r="J69" s="4758"/>
      <c r="K69" s="4756"/>
      <c r="L69" s="4758"/>
      <c r="M69" s="2665"/>
      <c r="N69" s="2665"/>
      <c r="O69" s="2666"/>
      <c r="P69" s="1200"/>
      <c r="Q69" s="1201"/>
      <c r="R69" s="1201"/>
      <c r="S69" s="1201"/>
      <c r="T69" s="1201"/>
      <c r="U69" s="1201"/>
      <c r="V69" s="1201"/>
    </row>
    <row r="70" spans="2:22">
      <c r="B70" s="4658" t="s">
        <v>326</v>
      </c>
      <c r="C70" s="4659"/>
      <c r="D70" s="4659"/>
      <c r="E70" s="4659"/>
      <c r="F70" s="4659"/>
      <c r="G70" s="4659"/>
      <c r="H70" s="4659"/>
      <c r="I70" s="4659"/>
      <c r="J70" s="4659"/>
      <c r="K70" s="4659"/>
      <c r="L70" s="4659"/>
      <c r="M70" s="4659"/>
      <c r="N70" s="4659"/>
      <c r="O70" s="4660"/>
      <c r="P70" s="1200"/>
      <c r="Q70" s="1201"/>
      <c r="R70" s="1201"/>
      <c r="S70" s="1201"/>
      <c r="T70" s="1201"/>
      <c r="U70" s="1201"/>
      <c r="V70" s="1201"/>
    </row>
    <row r="71" spans="2:22">
      <c r="B71" s="4661"/>
      <c r="C71" s="4662"/>
      <c r="D71" s="4662"/>
      <c r="E71" s="4662"/>
      <c r="F71" s="4662"/>
      <c r="G71" s="4662"/>
      <c r="H71" s="4662"/>
      <c r="I71" s="4662"/>
      <c r="J71" s="4662"/>
      <c r="K71" s="4662"/>
      <c r="L71" s="4662"/>
      <c r="M71" s="4662"/>
      <c r="N71" s="4662"/>
      <c r="O71" s="4663"/>
      <c r="P71" s="1200"/>
      <c r="Q71" s="1201"/>
      <c r="R71" s="1201"/>
      <c r="S71" s="1201"/>
      <c r="T71" s="1201"/>
      <c r="U71" s="1201"/>
      <c r="V71" s="1201"/>
    </row>
    <row r="72" spans="2:22">
      <c r="B72" s="4750" t="s">
        <v>327</v>
      </c>
      <c r="C72" s="4666" t="s">
        <v>292</v>
      </c>
      <c r="D72" s="4668" t="s">
        <v>328</v>
      </c>
      <c r="E72" s="4670" t="s">
        <v>329</v>
      </c>
      <c r="F72" s="4672" t="s">
        <v>330</v>
      </c>
      <c r="G72" s="4674" t="s">
        <v>331</v>
      </c>
      <c r="H72" s="4676" t="s">
        <v>332</v>
      </c>
      <c r="I72" s="4677"/>
      <c r="J72" s="4677"/>
      <c r="K72" s="4681" t="s">
        <v>333</v>
      </c>
      <c r="L72" s="4684" t="s">
        <v>334</v>
      </c>
      <c r="M72" s="4676" t="s">
        <v>335</v>
      </c>
      <c r="N72" s="4677"/>
      <c r="O72" s="4689"/>
      <c r="P72" s="1200"/>
      <c r="Q72" s="1201"/>
      <c r="R72" s="1201"/>
      <c r="S72" s="1201"/>
      <c r="T72" s="1201"/>
      <c r="U72" s="1201"/>
      <c r="V72" s="1201"/>
    </row>
    <row r="73" spans="2:22" ht="15.75">
      <c r="B73" s="4750"/>
      <c r="C73" s="4666"/>
      <c r="D73" s="4668"/>
      <c r="E73" s="4670"/>
      <c r="F73" s="4672"/>
      <c r="G73" s="4674"/>
      <c r="H73" s="4676"/>
      <c r="I73" s="4677"/>
      <c r="J73" s="4677"/>
      <c r="K73" s="4681"/>
      <c r="L73" s="4684"/>
      <c r="M73" s="4676"/>
      <c r="N73" s="4677"/>
      <c r="O73" s="4689"/>
      <c r="P73" s="1200"/>
      <c r="Q73" s="1201"/>
      <c r="R73" s="45" t="s">
        <v>327</v>
      </c>
      <c r="S73" s="1201"/>
      <c r="T73" s="1201"/>
      <c r="U73" s="1201"/>
      <c r="V73" s="1201"/>
    </row>
    <row r="74" spans="2:22">
      <c r="B74" s="4750"/>
      <c r="C74" s="4666"/>
      <c r="D74" s="4668"/>
      <c r="E74" s="4670"/>
      <c r="F74" s="4672"/>
      <c r="G74" s="4674"/>
      <c r="H74" s="4676"/>
      <c r="I74" s="4677"/>
      <c r="J74" s="4677"/>
      <c r="K74" s="4681"/>
      <c r="L74" s="4684"/>
      <c r="M74" s="4676"/>
      <c r="N74" s="4677"/>
      <c r="O74" s="4689"/>
      <c r="P74" s="1200"/>
      <c r="Q74" s="1201"/>
      <c r="R74" s="1201"/>
      <c r="S74" s="1201"/>
      <c r="T74" s="1201"/>
      <c r="U74" s="1201"/>
      <c r="V74" s="1201"/>
    </row>
    <row r="75" spans="2:22">
      <c r="B75" s="4750"/>
      <c r="C75" s="4666"/>
      <c r="D75" s="4668"/>
      <c r="E75" s="4670"/>
      <c r="F75" s="4672"/>
      <c r="G75" s="4674"/>
      <c r="H75" s="4676"/>
      <c r="I75" s="4677"/>
      <c r="J75" s="4677"/>
      <c r="K75" s="4681"/>
      <c r="L75" s="4684"/>
      <c r="M75" s="4676"/>
      <c r="N75" s="4677"/>
      <c r="O75" s="4689"/>
      <c r="P75" s="1200"/>
      <c r="Q75" s="1201"/>
      <c r="R75" s="1201"/>
      <c r="S75" s="1201"/>
      <c r="T75" s="1201"/>
      <c r="U75" s="1201"/>
      <c r="V75" s="1201"/>
    </row>
    <row r="76" spans="2:22">
      <c r="B76" s="4750"/>
      <c r="C76" s="4666"/>
      <c r="D76" s="4668"/>
      <c r="E76" s="4670"/>
      <c r="F76" s="4672"/>
      <c r="G76" s="4674"/>
      <c r="H76" s="4676"/>
      <c r="I76" s="4677"/>
      <c r="J76" s="4677"/>
      <c r="K76" s="4681"/>
      <c r="L76" s="4684"/>
      <c r="M76" s="4676"/>
      <c r="N76" s="4677"/>
      <c r="O76" s="4689"/>
      <c r="P76" s="1200"/>
      <c r="Q76" s="1201"/>
      <c r="R76" s="1201"/>
      <c r="S76" s="1201"/>
      <c r="T76" s="1201"/>
      <c r="U76" s="1201"/>
      <c r="V76" s="1201"/>
    </row>
    <row r="77" spans="2:22">
      <c r="B77" s="4750"/>
      <c r="C77" s="4666"/>
      <c r="D77" s="4668"/>
      <c r="E77" s="4670"/>
      <c r="F77" s="4672"/>
      <c r="G77" s="4674"/>
      <c r="H77" s="4676"/>
      <c r="I77" s="4677"/>
      <c r="J77" s="4677"/>
      <c r="K77" s="4681"/>
      <c r="L77" s="4684"/>
      <c r="M77" s="4676"/>
      <c r="N77" s="4677"/>
      <c r="O77" s="4689"/>
      <c r="P77" s="1200"/>
      <c r="Q77" s="1201"/>
      <c r="R77" s="1201"/>
      <c r="S77" s="1201"/>
      <c r="T77" s="1201"/>
      <c r="U77" s="1201"/>
      <c r="V77" s="1201"/>
    </row>
    <row r="78" spans="2:22">
      <c r="B78" s="4750"/>
      <c r="C78" s="4667"/>
      <c r="D78" s="4669"/>
      <c r="E78" s="4671"/>
      <c r="F78" s="4673"/>
      <c r="G78" s="4675"/>
      <c r="H78" s="4678"/>
      <c r="I78" s="4679"/>
      <c r="J78" s="4679"/>
      <c r="K78" s="4682"/>
      <c r="L78" s="4685"/>
      <c r="M78" s="4678"/>
      <c r="N78" s="4679"/>
      <c r="O78" s="4690"/>
      <c r="P78" s="1200"/>
      <c r="Q78" s="1201"/>
      <c r="R78" s="1201"/>
      <c r="S78" s="1201"/>
      <c r="T78" s="1201"/>
      <c r="U78" s="1201"/>
      <c r="V78" s="1201"/>
    </row>
    <row r="79" spans="2:22" ht="15.75">
      <c r="B79" s="2638" t="s">
        <v>316</v>
      </c>
      <c r="C79" s="2667">
        <f t="shared" ref="C79:C84" si="10">C61</f>
        <v>100</v>
      </c>
      <c r="D79" s="2668" t="s">
        <v>336</v>
      </c>
      <c r="E79" s="2669">
        <v>5</v>
      </c>
      <c r="F79" s="2670">
        <f t="shared" ref="F79:F84" si="11">IF(C79=0,0,E79-(E79*F61%))</f>
        <v>3.5</v>
      </c>
      <c r="G79" s="2671">
        <f t="shared" ref="G79:G84" si="12">I61</f>
        <v>6</v>
      </c>
      <c r="H79" s="2672">
        <f t="shared" ref="H79:H84" si="13">IF(I61=0,0,INT(I61/F79))</f>
        <v>1</v>
      </c>
      <c r="I79" s="2673">
        <f t="shared" ref="I79:I84" si="14">I61-(F79*H79)</f>
        <v>2.5</v>
      </c>
      <c r="J79" s="2674" t="str">
        <f t="shared" ref="J79:J84" si="15">IF(I79=0,0,"Kg")</f>
        <v>Kg</v>
      </c>
      <c r="K79" s="2675">
        <v>12</v>
      </c>
      <c r="L79" s="2676">
        <f t="shared" ref="L79:L84" si="16">C61*E61</f>
        <v>120</v>
      </c>
      <c r="M79" s="2672">
        <f t="shared" ref="M79:M84" si="17">IF(K79=0,0,INT(E61*C61/K79))</f>
        <v>10</v>
      </c>
      <c r="N79" s="2673">
        <f t="shared" ref="N79:N84" si="18">(C61*E61)-(M79*K79)</f>
        <v>0</v>
      </c>
      <c r="O79" s="2677">
        <f t="shared" ref="O79:O84" si="19">IF(N79=0,0,"Pièce /Mx")</f>
        <v>0</v>
      </c>
      <c r="P79" s="1200"/>
      <c r="Q79" s="1201"/>
      <c r="R79" s="4649" t="s">
        <v>306</v>
      </c>
      <c r="S79" s="4649"/>
      <c r="T79" s="4649"/>
      <c r="U79" s="4649"/>
      <c r="V79" s="4649"/>
    </row>
    <row r="80" spans="2:22">
      <c r="B80" s="2638" t="s">
        <v>318</v>
      </c>
      <c r="C80" s="2667">
        <f t="shared" si="10"/>
        <v>100</v>
      </c>
      <c r="D80" s="2668" t="s">
        <v>336</v>
      </c>
      <c r="E80" s="2669">
        <v>1.5</v>
      </c>
      <c r="F80" s="2670">
        <f t="shared" si="11"/>
        <v>1.05</v>
      </c>
      <c r="G80" s="2671">
        <f t="shared" si="12"/>
        <v>14.000000000000002</v>
      </c>
      <c r="H80" s="2672">
        <f t="shared" si="13"/>
        <v>13</v>
      </c>
      <c r="I80" s="2673">
        <f t="shared" si="14"/>
        <v>0.35000000000000142</v>
      </c>
      <c r="J80" s="2674" t="str">
        <f t="shared" si="15"/>
        <v>Kg</v>
      </c>
      <c r="K80" s="2675">
        <v>20</v>
      </c>
      <c r="L80" s="2676">
        <f t="shared" si="16"/>
        <v>200</v>
      </c>
      <c r="M80" s="2672">
        <f t="shared" si="17"/>
        <v>10</v>
      </c>
      <c r="N80" s="2673">
        <f t="shared" si="18"/>
        <v>0</v>
      </c>
      <c r="O80" s="2677">
        <f t="shared" si="19"/>
        <v>0</v>
      </c>
      <c r="P80" s="1200"/>
      <c r="Q80" s="1201"/>
      <c r="R80" s="1201"/>
      <c r="S80" s="1201"/>
      <c r="T80" s="1201"/>
      <c r="U80" s="1201"/>
      <c r="V80" s="1201"/>
    </row>
    <row r="81" spans="2:22">
      <c r="B81" s="2648" t="s">
        <v>99</v>
      </c>
      <c r="C81" s="2667">
        <f t="shared" si="10"/>
        <v>100</v>
      </c>
      <c r="D81" s="2668" t="s">
        <v>336</v>
      </c>
      <c r="E81" s="2669">
        <v>1.5</v>
      </c>
      <c r="F81" s="2670">
        <f t="shared" si="11"/>
        <v>1.05</v>
      </c>
      <c r="G81" s="2671">
        <f t="shared" si="12"/>
        <v>27.500000000000004</v>
      </c>
      <c r="H81" s="2672">
        <f t="shared" si="13"/>
        <v>26</v>
      </c>
      <c r="I81" s="2673">
        <f t="shared" si="14"/>
        <v>0.20000000000000284</v>
      </c>
      <c r="J81" s="2674" t="str">
        <f t="shared" si="15"/>
        <v>Kg</v>
      </c>
      <c r="K81" s="2675">
        <v>20</v>
      </c>
      <c r="L81" s="2676">
        <f t="shared" si="16"/>
        <v>250</v>
      </c>
      <c r="M81" s="2672">
        <f t="shared" si="17"/>
        <v>12</v>
      </c>
      <c r="N81" s="2673">
        <f t="shared" si="18"/>
        <v>10</v>
      </c>
      <c r="O81" s="2677" t="str">
        <f t="shared" si="19"/>
        <v>Pièce /Mx</v>
      </c>
      <c r="P81" s="1200"/>
      <c r="Q81" s="1201"/>
      <c r="R81" s="2647" t="s">
        <v>317</v>
      </c>
      <c r="S81" s="1201"/>
      <c r="T81" s="1201"/>
      <c r="U81" s="1201"/>
      <c r="V81" s="1201"/>
    </row>
    <row r="82" spans="2:22">
      <c r="B82" s="2638" t="s">
        <v>319</v>
      </c>
      <c r="C82" s="2667">
        <f t="shared" si="10"/>
        <v>100</v>
      </c>
      <c r="D82" s="2668" t="s">
        <v>336</v>
      </c>
      <c r="E82" s="2669">
        <v>1.5</v>
      </c>
      <c r="F82" s="2670">
        <f t="shared" si="11"/>
        <v>1.05</v>
      </c>
      <c r="G82" s="2671">
        <f t="shared" si="12"/>
        <v>36.299999999999997</v>
      </c>
      <c r="H82" s="2672">
        <f t="shared" si="13"/>
        <v>34</v>
      </c>
      <c r="I82" s="2673">
        <f t="shared" si="14"/>
        <v>0.59999999999999432</v>
      </c>
      <c r="J82" s="2674" t="str">
        <f t="shared" si="15"/>
        <v>Kg</v>
      </c>
      <c r="K82" s="2675">
        <v>20</v>
      </c>
      <c r="L82" s="2676">
        <f t="shared" si="16"/>
        <v>300</v>
      </c>
      <c r="M82" s="2672">
        <f t="shared" si="17"/>
        <v>15</v>
      </c>
      <c r="N82" s="2673">
        <f t="shared" si="18"/>
        <v>0</v>
      </c>
      <c r="O82" s="2677">
        <f t="shared" si="19"/>
        <v>0</v>
      </c>
      <c r="P82" s="1200"/>
      <c r="Q82" s="1201"/>
      <c r="R82" s="1201"/>
      <c r="S82" s="1201"/>
      <c r="T82" s="1201"/>
      <c r="U82" s="1201"/>
      <c r="V82" s="1201"/>
    </row>
    <row r="83" spans="2:22">
      <c r="B83" s="2638" t="s">
        <v>321</v>
      </c>
      <c r="C83" s="2678">
        <f t="shared" si="10"/>
        <v>8</v>
      </c>
      <c r="D83" s="2668" t="s">
        <v>336</v>
      </c>
      <c r="E83" s="2669">
        <v>1.5</v>
      </c>
      <c r="F83" s="2670">
        <f t="shared" si="11"/>
        <v>1.05</v>
      </c>
      <c r="G83" s="2671">
        <f t="shared" si="12"/>
        <v>2</v>
      </c>
      <c r="H83" s="2672">
        <f t="shared" si="13"/>
        <v>1</v>
      </c>
      <c r="I83" s="2673">
        <f t="shared" si="14"/>
        <v>0.95</v>
      </c>
      <c r="J83" s="2674" t="str">
        <f t="shared" si="15"/>
        <v>Kg</v>
      </c>
      <c r="K83" s="2675">
        <v>20</v>
      </c>
      <c r="L83" s="2676">
        <f t="shared" si="16"/>
        <v>20</v>
      </c>
      <c r="M83" s="2672">
        <f t="shared" si="17"/>
        <v>1</v>
      </c>
      <c r="N83" s="2673">
        <f t="shared" si="18"/>
        <v>0</v>
      </c>
      <c r="O83" s="2677">
        <f t="shared" si="19"/>
        <v>0</v>
      </c>
      <c r="P83" s="1200"/>
      <c r="Q83" s="1201"/>
      <c r="R83" s="1201"/>
      <c r="S83" s="1201"/>
      <c r="T83" s="1201"/>
      <c r="U83" s="1201"/>
      <c r="V83" s="1201"/>
    </row>
    <row r="84" spans="2:22">
      <c r="B84" s="2679" t="s">
        <v>323</v>
      </c>
      <c r="C84" s="2680">
        <f t="shared" si="10"/>
        <v>4</v>
      </c>
      <c r="D84" s="2681" t="s">
        <v>336</v>
      </c>
      <c r="E84" s="2682">
        <v>1.5</v>
      </c>
      <c r="F84" s="2683">
        <f t="shared" si="11"/>
        <v>1.05</v>
      </c>
      <c r="G84" s="2684">
        <f t="shared" si="12"/>
        <v>0.56000000000000005</v>
      </c>
      <c r="H84" s="2685">
        <f t="shared" si="13"/>
        <v>0</v>
      </c>
      <c r="I84" s="2686">
        <f t="shared" si="14"/>
        <v>0.56000000000000005</v>
      </c>
      <c r="J84" s="2687" t="str">
        <f t="shared" si="15"/>
        <v>Kg</v>
      </c>
      <c r="K84" s="2688">
        <v>20</v>
      </c>
      <c r="L84" s="2689">
        <f t="shared" si="16"/>
        <v>8</v>
      </c>
      <c r="M84" s="2685">
        <f t="shared" si="17"/>
        <v>0</v>
      </c>
      <c r="N84" s="2686">
        <f t="shared" si="18"/>
        <v>8</v>
      </c>
      <c r="O84" s="2690" t="str">
        <f t="shared" si="19"/>
        <v>Pièce /Mx</v>
      </c>
      <c r="P84" s="1200"/>
      <c r="Q84" s="1201"/>
      <c r="R84" s="1201"/>
      <c r="S84" s="1201"/>
      <c r="T84" s="1201"/>
      <c r="U84" s="1201"/>
      <c r="V84" s="1201"/>
    </row>
    <row r="85" spans="2:22">
      <c r="B85" s="4745" t="s">
        <v>337</v>
      </c>
      <c r="C85" s="4746"/>
      <c r="D85" s="4746"/>
      <c r="E85" s="4746"/>
      <c r="F85" s="4746"/>
      <c r="G85" s="4746"/>
      <c r="H85" s="4746"/>
      <c r="I85" s="4746"/>
      <c r="J85" s="4746"/>
      <c r="K85" s="4746"/>
      <c r="L85" s="4746"/>
      <c r="M85" s="4746"/>
      <c r="N85" s="4746"/>
      <c r="O85" s="4747"/>
      <c r="P85" s="1200"/>
      <c r="Q85" s="1201"/>
      <c r="R85" s="1201"/>
      <c r="S85" s="1201"/>
      <c r="T85" s="1201"/>
      <c r="U85" s="1201"/>
      <c r="V85" s="1201"/>
    </row>
    <row r="86" spans="2:22">
      <c r="B86" s="4651" t="s">
        <v>325</v>
      </c>
      <c r="C86" s="4653">
        <f>SUM(C79:C84)</f>
        <v>412</v>
      </c>
      <c r="D86" s="2659"/>
      <c r="E86" s="2659"/>
      <c r="F86" s="4748">
        <f>SUM(G79:G84)</f>
        <v>86.36</v>
      </c>
      <c r="G86" s="4749" t="str">
        <f>+J79</f>
        <v>Kg</v>
      </c>
      <c r="H86" s="4639">
        <f>SUM(H79:H84)</f>
        <v>75</v>
      </c>
      <c r="I86" s="4641">
        <f>SUM(I79:I84)</f>
        <v>5.1599999999999984</v>
      </c>
      <c r="J86" s="4724" t="str">
        <f>IF(I86=0,0,"Kg")</f>
        <v>Kg</v>
      </c>
      <c r="K86" s="2659"/>
      <c r="L86" s="4653">
        <f>SUM(L79:L84)</f>
        <v>898</v>
      </c>
      <c r="M86" s="4639">
        <f>SUM(M79:M84)</f>
        <v>48</v>
      </c>
      <c r="N86" s="4641">
        <f>SUM(N79:N84)</f>
        <v>18</v>
      </c>
      <c r="O86" s="4736" t="str">
        <f>IF(N86=0,0,"Pièce /Mx")</f>
        <v>Pièce /Mx</v>
      </c>
      <c r="P86" s="1200"/>
      <c r="Q86" s="1201"/>
      <c r="R86" s="1201"/>
      <c r="S86" s="1201"/>
      <c r="T86" s="1201"/>
      <c r="U86" s="1201"/>
      <c r="V86" s="1201"/>
    </row>
    <row r="87" spans="2:22">
      <c r="B87" s="4651"/>
      <c r="C87" s="4653"/>
      <c r="D87" s="2659"/>
      <c r="E87" s="2659"/>
      <c r="F87" s="4748"/>
      <c r="G87" s="4749"/>
      <c r="H87" s="4639"/>
      <c r="I87" s="4641"/>
      <c r="J87" s="4724"/>
      <c r="K87" s="2659"/>
      <c r="L87" s="4653"/>
      <c r="M87" s="4639"/>
      <c r="N87" s="4641"/>
      <c r="O87" s="4736"/>
      <c r="P87" s="1200"/>
      <c r="Q87" s="1201"/>
      <c r="R87" s="1201"/>
      <c r="S87" s="1201"/>
      <c r="T87" s="1201"/>
      <c r="U87" s="1201"/>
      <c r="V87" s="1201"/>
    </row>
    <row r="88" spans="2:22">
      <c r="B88" s="2691"/>
      <c r="C88" s="2692"/>
      <c r="D88" s="2692"/>
      <c r="E88" s="2692"/>
      <c r="F88" s="2692"/>
      <c r="G88" s="2692"/>
      <c r="H88" s="2692"/>
      <c r="I88" s="2692"/>
      <c r="J88" s="2692"/>
      <c r="K88" s="2692"/>
      <c r="L88" s="2692"/>
      <c r="M88" s="2692"/>
      <c r="N88" s="2692"/>
      <c r="O88" s="2693"/>
      <c r="P88" s="1200"/>
      <c r="Q88" s="1201"/>
      <c r="R88" s="1201"/>
      <c r="S88" s="1201"/>
      <c r="T88" s="1201"/>
      <c r="U88" s="1201"/>
      <c r="V88" s="1201"/>
    </row>
    <row r="89" spans="2:22">
      <c r="B89" s="4737" t="s">
        <v>338</v>
      </c>
      <c r="C89" s="4738"/>
      <c r="D89" s="4738"/>
      <c r="E89" s="4738"/>
      <c r="F89" s="2694"/>
      <c r="G89" s="4741" t="s">
        <v>339</v>
      </c>
      <c r="H89" s="4741"/>
      <c r="I89" s="4743">
        <v>0.15</v>
      </c>
      <c r="J89" s="4743"/>
      <c r="K89" s="2695"/>
      <c r="L89" s="2695"/>
      <c r="M89" s="2695"/>
      <c r="N89" s="2695"/>
      <c r="O89" s="2696"/>
      <c r="P89" s="1200"/>
      <c r="Q89" s="1201"/>
      <c r="R89" s="1201"/>
      <c r="S89" s="1201"/>
      <c r="T89" s="1201"/>
      <c r="U89" s="1201"/>
      <c r="V89" s="1201"/>
    </row>
    <row r="90" spans="2:22">
      <c r="B90" s="4739"/>
      <c r="C90" s="4740"/>
      <c r="D90" s="4740"/>
      <c r="E90" s="4740"/>
      <c r="F90" s="2697"/>
      <c r="G90" s="4742"/>
      <c r="H90" s="4742"/>
      <c r="I90" s="4744"/>
      <c r="J90" s="4744"/>
      <c r="K90" s="2698"/>
      <c r="L90" s="2698"/>
      <c r="M90" s="2698"/>
      <c r="N90" s="2698"/>
      <c r="O90" s="2699"/>
      <c r="P90" s="1200"/>
      <c r="Q90" s="1201"/>
      <c r="R90" s="1201"/>
      <c r="S90" s="1201"/>
      <c r="T90" s="1201"/>
      <c r="U90" s="1201"/>
      <c r="V90" s="1201"/>
    </row>
    <row r="91" spans="2:22">
      <c r="B91" s="4713" t="s">
        <v>308</v>
      </c>
      <c r="C91" s="4715" t="s">
        <v>292</v>
      </c>
      <c r="D91" s="4717" t="s">
        <v>309</v>
      </c>
      <c r="E91" s="4721" t="s">
        <v>311</v>
      </c>
      <c r="F91" s="4694" t="s">
        <v>312</v>
      </c>
      <c r="G91" s="4694"/>
      <c r="H91" s="4694" t="s">
        <v>340</v>
      </c>
      <c r="I91" s="4694" t="s">
        <v>341</v>
      </c>
      <c r="J91" s="4694"/>
      <c r="K91" s="4694" t="s">
        <v>314</v>
      </c>
      <c r="L91" s="4696"/>
      <c r="M91" s="2700" t="s">
        <v>315</v>
      </c>
      <c r="N91" s="2633"/>
      <c r="O91" s="2634"/>
      <c r="P91" s="1200"/>
      <c r="Q91" s="1201"/>
      <c r="R91" s="1201"/>
      <c r="S91" s="1201"/>
      <c r="T91" s="1201"/>
      <c r="U91" s="1201"/>
      <c r="V91" s="1201"/>
    </row>
    <row r="92" spans="2:22" ht="15.75">
      <c r="B92" s="4714"/>
      <c r="C92" s="4716"/>
      <c r="D92" s="4735"/>
      <c r="E92" s="4722"/>
      <c r="F92" s="4695"/>
      <c r="G92" s="4695"/>
      <c r="H92" s="4695"/>
      <c r="I92" s="4695"/>
      <c r="J92" s="4695"/>
      <c r="K92" s="4697"/>
      <c r="L92" s="4698"/>
      <c r="M92" s="4699"/>
      <c r="N92" s="4700"/>
      <c r="O92" s="4701"/>
      <c r="P92" s="1200"/>
      <c r="Q92" s="1201"/>
      <c r="R92" s="4649" t="s">
        <v>306</v>
      </c>
      <c r="S92" s="4649"/>
      <c r="T92" s="4649"/>
      <c r="U92" s="4649"/>
      <c r="V92" s="4649"/>
    </row>
    <row r="93" spans="2:22">
      <c r="B93" s="2638" t="s">
        <v>316</v>
      </c>
      <c r="C93" s="2701">
        <f t="shared" ref="C93:C98" si="20">C61</f>
        <v>100</v>
      </c>
      <c r="D93" s="2702">
        <v>0.03</v>
      </c>
      <c r="E93" s="2642">
        <v>2</v>
      </c>
      <c r="F93" s="2643">
        <f t="shared" ref="F93:F98" si="21">IF(C93=0,0,(D93/(100-E93)*100))</f>
        <v>3.0612244897959183E-2</v>
      </c>
      <c r="G93" s="2644" t="s">
        <v>122</v>
      </c>
      <c r="H93" s="2703">
        <f>I89/D93</f>
        <v>5</v>
      </c>
      <c r="I93" s="2704">
        <f t="shared" ref="I93:I98" si="22">D93*C93</f>
        <v>3</v>
      </c>
      <c r="J93" s="2644" t="s">
        <v>122</v>
      </c>
      <c r="K93" s="2705">
        <f t="shared" ref="K93:K98" si="23">F93*C93</f>
        <v>3.0612244897959182</v>
      </c>
      <c r="L93" s="2644" t="s">
        <v>122</v>
      </c>
      <c r="M93" s="4699"/>
      <c r="N93" s="4700"/>
      <c r="O93" s="4701"/>
      <c r="P93" s="1200"/>
      <c r="Q93" s="1201"/>
      <c r="R93" s="1201"/>
      <c r="S93" s="1201"/>
      <c r="T93" s="1201"/>
      <c r="U93" s="1201"/>
      <c r="V93" s="1201"/>
    </row>
    <row r="94" spans="2:22">
      <c r="B94" s="2638" t="s">
        <v>318</v>
      </c>
      <c r="C94" s="2701">
        <f t="shared" si="20"/>
        <v>100</v>
      </c>
      <c r="D94" s="2702">
        <v>0.04</v>
      </c>
      <c r="E94" s="2642">
        <v>2</v>
      </c>
      <c r="F94" s="2643">
        <f t="shared" si="21"/>
        <v>4.0816326530612249E-2</v>
      </c>
      <c r="G94" s="2644" t="s">
        <v>122</v>
      </c>
      <c r="H94" s="2703">
        <f>I89/D94</f>
        <v>3.75</v>
      </c>
      <c r="I94" s="2704">
        <f t="shared" si="22"/>
        <v>4</v>
      </c>
      <c r="J94" s="2644" t="s">
        <v>122</v>
      </c>
      <c r="K94" s="2705">
        <f t="shared" si="23"/>
        <v>4.0816326530612246</v>
      </c>
      <c r="L94" s="2644" t="s">
        <v>122</v>
      </c>
      <c r="M94" s="4699"/>
      <c r="N94" s="4700"/>
      <c r="O94" s="4701"/>
      <c r="P94" s="1200"/>
      <c r="Q94" s="1201"/>
      <c r="R94" s="1201"/>
      <c r="S94" s="1201"/>
      <c r="T94" s="1201"/>
      <c r="U94" s="1201"/>
      <c r="V94" s="1201"/>
    </row>
    <row r="95" spans="2:22">
      <c r="B95" s="2648" t="s">
        <v>99</v>
      </c>
      <c r="C95" s="2701">
        <f t="shared" si="20"/>
        <v>100</v>
      </c>
      <c r="D95" s="2702">
        <v>0.06</v>
      </c>
      <c r="E95" s="2642">
        <v>2</v>
      </c>
      <c r="F95" s="2643">
        <f t="shared" si="21"/>
        <v>6.1224489795918366E-2</v>
      </c>
      <c r="G95" s="2644" t="s">
        <v>122</v>
      </c>
      <c r="H95" s="2703">
        <f>I89/D95</f>
        <v>2.5</v>
      </c>
      <c r="I95" s="2704">
        <f t="shared" si="22"/>
        <v>6</v>
      </c>
      <c r="J95" s="2644" t="s">
        <v>122</v>
      </c>
      <c r="K95" s="2705">
        <f t="shared" si="23"/>
        <v>6.1224489795918364</v>
      </c>
      <c r="L95" s="2644" t="s">
        <v>122</v>
      </c>
      <c r="M95" s="4699"/>
      <c r="N95" s="4700"/>
      <c r="O95" s="4701"/>
      <c r="P95" s="1200"/>
      <c r="Q95" s="1201"/>
      <c r="R95" s="1201"/>
      <c r="S95" s="1201"/>
      <c r="T95" s="1201"/>
      <c r="U95" s="1201"/>
      <c r="V95" s="1201"/>
    </row>
    <row r="96" spans="2:22">
      <c r="B96" s="2638" t="s">
        <v>319</v>
      </c>
      <c r="C96" s="2701">
        <f t="shared" si="20"/>
        <v>100</v>
      </c>
      <c r="D96" s="2702">
        <v>7.0000000000000007E-2</v>
      </c>
      <c r="E96" s="2642">
        <v>2</v>
      </c>
      <c r="F96" s="2643">
        <f t="shared" si="21"/>
        <v>7.1428571428571438E-2</v>
      </c>
      <c r="G96" s="2644" t="s">
        <v>122</v>
      </c>
      <c r="H96" s="2703">
        <f>I89/D96</f>
        <v>2.1428571428571428</v>
      </c>
      <c r="I96" s="2704">
        <f t="shared" si="22"/>
        <v>7.0000000000000009</v>
      </c>
      <c r="J96" s="2644" t="s">
        <v>122</v>
      </c>
      <c r="K96" s="2705">
        <f t="shared" si="23"/>
        <v>7.1428571428571441</v>
      </c>
      <c r="L96" s="2644" t="s">
        <v>122</v>
      </c>
      <c r="M96" s="4699"/>
      <c r="N96" s="4700"/>
      <c r="O96" s="4701"/>
      <c r="P96" s="1200"/>
      <c r="Q96" s="1201"/>
      <c r="R96" s="2647" t="s">
        <v>317</v>
      </c>
      <c r="S96" s="1201"/>
      <c r="T96" s="1201"/>
      <c r="U96" s="1201"/>
      <c r="V96" s="1201"/>
    </row>
    <row r="97" spans="2:22">
      <c r="B97" s="2638" t="s">
        <v>321</v>
      </c>
      <c r="C97" s="2701">
        <f t="shared" si="20"/>
        <v>8</v>
      </c>
      <c r="D97" s="2702">
        <v>0.06</v>
      </c>
      <c r="E97" s="2642">
        <v>2</v>
      </c>
      <c r="F97" s="2643">
        <f t="shared" si="21"/>
        <v>6.1224489795918366E-2</v>
      </c>
      <c r="G97" s="2644" t="s">
        <v>122</v>
      </c>
      <c r="H97" s="2703">
        <f>I89/D97</f>
        <v>2.5</v>
      </c>
      <c r="I97" s="2704">
        <f t="shared" si="22"/>
        <v>0.48</v>
      </c>
      <c r="J97" s="2644" t="s">
        <v>122</v>
      </c>
      <c r="K97" s="2705">
        <f t="shared" si="23"/>
        <v>0.48979591836734693</v>
      </c>
      <c r="L97" s="2644" t="s">
        <v>122</v>
      </c>
      <c r="M97" s="4699"/>
      <c r="N97" s="4700"/>
      <c r="O97" s="4701"/>
      <c r="P97" s="1200"/>
      <c r="Q97" s="1201"/>
      <c r="R97" s="1201"/>
      <c r="S97" s="1201"/>
      <c r="T97" s="1201"/>
      <c r="U97" s="1201"/>
      <c r="V97" s="1201"/>
    </row>
    <row r="98" spans="2:22">
      <c r="B98" s="2679" t="s">
        <v>323</v>
      </c>
      <c r="C98" s="2706">
        <f t="shared" si="20"/>
        <v>4</v>
      </c>
      <c r="D98" s="2707">
        <v>0.05</v>
      </c>
      <c r="E98" s="2708">
        <v>2</v>
      </c>
      <c r="F98" s="2709">
        <f t="shared" si="21"/>
        <v>5.1020408163265307E-2</v>
      </c>
      <c r="G98" s="2710" t="s">
        <v>122</v>
      </c>
      <c r="H98" s="2711">
        <f>I89/D98</f>
        <v>2.9999999999999996</v>
      </c>
      <c r="I98" s="2712">
        <f t="shared" si="22"/>
        <v>0.2</v>
      </c>
      <c r="J98" s="2710" t="s">
        <v>122</v>
      </c>
      <c r="K98" s="2713">
        <f t="shared" si="23"/>
        <v>0.20408163265306123</v>
      </c>
      <c r="L98" s="2710" t="s">
        <v>122</v>
      </c>
      <c r="M98" s="4726"/>
      <c r="N98" s="4727"/>
      <c r="O98" s="4728"/>
      <c r="P98" s="1200"/>
      <c r="Q98" s="1201"/>
      <c r="R98" s="1201"/>
      <c r="S98" s="1201"/>
      <c r="T98" s="1201"/>
      <c r="U98" s="1201"/>
      <c r="V98" s="1201"/>
    </row>
    <row r="99" spans="2:22" ht="21">
      <c r="B99" s="2714" t="s">
        <v>325</v>
      </c>
      <c r="C99" s="2715">
        <f>SUM(C93:C98)</f>
        <v>412</v>
      </c>
      <c r="D99" s="2716"/>
      <c r="E99" s="2716"/>
      <c r="F99" s="2717"/>
      <c r="G99" s="2717"/>
      <c r="H99" s="2717"/>
      <c r="I99" s="2718">
        <f>SUM(I93:I98)</f>
        <v>20.68</v>
      </c>
      <c r="J99" s="2718" t="s">
        <v>122</v>
      </c>
      <c r="K99" s="2719">
        <f>SUM(K93:K98)</f>
        <v>21.102040816326529</v>
      </c>
      <c r="L99" s="2719" t="s">
        <v>122</v>
      </c>
      <c r="M99" s="2720"/>
      <c r="N99" s="2720"/>
      <c r="O99" s="2721"/>
      <c r="P99" s="1200"/>
      <c r="Q99" s="1201"/>
      <c r="R99" s="1201"/>
      <c r="S99" s="1201"/>
      <c r="T99" s="1201"/>
      <c r="U99" s="1201"/>
      <c r="V99" s="1201"/>
    </row>
    <row r="100" spans="2:22">
      <c r="B100" s="4658" t="s">
        <v>342</v>
      </c>
      <c r="C100" s="4659"/>
      <c r="D100" s="4659"/>
      <c r="E100" s="4659"/>
      <c r="F100" s="4659"/>
      <c r="G100" s="4659"/>
      <c r="H100" s="4659"/>
      <c r="I100" s="4659"/>
      <c r="J100" s="4659"/>
      <c r="K100" s="4659"/>
      <c r="L100" s="4659"/>
      <c r="M100" s="4659"/>
      <c r="N100" s="4659"/>
      <c r="O100" s="4660"/>
      <c r="P100" s="1200"/>
      <c r="Q100" s="1201"/>
      <c r="R100" s="1201"/>
      <c r="S100" s="1201"/>
      <c r="T100" s="1201"/>
      <c r="U100" s="1201"/>
      <c r="V100" s="1201"/>
    </row>
    <row r="101" spans="2:22">
      <c r="B101" s="4661"/>
      <c r="C101" s="4662"/>
      <c r="D101" s="4662"/>
      <c r="E101" s="4662"/>
      <c r="F101" s="4662"/>
      <c r="G101" s="4662"/>
      <c r="H101" s="4662"/>
      <c r="I101" s="4662"/>
      <c r="J101" s="4662"/>
      <c r="K101" s="4662"/>
      <c r="L101" s="4662"/>
      <c r="M101" s="4662"/>
      <c r="N101" s="4662"/>
      <c r="O101" s="4663"/>
      <c r="P101" s="1200"/>
      <c r="Q101" s="1201"/>
      <c r="R101" s="1201"/>
      <c r="S101" s="1201"/>
      <c r="T101" s="1201"/>
      <c r="U101" s="1201"/>
      <c r="V101" s="1201"/>
    </row>
    <row r="102" spans="2:22" ht="15.75">
      <c r="B102" s="4729" t="s">
        <v>327</v>
      </c>
      <c r="C102" s="4731" t="s">
        <v>292</v>
      </c>
      <c r="D102" s="4732" t="s">
        <v>328</v>
      </c>
      <c r="E102" s="4733" t="s">
        <v>343</v>
      </c>
      <c r="F102" s="4734" t="s">
        <v>330</v>
      </c>
      <c r="G102" s="4725" t="s">
        <v>331</v>
      </c>
      <c r="H102" s="4686" t="s">
        <v>332</v>
      </c>
      <c r="I102" s="4687"/>
      <c r="J102" s="4687"/>
      <c r="K102" s="4680" t="s">
        <v>344</v>
      </c>
      <c r="L102" s="4683" t="s">
        <v>345</v>
      </c>
      <c r="M102" s="4686" t="s">
        <v>346</v>
      </c>
      <c r="N102" s="4687"/>
      <c r="O102" s="4688"/>
      <c r="P102" s="1200"/>
      <c r="Q102" s="1201"/>
      <c r="R102" s="45" t="s">
        <v>327</v>
      </c>
      <c r="S102" s="1201"/>
      <c r="T102" s="1201"/>
      <c r="U102" s="1201"/>
      <c r="V102" s="1201"/>
    </row>
    <row r="103" spans="2:22">
      <c r="B103" s="4664"/>
      <c r="C103" s="4666"/>
      <c r="D103" s="4668"/>
      <c r="E103" s="4670"/>
      <c r="F103" s="4672"/>
      <c r="G103" s="4674"/>
      <c r="H103" s="4676"/>
      <c r="I103" s="4677"/>
      <c r="J103" s="4677"/>
      <c r="K103" s="4681"/>
      <c r="L103" s="4684"/>
      <c r="M103" s="4676"/>
      <c r="N103" s="4677"/>
      <c r="O103" s="4689"/>
      <c r="P103" s="1200"/>
      <c r="Q103" s="1201"/>
      <c r="R103" s="1201"/>
      <c r="S103" s="1201"/>
      <c r="T103" s="1201"/>
      <c r="U103" s="1201"/>
      <c r="V103" s="1201"/>
    </row>
    <row r="104" spans="2:22">
      <c r="B104" s="4664"/>
      <c r="C104" s="4666"/>
      <c r="D104" s="4668"/>
      <c r="E104" s="4670"/>
      <c r="F104" s="4672"/>
      <c r="G104" s="4674"/>
      <c r="H104" s="4676"/>
      <c r="I104" s="4677"/>
      <c r="J104" s="4677"/>
      <c r="K104" s="4681"/>
      <c r="L104" s="4684"/>
      <c r="M104" s="4676"/>
      <c r="N104" s="4677"/>
      <c r="O104" s="4689"/>
      <c r="P104" s="1200"/>
      <c r="Q104" s="1201"/>
      <c r="R104" s="1201"/>
      <c r="S104" s="1201"/>
      <c r="T104" s="1201"/>
      <c r="U104" s="1201"/>
      <c r="V104" s="1201"/>
    </row>
    <row r="105" spans="2:22">
      <c r="B105" s="4730"/>
      <c r="C105" s="4667"/>
      <c r="D105" s="4669"/>
      <c r="E105" s="4671"/>
      <c r="F105" s="4673"/>
      <c r="G105" s="4675"/>
      <c r="H105" s="4678"/>
      <c r="I105" s="4679"/>
      <c r="J105" s="4679"/>
      <c r="K105" s="4682"/>
      <c r="L105" s="4685"/>
      <c r="M105" s="4678"/>
      <c r="N105" s="4679"/>
      <c r="O105" s="4690"/>
      <c r="P105" s="1200"/>
      <c r="Q105" s="1201"/>
      <c r="R105" s="1201"/>
      <c r="S105" s="1201"/>
      <c r="T105" s="1201"/>
      <c r="U105" s="1201"/>
      <c r="V105" s="1201"/>
    </row>
    <row r="106" spans="2:22" ht="15.75">
      <c r="B106" s="2638" t="s">
        <v>316</v>
      </c>
      <c r="C106" s="2701">
        <f t="shared" ref="C106:C111" si="24">C93</f>
        <v>100</v>
      </c>
      <c r="D106" s="2668" t="s">
        <v>336</v>
      </c>
      <c r="E106" s="2669">
        <v>2.5</v>
      </c>
      <c r="F106" s="2670">
        <f t="shared" ref="F106:F111" si="25">IF(C106=0,0,E106-(E106*E93%))</f>
        <v>2.4500000000000002</v>
      </c>
      <c r="G106" s="2722">
        <f t="shared" ref="G106:G111" si="26">I93</f>
        <v>3</v>
      </c>
      <c r="H106" s="2672">
        <f t="shared" ref="H106:H111" si="27">IF(I93=0,0,INT(I93/F106))</f>
        <v>1</v>
      </c>
      <c r="I106" s="2673">
        <f t="shared" ref="I106:I111" si="28">I93-(F106*H106)</f>
        <v>0.54999999999999982</v>
      </c>
      <c r="J106" s="2674" t="str">
        <f t="shared" ref="J106:J112" si="29">IF(I106=0,0,"Kg")</f>
        <v>Kg</v>
      </c>
      <c r="K106" s="2675">
        <v>12</v>
      </c>
      <c r="L106" s="2723">
        <f t="shared" ref="L106:L111" si="30">C93/H93</f>
        <v>20</v>
      </c>
      <c r="M106" s="2672">
        <f t="shared" ref="M106:M111" si="31">IF(C93=0,0,INT(L106/K106))</f>
        <v>1</v>
      </c>
      <c r="N106" s="2673">
        <f t="shared" ref="N106:N111" si="32">(C93/H93)-(M106*K106)</f>
        <v>8</v>
      </c>
      <c r="O106" s="2677" t="str">
        <f t="shared" ref="O106:O112" si="33">IF(N106=0,0,"Louches")</f>
        <v>Louches</v>
      </c>
      <c r="P106" s="1200"/>
      <c r="Q106" s="1201"/>
      <c r="R106" s="4649" t="s">
        <v>306</v>
      </c>
      <c r="S106" s="4649"/>
      <c r="T106" s="4649"/>
      <c r="U106" s="4649"/>
      <c r="V106" s="4649"/>
    </row>
    <row r="107" spans="2:22">
      <c r="B107" s="2638" t="s">
        <v>318</v>
      </c>
      <c r="C107" s="2701">
        <f t="shared" si="24"/>
        <v>100</v>
      </c>
      <c r="D107" s="2668" t="s">
        <v>336</v>
      </c>
      <c r="E107" s="2669">
        <v>2.5</v>
      </c>
      <c r="F107" s="2670">
        <f t="shared" si="25"/>
        <v>2.4500000000000002</v>
      </c>
      <c r="G107" s="2722">
        <f t="shared" si="26"/>
        <v>4</v>
      </c>
      <c r="H107" s="2672">
        <f t="shared" si="27"/>
        <v>1</v>
      </c>
      <c r="I107" s="2673">
        <f t="shared" si="28"/>
        <v>1.5499999999999998</v>
      </c>
      <c r="J107" s="2674" t="str">
        <f t="shared" si="29"/>
        <v>Kg</v>
      </c>
      <c r="K107" s="2675">
        <v>20</v>
      </c>
      <c r="L107" s="2723">
        <f t="shared" si="30"/>
        <v>26.666666666666668</v>
      </c>
      <c r="M107" s="2672">
        <f t="shared" si="31"/>
        <v>1</v>
      </c>
      <c r="N107" s="2673">
        <f t="shared" si="32"/>
        <v>6.6666666666666679</v>
      </c>
      <c r="O107" s="2677" t="str">
        <f t="shared" si="33"/>
        <v>Louches</v>
      </c>
      <c r="P107" s="1200"/>
      <c r="Q107" s="1201"/>
      <c r="R107" s="1201"/>
      <c r="S107" s="1201"/>
      <c r="T107" s="1201"/>
      <c r="U107" s="1201"/>
      <c r="V107" s="1201"/>
    </row>
    <row r="108" spans="2:22">
      <c r="B108" s="2648" t="s">
        <v>99</v>
      </c>
      <c r="C108" s="2701">
        <f t="shared" si="24"/>
        <v>100</v>
      </c>
      <c r="D108" s="2668" t="s">
        <v>336</v>
      </c>
      <c r="E108" s="2669">
        <v>2.5</v>
      </c>
      <c r="F108" s="2670">
        <f t="shared" si="25"/>
        <v>2.4500000000000002</v>
      </c>
      <c r="G108" s="2722">
        <f t="shared" si="26"/>
        <v>6</v>
      </c>
      <c r="H108" s="2672">
        <f t="shared" si="27"/>
        <v>2</v>
      </c>
      <c r="I108" s="2673">
        <f t="shared" si="28"/>
        <v>1.0999999999999996</v>
      </c>
      <c r="J108" s="2674" t="str">
        <f t="shared" si="29"/>
        <v>Kg</v>
      </c>
      <c r="K108" s="2675">
        <v>13</v>
      </c>
      <c r="L108" s="2723">
        <f t="shared" si="30"/>
        <v>40</v>
      </c>
      <c r="M108" s="2672">
        <f t="shared" si="31"/>
        <v>3</v>
      </c>
      <c r="N108" s="2673">
        <f t="shared" si="32"/>
        <v>1</v>
      </c>
      <c r="O108" s="2677" t="str">
        <f t="shared" si="33"/>
        <v>Louches</v>
      </c>
      <c r="P108" s="1200"/>
      <c r="Q108" s="1201"/>
      <c r="R108" s="1201"/>
      <c r="S108" s="1201"/>
      <c r="T108" s="1201"/>
      <c r="U108" s="1201"/>
      <c r="V108" s="1201"/>
    </row>
    <row r="109" spans="2:22">
      <c r="B109" s="2638" t="s">
        <v>319</v>
      </c>
      <c r="C109" s="2701">
        <f t="shared" si="24"/>
        <v>100</v>
      </c>
      <c r="D109" s="2668" t="s">
        <v>336</v>
      </c>
      <c r="E109" s="2669">
        <v>2.5</v>
      </c>
      <c r="F109" s="2670">
        <f t="shared" si="25"/>
        <v>2.4500000000000002</v>
      </c>
      <c r="G109" s="2722">
        <f t="shared" si="26"/>
        <v>7.0000000000000009</v>
      </c>
      <c r="H109" s="2672">
        <f t="shared" si="27"/>
        <v>2</v>
      </c>
      <c r="I109" s="2673">
        <f t="shared" si="28"/>
        <v>2.1000000000000005</v>
      </c>
      <c r="J109" s="2674" t="str">
        <f t="shared" si="29"/>
        <v>Kg</v>
      </c>
      <c r="K109" s="2675">
        <v>20</v>
      </c>
      <c r="L109" s="2723">
        <f t="shared" si="30"/>
        <v>46.666666666666671</v>
      </c>
      <c r="M109" s="2672">
        <f t="shared" si="31"/>
        <v>2</v>
      </c>
      <c r="N109" s="2673">
        <f t="shared" si="32"/>
        <v>6.6666666666666714</v>
      </c>
      <c r="O109" s="2677" t="str">
        <f t="shared" si="33"/>
        <v>Louches</v>
      </c>
      <c r="P109" s="1200"/>
      <c r="Q109" s="1201"/>
      <c r="R109" s="2647" t="s">
        <v>317</v>
      </c>
      <c r="S109" s="1201"/>
      <c r="T109" s="1201"/>
      <c r="U109" s="1201"/>
      <c r="V109" s="1201"/>
    </row>
    <row r="110" spans="2:22">
      <c r="B110" s="2638" t="s">
        <v>321</v>
      </c>
      <c r="C110" s="2701">
        <f t="shared" si="24"/>
        <v>8</v>
      </c>
      <c r="D110" s="2668" t="s">
        <v>336</v>
      </c>
      <c r="E110" s="2669">
        <v>2.5</v>
      </c>
      <c r="F110" s="2670">
        <f t="shared" si="25"/>
        <v>2.4500000000000002</v>
      </c>
      <c r="G110" s="2722">
        <f t="shared" si="26"/>
        <v>0.48</v>
      </c>
      <c r="H110" s="2672">
        <f t="shared" si="27"/>
        <v>0</v>
      </c>
      <c r="I110" s="2673">
        <f t="shared" si="28"/>
        <v>0.48</v>
      </c>
      <c r="J110" s="2674" t="str">
        <f t="shared" si="29"/>
        <v>Kg</v>
      </c>
      <c r="K110" s="2675">
        <v>7.5</v>
      </c>
      <c r="L110" s="2723">
        <f t="shared" si="30"/>
        <v>3.2</v>
      </c>
      <c r="M110" s="2672">
        <f t="shared" si="31"/>
        <v>0</v>
      </c>
      <c r="N110" s="2673">
        <f t="shared" si="32"/>
        <v>3.2</v>
      </c>
      <c r="O110" s="2677" t="str">
        <f t="shared" si="33"/>
        <v>Louches</v>
      </c>
      <c r="P110" s="1200"/>
      <c r="Q110" s="1201"/>
      <c r="R110" s="1201"/>
      <c r="S110" s="1201"/>
      <c r="T110" s="1201"/>
      <c r="U110" s="1201"/>
      <c r="V110" s="1201"/>
    </row>
    <row r="111" spans="2:22">
      <c r="B111" s="2638" t="s">
        <v>323</v>
      </c>
      <c r="C111" s="2701">
        <f t="shared" si="24"/>
        <v>4</v>
      </c>
      <c r="D111" s="2668" t="s">
        <v>336</v>
      </c>
      <c r="E111" s="2669">
        <v>2.5</v>
      </c>
      <c r="F111" s="2670">
        <f t="shared" si="25"/>
        <v>2.4500000000000002</v>
      </c>
      <c r="G111" s="2722">
        <f t="shared" si="26"/>
        <v>0.2</v>
      </c>
      <c r="H111" s="2672">
        <f t="shared" si="27"/>
        <v>0</v>
      </c>
      <c r="I111" s="2673">
        <f t="shared" si="28"/>
        <v>0.2</v>
      </c>
      <c r="J111" s="2674" t="str">
        <f t="shared" si="29"/>
        <v>Kg</v>
      </c>
      <c r="K111" s="2675">
        <v>10</v>
      </c>
      <c r="L111" s="2723">
        <f t="shared" si="30"/>
        <v>1.3333333333333335</v>
      </c>
      <c r="M111" s="2672">
        <f t="shared" si="31"/>
        <v>0</v>
      </c>
      <c r="N111" s="2673">
        <f t="shared" si="32"/>
        <v>1.3333333333333335</v>
      </c>
      <c r="O111" s="2677" t="str">
        <f t="shared" si="33"/>
        <v>Louches</v>
      </c>
      <c r="P111" s="1200"/>
      <c r="Q111" s="1201"/>
      <c r="R111" s="1201"/>
      <c r="S111" s="1201"/>
      <c r="T111" s="1201"/>
      <c r="U111" s="1201"/>
      <c r="V111" s="1201"/>
    </row>
    <row r="112" spans="2:22">
      <c r="B112" s="4650" t="s">
        <v>325</v>
      </c>
      <c r="C112" s="4652">
        <f>SUM(C106:C111)</f>
        <v>412</v>
      </c>
      <c r="D112" s="2724"/>
      <c r="E112" s="2724"/>
      <c r="F112" s="2724"/>
      <c r="G112" s="4636">
        <f>SUM(G106:G111)</f>
        <v>20.68</v>
      </c>
      <c r="H112" s="4638">
        <f>SUM(H106:H111)</f>
        <v>6</v>
      </c>
      <c r="I112" s="4640">
        <f>SUM(I106:I111)</f>
        <v>5.9799999999999995</v>
      </c>
      <c r="J112" s="4723" t="str">
        <f t="shared" si="29"/>
        <v>Kg</v>
      </c>
      <c r="K112" s="2724"/>
      <c r="L112" s="4636">
        <f>SUM(L106:L111)</f>
        <v>137.86666666666667</v>
      </c>
      <c r="M112" s="4638">
        <f>SUM(M106:M111)</f>
        <v>7</v>
      </c>
      <c r="N112" s="4640">
        <f>SUM(N106:N111)</f>
        <v>26.866666666666671</v>
      </c>
      <c r="O112" s="4705" t="str">
        <f t="shared" si="33"/>
        <v>Louches</v>
      </c>
      <c r="P112" s="1200"/>
      <c r="Q112" s="1201"/>
      <c r="R112" s="1201"/>
      <c r="S112" s="1201"/>
      <c r="T112" s="1201"/>
      <c r="U112" s="1201"/>
      <c r="V112" s="1201"/>
    </row>
    <row r="113" spans="2:22">
      <c r="B113" s="4651"/>
      <c r="C113" s="4653"/>
      <c r="D113" s="2659"/>
      <c r="E113" s="2659"/>
      <c r="F113" s="2659"/>
      <c r="G113" s="4637"/>
      <c r="H113" s="4639"/>
      <c r="I113" s="4641"/>
      <c r="J113" s="4724"/>
      <c r="K113" s="2659"/>
      <c r="L113" s="4637"/>
      <c r="M113" s="4639"/>
      <c r="N113" s="4641"/>
      <c r="O113" s="4706"/>
      <c r="P113" s="1200"/>
      <c r="Q113" s="1201"/>
      <c r="R113" s="1201"/>
      <c r="S113" s="1201"/>
      <c r="T113" s="1201"/>
      <c r="U113" s="1201"/>
      <c r="V113" s="1201"/>
    </row>
    <row r="114" spans="2:22">
      <c r="B114" s="4707" t="s">
        <v>347</v>
      </c>
      <c r="C114" s="4708"/>
      <c r="D114" s="4708"/>
      <c r="E114" s="4708"/>
      <c r="F114" s="4708"/>
      <c r="G114" s="4708"/>
      <c r="H114" s="4708"/>
      <c r="I114" s="4708"/>
      <c r="J114" s="4708"/>
      <c r="K114" s="4708"/>
      <c r="L114" s="4708"/>
      <c r="M114" s="4708"/>
      <c r="N114" s="4708"/>
      <c r="O114" s="4709"/>
      <c r="P114" s="1200"/>
      <c r="Q114" s="1201"/>
      <c r="R114" s="1201"/>
      <c r="S114" s="1201"/>
      <c r="T114" s="1201"/>
      <c r="U114" s="1201"/>
      <c r="V114" s="1201"/>
    </row>
    <row r="115" spans="2:22">
      <c r="B115" s="4710"/>
      <c r="C115" s="4711"/>
      <c r="D115" s="4711"/>
      <c r="E115" s="4711"/>
      <c r="F115" s="4711"/>
      <c r="G115" s="4711"/>
      <c r="H115" s="4711"/>
      <c r="I115" s="4711"/>
      <c r="J115" s="4711"/>
      <c r="K115" s="4711"/>
      <c r="L115" s="4711"/>
      <c r="M115" s="4711"/>
      <c r="N115" s="4711"/>
      <c r="O115" s="4712"/>
      <c r="P115" s="1200"/>
      <c r="Q115" s="1201"/>
      <c r="R115" s="1201"/>
      <c r="S115" s="1201"/>
      <c r="T115" s="1201"/>
      <c r="U115" s="1201"/>
      <c r="V115" s="1201"/>
    </row>
    <row r="116" spans="2:22">
      <c r="B116" s="4713" t="s">
        <v>308</v>
      </c>
      <c r="C116" s="4715" t="s">
        <v>292</v>
      </c>
      <c r="D116" s="4717" t="s">
        <v>309</v>
      </c>
      <c r="E116" s="4719" t="s">
        <v>348</v>
      </c>
      <c r="F116" s="4721" t="s">
        <v>311</v>
      </c>
      <c r="G116" s="4694" t="s">
        <v>312</v>
      </c>
      <c r="H116" s="4694"/>
      <c r="I116" s="4694" t="s">
        <v>341</v>
      </c>
      <c r="J116" s="4694"/>
      <c r="K116" s="4694" t="s">
        <v>314</v>
      </c>
      <c r="L116" s="4696"/>
      <c r="M116" s="2700" t="s">
        <v>315</v>
      </c>
      <c r="N116" s="2633"/>
      <c r="O116" s="2634"/>
      <c r="P116" s="1200"/>
      <c r="Q116" s="1201"/>
      <c r="R116" s="1201"/>
      <c r="S116" s="1201"/>
      <c r="T116" s="1201"/>
      <c r="U116" s="1201"/>
      <c r="V116" s="1201"/>
    </row>
    <row r="117" spans="2:22">
      <c r="B117" s="4714"/>
      <c r="C117" s="4716"/>
      <c r="D117" s="4718"/>
      <c r="E117" s="4720"/>
      <c r="F117" s="4722"/>
      <c r="G117" s="4695"/>
      <c r="H117" s="4695"/>
      <c r="I117" s="4695"/>
      <c r="J117" s="4695"/>
      <c r="K117" s="4697"/>
      <c r="L117" s="4698"/>
      <c r="M117" s="4699"/>
      <c r="N117" s="4700"/>
      <c r="O117" s="4701"/>
      <c r="P117" s="1200"/>
      <c r="Q117" s="1201"/>
      <c r="R117" s="1201"/>
      <c r="S117" s="1201"/>
      <c r="T117" s="1201"/>
      <c r="U117" s="1201"/>
      <c r="V117" s="1201"/>
    </row>
    <row r="118" spans="2:22" ht="15.75">
      <c r="B118" s="2638" t="s">
        <v>316</v>
      </c>
      <c r="C118" s="2701">
        <f t="shared" ref="C118:C123" si="34">C61</f>
        <v>100</v>
      </c>
      <c r="D118" s="2702">
        <v>0.04</v>
      </c>
      <c r="E118" s="2669">
        <v>1</v>
      </c>
      <c r="F118" s="2642">
        <v>5</v>
      </c>
      <c r="G118" s="4691">
        <f t="shared" ref="G118:G123" si="35">IF(C118=0,0,(D118*E118)/(100-F118)*100)</f>
        <v>4.2105263157894736E-2</v>
      </c>
      <c r="H118" s="4692"/>
      <c r="I118" s="4693">
        <f t="shared" ref="I118:I123" si="36">(D118*E118)*C118</f>
        <v>4</v>
      </c>
      <c r="J118" s="4693"/>
      <c r="K118" s="2725">
        <f t="shared" ref="K118:K123" si="37">G118*C118</f>
        <v>4.2105263157894735</v>
      </c>
      <c r="L118" s="2726"/>
      <c r="M118" s="4699"/>
      <c r="N118" s="4700"/>
      <c r="O118" s="4701"/>
      <c r="P118" s="1200"/>
      <c r="Q118" s="1201"/>
      <c r="R118" s="4649" t="s">
        <v>306</v>
      </c>
      <c r="S118" s="4649"/>
      <c r="T118" s="4649"/>
      <c r="U118" s="4649"/>
      <c r="V118" s="4649"/>
    </row>
    <row r="119" spans="2:22">
      <c r="B119" s="2638" t="s">
        <v>318</v>
      </c>
      <c r="C119" s="2701">
        <f t="shared" si="34"/>
        <v>100</v>
      </c>
      <c r="D119" s="2702">
        <v>0.04</v>
      </c>
      <c r="E119" s="2669">
        <v>1</v>
      </c>
      <c r="F119" s="2642">
        <v>5</v>
      </c>
      <c r="G119" s="4691">
        <f t="shared" si="35"/>
        <v>4.2105263157894736E-2</v>
      </c>
      <c r="H119" s="4692"/>
      <c r="I119" s="4693">
        <f t="shared" si="36"/>
        <v>4</v>
      </c>
      <c r="J119" s="4693"/>
      <c r="K119" s="2725">
        <f t="shared" si="37"/>
        <v>4.2105263157894735</v>
      </c>
      <c r="L119" s="2726"/>
      <c r="M119" s="4699"/>
      <c r="N119" s="4700"/>
      <c r="O119" s="4701"/>
      <c r="P119" s="1200"/>
      <c r="Q119" s="1201"/>
      <c r="R119" s="1201"/>
      <c r="S119" s="1201"/>
      <c r="T119" s="1201"/>
      <c r="U119" s="1201"/>
      <c r="V119" s="1201"/>
    </row>
    <row r="120" spans="2:22">
      <c r="B120" s="2648" t="s">
        <v>99</v>
      </c>
      <c r="C120" s="2701">
        <f t="shared" si="34"/>
        <v>100</v>
      </c>
      <c r="D120" s="2702">
        <v>0.1</v>
      </c>
      <c r="E120" s="2669">
        <v>1</v>
      </c>
      <c r="F120" s="2642">
        <v>5</v>
      </c>
      <c r="G120" s="4691">
        <f t="shared" si="35"/>
        <v>0.10526315789473684</v>
      </c>
      <c r="H120" s="4692"/>
      <c r="I120" s="4693">
        <f t="shared" si="36"/>
        <v>10</v>
      </c>
      <c r="J120" s="4693"/>
      <c r="K120" s="2725">
        <f t="shared" si="37"/>
        <v>10.526315789473683</v>
      </c>
      <c r="L120" s="2726"/>
      <c r="M120" s="4699"/>
      <c r="N120" s="4700"/>
      <c r="O120" s="4701"/>
      <c r="P120" s="1200"/>
      <c r="Q120" s="1201"/>
      <c r="R120" s="1201"/>
      <c r="S120" s="1201"/>
      <c r="T120" s="1201"/>
      <c r="U120" s="1201"/>
      <c r="V120" s="1201"/>
    </row>
    <row r="121" spans="2:22">
      <c r="B121" s="2638" t="s">
        <v>319</v>
      </c>
      <c r="C121" s="2701">
        <f t="shared" si="34"/>
        <v>100</v>
      </c>
      <c r="D121" s="2702">
        <v>0.09</v>
      </c>
      <c r="E121" s="2669">
        <v>1</v>
      </c>
      <c r="F121" s="2642">
        <v>5</v>
      </c>
      <c r="G121" s="4691">
        <f t="shared" si="35"/>
        <v>9.4736842105263147E-2</v>
      </c>
      <c r="H121" s="4692"/>
      <c r="I121" s="4693">
        <f t="shared" si="36"/>
        <v>9</v>
      </c>
      <c r="J121" s="4693"/>
      <c r="K121" s="2725">
        <f t="shared" si="37"/>
        <v>9.473684210526315</v>
      </c>
      <c r="L121" s="2726"/>
      <c r="M121" s="4699"/>
      <c r="N121" s="4700"/>
      <c r="O121" s="4701"/>
      <c r="P121" s="1200"/>
      <c r="Q121" s="1201"/>
      <c r="R121" s="2647" t="s">
        <v>317</v>
      </c>
      <c r="S121" s="1201"/>
      <c r="T121" s="1201"/>
      <c r="U121" s="1201"/>
      <c r="V121" s="1201"/>
    </row>
    <row r="122" spans="2:22">
      <c r="B122" s="2638" t="s">
        <v>321</v>
      </c>
      <c r="C122" s="2701">
        <f t="shared" si="34"/>
        <v>8</v>
      </c>
      <c r="D122" s="2702">
        <v>0.1</v>
      </c>
      <c r="E122" s="2669">
        <v>1</v>
      </c>
      <c r="F122" s="2642">
        <v>5</v>
      </c>
      <c r="G122" s="4691">
        <f t="shared" si="35"/>
        <v>0.10526315789473684</v>
      </c>
      <c r="H122" s="4692"/>
      <c r="I122" s="4693">
        <f t="shared" si="36"/>
        <v>0.8</v>
      </c>
      <c r="J122" s="4693"/>
      <c r="K122" s="2725">
        <f t="shared" si="37"/>
        <v>0.84210526315789469</v>
      </c>
      <c r="L122" s="2726"/>
      <c r="M122" s="4699"/>
      <c r="N122" s="4700"/>
      <c r="O122" s="4701"/>
      <c r="P122" s="1200"/>
      <c r="Q122" s="1201"/>
      <c r="R122" s="1201"/>
      <c r="S122" s="1201"/>
      <c r="T122" s="1201"/>
      <c r="U122" s="1201"/>
      <c r="V122" s="1201"/>
    </row>
    <row r="123" spans="2:22">
      <c r="B123" s="2638" t="s">
        <v>323</v>
      </c>
      <c r="C123" s="2701">
        <f t="shared" si="34"/>
        <v>4</v>
      </c>
      <c r="D123" s="2702">
        <v>7.0000000000000007E-2</v>
      </c>
      <c r="E123" s="2669">
        <v>1</v>
      </c>
      <c r="F123" s="2642">
        <v>5</v>
      </c>
      <c r="G123" s="4691">
        <f t="shared" si="35"/>
        <v>7.3684210526315796E-2</v>
      </c>
      <c r="H123" s="4692"/>
      <c r="I123" s="4693">
        <f t="shared" si="36"/>
        <v>0.28000000000000003</v>
      </c>
      <c r="J123" s="4693"/>
      <c r="K123" s="2725">
        <f t="shared" si="37"/>
        <v>0.29473684210526319</v>
      </c>
      <c r="L123" s="2726"/>
      <c r="M123" s="4699"/>
      <c r="N123" s="4700"/>
      <c r="O123" s="4701"/>
      <c r="P123" s="1200"/>
      <c r="Q123" s="1201"/>
      <c r="R123" s="1201"/>
      <c r="S123" s="1201"/>
      <c r="T123" s="1201"/>
      <c r="U123" s="1201"/>
      <c r="V123" s="1201"/>
    </row>
    <row r="124" spans="2:22" ht="21">
      <c r="B124" s="2727" t="s">
        <v>325</v>
      </c>
      <c r="C124" s="2728">
        <f>SUM(C118:C123)</f>
        <v>412</v>
      </c>
      <c r="D124" s="2729"/>
      <c r="E124" s="2729"/>
      <c r="F124" s="2724"/>
      <c r="G124" s="2724"/>
      <c r="H124" s="2724"/>
      <c r="I124" s="4702">
        <f>SUM(I118:I123)</f>
        <v>28.080000000000002</v>
      </c>
      <c r="J124" s="4702"/>
      <c r="K124" s="4703">
        <f>SUM(K118:K123)</f>
        <v>29.557894736842101</v>
      </c>
      <c r="L124" s="4704"/>
      <c r="M124" s="4699"/>
      <c r="N124" s="4700"/>
      <c r="O124" s="4701"/>
      <c r="P124" s="1200"/>
      <c r="Q124" s="1201"/>
      <c r="R124" s="1201"/>
      <c r="S124" s="1201"/>
      <c r="T124" s="1201"/>
      <c r="U124" s="1201"/>
      <c r="V124" s="1201"/>
    </row>
    <row r="125" spans="2:22">
      <c r="B125" s="4658" t="s">
        <v>349</v>
      </c>
      <c r="C125" s="4659"/>
      <c r="D125" s="4659"/>
      <c r="E125" s="4659"/>
      <c r="F125" s="4659"/>
      <c r="G125" s="4659"/>
      <c r="H125" s="4659"/>
      <c r="I125" s="4659"/>
      <c r="J125" s="4659"/>
      <c r="K125" s="4659"/>
      <c r="L125" s="4659"/>
      <c r="M125" s="4659"/>
      <c r="N125" s="4659"/>
      <c r="O125" s="4660"/>
      <c r="P125" s="1200"/>
      <c r="Q125" s="1201"/>
      <c r="R125" s="1201"/>
      <c r="S125" s="1201"/>
      <c r="T125" s="1201"/>
      <c r="U125" s="1201"/>
      <c r="V125" s="1201"/>
    </row>
    <row r="126" spans="2:22">
      <c r="B126" s="4661"/>
      <c r="C126" s="4662"/>
      <c r="D126" s="4662"/>
      <c r="E126" s="4662"/>
      <c r="F126" s="4662"/>
      <c r="G126" s="4662"/>
      <c r="H126" s="4662"/>
      <c r="I126" s="4662"/>
      <c r="J126" s="4662"/>
      <c r="K126" s="4662"/>
      <c r="L126" s="4662"/>
      <c r="M126" s="4662"/>
      <c r="N126" s="4662"/>
      <c r="O126" s="4663"/>
      <c r="P126" s="1200"/>
      <c r="Q126" s="1201"/>
      <c r="R126" s="1201"/>
      <c r="S126" s="1201"/>
      <c r="T126" s="1201"/>
      <c r="U126" s="1201"/>
      <c r="V126" s="1201"/>
    </row>
    <row r="127" spans="2:22" ht="15.75">
      <c r="B127" s="4664" t="s">
        <v>327</v>
      </c>
      <c r="C127" s="4665" t="s">
        <v>292</v>
      </c>
      <c r="D127" s="4668" t="s">
        <v>328</v>
      </c>
      <c r="E127" s="4670" t="s">
        <v>343</v>
      </c>
      <c r="F127" s="4672" t="s">
        <v>330</v>
      </c>
      <c r="G127" s="4674" t="s">
        <v>331</v>
      </c>
      <c r="H127" s="4676" t="s">
        <v>332</v>
      </c>
      <c r="I127" s="4677"/>
      <c r="J127" s="4677"/>
      <c r="K127" s="4680" t="s">
        <v>350</v>
      </c>
      <c r="L127" s="4683" t="s">
        <v>345</v>
      </c>
      <c r="M127" s="4686" t="s">
        <v>351</v>
      </c>
      <c r="N127" s="4687"/>
      <c r="O127" s="4688"/>
      <c r="P127" s="1200"/>
      <c r="Q127" s="1201"/>
      <c r="R127" s="45" t="s">
        <v>327</v>
      </c>
      <c r="S127" s="1201"/>
      <c r="T127" s="1201"/>
      <c r="U127" s="1201"/>
      <c r="V127" s="1201"/>
    </row>
    <row r="128" spans="2:22">
      <c r="B128" s="4664"/>
      <c r="C128" s="4666"/>
      <c r="D128" s="4668"/>
      <c r="E128" s="4670"/>
      <c r="F128" s="4672"/>
      <c r="G128" s="4674"/>
      <c r="H128" s="4676"/>
      <c r="I128" s="4677"/>
      <c r="J128" s="4677"/>
      <c r="K128" s="4681"/>
      <c r="L128" s="4684"/>
      <c r="M128" s="4676"/>
      <c r="N128" s="4677"/>
      <c r="O128" s="4689"/>
      <c r="P128" s="1200"/>
      <c r="Q128" s="1201"/>
      <c r="R128" s="1201"/>
      <c r="S128" s="1201"/>
      <c r="T128" s="1201"/>
      <c r="U128" s="1201"/>
      <c r="V128" s="1201"/>
    </row>
    <row r="129" spans="2:22">
      <c r="B129" s="4664"/>
      <c r="C129" s="4666"/>
      <c r="D129" s="4668"/>
      <c r="E129" s="4670"/>
      <c r="F129" s="4672"/>
      <c r="G129" s="4674"/>
      <c r="H129" s="4676"/>
      <c r="I129" s="4677"/>
      <c r="J129" s="4677"/>
      <c r="K129" s="4681"/>
      <c r="L129" s="4684"/>
      <c r="M129" s="4676"/>
      <c r="N129" s="4677"/>
      <c r="O129" s="4689"/>
      <c r="P129" s="1200"/>
      <c r="Q129" s="1201"/>
      <c r="R129" s="1201"/>
      <c r="S129" s="1201"/>
      <c r="T129" s="1201"/>
      <c r="U129" s="1201"/>
      <c r="V129" s="1201"/>
    </row>
    <row r="130" spans="2:22">
      <c r="B130" s="4664"/>
      <c r="C130" s="4667"/>
      <c r="D130" s="4669"/>
      <c r="E130" s="4671"/>
      <c r="F130" s="4673"/>
      <c r="G130" s="4675"/>
      <c r="H130" s="4678"/>
      <c r="I130" s="4679"/>
      <c r="J130" s="4679"/>
      <c r="K130" s="4682"/>
      <c r="L130" s="4685"/>
      <c r="M130" s="4678"/>
      <c r="N130" s="4679"/>
      <c r="O130" s="4690"/>
      <c r="P130" s="1200"/>
      <c r="Q130" s="1201"/>
      <c r="R130" s="1201"/>
      <c r="S130" s="1201"/>
      <c r="T130" s="1201"/>
      <c r="U130" s="1201"/>
      <c r="V130" s="1201"/>
    </row>
    <row r="131" spans="2:22">
      <c r="B131" s="2638" t="s">
        <v>316</v>
      </c>
      <c r="C131" s="2701">
        <f t="shared" ref="C131:C136" si="38">C118</f>
        <v>100</v>
      </c>
      <c r="D131" s="2668" t="s">
        <v>336</v>
      </c>
      <c r="E131" s="2669">
        <v>5</v>
      </c>
      <c r="F131" s="2670">
        <f t="shared" ref="F131:F136" si="39">IF(C131=0,0,E131-(E131*F118%))</f>
        <v>4.75</v>
      </c>
      <c r="G131" s="2730">
        <f t="shared" ref="G131:G136" si="40">I118</f>
        <v>4</v>
      </c>
      <c r="H131" s="2672">
        <f t="shared" ref="H131:H136" si="41">IF(I118=0,0,INT(I118/F131))</f>
        <v>0</v>
      </c>
      <c r="I131" s="2673">
        <f t="shared" ref="I131:I136" si="42">I118-(F131*H131)</f>
        <v>4</v>
      </c>
      <c r="J131" s="2674" t="s">
        <v>166</v>
      </c>
      <c r="K131" s="2675">
        <v>12</v>
      </c>
      <c r="L131" s="2676">
        <f t="shared" ref="L131:L136" si="43">C118*E118</f>
        <v>100</v>
      </c>
      <c r="M131" s="2731">
        <f t="shared" ref="M131:M136" si="44">IF(K131=0,0,INT(E118*C118/K131))</f>
        <v>8</v>
      </c>
      <c r="N131" s="2673">
        <f t="shared" ref="N131:N136" si="45">(C118*E118)-(M131*K131)</f>
        <v>4</v>
      </c>
      <c r="O131" s="2732" t="str">
        <f t="shared" ref="O131:O137" si="46">IF(N131=0,0,"Louches/Mx")</f>
        <v>Louches/Mx</v>
      </c>
      <c r="P131" s="1200"/>
      <c r="Q131" s="1201"/>
      <c r="R131" s="1201"/>
      <c r="S131" s="1201"/>
      <c r="T131" s="1201"/>
      <c r="U131" s="1201"/>
      <c r="V131" s="1201"/>
    </row>
    <row r="132" spans="2:22" ht="15.75">
      <c r="B132" s="2638" t="s">
        <v>318</v>
      </c>
      <c r="C132" s="2701">
        <f t="shared" si="38"/>
        <v>100</v>
      </c>
      <c r="D132" s="2668" t="s">
        <v>336</v>
      </c>
      <c r="E132" s="2669">
        <v>1.5</v>
      </c>
      <c r="F132" s="2670">
        <f t="shared" si="39"/>
        <v>1.425</v>
      </c>
      <c r="G132" s="2730">
        <f t="shared" si="40"/>
        <v>4</v>
      </c>
      <c r="H132" s="2672">
        <f t="shared" si="41"/>
        <v>2</v>
      </c>
      <c r="I132" s="2673">
        <f t="shared" si="42"/>
        <v>1.1499999999999999</v>
      </c>
      <c r="J132" s="2674" t="s">
        <v>166</v>
      </c>
      <c r="K132" s="2675">
        <v>20</v>
      </c>
      <c r="L132" s="2676">
        <f t="shared" si="43"/>
        <v>100</v>
      </c>
      <c r="M132" s="2731">
        <f t="shared" si="44"/>
        <v>5</v>
      </c>
      <c r="N132" s="2673">
        <f t="shared" si="45"/>
        <v>0</v>
      </c>
      <c r="O132" s="2732">
        <f t="shared" si="46"/>
        <v>0</v>
      </c>
      <c r="P132" s="1200"/>
      <c r="Q132" s="1201"/>
      <c r="R132" s="4649" t="s">
        <v>306</v>
      </c>
      <c r="S132" s="4649"/>
      <c r="T132" s="4649"/>
      <c r="U132" s="4649"/>
      <c r="V132" s="4649"/>
    </row>
    <row r="133" spans="2:22">
      <c r="B133" s="2648" t="s">
        <v>99</v>
      </c>
      <c r="C133" s="2701">
        <f t="shared" si="38"/>
        <v>100</v>
      </c>
      <c r="D133" s="2668" t="s">
        <v>336</v>
      </c>
      <c r="E133" s="2669">
        <v>1.5</v>
      </c>
      <c r="F133" s="2670">
        <f t="shared" si="39"/>
        <v>1.425</v>
      </c>
      <c r="G133" s="2730">
        <f t="shared" si="40"/>
        <v>10</v>
      </c>
      <c r="H133" s="2672">
        <f t="shared" si="41"/>
        <v>7</v>
      </c>
      <c r="I133" s="2673">
        <f t="shared" si="42"/>
        <v>2.5000000000000355E-2</v>
      </c>
      <c r="J133" s="2674" t="s">
        <v>166</v>
      </c>
      <c r="K133" s="2675">
        <v>20</v>
      </c>
      <c r="L133" s="2676">
        <f t="shared" si="43"/>
        <v>100</v>
      </c>
      <c r="M133" s="2731">
        <f t="shared" si="44"/>
        <v>5</v>
      </c>
      <c r="N133" s="2673">
        <f t="shared" si="45"/>
        <v>0</v>
      </c>
      <c r="O133" s="2732">
        <f t="shared" si="46"/>
        <v>0</v>
      </c>
      <c r="P133" s="1200"/>
      <c r="Q133" s="1201"/>
      <c r="R133" s="1201"/>
      <c r="S133" s="1201"/>
      <c r="T133" s="1201"/>
      <c r="U133" s="1201"/>
      <c r="V133" s="1201"/>
    </row>
    <row r="134" spans="2:22">
      <c r="B134" s="2638" t="s">
        <v>319</v>
      </c>
      <c r="C134" s="2701">
        <f t="shared" si="38"/>
        <v>100</v>
      </c>
      <c r="D134" s="2668" t="s">
        <v>336</v>
      </c>
      <c r="E134" s="2669">
        <v>1.5</v>
      </c>
      <c r="F134" s="2670">
        <f t="shared" si="39"/>
        <v>1.425</v>
      </c>
      <c r="G134" s="2730">
        <f t="shared" si="40"/>
        <v>9</v>
      </c>
      <c r="H134" s="2672">
        <f t="shared" si="41"/>
        <v>6</v>
      </c>
      <c r="I134" s="2673">
        <f t="shared" si="42"/>
        <v>0.44999999999999929</v>
      </c>
      <c r="J134" s="2674" t="s">
        <v>166</v>
      </c>
      <c r="K134" s="2675">
        <v>20</v>
      </c>
      <c r="L134" s="2676">
        <f t="shared" si="43"/>
        <v>100</v>
      </c>
      <c r="M134" s="2731">
        <f t="shared" si="44"/>
        <v>5</v>
      </c>
      <c r="N134" s="2673">
        <f t="shared" si="45"/>
        <v>0</v>
      </c>
      <c r="O134" s="2732">
        <f t="shared" si="46"/>
        <v>0</v>
      </c>
      <c r="P134" s="1200"/>
      <c r="Q134" s="1201"/>
      <c r="R134" s="2647" t="s">
        <v>317</v>
      </c>
      <c r="S134" s="1201"/>
      <c r="T134" s="1201"/>
      <c r="U134" s="1201"/>
      <c r="V134" s="1201"/>
    </row>
    <row r="135" spans="2:22">
      <c r="B135" s="2638" t="s">
        <v>321</v>
      </c>
      <c r="C135" s="2701">
        <f t="shared" si="38"/>
        <v>8</v>
      </c>
      <c r="D135" s="2668" t="s">
        <v>336</v>
      </c>
      <c r="E135" s="2669">
        <v>1.5</v>
      </c>
      <c r="F135" s="2670">
        <f t="shared" si="39"/>
        <v>1.425</v>
      </c>
      <c r="G135" s="2730">
        <f t="shared" si="40"/>
        <v>0.8</v>
      </c>
      <c r="H135" s="2672">
        <f t="shared" si="41"/>
        <v>0</v>
      </c>
      <c r="I135" s="2673">
        <f t="shared" si="42"/>
        <v>0.8</v>
      </c>
      <c r="J135" s="2674" t="s">
        <v>166</v>
      </c>
      <c r="K135" s="2675">
        <v>20</v>
      </c>
      <c r="L135" s="2676">
        <f t="shared" si="43"/>
        <v>8</v>
      </c>
      <c r="M135" s="2731">
        <f t="shared" si="44"/>
        <v>0</v>
      </c>
      <c r="N135" s="2673">
        <f t="shared" si="45"/>
        <v>8</v>
      </c>
      <c r="O135" s="2732" t="str">
        <f t="shared" si="46"/>
        <v>Louches/Mx</v>
      </c>
      <c r="P135" s="1200"/>
      <c r="Q135" s="1201"/>
      <c r="R135" s="1201"/>
      <c r="S135" s="1201"/>
      <c r="T135" s="1201"/>
      <c r="U135" s="1201"/>
      <c r="V135" s="1201"/>
    </row>
    <row r="136" spans="2:22">
      <c r="B136" s="2638" t="s">
        <v>323</v>
      </c>
      <c r="C136" s="2701">
        <f t="shared" si="38"/>
        <v>4</v>
      </c>
      <c r="D136" s="2681" t="s">
        <v>336</v>
      </c>
      <c r="E136" s="2682">
        <v>1.5</v>
      </c>
      <c r="F136" s="2683">
        <f t="shared" si="39"/>
        <v>1.425</v>
      </c>
      <c r="G136" s="2733">
        <f t="shared" si="40"/>
        <v>0.28000000000000003</v>
      </c>
      <c r="H136" s="2685">
        <f t="shared" si="41"/>
        <v>0</v>
      </c>
      <c r="I136" s="2686">
        <f t="shared" si="42"/>
        <v>0.28000000000000003</v>
      </c>
      <c r="J136" s="2687" t="s">
        <v>166</v>
      </c>
      <c r="K136" s="2688">
        <v>20</v>
      </c>
      <c r="L136" s="2689">
        <f t="shared" si="43"/>
        <v>4</v>
      </c>
      <c r="M136" s="2734">
        <f t="shared" si="44"/>
        <v>0</v>
      </c>
      <c r="N136" s="2686">
        <f t="shared" si="45"/>
        <v>4</v>
      </c>
      <c r="O136" s="2735" t="str">
        <f t="shared" si="46"/>
        <v>Louches/Mx</v>
      </c>
      <c r="P136" s="1200"/>
      <c r="Q136" s="1201"/>
      <c r="R136" s="1201"/>
      <c r="S136" s="1201"/>
      <c r="T136" s="1201"/>
      <c r="U136" s="1201"/>
      <c r="V136" s="1201"/>
    </row>
    <row r="137" spans="2:22">
      <c r="B137" s="4650" t="s">
        <v>325</v>
      </c>
      <c r="C137" s="4652">
        <f>SUM(C131:C136)</f>
        <v>412</v>
      </c>
      <c r="D137" s="2724"/>
      <c r="E137" s="2724"/>
      <c r="F137" s="2724"/>
      <c r="G137" s="4636">
        <f>SUM(G131:G136)</f>
        <v>28.080000000000002</v>
      </c>
      <c r="H137" s="4638">
        <f>SUM(H131:H136)</f>
        <v>15</v>
      </c>
      <c r="I137" s="4640">
        <f>SUM(I131:I136)</f>
        <v>6.7050000000000001</v>
      </c>
      <c r="J137" s="4654" t="s">
        <v>166</v>
      </c>
      <c r="K137" s="2724"/>
      <c r="L137" s="4636">
        <f>SUM(L131:L136)</f>
        <v>412</v>
      </c>
      <c r="M137" s="4638">
        <f>SUM(M131:M136)</f>
        <v>23</v>
      </c>
      <c r="N137" s="4640">
        <f>SUM(N131:N136)</f>
        <v>16</v>
      </c>
      <c r="O137" s="4642" t="str">
        <f t="shared" si="46"/>
        <v>Louches/Mx</v>
      </c>
      <c r="P137" s="1200"/>
      <c r="Q137" s="1201"/>
      <c r="R137" s="1201"/>
      <c r="S137" s="1201"/>
      <c r="T137" s="1201"/>
      <c r="U137" s="1201"/>
      <c r="V137" s="1201"/>
    </row>
    <row r="138" spans="2:22">
      <c r="B138" s="4651"/>
      <c r="C138" s="4653"/>
      <c r="D138" s="2659"/>
      <c r="E138" s="2659"/>
      <c r="F138" s="2659"/>
      <c r="G138" s="4637"/>
      <c r="H138" s="4639"/>
      <c r="I138" s="4641"/>
      <c r="J138" s="4655"/>
      <c r="K138" s="2659"/>
      <c r="L138" s="4637"/>
      <c r="M138" s="4639"/>
      <c r="N138" s="4641"/>
      <c r="O138" s="4643"/>
      <c r="P138" s="1200"/>
      <c r="Q138" s="1201"/>
      <c r="R138" s="1201"/>
      <c r="S138" s="1201"/>
      <c r="T138" s="1201"/>
      <c r="U138" s="1201"/>
      <c r="V138" s="1201"/>
    </row>
    <row r="139" spans="2:22">
      <c r="B139" s="2736"/>
      <c r="C139" s="2737"/>
      <c r="D139" s="2738"/>
      <c r="E139" s="2738"/>
      <c r="F139" s="2738"/>
      <c r="G139" s="2739"/>
      <c r="H139" s="2740"/>
      <c r="I139" s="2741"/>
      <c r="J139" s="2742"/>
      <c r="K139" s="2738"/>
      <c r="L139" s="2739"/>
      <c r="M139" s="2740"/>
      <c r="N139" s="2741"/>
      <c r="O139" s="2743"/>
      <c r="P139" s="1200"/>
      <c r="Q139" s="1201"/>
      <c r="R139" s="1201"/>
      <c r="S139" s="1201"/>
      <c r="T139" s="1201"/>
      <c r="U139" s="1201"/>
      <c r="V139" s="1201"/>
    </row>
    <row r="140" spans="2:22">
      <c r="B140" s="46" t="s">
        <v>352</v>
      </c>
      <c r="C140" s="47"/>
      <c r="D140" s="48"/>
      <c r="E140" s="47"/>
      <c r="F140" s="49" t="s">
        <v>353</v>
      </c>
      <c r="G140" s="48"/>
      <c r="H140" s="50"/>
      <c r="I140" s="48"/>
      <c r="J140" s="48"/>
      <c r="K140" s="48"/>
      <c r="L140" s="48"/>
      <c r="M140" s="47" t="s">
        <v>259</v>
      </c>
      <c r="N140" s="48"/>
      <c r="O140" s="51"/>
      <c r="P140" s="1200"/>
      <c r="Q140" s="1201"/>
      <c r="R140" s="1201"/>
      <c r="S140" s="1201"/>
      <c r="T140" s="1201"/>
      <c r="U140" s="1201"/>
      <c r="V140" s="1201"/>
    </row>
    <row r="141" spans="2:22">
      <c r="B141" s="46" t="s">
        <v>354</v>
      </c>
      <c r="C141" s="47"/>
      <c r="D141" s="48"/>
      <c r="E141" s="48"/>
      <c r="F141" s="47" t="s">
        <v>355</v>
      </c>
      <c r="G141" s="48"/>
      <c r="H141" s="50"/>
      <c r="I141" s="48"/>
      <c r="J141" s="48"/>
      <c r="K141" s="48"/>
      <c r="L141" s="47" t="s">
        <v>356</v>
      </c>
      <c r="M141" s="48"/>
      <c r="N141" s="48"/>
      <c r="O141" s="51"/>
      <c r="P141" s="1200"/>
      <c r="Q141" s="1201"/>
      <c r="R141" s="1201"/>
      <c r="S141" s="1201"/>
      <c r="T141" s="1201"/>
      <c r="U141" s="1201"/>
      <c r="V141" s="1201"/>
    </row>
    <row r="142" spans="2:22" ht="15.75">
      <c r="B142" s="4644" t="s">
        <v>306</v>
      </c>
      <c r="C142" s="4645"/>
      <c r="D142" s="4645"/>
      <c r="E142" s="4645"/>
      <c r="F142" s="4645"/>
      <c r="G142" s="4645"/>
      <c r="H142" s="4645"/>
      <c r="I142" s="4645"/>
      <c r="J142" s="4645"/>
      <c r="K142" s="4645"/>
      <c r="L142" s="4645"/>
      <c r="M142" s="4645"/>
      <c r="N142" s="4645"/>
      <c r="O142" s="4646"/>
      <c r="P142" s="1200"/>
      <c r="Q142" s="1201"/>
      <c r="R142" s="1201"/>
      <c r="S142" s="1201"/>
      <c r="T142" s="1201"/>
      <c r="U142" s="1201"/>
      <c r="V142" s="1201"/>
    </row>
    <row r="143" spans="2:22" ht="15.75" thickBot="1">
      <c r="B143" s="2744" t="str">
        <f>SUBSTITUTE(ADDRESS(1,COLUMN(),4),"1","")</f>
        <v>B</v>
      </c>
      <c r="C143" s="2745" t="str">
        <f t="shared" ref="C143:O143" si="47">SUBSTITUTE(ADDRESS(1,COLUMN(),4),"1","")</f>
        <v>C</v>
      </c>
      <c r="D143" s="2745" t="str">
        <f t="shared" si="47"/>
        <v>D</v>
      </c>
      <c r="E143" s="2745" t="str">
        <f t="shared" si="47"/>
        <v>E</v>
      </c>
      <c r="F143" s="2745" t="str">
        <f t="shared" si="47"/>
        <v>F</v>
      </c>
      <c r="G143" s="2745" t="str">
        <f t="shared" si="47"/>
        <v>G</v>
      </c>
      <c r="H143" s="2745" t="str">
        <f t="shared" si="47"/>
        <v>H</v>
      </c>
      <c r="I143" s="2745" t="str">
        <f t="shared" si="47"/>
        <v>I</v>
      </c>
      <c r="J143" s="2745" t="str">
        <f t="shared" si="47"/>
        <v>J</v>
      </c>
      <c r="K143" s="2746" t="str">
        <f t="shared" si="47"/>
        <v>K</v>
      </c>
      <c r="L143" s="2746" t="str">
        <f t="shared" si="47"/>
        <v>L</v>
      </c>
      <c r="M143" s="2745" t="str">
        <f t="shared" si="47"/>
        <v>M</v>
      </c>
      <c r="N143" s="2745" t="str">
        <f t="shared" si="47"/>
        <v>N</v>
      </c>
      <c r="O143" s="2747" t="str">
        <f t="shared" si="47"/>
        <v>O</v>
      </c>
      <c r="P143" s="1200"/>
      <c r="Q143" s="1201"/>
      <c r="R143" s="2748" t="s">
        <v>357</v>
      </c>
      <c r="S143" s="1201"/>
      <c r="T143" s="1201"/>
      <c r="U143" s="1201"/>
      <c r="V143" s="1201"/>
    </row>
    <row r="144" spans="2:22" ht="15.75">
      <c r="B144" s="4647" t="s">
        <v>299</v>
      </c>
      <c r="C144" s="4648"/>
      <c r="D144" s="4648"/>
      <c r="E144" s="4648"/>
      <c r="F144" s="4648"/>
      <c r="G144" s="4648"/>
      <c r="H144" s="4648"/>
      <c r="I144" s="4648"/>
      <c r="J144" s="4648"/>
      <c r="K144" s="4648"/>
      <c r="L144" s="4648"/>
      <c r="M144" s="4648"/>
      <c r="N144" s="4648"/>
      <c r="O144" s="2749"/>
      <c r="P144" s="1200"/>
      <c r="Q144" s="1201"/>
      <c r="R144" s="1201"/>
      <c r="S144" s="1201"/>
      <c r="T144" s="1201"/>
      <c r="U144" s="1201"/>
      <c r="V144" s="1201"/>
    </row>
    <row r="145" spans="1:22">
      <c r="B145" s="52" t="s">
        <v>358</v>
      </c>
      <c r="C145" s="53" t="str">
        <f ca="1">CELL("nomfichier")</f>
        <v>E:\0-UPRT\1-UPRT.FR-SITE-WEB\ff-fiches-fabrications\ff-fiches-fabrication-maj-08-2020\[ff-8-restauration-Christian.Frechede.xlsx]Formats-Formules-Fonctions</v>
      </c>
      <c r="D145" s="53"/>
      <c r="E145" s="53"/>
      <c r="F145" s="53"/>
      <c r="G145" s="53"/>
      <c r="H145" s="53"/>
      <c r="I145" s="53"/>
      <c r="J145" s="53"/>
      <c r="K145" s="53"/>
      <c r="L145" s="53"/>
      <c r="M145" s="53"/>
      <c r="N145" s="53"/>
      <c r="O145" s="54"/>
      <c r="P145" s="1200"/>
      <c r="Q145" s="1201"/>
      <c r="R145" s="1201"/>
      <c r="S145" s="1201"/>
      <c r="T145" s="1201"/>
      <c r="U145" s="1201"/>
      <c r="V145" s="1201"/>
    </row>
    <row r="146" spans="1:22">
      <c r="B146" s="55" t="s">
        <v>359</v>
      </c>
      <c r="C146" s="53" t="s">
        <v>360</v>
      </c>
      <c r="D146" s="53"/>
      <c r="E146" s="53"/>
      <c r="F146" s="53"/>
      <c r="G146" s="53"/>
      <c r="H146" s="53"/>
      <c r="I146" s="53"/>
      <c r="J146" s="53"/>
      <c r="K146" s="53"/>
      <c r="L146" s="53"/>
      <c r="M146" s="53"/>
      <c r="N146" s="53"/>
      <c r="O146" s="54"/>
      <c r="P146" s="1200"/>
      <c r="Q146" s="1201"/>
      <c r="R146" s="1201"/>
      <c r="S146" s="1201"/>
      <c r="T146" s="1201"/>
      <c r="U146" s="1201"/>
      <c r="V146" s="1201"/>
    </row>
    <row r="147" spans="1:22" ht="15.75" thickBot="1">
      <c r="B147" s="3929" t="s">
        <v>361</v>
      </c>
      <c r="C147" s="3930"/>
      <c r="D147" s="3930"/>
      <c r="E147" s="3930"/>
      <c r="F147" s="3930"/>
      <c r="G147" s="3930"/>
      <c r="H147" s="3930"/>
      <c r="I147" s="3930"/>
      <c r="J147" s="3930"/>
      <c r="K147" s="3930"/>
      <c r="L147" s="3930"/>
      <c r="M147" s="3930"/>
      <c r="N147" s="3930"/>
      <c r="O147" s="3931"/>
      <c r="P147" s="1200"/>
      <c r="Q147" s="1201"/>
      <c r="R147" s="1201"/>
      <c r="S147" s="1201"/>
      <c r="T147" s="1201"/>
      <c r="U147" s="1201"/>
      <c r="V147" s="1201"/>
    </row>
    <row r="148" spans="1:22">
      <c r="B148" s="2464"/>
      <c r="C148" s="2464"/>
      <c r="D148" s="2464"/>
      <c r="E148" s="2464"/>
      <c r="F148" s="2464"/>
      <c r="G148" s="2464"/>
      <c r="H148" s="2464"/>
      <c r="I148" s="2464"/>
      <c r="J148" s="2464"/>
      <c r="K148" s="2464"/>
      <c r="L148" s="2464"/>
      <c r="M148" s="1200"/>
      <c r="N148" s="1200"/>
      <c r="O148" s="1200"/>
      <c r="P148" s="1200"/>
      <c r="Q148" s="1201"/>
      <c r="R148" s="1201"/>
      <c r="S148" s="1201"/>
      <c r="T148" s="1201"/>
      <c r="U148" s="1201"/>
      <c r="V148" s="1201"/>
    </row>
    <row r="149" spans="1:22">
      <c r="A149" s="2629"/>
      <c r="B149" s="2630"/>
      <c r="C149" s="2629"/>
      <c r="D149" s="2629"/>
      <c r="E149" s="2629"/>
      <c r="F149" s="2629"/>
      <c r="G149" s="2629"/>
      <c r="H149" s="2629"/>
      <c r="I149" s="2629"/>
      <c r="J149" s="2629"/>
      <c r="K149" s="2629"/>
      <c r="L149" s="2629"/>
      <c r="M149" s="1200"/>
      <c r="N149" s="1200"/>
      <c r="O149" s="1200"/>
      <c r="P149" s="1200"/>
      <c r="Q149" s="1201"/>
      <c r="R149" s="1201"/>
      <c r="S149" s="1201"/>
      <c r="T149" s="1201"/>
      <c r="U149" s="1201"/>
      <c r="V149" s="1201"/>
    </row>
    <row r="150" spans="1:22" ht="26.25">
      <c r="A150" s="2464"/>
      <c r="B150" s="2750" t="s">
        <v>300</v>
      </c>
      <c r="C150" s="2751">
        <f ca="1">NOW()</f>
        <v>44545.461550462962</v>
      </c>
      <c r="D150" s="4656" t="s">
        <v>362</v>
      </c>
      <c r="E150" s="4657"/>
      <c r="F150" s="4657"/>
      <c r="G150" s="4657"/>
      <c r="H150" s="4657"/>
      <c r="I150" s="4657"/>
      <c r="J150" s="2752" t="s">
        <v>302</v>
      </c>
      <c r="K150" s="2753" t="s">
        <v>32</v>
      </c>
      <c r="L150" s="2754">
        <v>1</v>
      </c>
      <c r="M150" s="1200"/>
      <c r="N150" s="56" t="s">
        <v>363</v>
      </c>
      <c r="O150" s="1200"/>
      <c r="P150" s="1200"/>
      <c r="Q150" s="1201"/>
      <c r="R150" s="1201"/>
      <c r="S150" s="1201"/>
      <c r="T150" s="1201"/>
      <c r="U150" s="1201"/>
      <c r="V150" s="1201"/>
    </row>
    <row r="151" spans="1:22">
      <c r="A151" s="2464"/>
      <c r="B151" s="2755"/>
      <c r="C151" s="2755"/>
      <c r="D151" s="2755"/>
      <c r="E151" s="2755"/>
      <c r="F151" s="2755"/>
      <c r="G151" s="2755"/>
      <c r="H151" s="2755"/>
      <c r="I151" s="2629"/>
      <c r="J151" s="2755"/>
      <c r="K151" s="2755"/>
      <c r="L151" s="2755"/>
      <c r="M151" s="1200"/>
      <c r="N151" s="57" t="s">
        <v>364</v>
      </c>
      <c r="O151" s="1201"/>
      <c r="P151" s="1201"/>
      <c r="Q151" s="1201"/>
      <c r="R151" s="1201"/>
      <c r="S151" s="1201"/>
      <c r="T151" s="1201"/>
      <c r="U151" s="1201"/>
      <c r="V151" s="1201"/>
    </row>
    <row r="152" spans="1:22">
      <c r="A152" s="2464"/>
      <c r="B152" s="4631" t="s">
        <v>365</v>
      </c>
      <c r="C152" s="4632"/>
      <c r="D152" s="4632"/>
      <c r="E152" s="4632"/>
      <c r="F152" s="4632"/>
      <c r="G152" s="4632"/>
      <c r="H152" s="4632"/>
      <c r="I152" s="4632"/>
      <c r="J152" s="4632"/>
      <c r="K152" s="4632"/>
      <c r="L152" s="4632"/>
      <c r="M152" s="1200"/>
      <c r="N152" s="1200"/>
      <c r="O152" s="1201"/>
      <c r="P152" s="1201"/>
      <c r="Q152" s="1201"/>
      <c r="R152" s="1201"/>
      <c r="S152" s="1201"/>
      <c r="T152" s="1201"/>
      <c r="U152" s="1201"/>
      <c r="V152" s="1201"/>
    </row>
    <row r="153" spans="1:22">
      <c r="A153" s="2464"/>
      <c r="B153" s="4631"/>
      <c r="C153" s="4632"/>
      <c r="D153" s="4632"/>
      <c r="E153" s="4632"/>
      <c r="F153" s="4632"/>
      <c r="G153" s="4632"/>
      <c r="H153" s="4632"/>
      <c r="I153" s="4632"/>
      <c r="J153" s="4632"/>
      <c r="K153" s="4632"/>
      <c r="L153" s="4632"/>
      <c r="M153" s="1200"/>
      <c r="N153" s="1200" t="s">
        <v>357</v>
      </c>
      <c r="O153" s="1201"/>
      <c r="P153" s="1201"/>
      <c r="Q153" s="1201"/>
      <c r="R153" s="1201"/>
      <c r="S153" s="1201"/>
      <c r="T153" s="1201"/>
      <c r="U153" s="1201"/>
      <c r="V153" s="1201"/>
    </row>
    <row r="154" spans="1:22" ht="15.75" thickBot="1">
      <c r="A154" s="2464"/>
      <c r="B154" s="4631"/>
      <c r="C154" s="4632"/>
      <c r="D154" s="4632"/>
      <c r="E154" s="4632"/>
      <c r="F154" s="4632"/>
      <c r="G154" s="4632"/>
      <c r="H154" s="4632"/>
      <c r="I154" s="4632"/>
      <c r="J154" s="4632"/>
      <c r="K154" s="4632"/>
      <c r="L154" s="4632"/>
      <c r="M154" s="1200"/>
      <c r="N154" s="1200"/>
      <c r="O154" s="1201"/>
      <c r="P154" s="1201"/>
      <c r="Q154" s="1201"/>
      <c r="R154" s="1201"/>
      <c r="S154" s="1201"/>
      <c r="T154" s="1201"/>
      <c r="U154" s="1201"/>
      <c r="V154" s="1201"/>
    </row>
    <row r="155" spans="1:22">
      <c r="A155" s="2464"/>
      <c r="B155" s="2756" t="str">
        <f t="shared" ref="B155:L155" si="48">SUBSTITUTE(ADDRESS(1,COLUMN(),4),"1","")</f>
        <v>B</v>
      </c>
      <c r="C155" s="2757" t="str">
        <f t="shared" si="48"/>
        <v>C</v>
      </c>
      <c r="D155" s="2757" t="str">
        <f t="shared" si="48"/>
        <v>D</v>
      </c>
      <c r="E155" s="2757" t="str">
        <f t="shared" si="48"/>
        <v>E</v>
      </c>
      <c r="F155" s="2757" t="str">
        <f t="shared" si="48"/>
        <v>F</v>
      </c>
      <c r="G155" s="2757" t="str">
        <f t="shared" si="48"/>
        <v>G</v>
      </c>
      <c r="H155" s="2757" t="str">
        <f t="shared" si="48"/>
        <v>H</v>
      </c>
      <c r="I155" s="2757" t="str">
        <f t="shared" si="48"/>
        <v>I</v>
      </c>
      <c r="J155" s="2757" t="str">
        <f t="shared" si="48"/>
        <v>J</v>
      </c>
      <c r="K155" s="2757" t="str">
        <f t="shared" si="48"/>
        <v>K</v>
      </c>
      <c r="L155" s="2758" t="str">
        <f t="shared" si="48"/>
        <v>L</v>
      </c>
      <c r="M155" s="2759"/>
      <c r="N155" s="2760"/>
      <c r="O155" s="2761"/>
      <c r="P155" s="2757" t="str">
        <f t="shared" ref="P155:V155" si="49">SUBSTITUTE(ADDRESS(1,COLUMN(),4),"1","")</f>
        <v>P</v>
      </c>
      <c r="Q155" s="2757" t="str">
        <f t="shared" si="49"/>
        <v>Q</v>
      </c>
      <c r="R155" s="2757" t="str">
        <f t="shared" si="49"/>
        <v>R</v>
      </c>
      <c r="S155" s="2757" t="str">
        <f t="shared" si="49"/>
        <v>S</v>
      </c>
      <c r="T155" s="2757" t="str">
        <f t="shared" si="49"/>
        <v>T</v>
      </c>
      <c r="U155" s="2757" t="str">
        <f t="shared" si="49"/>
        <v>U</v>
      </c>
      <c r="V155" s="2757" t="str">
        <f t="shared" si="49"/>
        <v>V</v>
      </c>
    </row>
    <row r="156" spans="1:22">
      <c r="B156" s="2762" t="str">
        <f ca="1">CELL("nomfichier")</f>
        <v>E:\0-UPRT\1-UPRT.FR-SITE-WEB\ff-fiches-fabrications\ff-fiches-fabrication-maj-08-2020\[ff-8-restauration-Christian.Frechede.xlsx]Formats-Formules-Fonctions</v>
      </c>
      <c r="C156" s="2763"/>
      <c r="D156" s="2763"/>
      <c r="E156" s="2764"/>
      <c r="F156" s="2764"/>
      <c r="G156" s="2764"/>
      <c r="H156" s="2764"/>
      <c r="I156" s="2764"/>
      <c r="J156" s="2764"/>
      <c r="K156" s="2764"/>
      <c r="L156" s="2765"/>
      <c r="M156" s="1201"/>
      <c r="N156" s="2748"/>
      <c r="O156" s="1201"/>
      <c r="P156" s="4628" t="s">
        <v>366</v>
      </c>
      <c r="Q156" s="4628" t="s">
        <v>367</v>
      </c>
      <c r="R156" s="4628" t="s">
        <v>368</v>
      </c>
      <c r="S156" s="4607" t="s">
        <v>259</v>
      </c>
      <c r="T156" s="4610" t="s">
        <v>355</v>
      </c>
      <c r="U156" s="4613" t="s">
        <v>356</v>
      </c>
      <c r="V156" s="4616" t="s">
        <v>110</v>
      </c>
    </row>
    <row r="157" spans="1:22" ht="15" customHeight="1">
      <c r="A157" s="2464"/>
      <c r="B157" s="4619" t="s">
        <v>369</v>
      </c>
      <c r="C157" s="4620"/>
      <c r="D157" s="4620"/>
      <c r="E157" s="4621"/>
      <c r="F157" s="4628" t="s">
        <v>366</v>
      </c>
      <c r="G157" s="4628" t="s">
        <v>367</v>
      </c>
      <c r="H157" s="4628" t="s">
        <v>368</v>
      </c>
      <c r="I157" s="4607" t="s">
        <v>259</v>
      </c>
      <c r="J157" s="4610" t="s">
        <v>355</v>
      </c>
      <c r="K157" s="4613" t="s">
        <v>356</v>
      </c>
      <c r="L157" s="4633" t="s">
        <v>363</v>
      </c>
      <c r="M157" s="1200"/>
      <c r="N157" s="2748"/>
      <c r="O157" s="1201"/>
      <c r="P157" s="4629"/>
      <c r="Q157" s="4629"/>
      <c r="R157" s="4629"/>
      <c r="S157" s="4608"/>
      <c r="T157" s="4611"/>
      <c r="U157" s="4614"/>
      <c r="V157" s="4617"/>
    </row>
    <row r="158" spans="1:22" ht="15.75">
      <c r="A158" s="2464"/>
      <c r="B158" s="4622"/>
      <c r="C158" s="4623"/>
      <c r="D158" s="4623"/>
      <c r="E158" s="4624"/>
      <c r="F158" s="4629"/>
      <c r="G158" s="4629"/>
      <c r="H158" s="4629"/>
      <c r="I158" s="4608"/>
      <c r="J158" s="4611"/>
      <c r="K158" s="4614"/>
      <c r="L158" s="4634"/>
      <c r="M158" s="1200"/>
      <c r="N158" s="2766"/>
      <c r="O158" s="1201"/>
      <c r="P158" s="4629"/>
      <c r="Q158" s="4629"/>
      <c r="R158" s="4629"/>
      <c r="S158" s="4608"/>
      <c r="T158" s="4611"/>
      <c r="U158" s="4614"/>
      <c r="V158" s="4617"/>
    </row>
    <row r="159" spans="1:22" ht="15.75">
      <c r="A159" s="2464"/>
      <c r="B159" s="4622"/>
      <c r="C159" s="4623"/>
      <c r="D159" s="4623"/>
      <c r="E159" s="4624"/>
      <c r="F159" s="4629"/>
      <c r="G159" s="4629"/>
      <c r="H159" s="4629"/>
      <c r="I159" s="4608"/>
      <c r="J159" s="4611"/>
      <c r="K159" s="4614"/>
      <c r="L159" s="4634"/>
      <c r="M159" s="1200"/>
      <c r="N159" s="2766"/>
      <c r="O159" s="1201"/>
      <c r="P159" s="4629"/>
      <c r="Q159" s="4629"/>
      <c r="R159" s="4629"/>
      <c r="S159" s="4608"/>
      <c r="T159" s="4611"/>
      <c r="U159" s="4614"/>
      <c r="V159" s="4617"/>
    </row>
    <row r="160" spans="1:22" ht="15.75">
      <c r="A160" s="2464"/>
      <c r="B160" s="4622"/>
      <c r="C160" s="4623"/>
      <c r="D160" s="4623"/>
      <c r="E160" s="4624"/>
      <c r="F160" s="4629"/>
      <c r="G160" s="4629"/>
      <c r="H160" s="4629"/>
      <c r="I160" s="4608"/>
      <c r="J160" s="4611"/>
      <c r="K160" s="4614"/>
      <c r="L160" s="4634"/>
      <c r="M160" s="1200"/>
      <c r="N160" s="2766"/>
      <c r="O160" s="1201"/>
      <c r="P160" s="4629"/>
      <c r="Q160" s="4629"/>
      <c r="R160" s="4629"/>
      <c r="S160" s="4608"/>
      <c r="T160" s="4611"/>
      <c r="U160" s="4614"/>
      <c r="V160" s="4617"/>
    </row>
    <row r="161" spans="1:22" ht="15.75">
      <c r="A161" s="2464"/>
      <c r="B161" s="4622"/>
      <c r="C161" s="4623"/>
      <c r="D161" s="4623"/>
      <c r="E161" s="4624"/>
      <c r="F161" s="4629"/>
      <c r="G161" s="4629"/>
      <c r="H161" s="4629"/>
      <c r="I161" s="4608"/>
      <c r="J161" s="4611"/>
      <c r="K161" s="4614"/>
      <c r="L161" s="4634"/>
      <c r="M161" s="1200"/>
      <c r="N161" s="2766"/>
      <c r="O161" s="1201"/>
      <c r="P161" s="4629"/>
      <c r="Q161" s="4629"/>
      <c r="R161" s="4629"/>
      <c r="S161" s="4608"/>
      <c r="T161" s="4611"/>
      <c r="U161" s="4614"/>
      <c r="V161" s="4617"/>
    </row>
    <row r="162" spans="1:22" ht="15.75">
      <c r="A162" s="2464"/>
      <c r="B162" s="4622"/>
      <c r="C162" s="4623"/>
      <c r="D162" s="4623"/>
      <c r="E162" s="4624"/>
      <c r="F162" s="4629"/>
      <c r="G162" s="4629"/>
      <c r="H162" s="4629"/>
      <c r="I162" s="4608"/>
      <c r="J162" s="4611"/>
      <c r="K162" s="4614"/>
      <c r="L162" s="4634"/>
      <c r="M162" s="1200"/>
      <c r="N162" s="2766"/>
      <c r="O162" s="1201"/>
      <c r="P162" s="4630"/>
      <c r="Q162" s="4630"/>
      <c r="R162" s="4630"/>
      <c r="S162" s="4609"/>
      <c r="T162" s="4612"/>
      <c r="U162" s="4615"/>
      <c r="V162" s="4618"/>
    </row>
    <row r="163" spans="1:22">
      <c r="A163" s="2464"/>
      <c r="B163" s="4625"/>
      <c r="C163" s="4626"/>
      <c r="D163" s="4626"/>
      <c r="E163" s="4627"/>
      <c r="F163" s="4630"/>
      <c r="G163" s="4630"/>
      <c r="H163" s="4630"/>
      <c r="I163" s="4609"/>
      <c r="J163" s="4612"/>
      <c r="K163" s="4615"/>
      <c r="L163" s="4635"/>
      <c r="M163" s="2767"/>
      <c r="N163" s="2768"/>
      <c r="O163" s="2768"/>
      <c r="P163" s="2769" t="s">
        <v>256</v>
      </c>
      <c r="Q163" s="2769" t="s">
        <v>257</v>
      </c>
      <c r="R163" s="2770" t="s">
        <v>258</v>
      </c>
      <c r="S163" s="2770" t="s">
        <v>259</v>
      </c>
      <c r="T163" s="2769" t="s">
        <v>321</v>
      </c>
      <c r="U163" s="2769" t="s">
        <v>370</v>
      </c>
      <c r="V163" s="2771" t="s">
        <v>110</v>
      </c>
    </row>
    <row r="164" spans="1:22" ht="15.75">
      <c r="A164" s="2464"/>
      <c r="B164" s="2772" t="s">
        <v>371</v>
      </c>
      <c r="C164" s="2773"/>
      <c r="D164" s="2773"/>
      <c r="E164" s="2773"/>
      <c r="F164" s="2769" t="s">
        <v>316</v>
      </c>
      <c r="G164" s="2769" t="s">
        <v>318</v>
      </c>
      <c r="H164" s="2770" t="s">
        <v>99</v>
      </c>
      <c r="I164" s="2770" t="s">
        <v>319</v>
      </c>
      <c r="J164" s="2769" t="s">
        <v>321</v>
      </c>
      <c r="K164" s="2769" t="s">
        <v>370</v>
      </c>
      <c r="L164" s="2774" t="s">
        <v>372</v>
      </c>
      <c r="M164" s="1200"/>
      <c r="N164" s="58"/>
      <c r="O164" s="59" t="s">
        <v>373</v>
      </c>
      <c r="P164" s="2529">
        <v>253</v>
      </c>
      <c r="Q164" s="2529">
        <v>829</v>
      </c>
      <c r="R164" s="2529">
        <v>48</v>
      </c>
      <c r="S164" s="2529">
        <v>13</v>
      </c>
      <c r="T164" s="2529">
        <v>29</v>
      </c>
      <c r="U164" s="2529">
        <v>17</v>
      </c>
      <c r="V164" s="2775">
        <f>SUM(P164:U164)</f>
        <v>1189</v>
      </c>
    </row>
    <row r="165" spans="1:22">
      <c r="A165" s="2464"/>
      <c r="B165" s="2776"/>
      <c r="C165" s="2777"/>
      <c r="D165" s="2777"/>
      <c r="E165" s="2778" t="s">
        <v>374</v>
      </c>
      <c r="F165" s="2640">
        <v>0.04</v>
      </c>
      <c r="G165" s="2640">
        <v>0.05</v>
      </c>
      <c r="H165" s="2650">
        <v>0.08</v>
      </c>
      <c r="I165" s="2652">
        <f>(H165*L165%)+H165</f>
        <v>8.7999999999999995E-2</v>
      </c>
      <c r="J165" s="2656">
        <v>0.05</v>
      </c>
      <c r="K165" s="2640">
        <v>0.05</v>
      </c>
      <c r="L165" s="2779">
        <v>10</v>
      </c>
      <c r="M165" s="1200"/>
      <c r="N165" s="1201"/>
      <c r="O165" s="2780" t="str">
        <f>E165</f>
        <v>PAIN</v>
      </c>
      <c r="P165" s="2781">
        <f t="shared" ref="P165:U165" si="50">F165*P164</f>
        <v>10.120000000000001</v>
      </c>
      <c r="Q165" s="2781">
        <f t="shared" si="50"/>
        <v>41.45</v>
      </c>
      <c r="R165" s="2782">
        <f t="shared" si="50"/>
        <v>3.84</v>
      </c>
      <c r="S165" s="2783">
        <f t="shared" si="50"/>
        <v>1.1439999999999999</v>
      </c>
      <c r="T165" s="2783">
        <f t="shared" si="50"/>
        <v>1.4500000000000002</v>
      </c>
      <c r="U165" s="2781">
        <f t="shared" si="50"/>
        <v>0.85000000000000009</v>
      </c>
      <c r="V165" s="2784">
        <f>SUM(P165:U165)</f>
        <v>58.854000000000013</v>
      </c>
    </row>
    <row r="166" spans="1:22" ht="15" customHeight="1">
      <c r="A166" s="2464"/>
      <c r="B166" s="2785"/>
      <c r="C166" s="4597" t="s">
        <v>375</v>
      </c>
      <c r="D166" s="4597"/>
      <c r="E166" s="4597"/>
      <c r="F166" s="4597"/>
      <c r="G166" s="4597"/>
      <c r="H166" s="4597"/>
      <c r="I166" s="4597"/>
      <c r="J166" s="4597"/>
      <c r="K166" s="4597"/>
      <c r="L166" s="4598"/>
      <c r="M166" s="2766"/>
      <c r="N166" s="2766"/>
      <c r="O166" s="1201"/>
      <c r="P166" s="4601" t="str">
        <f>C166</f>
        <v>*- CRUDITÉS sans assaisonnement</v>
      </c>
      <c r="Q166" s="4602"/>
      <c r="R166" s="4602"/>
      <c r="S166" s="4602"/>
      <c r="T166" s="4602"/>
      <c r="U166" s="4602"/>
      <c r="V166" s="4603"/>
    </row>
    <row r="167" spans="1:22" ht="15" customHeight="1">
      <c r="A167" s="2464"/>
      <c r="B167" s="2785"/>
      <c r="C167" s="4599"/>
      <c r="D167" s="4599"/>
      <c r="E167" s="4599"/>
      <c r="F167" s="4599"/>
      <c r="G167" s="4599"/>
      <c r="H167" s="4599"/>
      <c r="I167" s="4599"/>
      <c r="J167" s="4599"/>
      <c r="K167" s="4599"/>
      <c r="L167" s="4600"/>
      <c r="M167" s="2766"/>
      <c r="N167" s="2766"/>
      <c r="O167" s="1201"/>
      <c r="P167" s="4604"/>
      <c r="Q167" s="4605"/>
      <c r="R167" s="4605"/>
      <c r="S167" s="4605"/>
      <c r="T167" s="4605"/>
      <c r="U167" s="4605"/>
      <c r="V167" s="4606"/>
    </row>
    <row r="168" spans="1:22" ht="17.25">
      <c r="A168" s="2464"/>
      <c r="B168" s="2776"/>
      <c r="C168" s="2786" t="s">
        <v>2838</v>
      </c>
      <c r="D168" s="2787"/>
      <c r="E168" s="2788"/>
      <c r="F168" s="2640">
        <v>0.25</v>
      </c>
      <c r="G168" s="2640">
        <v>0.5</v>
      </c>
      <c r="H168" s="2650">
        <v>0.5</v>
      </c>
      <c r="I168" s="2652">
        <f t="shared" ref="I168:I180" si="51">(H168*L168%)+H168</f>
        <v>0.55000000000000004</v>
      </c>
      <c r="J168" s="2656">
        <v>0.5</v>
      </c>
      <c r="K168" s="2640">
        <v>0.5</v>
      </c>
      <c r="L168" s="2779">
        <v>10</v>
      </c>
      <c r="M168" s="1985"/>
      <c r="N168" s="2789"/>
      <c r="O168" s="2790" t="str">
        <f t="shared" ref="O168:O180" si="52">C168</f>
        <v>Avocat (à l'unité)</v>
      </c>
      <c r="P168" s="2791">
        <f t="shared" ref="P168:U168" si="53">F168*P164</f>
        <v>63.25</v>
      </c>
      <c r="Q168" s="2791">
        <f t="shared" si="53"/>
        <v>414.5</v>
      </c>
      <c r="R168" s="2792">
        <f t="shared" si="53"/>
        <v>24</v>
      </c>
      <c r="S168" s="2793">
        <f t="shared" si="53"/>
        <v>7.15</v>
      </c>
      <c r="T168" s="2793">
        <f t="shared" si="53"/>
        <v>14.5</v>
      </c>
      <c r="U168" s="2791">
        <f t="shared" si="53"/>
        <v>8.5</v>
      </c>
      <c r="V168" s="2794">
        <f>SUM(P168:U168)</f>
        <v>531.9</v>
      </c>
    </row>
    <row r="169" spans="1:22" ht="15.75">
      <c r="A169" s="2464"/>
      <c r="B169" s="2795"/>
      <c r="C169" s="2786" t="s">
        <v>376</v>
      </c>
      <c r="D169" s="2787"/>
      <c r="E169" s="2788"/>
      <c r="F169" s="2640">
        <v>0.05</v>
      </c>
      <c r="G169" s="2640">
        <v>7.0000000000000007E-2</v>
      </c>
      <c r="H169" s="2650">
        <v>0.1</v>
      </c>
      <c r="I169" s="2652">
        <f t="shared" si="51"/>
        <v>0.11000000000000001</v>
      </c>
      <c r="J169" s="2656">
        <v>7.0000000000000007E-2</v>
      </c>
      <c r="K169" s="2640">
        <v>7.0000000000000007E-2</v>
      </c>
      <c r="L169" s="2779">
        <v>10</v>
      </c>
      <c r="M169" s="1985"/>
      <c r="N169" s="2789"/>
      <c r="O169" s="2780" t="str">
        <f t="shared" si="52"/>
        <v>Carottes, céleri et autres racines râpées</v>
      </c>
      <c r="P169" s="2781">
        <f t="shared" ref="P169:U169" si="54">F169*P164</f>
        <v>12.65</v>
      </c>
      <c r="Q169" s="2781">
        <f t="shared" si="54"/>
        <v>58.030000000000008</v>
      </c>
      <c r="R169" s="2782">
        <f t="shared" si="54"/>
        <v>4.8000000000000007</v>
      </c>
      <c r="S169" s="2783">
        <f t="shared" si="54"/>
        <v>1.4300000000000002</v>
      </c>
      <c r="T169" s="2783">
        <f t="shared" si="54"/>
        <v>2.0300000000000002</v>
      </c>
      <c r="U169" s="2781">
        <f t="shared" si="54"/>
        <v>1.1900000000000002</v>
      </c>
      <c r="V169" s="2794">
        <f t="shared" ref="V169:V180" si="55">SUM(P169:U169)</f>
        <v>80.13000000000001</v>
      </c>
    </row>
    <row r="170" spans="1:22" ht="15.75" customHeight="1">
      <c r="A170" s="2464"/>
      <c r="B170" s="2776"/>
      <c r="C170" s="2786" t="s">
        <v>377</v>
      </c>
      <c r="D170" s="2787"/>
      <c r="E170" s="2788"/>
      <c r="F170" s="2640">
        <v>0.04</v>
      </c>
      <c r="G170" s="2640">
        <v>0.06</v>
      </c>
      <c r="H170" s="2650">
        <v>0.1</v>
      </c>
      <c r="I170" s="2652">
        <f t="shared" si="51"/>
        <v>0.11000000000000001</v>
      </c>
      <c r="J170" s="2656">
        <v>0.08</v>
      </c>
      <c r="K170" s="2640">
        <v>0.08</v>
      </c>
      <c r="L170" s="2779">
        <v>10</v>
      </c>
      <c r="M170" s="1985"/>
      <c r="N170" s="2789"/>
      <c r="O170" s="2780" t="str">
        <f t="shared" si="52"/>
        <v>Choux rouge et choux blanc émincé</v>
      </c>
      <c r="P170" s="2781">
        <f t="shared" ref="P170:U170" si="56">F170*P164</f>
        <v>10.120000000000001</v>
      </c>
      <c r="Q170" s="2781">
        <f t="shared" si="56"/>
        <v>49.739999999999995</v>
      </c>
      <c r="R170" s="2782">
        <f t="shared" si="56"/>
        <v>4.8000000000000007</v>
      </c>
      <c r="S170" s="2783">
        <f t="shared" si="56"/>
        <v>1.4300000000000002</v>
      </c>
      <c r="T170" s="2783">
        <f t="shared" si="56"/>
        <v>2.3199999999999998</v>
      </c>
      <c r="U170" s="2781">
        <f t="shared" si="56"/>
        <v>1.36</v>
      </c>
      <c r="V170" s="2794">
        <f t="shared" si="55"/>
        <v>69.77</v>
      </c>
    </row>
    <row r="171" spans="1:22" ht="15.75">
      <c r="A171" s="2464"/>
      <c r="B171" s="2776"/>
      <c r="C171" s="2786" t="s">
        <v>378</v>
      </c>
      <c r="D171" s="2787"/>
      <c r="E171" s="2788"/>
      <c r="F171" s="2640">
        <v>0.06</v>
      </c>
      <c r="G171" s="2640">
        <v>0.08</v>
      </c>
      <c r="H171" s="2650">
        <v>0.1</v>
      </c>
      <c r="I171" s="2652">
        <f t="shared" si="51"/>
        <v>0.11000000000000001</v>
      </c>
      <c r="J171" s="2656">
        <v>0.09</v>
      </c>
      <c r="K171" s="2640">
        <v>0.09</v>
      </c>
      <c r="L171" s="2779">
        <v>10</v>
      </c>
      <c r="M171" s="1985"/>
      <c r="N171" s="2789"/>
      <c r="O171" s="2780" t="str">
        <f t="shared" si="52"/>
        <v>Concombre</v>
      </c>
      <c r="P171" s="2781">
        <f t="shared" ref="P171:U171" si="57">F171*P164</f>
        <v>15.18</v>
      </c>
      <c r="Q171" s="2781">
        <f t="shared" si="57"/>
        <v>66.320000000000007</v>
      </c>
      <c r="R171" s="2782">
        <f t="shared" si="57"/>
        <v>4.8000000000000007</v>
      </c>
      <c r="S171" s="2783">
        <f t="shared" si="57"/>
        <v>1.4300000000000002</v>
      </c>
      <c r="T171" s="2783">
        <f t="shared" si="57"/>
        <v>2.61</v>
      </c>
      <c r="U171" s="2781">
        <f t="shared" si="57"/>
        <v>1.53</v>
      </c>
      <c r="V171" s="2794">
        <f t="shared" si="55"/>
        <v>91.87</v>
      </c>
    </row>
    <row r="172" spans="1:22" ht="15.75">
      <c r="A172" s="2464"/>
      <c r="B172" s="2776"/>
      <c r="C172" s="2786" t="s">
        <v>379</v>
      </c>
      <c r="D172" s="2787"/>
      <c r="E172" s="2788"/>
      <c r="F172" s="2640">
        <v>0.02</v>
      </c>
      <c r="G172" s="2640">
        <v>0.03</v>
      </c>
      <c r="H172" s="2650">
        <v>0.1</v>
      </c>
      <c r="I172" s="2652">
        <f t="shared" si="51"/>
        <v>0.11000000000000001</v>
      </c>
      <c r="J172" s="2656">
        <v>0.08</v>
      </c>
      <c r="K172" s="2640">
        <v>0.08</v>
      </c>
      <c r="L172" s="2779">
        <v>10</v>
      </c>
      <c r="M172" s="1985"/>
      <c r="N172" s="2789"/>
      <c r="O172" s="2780" t="str">
        <f t="shared" si="52"/>
        <v>Endive</v>
      </c>
      <c r="P172" s="2781">
        <f t="shared" ref="P172:U172" si="58">F172*P164</f>
        <v>5.0600000000000005</v>
      </c>
      <c r="Q172" s="2781">
        <f t="shared" si="58"/>
        <v>24.869999999999997</v>
      </c>
      <c r="R172" s="2782">
        <f t="shared" si="58"/>
        <v>4.8000000000000007</v>
      </c>
      <c r="S172" s="2783">
        <f t="shared" si="58"/>
        <v>1.4300000000000002</v>
      </c>
      <c r="T172" s="2783">
        <f t="shared" si="58"/>
        <v>2.3199999999999998</v>
      </c>
      <c r="U172" s="2781">
        <f t="shared" si="58"/>
        <v>1.36</v>
      </c>
      <c r="V172" s="2794">
        <f t="shared" si="55"/>
        <v>39.840000000000003</v>
      </c>
    </row>
    <row r="173" spans="1:22" ht="15.75">
      <c r="A173" s="2464"/>
      <c r="B173" s="2776"/>
      <c r="C173" s="2786" t="s">
        <v>380</v>
      </c>
      <c r="D173" s="2787"/>
      <c r="E173" s="2788"/>
      <c r="F173" s="2640">
        <v>0.12</v>
      </c>
      <c r="G173" s="2640">
        <v>0.15</v>
      </c>
      <c r="H173" s="2650">
        <v>0.18</v>
      </c>
      <c r="I173" s="2652">
        <f t="shared" si="51"/>
        <v>0.19799999999999998</v>
      </c>
      <c r="J173" s="2656">
        <v>0.15</v>
      </c>
      <c r="K173" s="2640">
        <v>0.15</v>
      </c>
      <c r="L173" s="2779">
        <v>10</v>
      </c>
      <c r="M173" s="1985"/>
      <c r="N173" s="2789"/>
      <c r="O173" s="2780" t="str">
        <f t="shared" si="52"/>
        <v>Melon, Pastèque</v>
      </c>
      <c r="P173" s="2781">
        <f t="shared" ref="P173:U173" si="59">F173*P164</f>
        <v>30.36</v>
      </c>
      <c r="Q173" s="2781">
        <f t="shared" si="59"/>
        <v>124.35</v>
      </c>
      <c r="R173" s="2782">
        <f t="shared" si="59"/>
        <v>8.64</v>
      </c>
      <c r="S173" s="2783">
        <f t="shared" si="59"/>
        <v>2.5739999999999998</v>
      </c>
      <c r="T173" s="2783">
        <f t="shared" si="59"/>
        <v>4.3499999999999996</v>
      </c>
      <c r="U173" s="2781">
        <f t="shared" si="59"/>
        <v>2.5499999999999998</v>
      </c>
      <c r="V173" s="2794">
        <f t="shared" si="55"/>
        <v>172.82399999999998</v>
      </c>
    </row>
    <row r="174" spans="1:22" ht="17.25">
      <c r="A174" s="2464"/>
      <c r="B174" s="2776"/>
      <c r="C174" s="2786" t="s">
        <v>2839</v>
      </c>
      <c r="D174" s="2787"/>
      <c r="E174" s="2788"/>
      <c r="F174" s="2640">
        <v>0.5</v>
      </c>
      <c r="G174" s="2640">
        <v>0.5</v>
      </c>
      <c r="H174" s="2650">
        <v>0.5</v>
      </c>
      <c r="I174" s="2652">
        <f t="shared" si="51"/>
        <v>0.55000000000000004</v>
      </c>
      <c r="J174" s="2656">
        <v>0.5</v>
      </c>
      <c r="K174" s="2640">
        <v>0.5</v>
      </c>
      <c r="L174" s="2779">
        <v>10</v>
      </c>
      <c r="M174" s="1985"/>
      <c r="N174" s="2789"/>
      <c r="O174" s="2790" t="str">
        <f t="shared" si="52"/>
        <v>Pamplemousse (à l'unité)</v>
      </c>
      <c r="P174" s="2791">
        <f t="shared" ref="P174:U174" si="60">F174*P164</f>
        <v>126.5</v>
      </c>
      <c r="Q174" s="2791">
        <f t="shared" si="60"/>
        <v>414.5</v>
      </c>
      <c r="R174" s="2792">
        <f t="shared" si="60"/>
        <v>24</v>
      </c>
      <c r="S174" s="2793">
        <f t="shared" si="60"/>
        <v>7.15</v>
      </c>
      <c r="T174" s="2793">
        <f t="shared" si="60"/>
        <v>14.5</v>
      </c>
      <c r="U174" s="2791">
        <f t="shared" si="60"/>
        <v>8.5</v>
      </c>
      <c r="V174" s="2794">
        <f t="shared" si="55"/>
        <v>595.15</v>
      </c>
    </row>
    <row r="175" spans="1:22" ht="15.75">
      <c r="A175" s="2464"/>
      <c r="B175" s="2776"/>
      <c r="C175" s="2786" t="s">
        <v>381</v>
      </c>
      <c r="D175" s="2787"/>
      <c r="E175" s="2788"/>
      <c r="F175" s="2640">
        <v>0.03</v>
      </c>
      <c r="G175" s="2640">
        <v>0.05</v>
      </c>
      <c r="H175" s="2650">
        <v>0.09</v>
      </c>
      <c r="I175" s="2652">
        <f t="shared" si="51"/>
        <v>9.8999999999999991E-2</v>
      </c>
      <c r="J175" s="2656">
        <v>0.06</v>
      </c>
      <c r="K175" s="2640">
        <v>0.06</v>
      </c>
      <c r="L175" s="2779">
        <v>10</v>
      </c>
      <c r="M175" s="1985"/>
      <c r="N175" s="2789"/>
      <c r="O175" s="2780" t="str">
        <f t="shared" si="52"/>
        <v>Radis</v>
      </c>
      <c r="P175" s="2781">
        <f t="shared" ref="P175:U175" si="61">F175*P164</f>
        <v>7.59</v>
      </c>
      <c r="Q175" s="2781">
        <f t="shared" si="61"/>
        <v>41.45</v>
      </c>
      <c r="R175" s="2782">
        <f t="shared" si="61"/>
        <v>4.32</v>
      </c>
      <c r="S175" s="2783">
        <f t="shared" si="61"/>
        <v>1.2869999999999999</v>
      </c>
      <c r="T175" s="2783">
        <f t="shared" si="61"/>
        <v>1.74</v>
      </c>
      <c r="U175" s="2781">
        <f t="shared" si="61"/>
        <v>1.02</v>
      </c>
      <c r="V175" s="2794">
        <f t="shared" si="55"/>
        <v>57.407000000000011</v>
      </c>
    </row>
    <row r="176" spans="1:22" ht="15.75">
      <c r="A176" s="2464"/>
      <c r="B176" s="2776"/>
      <c r="C176" s="2786" t="s">
        <v>382</v>
      </c>
      <c r="D176" s="2787"/>
      <c r="E176" s="2788"/>
      <c r="F176" s="2640">
        <v>2.5000000000000001E-2</v>
      </c>
      <c r="G176" s="2640">
        <v>0.03</v>
      </c>
      <c r="H176" s="2650">
        <v>0.05</v>
      </c>
      <c r="I176" s="2652">
        <f t="shared" si="51"/>
        <v>5.5000000000000007E-2</v>
      </c>
      <c r="J176" s="2656">
        <v>0.03</v>
      </c>
      <c r="K176" s="2640">
        <v>0.03</v>
      </c>
      <c r="L176" s="2779">
        <v>10</v>
      </c>
      <c r="M176" s="1985"/>
      <c r="N176" s="2789"/>
      <c r="O176" s="2780" t="str">
        <f t="shared" si="52"/>
        <v>Salade verte</v>
      </c>
      <c r="P176" s="2781">
        <f t="shared" ref="P176:U176" si="62">F176*P164</f>
        <v>6.3250000000000002</v>
      </c>
      <c r="Q176" s="2781">
        <f t="shared" si="62"/>
        <v>24.869999999999997</v>
      </c>
      <c r="R176" s="2782">
        <f t="shared" si="62"/>
        <v>2.4000000000000004</v>
      </c>
      <c r="S176" s="2783">
        <f t="shared" si="62"/>
        <v>0.71500000000000008</v>
      </c>
      <c r="T176" s="2783">
        <f t="shared" si="62"/>
        <v>0.87</v>
      </c>
      <c r="U176" s="2781">
        <f t="shared" si="62"/>
        <v>0.51</v>
      </c>
      <c r="V176" s="2794">
        <f t="shared" si="55"/>
        <v>35.69</v>
      </c>
    </row>
    <row r="177" spans="1:22" ht="15.75">
      <c r="A177" s="2464"/>
      <c r="B177" s="2776"/>
      <c r="C177" s="2786" t="s">
        <v>383</v>
      </c>
      <c r="D177" s="2787"/>
      <c r="E177" s="2788"/>
      <c r="F177" s="2640">
        <v>0.06</v>
      </c>
      <c r="G177" s="2640">
        <v>0.08</v>
      </c>
      <c r="H177" s="2650">
        <v>0.11</v>
      </c>
      <c r="I177" s="2652">
        <f t="shared" si="51"/>
        <v>0.121</v>
      </c>
      <c r="J177" s="2656">
        <v>0.08</v>
      </c>
      <c r="K177" s="2640">
        <v>0.08</v>
      </c>
      <c r="L177" s="2779">
        <v>10</v>
      </c>
      <c r="M177" s="1985"/>
      <c r="N177" s="2789"/>
      <c r="O177" s="2780" t="str">
        <f t="shared" si="52"/>
        <v>Tomate</v>
      </c>
      <c r="P177" s="2781">
        <f t="shared" ref="P177:U177" si="63">F177*P164</f>
        <v>15.18</v>
      </c>
      <c r="Q177" s="2781">
        <f t="shared" si="63"/>
        <v>66.320000000000007</v>
      </c>
      <c r="R177" s="2782">
        <f t="shared" si="63"/>
        <v>5.28</v>
      </c>
      <c r="S177" s="2783">
        <f t="shared" si="63"/>
        <v>1.573</v>
      </c>
      <c r="T177" s="2783">
        <f t="shared" si="63"/>
        <v>2.3199999999999998</v>
      </c>
      <c r="U177" s="2781">
        <f t="shared" si="63"/>
        <v>1.36</v>
      </c>
      <c r="V177" s="2794">
        <f t="shared" si="55"/>
        <v>92.032999999999987</v>
      </c>
    </row>
    <row r="178" spans="1:22" ht="15.75">
      <c r="A178" s="2464"/>
      <c r="B178" s="2776"/>
      <c r="C178" s="2786" t="s">
        <v>384</v>
      </c>
      <c r="D178" s="2787"/>
      <c r="E178" s="2788"/>
      <c r="F178" s="2640">
        <v>0.04</v>
      </c>
      <c r="G178" s="2640">
        <v>0.06</v>
      </c>
      <c r="H178" s="2650">
        <v>0.09</v>
      </c>
      <c r="I178" s="2652">
        <f t="shared" si="51"/>
        <v>9.8999999999999991E-2</v>
      </c>
      <c r="J178" s="2656">
        <v>0.08</v>
      </c>
      <c r="K178" s="2640">
        <v>0.08</v>
      </c>
      <c r="L178" s="2779">
        <v>10</v>
      </c>
      <c r="M178" s="1985"/>
      <c r="N178" s="2789"/>
      <c r="O178" s="2780" t="str">
        <f t="shared" si="52"/>
        <v>Salade composée à base de crudités</v>
      </c>
      <c r="P178" s="2781">
        <f t="shared" ref="P178:U178" si="64">F178*P164</f>
        <v>10.120000000000001</v>
      </c>
      <c r="Q178" s="2781">
        <f t="shared" si="64"/>
        <v>49.739999999999995</v>
      </c>
      <c r="R178" s="2782">
        <f t="shared" si="64"/>
        <v>4.32</v>
      </c>
      <c r="S178" s="2783">
        <f t="shared" si="64"/>
        <v>1.2869999999999999</v>
      </c>
      <c r="T178" s="2783">
        <f t="shared" si="64"/>
        <v>2.3199999999999998</v>
      </c>
      <c r="U178" s="2781">
        <f t="shared" si="64"/>
        <v>1.36</v>
      </c>
      <c r="V178" s="2794">
        <f t="shared" si="55"/>
        <v>69.147000000000006</v>
      </c>
    </row>
    <row r="179" spans="1:22" ht="15.75">
      <c r="A179" s="2464"/>
      <c r="B179" s="2776"/>
      <c r="C179" s="2786" t="s">
        <v>385</v>
      </c>
      <c r="D179" s="2787"/>
      <c r="E179" s="2788"/>
      <c r="F179" s="2640">
        <v>0.04</v>
      </c>
      <c r="G179" s="2640">
        <v>0.06</v>
      </c>
      <c r="H179" s="2650">
        <v>0.09</v>
      </c>
      <c r="I179" s="2652">
        <f t="shared" si="51"/>
        <v>9.8999999999999991E-2</v>
      </c>
      <c r="J179" s="2656">
        <v>0.08</v>
      </c>
      <c r="K179" s="2640">
        <v>0.08</v>
      </c>
      <c r="L179" s="2779">
        <v>10</v>
      </c>
      <c r="M179" s="1985"/>
      <c r="N179" s="2789"/>
      <c r="O179" s="2780" t="str">
        <f t="shared" si="52"/>
        <v>Champignons crus</v>
      </c>
      <c r="P179" s="2781">
        <f t="shared" ref="P179:U179" si="65">F179*P164</f>
        <v>10.120000000000001</v>
      </c>
      <c r="Q179" s="2781">
        <f t="shared" si="65"/>
        <v>49.739999999999995</v>
      </c>
      <c r="R179" s="2782">
        <f t="shared" si="65"/>
        <v>4.32</v>
      </c>
      <c r="S179" s="2783">
        <f t="shared" si="65"/>
        <v>1.2869999999999999</v>
      </c>
      <c r="T179" s="2783">
        <f t="shared" si="65"/>
        <v>2.3199999999999998</v>
      </c>
      <c r="U179" s="2781">
        <f t="shared" si="65"/>
        <v>1.36</v>
      </c>
      <c r="V179" s="2794">
        <f t="shared" si="55"/>
        <v>69.147000000000006</v>
      </c>
    </row>
    <row r="180" spans="1:22" ht="15.75">
      <c r="A180" s="2464"/>
      <c r="B180" s="2776"/>
      <c r="C180" s="2796" t="s">
        <v>386</v>
      </c>
      <c r="D180" s="2797"/>
      <c r="E180" s="2798"/>
      <c r="F180" s="2640">
        <v>0.04</v>
      </c>
      <c r="G180" s="2640">
        <v>0.06</v>
      </c>
      <c r="H180" s="2650">
        <v>0.09</v>
      </c>
      <c r="I180" s="2652">
        <f t="shared" si="51"/>
        <v>9.8999999999999991E-2</v>
      </c>
      <c r="J180" s="2656">
        <v>0.08</v>
      </c>
      <c r="K180" s="2640">
        <v>0.08</v>
      </c>
      <c r="L180" s="2779">
        <v>10</v>
      </c>
      <c r="M180" s="1985"/>
      <c r="N180" s="2789"/>
      <c r="O180" s="2780" t="str">
        <f t="shared" si="52"/>
        <v>Fenouil</v>
      </c>
      <c r="P180" s="2781">
        <f t="shared" ref="P180:U180" si="66">F180*P164</f>
        <v>10.120000000000001</v>
      </c>
      <c r="Q180" s="2781">
        <f t="shared" si="66"/>
        <v>49.739999999999995</v>
      </c>
      <c r="R180" s="2782">
        <f t="shared" si="66"/>
        <v>4.32</v>
      </c>
      <c r="S180" s="2783">
        <f t="shared" si="66"/>
        <v>1.2869999999999999</v>
      </c>
      <c r="T180" s="2783">
        <f t="shared" si="66"/>
        <v>2.3199999999999998</v>
      </c>
      <c r="U180" s="2781">
        <f t="shared" si="66"/>
        <v>1.36</v>
      </c>
      <c r="V180" s="2794">
        <f t="shared" si="55"/>
        <v>69.147000000000006</v>
      </c>
    </row>
    <row r="181" spans="1:22" ht="15" customHeight="1">
      <c r="A181" s="2464"/>
      <c r="B181" s="2785"/>
      <c r="C181" s="4597" t="s">
        <v>387</v>
      </c>
      <c r="D181" s="4597"/>
      <c r="E181" s="4597"/>
      <c r="F181" s="4597"/>
      <c r="G181" s="4597"/>
      <c r="H181" s="4597"/>
      <c r="I181" s="4597"/>
      <c r="J181" s="4597"/>
      <c r="K181" s="4597"/>
      <c r="L181" s="4598"/>
      <c r="M181" s="2766"/>
      <c r="N181" s="2766"/>
      <c r="O181" s="1201"/>
      <c r="P181" s="4601" t="str">
        <f>C181</f>
        <v>*- CUIDITES sans assaisonnement</v>
      </c>
      <c r="Q181" s="4602"/>
      <c r="R181" s="4602"/>
      <c r="S181" s="4602"/>
      <c r="T181" s="4602"/>
      <c r="U181" s="4602"/>
      <c r="V181" s="4603"/>
    </row>
    <row r="182" spans="1:22" ht="15" customHeight="1">
      <c r="A182" s="2464"/>
      <c r="B182" s="2785"/>
      <c r="C182" s="4599"/>
      <c r="D182" s="4599"/>
      <c r="E182" s="4599"/>
      <c r="F182" s="4599"/>
      <c r="G182" s="4599"/>
      <c r="H182" s="4599"/>
      <c r="I182" s="4599"/>
      <c r="J182" s="4599"/>
      <c r="K182" s="4599"/>
      <c r="L182" s="4600"/>
      <c r="M182" s="2766"/>
      <c r="N182" s="2766"/>
      <c r="O182" s="1201"/>
      <c r="P182" s="4604"/>
      <c r="Q182" s="4605"/>
      <c r="R182" s="4605"/>
      <c r="S182" s="4605"/>
      <c r="T182" s="4605"/>
      <c r="U182" s="4605"/>
      <c r="V182" s="4606"/>
    </row>
    <row r="183" spans="1:22" ht="15.75">
      <c r="A183" s="2464"/>
      <c r="B183" s="2776"/>
      <c r="C183" s="2799" t="s">
        <v>388</v>
      </c>
      <c r="D183" s="2800"/>
      <c r="E183" s="2788"/>
      <c r="F183" s="2640">
        <v>0.125</v>
      </c>
      <c r="G183" s="2640">
        <v>0.16600000000000001</v>
      </c>
      <c r="H183" s="2650">
        <v>0.25</v>
      </c>
      <c r="I183" s="2652">
        <f t="shared" ref="I183:I200" si="67">(H183*L183%)+H183</f>
        <v>0.27500000000000002</v>
      </c>
      <c r="J183" s="2656">
        <v>0.25</v>
      </c>
      <c r="K183" s="2640">
        <v>0.25</v>
      </c>
      <c r="L183" s="2779">
        <v>10</v>
      </c>
      <c r="M183" s="1200"/>
      <c r="N183" s="1200"/>
      <c r="O183" s="2780" t="str">
        <f t="shared" ref="O183:O197" si="68">C183</f>
        <v>Potage à base de légumes (en litres/Kg)</v>
      </c>
      <c r="P183" s="2781">
        <f t="shared" ref="P183:U183" si="69">F183*P164</f>
        <v>31.625</v>
      </c>
      <c r="Q183" s="2781">
        <f t="shared" si="69"/>
        <v>137.614</v>
      </c>
      <c r="R183" s="2782">
        <f t="shared" si="69"/>
        <v>12</v>
      </c>
      <c r="S183" s="2783">
        <f t="shared" si="69"/>
        <v>3.5750000000000002</v>
      </c>
      <c r="T183" s="2783">
        <f t="shared" si="69"/>
        <v>7.25</v>
      </c>
      <c r="U183" s="2781">
        <f t="shared" si="69"/>
        <v>4.25</v>
      </c>
      <c r="V183" s="2794">
        <f t="shared" ref="V183:V197" si="70">SUM(P183:U183)</f>
        <v>196.31399999999999</v>
      </c>
    </row>
    <row r="184" spans="1:22" ht="17.25">
      <c r="A184" s="2464"/>
      <c r="B184" s="2776"/>
      <c r="C184" s="2799" t="s">
        <v>2840</v>
      </c>
      <c r="D184" s="2800"/>
      <c r="E184" s="2788"/>
      <c r="F184" s="2640">
        <v>0.5</v>
      </c>
      <c r="G184" s="2640">
        <v>0.5</v>
      </c>
      <c r="H184" s="2650">
        <v>1</v>
      </c>
      <c r="I184" s="2652">
        <f t="shared" si="67"/>
        <v>1.1000000000000001</v>
      </c>
      <c r="J184" s="2656">
        <v>1</v>
      </c>
      <c r="K184" s="2640">
        <v>1</v>
      </c>
      <c r="L184" s="2779">
        <v>10</v>
      </c>
      <c r="M184" s="1200"/>
      <c r="N184" s="1200"/>
      <c r="O184" s="2790" t="str">
        <f t="shared" si="68"/>
        <v>Artichaut entier (à l'unité)</v>
      </c>
      <c r="P184" s="2791">
        <f t="shared" ref="P184:U184" si="71">F184*P164</f>
        <v>126.5</v>
      </c>
      <c r="Q184" s="2791">
        <f t="shared" si="71"/>
        <v>414.5</v>
      </c>
      <c r="R184" s="2792">
        <f t="shared" si="71"/>
        <v>48</v>
      </c>
      <c r="S184" s="2793">
        <f t="shared" si="71"/>
        <v>14.3</v>
      </c>
      <c r="T184" s="2793">
        <f t="shared" si="71"/>
        <v>29</v>
      </c>
      <c r="U184" s="2791">
        <f t="shared" si="71"/>
        <v>17</v>
      </c>
      <c r="V184" s="2794">
        <f t="shared" si="70"/>
        <v>649.29999999999995</v>
      </c>
    </row>
    <row r="185" spans="1:22" ht="17.25">
      <c r="A185" s="2464"/>
      <c r="B185" s="2776"/>
      <c r="C185" s="2799" t="s">
        <v>2841</v>
      </c>
      <c r="D185" s="2800"/>
      <c r="E185" s="2788"/>
      <c r="F185" s="2640">
        <v>0.05</v>
      </c>
      <c r="G185" s="2640">
        <v>7.0000000000000007E-2</v>
      </c>
      <c r="H185" s="2650">
        <v>0.09</v>
      </c>
      <c r="I185" s="2652">
        <f t="shared" si="67"/>
        <v>9.8999999999999991E-2</v>
      </c>
      <c r="J185" s="2656">
        <v>0.08</v>
      </c>
      <c r="K185" s="2640">
        <v>0.08</v>
      </c>
      <c r="L185" s="2779">
        <v>10</v>
      </c>
      <c r="M185" s="1200"/>
      <c r="N185" s="1200"/>
      <c r="O185" s="2780" t="str">
        <f t="shared" si="68"/>
        <v>Fond d'artichaut</v>
      </c>
      <c r="P185" s="2781">
        <f t="shared" ref="P185:U185" si="72">F185*P164</f>
        <v>12.65</v>
      </c>
      <c r="Q185" s="2781">
        <f t="shared" si="72"/>
        <v>58.030000000000008</v>
      </c>
      <c r="R185" s="2782">
        <f t="shared" si="72"/>
        <v>4.32</v>
      </c>
      <c r="S185" s="2783">
        <f t="shared" si="72"/>
        <v>1.2869999999999999</v>
      </c>
      <c r="T185" s="2783">
        <f t="shared" si="72"/>
        <v>2.3199999999999998</v>
      </c>
      <c r="U185" s="2781">
        <f t="shared" si="72"/>
        <v>1.36</v>
      </c>
      <c r="V185" s="2794">
        <f t="shared" si="70"/>
        <v>79.966999999999999</v>
      </c>
    </row>
    <row r="186" spans="1:22" ht="15.75">
      <c r="A186" s="2464"/>
      <c r="B186" s="2776"/>
      <c r="C186" s="2799" t="s">
        <v>389</v>
      </c>
      <c r="D186" s="2800"/>
      <c r="E186" s="2788"/>
      <c r="F186" s="2640">
        <v>0.05</v>
      </c>
      <c r="G186" s="2640">
        <v>7.0000000000000007E-2</v>
      </c>
      <c r="H186" s="2650">
        <v>0.09</v>
      </c>
      <c r="I186" s="2652">
        <f t="shared" si="67"/>
        <v>9.8999999999999991E-2</v>
      </c>
      <c r="J186" s="2656">
        <v>0.08</v>
      </c>
      <c r="K186" s="2640">
        <v>0.08</v>
      </c>
      <c r="L186" s="2779">
        <v>10</v>
      </c>
      <c r="M186" s="1200"/>
      <c r="N186" s="1200"/>
      <c r="O186" s="2780" t="str">
        <f t="shared" si="68"/>
        <v>Asperges</v>
      </c>
      <c r="P186" s="2781">
        <f t="shared" ref="P186:U186" si="73">F186*P164</f>
        <v>12.65</v>
      </c>
      <c r="Q186" s="2781">
        <f t="shared" si="73"/>
        <v>58.030000000000008</v>
      </c>
      <c r="R186" s="2782">
        <f t="shared" si="73"/>
        <v>4.32</v>
      </c>
      <c r="S186" s="2783">
        <f t="shared" si="73"/>
        <v>1.2869999999999999</v>
      </c>
      <c r="T186" s="2783">
        <f t="shared" si="73"/>
        <v>2.3199999999999998</v>
      </c>
      <c r="U186" s="2781">
        <f t="shared" si="73"/>
        <v>1.36</v>
      </c>
      <c r="V186" s="2794">
        <f t="shared" si="70"/>
        <v>79.966999999999999</v>
      </c>
    </row>
    <row r="187" spans="1:22" ht="15.75">
      <c r="A187" s="2464"/>
      <c r="B187" s="2776"/>
      <c r="C187" s="2799" t="s">
        <v>390</v>
      </c>
      <c r="D187" s="2800"/>
      <c r="E187" s="2788"/>
      <c r="F187" s="2640">
        <v>0.05</v>
      </c>
      <c r="G187" s="2640">
        <v>7.0000000000000007E-2</v>
      </c>
      <c r="H187" s="2650">
        <v>0.1</v>
      </c>
      <c r="I187" s="2652">
        <f t="shared" si="67"/>
        <v>0.11000000000000001</v>
      </c>
      <c r="J187" s="2656">
        <v>0.08</v>
      </c>
      <c r="K187" s="2640">
        <v>0.08</v>
      </c>
      <c r="L187" s="2779">
        <v>10</v>
      </c>
      <c r="M187" s="1200"/>
      <c r="N187" s="1200"/>
      <c r="O187" s="2780" t="str">
        <f t="shared" si="68"/>
        <v>Betteraves</v>
      </c>
      <c r="P187" s="2781">
        <f t="shared" ref="P187:U187" si="74">F187*P164</f>
        <v>12.65</v>
      </c>
      <c r="Q187" s="2781">
        <f t="shared" si="74"/>
        <v>58.030000000000008</v>
      </c>
      <c r="R187" s="2782">
        <f t="shared" si="74"/>
        <v>4.8000000000000007</v>
      </c>
      <c r="S187" s="2783">
        <f t="shared" si="74"/>
        <v>1.4300000000000002</v>
      </c>
      <c r="T187" s="2783">
        <f t="shared" si="74"/>
        <v>2.3199999999999998</v>
      </c>
      <c r="U187" s="2781">
        <f t="shared" si="74"/>
        <v>1.36</v>
      </c>
      <c r="V187" s="2794">
        <f t="shared" si="70"/>
        <v>80.59</v>
      </c>
    </row>
    <row r="188" spans="1:22" ht="15.75">
      <c r="A188" s="2464"/>
      <c r="B188" s="2776"/>
      <c r="C188" s="2799" t="s">
        <v>391</v>
      </c>
      <c r="D188" s="2800"/>
      <c r="E188" s="2788"/>
      <c r="F188" s="2640">
        <v>0.05</v>
      </c>
      <c r="G188" s="2640">
        <v>7.0000000000000007E-2</v>
      </c>
      <c r="H188" s="2650">
        <v>0.1</v>
      </c>
      <c r="I188" s="2652">
        <f t="shared" si="67"/>
        <v>0.11000000000000001</v>
      </c>
      <c r="J188" s="2656">
        <v>0.08</v>
      </c>
      <c r="K188" s="2640">
        <v>0.08</v>
      </c>
      <c r="L188" s="2779">
        <v>10</v>
      </c>
      <c r="M188" s="1200"/>
      <c r="N188" s="1200"/>
      <c r="O188" s="2780" t="str">
        <f t="shared" si="68"/>
        <v>Céleri</v>
      </c>
      <c r="P188" s="2781">
        <f t="shared" ref="P188:U188" si="75">F188*P164</f>
        <v>12.65</v>
      </c>
      <c r="Q188" s="2781">
        <f t="shared" si="75"/>
        <v>58.030000000000008</v>
      </c>
      <c r="R188" s="2782">
        <f t="shared" si="75"/>
        <v>4.8000000000000007</v>
      </c>
      <c r="S188" s="2783">
        <f t="shared" si="75"/>
        <v>1.4300000000000002</v>
      </c>
      <c r="T188" s="2783">
        <f t="shared" si="75"/>
        <v>2.3199999999999998</v>
      </c>
      <c r="U188" s="2781">
        <f t="shared" si="75"/>
        <v>1.36</v>
      </c>
      <c r="V188" s="2794">
        <f t="shared" si="70"/>
        <v>80.59</v>
      </c>
    </row>
    <row r="189" spans="1:22" ht="15.75">
      <c r="A189" s="2464"/>
      <c r="B189" s="2776"/>
      <c r="C189" s="2799" t="s">
        <v>392</v>
      </c>
      <c r="D189" s="2800"/>
      <c r="E189" s="2788"/>
      <c r="F189" s="2640">
        <v>0.05</v>
      </c>
      <c r="G189" s="2640">
        <v>7.0000000000000007E-2</v>
      </c>
      <c r="H189" s="2650">
        <v>0.11</v>
      </c>
      <c r="I189" s="2652">
        <f t="shared" si="67"/>
        <v>0.121</v>
      </c>
      <c r="J189" s="2656">
        <v>0.08</v>
      </c>
      <c r="K189" s="2640">
        <v>0.08</v>
      </c>
      <c r="L189" s="2779">
        <v>10</v>
      </c>
      <c r="M189" s="1200"/>
      <c r="N189" s="1200"/>
      <c r="O189" s="2780" t="str">
        <f t="shared" si="68"/>
        <v>Champignons</v>
      </c>
      <c r="P189" s="2781">
        <f t="shared" ref="P189:U189" si="76">F189*P164</f>
        <v>12.65</v>
      </c>
      <c r="Q189" s="2781">
        <f t="shared" si="76"/>
        <v>58.030000000000008</v>
      </c>
      <c r="R189" s="2782">
        <f t="shared" si="76"/>
        <v>5.28</v>
      </c>
      <c r="S189" s="2783">
        <f t="shared" si="76"/>
        <v>1.573</v>
      </c>
      <c r="T189" s="2783">
        <f t="shared" si="76"/>
        <v>2.3199999999999998</v>
      </c>
      <c r="U189" s="2781">
        <f t="shared" si="76"/>
        <v>1.36</v>
      </c>
      <c r="V189" s="2794">
        <f t="shared" si="70"/>
        <v>81.212999999999994</v>
      </c>
    </row>
    <row r="190" spans="1:22" ht="15.75">
      <c r="A190" s="2464"/>
      <c r="B190" s="2776"/>
      <c r="C190" s="2799" t="s">
        <v>393</v>
      </c>
      <c r="D190" s="2800"/>
      <c r="E190" s="2788"/>
      <c r="F190" s="2640">
        <v>0.05</v>
      </c>
      <c r="G190" s="2640">
        <v>7.0000000000000007E-2</v>
      </c>
      <c r="H190" s="2650">
        <v>0.1</v>
      </c>
      <c r="I190" s="2652">
        <f t="shared" si="67"/>
        <v>0.11000000000000001</v>
      </c>
      <c r="J190" s="2656">
        <v>0.08</v>
      </c>
      <c r="K190" s="2640">
        <v>0.08</v>
      </c>
      <c r="L190" s="2779">
        <v>10</v>
      </c>
      <c r="M190" s="1200"/>
      <c r="N190" s="1200"/>
      <c r="O190" s="2780" t="str">
        <f t="shared" si="68"/>
        <v>Choux fleurs</v>
      </c>
      <c r="P190" s="2781">
        <f t="shared" ref="P190:U190" si="77">F190*P164</f>
        <v>12.65</v>
      </c>
      <c r="Q190" s="2781">
        <f t="shared" si="77"/>
        <v>58.030000000000008</v>
      </c>
      <c r="R190" s="2782">
        <f t="shared" si="77"/>
        <v>4.8000000000000007</v>
      </c>
      <c r="S190" s="2783">
        <f t="shared" si="77"/>
        <v>1.4300000000000002</v>
      </c>
      <c r="T190" s="2783">
        <f t="shared" si="77"/>
        <v>2.3199999999999998</v>
      </c>
      <c r="U190" s="2781">
        <f t="shared" si="77"/>
        <v>1.36</v>
      </c>
      <c r="V190" s="2794">
        <f t="shared" si="70"/>
        <v>80.59</v>
      </c>
    </row>
    <row r="191" spans="1:22" ht="15.75">
      <c r="A191" s="2464"/>
      <c r="B191" s="2776"/>
      <c r="C191" s="2799" t="s">
        <v>394</v>
      </c>
      <c r="D191" s="2800"/>
      <c r="E191" s="2788"/>
      <c r="F191" s="2640">
        <v>0.04</v>
      </c>
      <c r="G191" s="2640">
        <v>0.06</v>
      </c>
      <c r="H191" s="2650">
        <v>0.09</v>
      </c>
      <c r="I191" s="2652">
        <f t="shared" si="67"/>
        <v>9.8999999999999991E-2</v>
      </c>
      <c r="J191" s="2656">
        <v>7.0000000000000007E-2</v>
      </c>
      <c r="K191" s="2640">
        <v>7.0000000000000007E-2</v>
      </c>
      <c r="L191" s="2779">
        <v>10</v>
      </c>
      <c r="M191" s="1200"/>
      <c r="N191" s="1200"/>
      <c r="O191" s="2780" t="str">
        <f t="shared" si="68"/>
        <v>Cœurs de palmier</v>
      </c>
      <c r="P191" s="2781">
        <f t="shared" ref="P191:U191" si="78">F191*P164</f>
        <v>10.120000000000001</v>
      </c>
      <c r="Q191" s="2781">
        <f t="shared" si="78"/>
        <v>49.739999999999995</v>
      </c>
      <c r="R191" s="2782">
        <f t="shared" si="78"/>
        <v>4.32</v>
      </c>
      <c r="S191" s="2783">
        <f t="shared" si="78"/>
        <v>1.2869999999999999</v>
      </c>
      <c r="T191" s="2783">
        <f t="shared" si="78"/>
        <v>2.0300000000000002</v>
      </c>
      <c r="U191" s="2781">
        <f t="shared" si="78"/>
        <v>1.1900000000000002</v>
      </c>
      <c r="V191" s="2794">
        <f t="shared" si="70"/>
        <v>68.687000000000012</v>
      </c>
    </row>
    <row r="192" spans="1:22" ht="15.75">
      <c r="A192" s="2464"/>
      <c r="B192" s="2776"/>
      <c r="C192" s="2799" t="s">
        <v>386</v>
      </c>
      <c r="D192" s="2800"/>
      <c r="E192" s="2788"/>
      <c r="F192" s="2640">
        <v>0.04</v>
      </c>
      <c r="G192" s="2640">
        <v>0.06</v>
      </c>
      <c r="H192" s="2650">
        <v>0.09</v>
      </c>
      <c r="I192" s="2652">
        <f t="shared" si="67"/>
        <v>9.8999999999999991E-2</v>
      </c>
      <c r="J192" s="2656">
        <v>7.0000000000000007E-2</v>
      </c>
      <c r="K192" s="2640">
        <v>7.0000000000000007E-2</v>
      </c>
      <c r="L192" s="2779">
        <v>10</v>
      </c>
      <c r="M192" s="1200"/>
      <c r="N192" s="1200"/>
      <c r="O192" s="2780" t="str">
        <f t="shared" si="68"/>
        <v>Fenouil</v>
      </c>
      <c r="P192" s="2781">
        <f t="shared" ref="P192:U192" si="79">F192*P164</f>
        <v>10.120000000000001</v>
      </c>
      <c r="Q192" s="2781">
        <f t="shared" si="79"/>
        <v>49.739999999999995</v>
      </c>
      <c r="R192" s="2782">
        <f t="shared" si="79"/>
        <v>4.32</v>
      </c>
      <c r="S192" s="2783">
        <f t="shared" si="79"/>
        <v>1.2869999999999999</v>
      </c>
      <c r="T192" s="2783">
        <f t="shared" si="79"/>
        <v>2.0300000000000002</v>
      </c>
      <c r="U192" s="2781">
        <f t="shared" si="79"/>
        <v>1.1900000000000002</v>
      </c>
      <c r="V192" s="2794">
        <f t="shared" si="70"/>
        <v>68.687000000000012</v>
      </c>
    </row>
    <row r="193" spans="1:22" ht="15.75">
      <c r="A193" s="2464"/>
      <c r="B193" s="2776"/>
      <c r="C193" s="2799" t="s">
        <v>395</v>
      </c>
      <c r="D193" s="2800"/>
      <c r="E193" s="2788"/>
      <c r="F193" s="2640">
        <v>0.05</v>
      </c>
      <c r="G193" s="2640">
        <v>7.0000000000000007E-2</v>
      </c>
      <c r="H193" s="2650">
        <v>0.11</v>
      </c>
      <c r="I193" s="2652">
        <f t="shared" si="67"/>
        <v>0.121</v>
      </c>
      <c r="J193" s="2656">
        <v>0.08</v>
      </c>
      <c r="K193" s="2640">
        <v>0.08</v>
      </c>
      <c r="L193" s="2779">
        <v>10</v>
      </c>
      <c r="M193" s="1200"/>
      <c r="N193" s="1200"/>
      <c r="O193" s="2780" t="str">
        <f t="shared" si="68"/>
        <v>Haricots verts</v>
      </c>
      <c r="P193" s="2781">
        <f t="shared" ref="P193:U193" si="80">F193*P164</f>
        <v>12.65</v>
      </c>
      <c r="Q193" s="2781">
        <f t="shared" si="80"/>
        <v>58.030000000000008</v>
      </c>
      <c r="R193" s="2782">
        <f t="shared" si="80"/>
        <v>5.28</v>
      </c>
      <c r="S193" s="2783">
        <f t="shared" si="80"/>
        <v>1.573</v>
      </c>
      <c r="T193" s="2783">
        <f t="shared" si="80"/>
        <v>2.3199999999999998</v>
      </c>
      <c r="U193" s="2781">
        <f t="shared" si="80"/>
        <v>1.36</v>
      </c>
      <c r="V193" s="2794">
        <f t="shared" si="70"/>
        <v>81.212999999999994</v>
      </c>
    </row>
    <row r="194" spans="1:22" ht="15.75">
      <c r="A194" s="2464"/>
      <c r="B194" s="2776"/>
      <c r="C194" s="2799" t="s">
        <v>396</v>
      </c>
      <c r="D194" s="2800"/>
      <c r="E194" s="2788"/>
      <c r="F194" s="2640">
        <v>0.05</v>
      </c>
      <c r="G194" s="2640">
        <v>7.0000000000000007E-2</v>
      </c>
      <c r="H194" s="2650">
        <v>0.11</v>
      </c>
      <c r="I194" s="2652">
        <f t="shared" si="67"/>
        <v>0.121</v>
      </c>
      <c r="J194" s="2656">
        <v>0.08</v>
      </c>
      <c r="K194" s="2640">
        <v>0.08</v>
      </c>
      <c r="L194" s="2779">
        <v>10</v>
      </c>
      <c r="M194" s="1200"/>
      <c r="N194" s="1200"/>
      <c r="O194" s="2780" t="str">
        <f t="shared" si="68"/>
        <v>Poireaux (blancs de poireaux)</v>
      </c>
      <c r="P194" s="2781">
        <f t="shared" ref="P194:U194" si="81">F194*P164</f>
        <v>12.65</v>
      </c>
      <c r="Q194" s="2781">
        <f t="shared" si="81"/>
        <v>58.030000000000008</v>
      </c>
      <c r="R194" s="2782">
        <f t="shared" si="81"/>
        <v>5.28</v>
      </c>
      <c r="S194" s="2783">
        <f t="shared" si="81"/>
        <v>1.573</v>
      </c>
      <c r="T194" s="2783">
        <f t="shared" si="81"/>
        <v>2.3199999999999998</v>
      </c>
      <c r="U194" s="2781">
        <f t="shared" si="81"/>
        <v>1.36</v>
      </c>
      <c r="V194" s="2794">
        <f t="shared" si="70"/>
        <v>81.212999999999994</v>
      </c>
    </row>
    <row r="195" spans="1:22" ht="15.75">
      <c r="A195" s="2464"/>
      <c r="B195" s="2776"/>
      <c r="C195" s="2799" t="s">
        <v>397</v>
      </c>
      <c r="D195" s="2800"/>
      <c r="E195" s="2788"/>
      <c r="F195" s="2640">
        <v>0.05</v>
      </c>
      <c r="G195" s="2640">
        <v>7.0000000000000007E-2</v>
      </c>
      <c r="H195" s="2650">
        <v>0.11</v>
      </c>
      <c r="I195" s="2652">
        <f t="shared" si="67"/>
        <v>0.121</v>
      </c>
      <c r="J195" s="2656">
        <v>0.08</v>
      </c>
      <c r="K195" s="2640">
        <v>0.08</v>
      </c>
      <c r="L195" s="2779">
        <v>10</v>
      </c>
      <c r="M195" s="1200"/>
      <c r="N195" s="1200"/>
      <c r="O195" s="2780" t="str">
        <f t="shared" si="68"/>
        <v>Salade composée à base de légumes cuits</v>
      </c>
      <c r="P195" s="2781">
        <f t="shared" ref="P195:U195" si="82">F195*P164</f>
        <v>12.65</v>
      </c>
      <c r="Q195" s="2781">
        <f t="shared" si="82"/>
        <v>58.030000000000008</v>
      </c>
      <c r="R195" s="2782">
        <f t="shared" si="82"/>
        <v>5.28</v>
      </c>
      <c r="S195" s="2783">
        <f t="shared" si="82"/>
        <v>1.573</v>
      </c>
      <c r="T195" s="2783">
        <f t="shared" si="82"/>
        <v>2.3199999999999998</v>
      </c>
      <c r="U195" s="2781">
        <f t="shared" si="82"/>
        <v>1.36</v>
      </c>
      <c r="V195" s="2794">
        <f t="shared" si="70"/>
        <v>81.212999999999994</v>
      </c>
    </row>
    <row r="196" spans="1:22" ht="15.75">
      <c r="A196" s="2464"/>
      <c r="B196" s="2776"/>
      <c r="C196" s="2799" t="s">
        <v>398</v>
      </c>
      <c r="D196" s="2800"/>
      <c r="E196" s="2788"/>
      <c r="F196" s="2640">
        <v>0.05</v>
      </c>
      <c r="G196" s="2640">
        <v>7.0000000000000007E-2</v>
      </c>
      <c r="H196" s="2650">
        <v>0.11</v>
      </c>
      <c r="I196" s="2652">
        <f t="shared" si="67"/>
        <v>0.121</v>
      </c>
      <c r="J196" s="2656">
        <v>7.0000000000000007E-2</v>
      </c>
      <c r="K196" s="2640">
        <v>7.0000000000000007E-2</v>
      </c>
      <c r="L196" s="2779">
        <v>10</v>
      </c>
      <c r="M196" s="1200"/>
      <c r="N196" s="1200"/>
      <c r="O196" s="2780" t="str">
        <f t="shared" si="68"/>
        <v>Soja (germes de haricots mungo)</v>
      </c>
      <c r="P196" s="2781">
        <f t="shared" ref="P196:U196" si="83">F196*P164</f>
        <v>12.65</v>
      </c>
      <c r="Q196" s="2781">
        <f t="shared" si="83"/>
        <v>58.030000000000008</v>
      </c>
      <c r="R196" s="2782">
        <f t="shared" si="83"/>
        <v>5.28</v>
      </c>
      <c r="S196" s="2783">
        <f t="shared" si="83"/>
        <v>1.573</v>
      </c>
      <c r="T196" s="2783">
        <f t="shared" si="83"/>
        <v>2.0300000000000002</v>
      </c>
      <c r="U196" s="2781">
        <f t="shared" si="83"/>
        <v>1.1900000000000002</v>
      </c>
      <c r="V196" s="2794">
        <f t="shared" si="70"/>
        <v>80.753</v>
      </c>
    </row>
    <row r="197" spans="1:22" ht="15.75">
      <c r="A197" s="2464"/>
      <c r="B197" s="2776"/>
      <c r="C197" s="2801" t="s">
        <v>399</v>
      </c>
      <c r="D197" s="2802"/>
      <c r="E197" s="2798"/>
      <c r="F197" s="2640">
        <v>0.03</v>
      </c>
      <c r="G197" s="2640">
        <v>0.03</v>
      </c>
      <c r="H197" s="2650">
        <v>0.04</v>
      </c>
      <c r="I197" s="2652">
        <f t="shared" si="67"/>
        <v>4.3999999999999997E-2</v>
      </c>
      <c r="J197" s="2656">
        <v>0.03</v>
      </c>
      <c r="K197" s="2640">
        <v>0.03</v>
      </c>
      <c r="L197" s="2779">
        <v>10</v>
      </c>
      <c r="M197" s="1200"/>
      <c r="N197" s="1200"/>
      <c r="O197" s="2780" t="str">
        <f t="shared" si="68"/>
        <v>Terrine de légumes</v>
      </c>
      <c r="P197" s="2781">
        <f t="shared" ref="P197:U197" si="84">F197*P164</f>
        <v>7.59</v>
      </c>
      <c r="Q197" s="2781">
        <f t="shared" si="84"/>
        <v>24.869999999999997</v>
      </c>
      <c r="R197" s="2782">
        <f t="shared" si="84"/>
        <v>1.92</v>
      </c>
      <c r="S197" s="2783">
        <f t="shared" si="84"/>
        <v>0.57199999999999995</v>
      </c>
      <c r="T197" s="2783">
        <f t="shared" si="84"/>
        <v>0.87</v>
      </c>
      <c r="U197" s="2781">
        <f t="shared" si="84"/>
        <v>0.51</v>
      </c>
      <c r="V197" s="2794">
        <f t="shared" si="70"/>
        <v>36.331999999999994</v>
      </c>
    </row>
    <row r="198" spans="1:22" ht="15" customHeight="1">
      <c r="A198" s="2464"/>
      <c r="B198" s="2785"/>
      <c r="C198" s="4597" t="s">
        <v>400</v>
      </c>
      <c r="D198" s="4597"/>
      <c r="E198" s="4597"/>
      <c r="F198" s="4597"/>
      <c r="G198" s="4597"/>
      <c r="H198" s="4597"/>
      <c r="I198" s="4597"/>
      <c r="J198" s="4597"/>
      <c r="K198" s="4597"/>
      <c r="L198" s="4598"/>
      <c r="M198" s="2766"/>
      <c r="N198" s="2766"/>
      <c r="O198" s="1201"/>
      <c r="P198" s="4601" t="str">
        <f>C198</f>
        <v xml:space="preserve">*- ENTRÉES DE FÉCULENT </v>
      </c>
      <c r="Q198" s="4602"/>
      <c r="R198" s="4602"/>
      <c r="S198" s="4602"/>
      <c r="T198" s="4602"/>
      <c r="U198" s="4602"/>
      <c r="V198" s="4603"/>
    </row>
    <row r="199" spans="1:22" ht="15" customHeight="1">
      <c r="A199" s="2464"/>
      <c r="B199" s="2785"/>
      <c r="C199" s="4599"/>
      <c r="D199" s="4599"/>
      <c r="E199" s="4599"/>
      <c r="F199" s="4599"/>
      <c r="G199" s="4599"/>
      <c r="H199" s="4599"/>
      <c r="I199" s="4599"/>
      <c r="J199" s="4599"/>
      <c r="K199" s="4599"/>
      <c r="L199" s="4600"/>
      <c r="M199" s="2766"/>
      <c r="N199" s="2766"/>
      <c r="O199" s="1201"/>
      <c r="P199" s="4604"/>
      <c r="Q199" s="4605"/>
      <c r="R199" s="4605"/>
      <c r="S199" s="4605"/>
      <c r="T199" s="4605"/>
      <c r="U199" s="4605"/>
      <c r="V199" s="4606"/>
    </row>
    <row r="200" spans="1:22" ht="15.75">
      <c r="A200" s="2464"/>
      <c r="B200" s="2785"/>
      <c r="C200" s="2803" t="s">
        <v>401</v>
      </c>
      <c r="D200" s="2803"/>
      <c r="E200" s="2804"/>
      <c r="F200" s="2805">
        <v>0.06</v>
      </c>
      <c r="G200" s="2805">
        <v>0.08</v>
      </c>
      <c r="H200" s="2806">
        <v>0.13</v>
      </c>
      <c r="I200" s="2652">
        <f t="shared" si="67"/>
        <v>0.14300000000000002</v>
      </c>
      <c r="J200" s="2807">
        <v>0.1</v>
      </c>
      <c r="K200" s="2805">
        <v>0.1</v>
      </c>
      <c r="L200" s="2808">
        <v>10</v>
      </c>
      <c r="M200" s="1200"/>
      <c r="N200" s="1200"/>
      <c r="O200" s="1201"/>
      <c r="P200" s="2781">
        <f t="shared" ref="P200:U200" si="85">F200*P164</f>
        <v>15.18</v>
      </c>
      <c r="Q200" s="2781">
        <f t="shared" si="85"/>
        <v>66.320000000000007</v>
      </c>
      <c r="R200" s="2782">
        <f t="shared" si="85"/>
        <v>6.24</v>
      </c>
      <c r="S200" s="2783">
        <f t="shared" si="85"/>
        <v>1.8590000000000002</v>
      </c>
      <c r="T200" s="2783">
        <f t="shared" si="85"/>
        <v>2.9000000000000004</v>
      </c>
      <c r="U200" s="2781">
        <f t="shared" si="85"/>
        <v>1.7000000000000002</v>
      </c>
      <c r="V200" s="2794">
        <f>SUM(P200:U200)</f>
        <v>94.198999999999998</v>
      </c>
    </row>
    <row r="201" spans="1:22" ht="15" customHeight="1">
      <c r="A201" s="2464"/>
      <c r="B201" s="2785"/>
      <c r="C201" s="4597" t="s">
        <v>402</v>
      </c>
      <c r="D201" s="4597"/>
      <c r="E201" s="4597"/>
      <c r="F201" s="4597"/>
      <c r="G201" s="4597"/>
      <c r="H201" s="4597"/>
      <c r="I201" s="4597"/>
      <c r="J201" s="4597"/>
      <c r="K201" s="4597"/>
      <c r="L201" s="4598"/>
      <c r="M201" s="2766"/>
      <c r="N201" s="2766"/>
      <c r="O201" s="1201"/>
      <c r="P201" s="4601" t="str">
        <f>C201</f>
        <v>*- ENTREES PROTIDIQUES DIVERSES</v>
      </c>
      <c r="Q201" s="4602"/>
      <c r="R201" s="4602"/>
      <c r="S201" s="4602"/>
      <c r="T201" s="4602"/>
      <c r="U201" s="4602"/>
      <c r="V201" s="4603"/>
    </row>
    <row r="202" spans="1:22" ht="15" customHeight="1">
      <c r="A202" s="2464"/>
      <c r="B202" s="2785"/>
      <c r="C202" s="4599"/>
      <c r="D202" s="4599"/>
      <c r="E202" s="4599"/>
      <c r="F202" s="4599"/>
      <c r="G202" s="4599"/>
      <c r="H202" s="4599"/>
      <c r="I202" s="4599"/>
      <c r="J202" s="4599"/>
      <c r="K202" s="4599"/>
      <c r="L202" s="4600"/>
      <c r="M202" s="2766"/>
      <c r="N202" s="2766"/>
      <c r="O202" s="1201"/>
      <c r="P202" s="4604"/>
      <c r="Q202" s="4605"/>
      <c r="R202" s="4605"/>
      <c r="S202" s="4605"/>
      <c r="T202" s="4605"/>
      <c r="U202" s="4605"/>
      <c r="V202" s="4606"/>
    </row>
    <row r="203" spans="1:22">
      <c r="A203" s="2809"/>
      <c r="B203" s="2810"/>
      <c r="C203" s="2811" t="s">
        <v>2842</v>
      </c>
      <c r="D203" s="2811"/>
      <c r="E203" s="2812"/>
      <c r="F203" s="2813">
        <v>0.5</v>
      </c>
      <c r="G203" s="2813">
        <v>1</v>
      </c>
      <c r="H203" s="2814">
        <v>1.25</v>
      </c>
      <c r="I203" s="2815">
        <f t="shared" ref="I203:I213" si="86">(H203*L203%)+H203</f>
        <v>1.375</v>
      </c>
      <c r="J203" s="2814">
        <v>1</v>
      </c>
      <c r="K203" s="2813">
        <v>1</v>
      </c>
      <c r="L203" s="2816">
        <v>10</v>
      </c>
      <c r="M203" s="2817"/>
      <c r="N203" s="2817"/>
      <c r="O203" s="2790" t="str">
        <f t="shared" ref="O203:O214" si="87">C203</f>
        <v>Œuf dur (à l'unité)</v>
      </c>
      <c r="P203" s="2791">
        <f t="shared" ref="P203:U203" si="88">F203*P164</f>
        <v>126.5</v>
      </c>
      <c r="Q203" s="2791">
        <f t="shared" si="88"/>
        <v>829</v>
      </c>
      <c r="R203" s="2792">
        <f t="shared" si="88"/>
        <v>60</v>
      </c>
      <c r="S203" s="2793">
        <f t="shared" si="88"/>
        <v>17.875</v>
      </c>
      <c r="T203" s="2793">
        <f t="shared" si="88"/>
        <v>29</v>
      </c>
      <c r="U203" s="2791">
        <f t="shared" si="88"/>
        <v>17</v>
      </c>
      <c r="V203" s="2794">
        <f t="shared" ref="V203:V214" si="89">SUM(P203:U203)</f>
        <v>1079.375</v>
      </c>
    </row>
    <row r="204" spans="1:22" ht="15.75">
      <c r="A204" s="2464"/>
      <c r="B204" s="2776"/>
      <c r="C204" s="2800" t="s">
        <v>403</v>
      </c>
      <c r="D204" s="2800"/>
      <c r="E204" s="2788"/>
      <c r="F204" s="2640">
        <v>0</v>
      </c>
      <c r="G204" s="2640">
        <v>0.04</v>
      </c>
      <c r="H204" s="2650">
        <v>0.05</v>
      </c>
      <c r="I204" s="2652">
        <f t="shared" si="86"/>
        <v>5.5000000000000007E-2</v>
      </c>
      <c r="J204" s="2656">
        <v>0.06</v>
      </c>
      <c r="K204" s="2640">
        <v>0.06</v>
      </c>
      <c r="L204" s="2779">
        <v>10</v>
      </c>
      <c r="M204" s="1200"/>
      <c r="N204" s="1200"/>
      <c r="O204" s="2780" t="str">
        <f t="shared" si="87"/>
        <v>Hareng/garniture</v>
      </c>
      <c r="P204" s="2781">
        <f t="shared" ref="P204:U204" si="90">F204*P164</f>
        <v>0</v>
      </c>
      <c r="Q204" s="2781">
        <f t="shared" si="90"/>
        <v>33.160000000000004</v>
      </c>
      <c r="R204" s="2782">
        <f t="shared" si="90"/>
        <v>2.4000000000000004</v>
      </c>
      <c r="S204" s="2783">
        <f t="shared" si="90"/>
        <v>0.71500000000000008</v>
      </c>
      <c r="T204" s="2783">
        <f t="shared" si="90"/>
        <v>1.74</v>
      </c>
      <c r="U204" s="2781">
        <f t="shared" si="90"/>
        <v>1.02</v>
      </c>
      <c r="V204" s="2794">
        <f t="shared" si="89"/>
        <v>39.035000000000011</v>
      </c>
    </row>
    <row r="205" spans="1:22" ht="15.75">
      <c r="A205" s="2464"/>
      <c r="B205" s="2776"/>
      <c r="C205" s="2800" t="s">
        <v>404</v>
      </c>
      <c r="D205" s="2800"/>
      <c r="E205" s="2788"/>
      <c r="F205" s="2640">
        <v>0.03</v>
      </c>
      <c r="G205" s="2640">
        <v>0.03</v>
      </c>
      <c r="H205" s="2650">
        <v>4.4999999999999998E-2</v>
      </c>
      <c r="I205" s="2652">
        <f t="shared" si="86"/>
        <v>4.9499999999999995E-2</v>
      </c>
      <c r="J205" s="2656">
        <v>0.05</v>
      </c>
      <c r="K205" s="2640">
        <v>0.05</v>
      </c>
      <c r="L205" s="2779">
        <v>10</v>
      </c>
      <c r="M205" s="1200"/>
      <c r="N205" s="1200"/>
      <c r="O205" s="2780" t="str">
        <f t="shared" si="87"/>
        <v>Maquereau</v>
      </c>
      <c r="P205" s="2781">
        <f t="shared" ref="P205:U205" si="91">F205*P164</f>
        <v>7.59</v>
      </c>
      <c r="Q205" s="2781">
        <f t="shared" si="91"/>
        <v>24.869999999999997</v>
      </c>
      <c r="R205" s="2782">
        <f t="shared" si="91"/>
        <v>2.16</v>
      </c>
      <c r="S205" s="2783">
        <f t="shared" si="91"/>
        <v>0.64349999999999996</v>
      </c>
      <c r="T205" s="2783">
        <f t="shared" si="91"/>
        <v>1.4500000000000002</v>
      </c>
      <c r="U205" s="2781">
        <f t="shared" si="91"/>
        <v>0.85000000000000009</v>
      </c>
      <c r="V205" s="2794">
        <f t="shared" si="89"/>
        <v>37.563499999999998</v>
      </c>
    </row>
    <row r="206" spans="1:22" ht="15.75">
      <c r="A206" s="2464"/>
      <c r="B206" s="2776"/>
      <c r="C206" s="2800" t="s">
        <v>2843</v>
      </c>
      <c r="D206" s="2800"/>
      <c r="E206" s="2788"/>
      <c r="F206" s="2640">
        <v>1</v>
      </c>
      <c r="G206" s="2640">
        <v>1</v>
      </c>
      <c r="H206" s="2650">
        <v>2</v>
      </c>
      <c r="I206" s="2652">
        <f t="shared" si="86"/>
        <v>2.2000000000000002</v>
      </c>
      <c r="J206" s="2656">
        <v>2</v>
      </c>
      <c r="K206" s="2640">
        <v>2</v>
      </c>
      <c r="L206" s="2779">
        <v>10</v>
      </c>
      <c r="M206" s="1200"/>
      <c r="N206" s="1200"/>
      <c r="O206" s="2790" t="str">
        <f t="shared" si="87"/>
        <v>Sardines (à l'unité) sauf exception mentionnée</v>
      </c>
      <c r="P206" s="2791">
        <f t="shared" ref="P206:U206" si="92">F206*P164</f>
        <v>253</v>
      </c>
      <c r="Q206" s="2791">
        <f t="shared" si="92"/>
        <v>829</v>
      </c>
      <c r="R206" s="2792">
        <f t="shared" si="92"/>
        <v>96</v>
      </c>
      <c r="S206" s="2793">
        <f t="shared" si="92"/>
        <v>28.6</v>
      </c>
      <c r="T206" s="2793">
        <f t="shared" si="92"/>
        <v>58</v>
      </c>
      <c r="U206" s="2791">
        <f t="shared" si="92"/>
        <v>34</v>
      </c>
      <c r="V206" s="2794">
        <f t="shared" si="89"/>
        <v>1298.5999999999999</v>
      </c>
    </row>
    <row r="207" spans="1:22" ht="15.75">
      <c r="A207" s="2464"/>
      <c r="B207" s="2776"/>
      <c r="C207" s="2800" t="s">
        <v>405</v>
      </c>
      <c r="D207" s="2800"/>
      <c r="E207" s="2788"/>
      <c r="F207" s="2640">
        <v>0.03</v>
      </c>
      <c r="G207" s="2640">
        <v>0.03</v>
      </c>
      <c r="H207" s="2650">
        <v>4.4999999999999998E-2</v>
      </c>
      <c r="I207" s="2652">
        <f t="shared" si="86"/>
        <v>4.9499999999999995E-2</v>
      </c>
      <c r="J207" s="2656">
        <v>0.05</v>
      </c>
      <c r="K207" s="2640">
        <v>0.05</v>
      </c>
      <c r="L207" s="2779">
        <v>10</v>
      </c>
      <c r="M207" s="1200"/>
      <c r="N207" s="1200"/>
      <c r="O207" s="2780" t="str">
        <f t="shared" si="87"/>
        <v>Thon au naturel</v>
      </c>
      <c r="P207" s="2781">
        <f t="shared" ref="P207:U207" si="93">F207*P164</f>
        <v>7.59</v>
      </c>
      <c r="Q207" s="2781">
        <f t="shared" si="93"/>
        <v>24.869999999999997</v>
      </c>
      <c r="R207" s="2782">
        <f t="shared" si="93"/>
        <v>2.16</v>
      </c>
      <c r="S207" s="2783">
        <f t="shared" si="93"/>
        <v>0.64349999999999996</v>
      </c>
      <c r="T207" s="2783">
        <f t="shared" si="93"/>
        <v>1.4500000000000002</v>
      </c>
      <c r="U207" s="2781">
        <f t="shared" si="93"/>
        <v>0.85000000000000009</v>
      </c>
      <c r="V207" s="2794">
        <f t="shared" si="89"/>
        <v>37.563499999999998</v>
      </c>
    </row>
    <row r="208" spans="1:22" ht="15.75">
      <c r="A208" s="2464"/>
      <c r="B208" s="2776"/>
      <c r="C208" s="2800" t="s">
        <v>406</v>
      </c>
      <c r="D208" s="2800"/>
      <c r="E208" s="2788"/>
      <c r="F208" s="2640">
        <v>0.02</v>
      </c>
      <c r="G208" s="2640">
        <v>0.03</v>
      </c>
      <c r="H208" s="2650">
        <v>4.4999999999999998E-2</v>
      </c>
      <c r="I208" s="2652">
        <f t="shared" si="86"/>
        <v>4.9499999999999995E-2</v>
      </c>
      <c r="J208" s="2656">
        <v>0.05</v>
      </c>
      <c r="K208" s="2640">
        <v>0.05</v>
      </c>
      <c r="L208" s="2779">
        <v>10</v>
      </c>
      <c r="M208" s="1200"/>
      <c r="N208" s="1200"/>
      <c r="O208" s="2780" t="str">
        <f t="shared" si="87"/>
        <v>Jambon cru de pays</v>
      </c>
      <c r="P208" s="2781">
        <f t="shared" ref="P208:U208" si="94">F208*P164</f>
        <v>5.0600000000000005</v>
      </c>
      <c r="Q208" s="2781">
        <f t="shared" si="94"/>
        <v>24.869999999999997</v>
      </c>
      <c r="R208" s="2782">
        <f t="shared" si="94"/>
        <v>2.16</v>
      </c>
      <c r="S208" s="2783">
        <f t="shared" si="94"/>
        <v>0.64349999999999996</v>
      </c>
      <c r="T208" s="2783">
        <f t="shared" si="94"/>
        <v>1.4500000000000002</v>
      </c>
      <c r="U208" s="2781">
        <f t="shared" si="94"/>
        <v>0.85000000000000009</v>
      </c>
      <c r="V208" s="2794">
        <f t="shared" si="89"/>
        <v>35.033500000000011</v>
      </c>
    </row>
    <row r="209" spans="1:22" ht="15.75">
      <c r="A209" s="2464"/>
      <c r="B209" s="2776"/>
      <c r="C209" s="2800" t="s">
        <v>407</v>
      </c>
      <c r="D209" s="2800"/>
      <c r="E209" s="2788"/>
      <c r="F209" s="2640">
        <v>0.03</v>
      </c>
      <c r="G209" s="2640">
        <v>0.4</v>
      </c>
      <c r="H209" s="2650">
        <v>0.05</v>
      </c>
      <c r="I209" s="2652">
        <f t="shared" si="86"/>
        <v>5.5000000000000007E-2</v>
      </c>
      <c r="J209" s="2656">
        <v>0.05</v>
      </c>
      <c r="K209" s="2640">
        <v>0.05</v>
      </c>
      <c r="L209" s="2779">
        <v>10</v>
      </c>
      <c r="M209" s="1200"/>
      <c r="N209" s="1200"/>
      <c r="O209" s="2780" t="str">
        <f t="shared" si="87"/>
        <v>Jambon blanc</v>
      </c>
      <c r="P209" s="2781">
        <f t="shared" ref="P209:U209" si="95">F209*P164</f>
        <v>7.59</v>
      </c>
      <c r="Q209" s="2781">
        <f t="shared" si="95"/>
        <v>331.6</v>
      </c>
      <c r="R209" s="2782">
        <f t="shared" si="95"/>
        <v>2.4000000000000004</v>
      </c>
      <c r="S209" s="2783">
        <f t="shared" si="95"/>
        <v>0.71500000000000008</v>
      </c>
      <c r="T209" s="2783">
        <f t="shared" si="95"/>
        <v>1.4500000000000002</v>
      </c>
      <c r="U209" s="2781">
        <f t="shared" si="95"/>
        <v>0.85000000000000009</v>
      </c>
      <c r="V209" s="2794">
        <f t="shared" si="89"/>
        <v>344.60499999999996</v>
      </c>
    </row>
    <row r="210" spans="1:22" ht="15.75">
      <c r="A210" s="2464"/>
      <c r="B210" s="2776"/>
      <c r="C210" s="2800" t="s">
        <v>408</v>
      </c>
      <c r="D210" s="2800"/>
      <c r="E210" s="2788"/>
      <c r="F210" s="2640">
        <v>0.03</v>
      </c>
      <c r="G210" s="2640">
        <v>0.03</v>
      </c>
      <c r="H210" s="2650">
        <v>4.4999999999999998E-2</v>
      </c>
      <c r="I210" s="2652">
        <f t="shared" si="86"/>
        <v>4.9499999999999995E-2</v>
      </c>
      <c r="J210" s="2656">
        <v>0.05</v>
      </c>
      <c r="K210" s="2640">
        <v>0.05</v>
      </c>
      <c r="L210" s="2779">
        <v>10</v>
      </c>
      <c r="M210" s="1200"/>
      <c r="N210" s="1200"/>
      <c r="O210" s="2780" t="str">
        <f t="shared" si="87"/>
        <v>Pâté, terrine , mousse</v>
      </c>
      <c r="P210" s="2781">
        <f t="shared" ref="P210:U210" si="96">F210*P164</f>
        <v>7.59</v>
      </c>
      <c r="Q210" s="2781">
        <f t="shared" si="96"/>
        <v>24.869999999999997</v>
      </c>
      <c r="R210" s="2782">
        <f t="shared" si="96"/>
        <v>2.16</v>
      </c>
      <c r="S210" s="2783">
        <f t="shared" si="96"/>
        <v>0.64349999999999996</v>
      </c>
      <c r="T210" s="2783">
        <f t="shared" si="96"/>
        <v>1.4500000000000002</v>
      </c>
      <c r="U210" s="2781">
        <f t="shared" si="96"/>
        <v>0.85000000000000009</v>
      </c>
      <c r="V210" s="2794">
        <f t="shared" si="89"/>
        <v>37.563499999999998</v>
      </c>
    </row>
    <row r="211" spans="1:22" ht="15.75">
      <c r="A211" s="2464"/>
      <c r="B211" s="2776"/>
      <c r="C211" s="2800" t="s">
        <v>409</v>
      </c>
      <c r="D211" s="2800"/>
      <c r="E211" s="2788"/>
      <c r="F211" s="2640">
        <v>4.4999999999999998E-2</v>
      </c>
      <c r="G211" s="2640">
        <v>4.4999999999999998E-2</v>
      </c>
      <c r="H211" s="2650">
        <v>6.5000000000000002E-2</v>
      </c>
      <c r="I211" s="2652">
        <f t="shared" si="86"/>
        <v>7.1500000000000008E-2</v>
      </c>
      <c r="J211" s="2656">
        <v>0.05</v>
      </c>
      <c r="K211" s="2640">
        <v>0.05</v>
      </c>
      <c r="L211" s="2779">
        <v>10</v>
      </c>
      <c r="M211" s="1200"/>
      <c r="N211" s="1200"/>
      <c r="O211" s="2780" t="str">
        <f t="shared" si="87"/>
        <v>Pâté en croûte</v>
      </c>
      <c r="P211" s="2781">
        <f t="shared" ref="P211:U211" si="97">F211*P164</f>
        <v>11.385</v>
      </c>
      <c r="Q211" s="2781">
        <f t="shared" si="97"/>
        <v>37.305</v>
      </c>
      <c r="R211" s="2782">
        <f t="shared" si="97"/>
        <v>3.12</v>
      </c>
      <c r="S211" s="2783">
        <f t="shared" si="97"/>
        <v>0.9295000000000001</v>
      </c>
      <c r="T211" s="2783">
        <f t="shared" si="97"/>
        <v>1.4500000000000002</v>
      </c>
      <c r="U211" s="2781">
        <f t="shared" si="97"/>
        <v>0.85000000000000009</v>
      </c>
      <c r="V211" s="2794">
        <f t="shared" si="89"/>
        <v>55.039499999999997</v>
      </c>
    </row>
    <row r="212" spans="1:22" ht="15.75">
      <c r="A212" s="2464"/>
      <c r="B212" s="2776"/>
      <c r="C212" s="2800" t="s">
        <v>410</v>
      </c>
      <c r="D212" s="2800"/>
      <c r="E212" s="2788"/>
      <c r="F212" s="2640">
        <v>0.03</v>
      </c>
      <c r="G212" s="2640">
        <v>0.03</v>
      </c>
      <c r="H212" s="2650">
        <v>4.4999999999999998E-2</v>
      </c>
      <c r="I212" s="2652">
        <f t="shared" si="86"/>
        <v>4.9499999999999995E-2</v>
      </c>
      <c r="J212" s="2656">
        <v>0.05</v>
      </c>
      <c r="K212" s="2640">
        <v>0.05</v>
      </c>
      <c r="L212" s="2779">
        <v>10</v>
      </c>
      <c r="M212" s="1200"/>
      <c r="N212" s="1200"/>
      <c r="O212" s="2780" t="str">
        <f t="shared" si="87"/>
        <v>Rillettes</v>
      </c>
      <c r="P212" s="2781">
        <f t="shared" ref="P212:U212" si="98">F212*P164</f>
        <v>7.59</v>
      </c>
      <c r="Q212" s="2781">
        <f t="shared" si="98"/>
        <v>24.869999999999997</v>
      </c>
      <c r="R212" s="2782">
        <f t="shared" si="98"/>
        <v>2.16</v>
      </c>
      <c r="S212" s="2783">
        <f t="shared" si="98"/>
        <v>0.64349999999999996</v>
      </c>
      <c r="T212" s="2783">
        <f t="shared" si="98"/>
        <v>1.4500000000000002</v>
      </c>
      <c r="U212" s="2781">
        <f t="shared" si="98"/>
        <v>0.85000000000000009</v>
      </c>
      <c r="V212" s="2794">
        <f t="shared" si="89"/>
        <v>37.563499999999998</v>
      </c>
    </row>
    <row r="213" spans="1:22" ht="15.75">
      <c r="A213" s="2464"/>
      <c r="B213" s="2776"/>
      <c r="C213" s="2800" t="s">
        <v>411</v>
      </c>
      <c r="D213" s="2800"/>
      <c r="E213" s="2788"/>
      <c r="F213" s="2640">
        <v>0.03</v>
      </c>
      <c r="G213" s="2640">
        <v>0.03</v>
      </c>
      <c r="H213" s="2650">
        <v>4.4999999999999998E-2</v>
      </c>
      <c r="I213" s="2652">
        <f t="shared" si="86"/>
        <v>4.9499999999999995E-2</v>
      </c>
      <c r="J213" s="2656">
        <v>0.05</v>
      </c>
      <c r="K213" s="2640">
        <v>0.05</v>
      </c>
      <c r="L213" s="2779">
        <v>10</v>
      </c>
      <c r="M213" s="1200"/>
      <c r="N213" s="1200"/>
      <c r="O213" s="2780" t="str">
        <f t="shared" si="87"/>
        <v>Salami – Saucisson – Mortadelle</v>
      </c>
      <c r="P213" s="2781">
        <f t="shared" ref="P213:U213" si="99">F213*P164</f>
        <v>7.59</v>
      </c>
      <c r="Q213" s="2781">
        <f t="shared" si="99"/>
        <v>24.869999999999997</v>
      </c>
      <c r="R213" s="2782">
        <f t="shared" si="99"/>
        <v>2.16</v>
      </c>
      <c r="S213" s="2783">
        <f t="shared" si="99"/>
        <v>0.64349999999999996</v>
      </c>
      <c r="T213" s="2783">
        <f t="shared" si="99"/>
        <v>1.4500000000000002</v>
      </c>
      <c r="U213" s="2781">
        <f t="shared" si="99"/>
        <v>0.85000000000000009</v>
      </c>
      <c r="V213" s="2794">
        <f t="shared" si="89"/>
        <v>37.563499999999998</v>
      </c>
    </row>
    <row r="214" spans="1:22" ht="15.75">
      <c r="A214" s="2464"/>
      <c r="B214" s="2785"/>
      <c r="C214" s="2318"/>
      <c r="D214" s="2818"/>
      <c r="E214" s="2819"/>
      <c r="F214" s="2820">
        <v>0</v>
      </c>
      <c r="G214" s="2820">
        <v>0</v>
      </c>
      <c r="H214" s="2820">
        <v>0</v>
      </c>
      <c r="I214" s="2820">
        <v>0</v>
      </c>
      <c r="J214" s="2820">
        <v>0</v>
      </c>
      <c r="K214" s="2820">
        <v>0</v>
      </c>
      <c r="L214" s="2821">
        <v>0</v>
      </c>
      <c r="M214" s="2766"/>
      <c r="N214" s="2766"/>
      <c r="O214" s="2780">
        <f t="shared" si="87"/>
        <v>0</v>
      </c>
      <c r="P214" s="2781">
        <f t="shared" ref="P214:U214" si="100">F214*P164</f>
        <v>0</v>
      </c>
      <c r="Q214" s="2781">
        <f t="shared" si="100"/>
        <v>0</v>
      </c>
      <c r="R214" s="2782">
        <f t="shared" si="100"/>
        <v>0</v>
      </c>
      <c r="S214" s="2783">
        <f t="shared" si="100"/>
        <v>0</v>
      </c>
      <c r="T214" s="2783">
        <f t="shared" si="100"/>
        <v>0</v>
      </c>
      <c r="U214" s="2781">
        <f t="shared" si="100"/>
        <v>0</v>
      </c>
      <c r="V214" s="2794">
        <f t="shared" si="89"/>
        <v>0</v>
      </c>
    </row>
    <row r="215" spans="1:22" ht="15" customHeight="1">
      <c r="A215" s="2464"/>
      <c r="B215" s="2785"/>
      <c r="C215" s="4597" t="s">
        <v>412</v>
      </c>
      <c r="D215" s="4597"/>
      <c r="E215" s="4597"/>
      <c r="F215" s="4597"/>
      <c r="G215" s="4597"/>
      <c r="H215" s="4597"/>
      <c r="I215" s="4597"/>
      <c r="J215" s="4597"/>
      <c r="K215" s="4597"/>
      <c r="L215" s="4598"/>
      <c r="M215" s="2766"/>
      <c r="N215" s="2766"/>
      <c r="O215" s="1201"/>
      <c r="P215" s="4601" t="str">
        <f>C215</f>
        <v>*- PREPARATIONS PATISSIERES SALEES</v>
      </c>
      <c r="Q215" s="4602"/>
      <c r="R215" s="4602"/>
      <c r="S215" s="4602"/>
      <c r="T215" s="4602"/>
      <c r="U215" s="4602"/>
      <c r="V215" s="4603"/>
    </row>
    <row r="216" spans="1:22" ht="15" customHeight="1">
      <c r="A216" s="2464"/>
      <c r="B216" s="2785"/>
      <c r="C216" s="4599"/>
      <c r="D216" s="4599"/>
      <c r="E216" s="4599"/>
      <c r="F216" s="4599"/>
      <c r="G216" s="4599"/>
      <c r="H216" s="4599"/>
      <c r="I216" s="4599"/>
      <c r="J216" s="4599"/>
      <c r="K216" s="4599"/>
      <c r="L216" s="4600"/>
      <c r="M216" s="2766"/>
      <c r="N216" s="2766"/>
      <c r="O216" s="1201"/>
      <c r="P216" s="4604"/>
      <c r="Q216" s="4605"/>
      <c r="R216" s="4605"/>
      <c r="S216" s="4605"/>
      <c r="T216" s="4605"/>
      <c r="U216" s="4605"/>
      <c r="V216" s="4606"/>
    </row>
    <row r="217" spans="1:22" ht="15.75">
      <c r="A217" s="2464"/>
      <c r="B217" s="2776"/>
      <c r="C217" s="2800" t="s">
        <v>413</v>
      </c>
      <c r="D217" s="2800"/>
      <c r="E217" s="2788"/>
      <c r="F217" s="2640">
        <v>0.05</v>
      </c>
      <c r="G217" s="2640">
        <v>0.05</v>
      </c>
      <c r="H217" s="2650">
        <v>0.1</v>
      </c>
      <c r="I217" s="2652">
        <f t="shared" ref="I217:I222" si="101">(H217*L217%)+H217</f>
        <v>0.11000000000000001</v>
      </c>
      <c r="J217" s="2656">
        <v>0.05</v>
      </c>
      <c r="K217" s="2640">
        <v>0.05</v>
      </c>
      <c r="L217" s="2779">
        <v>10</v>
      </c>
      <c r="M217" s="1200"/>
      <c r="N217" s="1200"/>
      <c r="O217" s="2780" t="str">
        <f t="shared" ref="O217:O222" si="102">C217</f>
        <v>Nems</v>
      </c>
      <c r="P217" s="2781">
        <f t="shared" ref="P217:U217" si="103">F217*P164</f>
        <v>12.65</v>
      </c>
      <c r="Q217" s="2781">
        <f t="shared" si="103"/>
        <v>41.45</v>
      </c>
      <c r="R217" s="2782">
        <f t="shared" si="103"/>
        <v>4.8000000000000007</v>
      </c>
      <c r="S217" s="2783">
        <f t="shared" si="103"/>
        <v>1.4300000000000002</v>
      </c>
      <c r="T217" s="2783">
        <f t="shared" si="103"/>
        <v>1.4500000000000002</v>
      </c>
      <c r="U217" s="2781">
        <f t="shared" si="103"/>
        <v>0.85000000000000009</v>
      </c>
      <c r="V217" s="2794">
        <f t="shared" ref="V217:V222" si="104">SUM(P217:U217)</f>
        <v>62.63000000000001</v>
      </c>
    </row>
    <row r="218" spans="1:22" ht="15.75">
      <c r="A218" s="2464"/>
      <c r="B218" s="2776"/>
      <c r="C218" s="2800" t="s">
        <v>414</v>
      </c>
      <c r="D218" s="2800"/>
      <c r="E218" s="2788"/>
      <c r="F218" s="2640">
        <v>0.05</v>
      </c>
      <c r="G218" s="2640">
        <v>0.05</v>
      </c>
      <c r="H218" s="2650">
        <v>0.1</v>
      </c>
      <c r="I218" s="2652">
        <f t="shared" si="101"/>
        <v>0.11000000000000001</v>
      </c>
      <c r="J218" s="2656">
        <v>0.05</v>
      </c>
      <c r="K218" s="2640">
        <v>0.05</v>
      </c>
      <c r="L218" s="2779">
        <v>10</v>
      </c>
      <c r="M218" s="1200"/>
      <c r="N218" s="1200"/>
      <c r="O218" s="2780" t="str">
        <f t="shared" si="102"/>
        <v>Crêpes</v>
      </c>
      <c r="P218" s="2781">
        <f t="shared" ref="P218:U218" si="105">F218*P164</f>
        <v>12.65</v>
      </c>
      <c r="Q218" s="2781">
        <f t="shared" si="105"/>
        <v>41.45</v>
      </c>
      <c r="R218" s="2782">
        <f t="shared" si="105"/>
        <v>4.8000000000000007</v>
      </c>
      <c r="S218" s="2783">
        <f t="shared" si="105"/>
        <v>1.4300000000000002</v>
      </c>
      <c r="T218" s="2783">
        <f t="shared" si="105"/>
        <v>1.4500000000000002</v>
      </c>
      <c r="U218" s="2781">
        <f t="shared" si="105"/>
        <v>0.85000000000000009</v>
      </c>
      <c r="V218" s="2794">
        <f t="shared" si="104"/>
        <v>62.63000000000001</v>
      </c>
    </row>
    <row r="219" spans="1:22" ht="15.75">
      <c r="A219" s="2464"/>
      <c r="B219" s="2776"/>
      <c r="C219" s="2800" t="s">
        <v>415</v>
      </c>
      <c r="D219" s="2800"/>
      <c r="E219" s="2788"/>
      <c r="F219" s="2640">
        <v>6.5000000000000002E-2</v>
      </c>
      <c r="G219" s="2640">
        <v>6.5000000000000002E-2</v>
      </c>
      <c r="H219" s="2650">
        <v>0.1</v>
      </c>
      <c r="I219" s="2652">
        <f t="shared" si="101"/>
        <v>0.11000000000000001</v>
      </c>
      <c r="J219" s="2656">
        <v>7.0000000000000007E-2</v>
      </c>
      <c r="K219" s="2640">
        <v>7.0000000000000007E-2</v>
      </c>
      <c r="L219" s="2779">
        <v>10</v>
      </c>
      <c r="M219" s="1200"/>
      <c r="N219" s="1200"/>
      <c r="O219" s="2780" t="str">
        <f t="shared" si="102"/>
        <v>Friand, feuilleté</v>
      </c>
      <c r="P219" s="2781">
        <f t="shared" ref="P219:U219" si="106">F219*P164</f>
        <v>16.445</v>
      </c>
      <c r="Q219" s="2781">
        <f t="shared" si="106"/>
        <v>53.885000000000005</v>
      </c>
      <c r="R219" s="2782">
        <f t="shared" si="106"/>
        <v>4.8000000000000007</v>
      </c>
      <c r="S219" s="2783">
        <f t="shared" si="106"/>
        <v>1.4300000000000002</v>
      </c>
      <c r="T219" s="2783">
        <f t="shared" si="106"/>
        <v>2.0300000000000002</v>
      </c>
      <c r="U219" s="2781">
        <f t="shared" si="106"/>
        <v>1.1900000000000002</v>
      </c>
      <c r="V219" s="2794">
        <f t="shared" si="104"/>
        <v>79.780000000000015</v>
      </c>
    </row>
    <row r="220" spans="1:22" ht="15.75">
      <c r="A220" s="2464"/>
      <c r="B220" s="2776"/>
      <c r="C220" s="2800" t="s">
        <v>416</v>
      </c>
      <c r="D220" s="2800"/>
      <c r="E220" s="2788"/>
      <c r="F220" s="2640">
        <v>7.0000000000000007E-2</v>
      </c>
      <c r="G220" s="2640">
        <v>7.0000000000000007E-2</v>
      </c>
      <c r="H220" s="2650">
        <v>0.09</v>
      </c>
      <c r="I220" s="2652">
        <f t="shared" si="101"/>
        <v>9.8999999999999991E-2</v>
      </c>
      <c r="J220" s="2656">
        <v>7.0000000000000007E-2</v>
      </c>
      <c r="K220" s="2640">
        <v>7.0000000000000007E-2</v>
      </c>
      <c r="L220" s="2779">
        <v>10</v>
      </c>
      <c r="M220" s="1200"/>
      <c r="N220" s="1200"/>
      <c r="O220" s="2780" t="str">
        <f t="shared" si="102"/>
        <v>Pizza</v>
      </c>
      <c r="P220" s="2781">
        <f t="shared" ref="P220:U220" si="107">F220*P164</f>
        <v>17.71</v>
      </c>
      <c r="Q220" s="2781">
        <f t="shared" si="107"/>
        <v>58.030000000000008</v>
      </c>
      <c r="R220" s="2782">
        <f t="shared" si="107"/>
        <v>4.32</v>
      </c>
      <c r="S220" s="2783">
        <f t="shared" si="107"/>
        <v>1.2869999999999999</v>
      </c>
      <c r="T220" s="2783">
        <f t="shared" si="107"/>
        <v>2.0300000000000002</v>
      </c>
      <c r="U220" s="2781">
        <f t="shared" si="107"/>
        <v>1.1900000000000002</v>
      </c>
      <c r="V220" s="2794">
        <f t="shared" si="104"/>
        <v>84.567000000000007</v>
      </c>
    </row>
    <row r="221" spans="1:22" ht="15.75">
      <c r="A221" s="2464"/>
      <c r="B221" s="2776"/>
      <c r="C221" s="2800" t="s">
        <v>417</v>
      </c>
      <c r="D221" s="2800"/>
      <c r="E221" s="2788"/>
      <c r="F221" s="2640">
        <v>7.0000000000000007E-2</v>
      </c>
      <c r="G221" s="2640">
        <v>7.0000000000000007E-2</v>
      </c>
      <c r="H221" s="2650">
        <v>0.09</v>
      </c>
      <c r="I221" s="2652">
        <f t="shared" si="101"/>
        <v>9.8999999999999991E-2</v>
      </c>
      <c r="J221" s="2656">
        <v>7.0000000000000007E-2</v>
      </c>
      <c r="K221" s="2640">
        <v>7.0000000000000007E-2</v>
      </c>
      <c r="L221" s="2779">
        <v>10</v>
      </c>
      <c r="M221" s="1200"/>
      <c r="N221" s="1200"/>
      <c r="O221" s="2780" t="str">
        <f t="shared" si="102"/>
        <v>Tarte salée</v>
      </c>
      <c r="P221" s="2781">
        <f t="shared" ref="P221:U221" si="108">F221*P164</f>
        <v>17.71</v>
      </c>
      <c r="Q221" s="2781">
        <f t="shared" si="108"/>
        <v>58.030000000000008</v>
      </c>
      <c r="R221" s="2782">
        <f t="shared" si="108"/>
        <v>4.32</v>
      </c>
      <c r="S221" s="2783">
        <f t="shared" si="108"/>
        <v>1.2869999999999999</v>
      </c>
      <c r="T221" s="2783">
        <f t="shared" si="108"/>
        <v>2.0300000000000002</v>
      </c>
      <c r="U221" s="2781">
        <f t="shared" si="108"/>
        <v>1.1900000000000002</v>
      </c>
      <c r="V221" s="2794">
        <f t="shared" si="104"/>
        <v>84.567000000000007</v>
      </c>
    </row>
    <row r="222" spans="1:22" ht="15.75">
      <c r="A222" s="2464"/>
      <c r="B222" s="2785"/>
      <c r="C222" s="2800" t="s">
        <v>2844</v>
      </c>
      <c r="D222" s="2800"/>
      <c r="E222" s="2788"/>
      <c r="F222" s="2640">
        <v>5.0000000000000001E-3</v>
      </c>
      <c r="G222" s="2640">
        <v>7.0000000000000001E-3</v>
      </c>
      <c r="H222" s="2650">
        <v>8.0000000000000002E-3</v>
      </c>
      <c r="I222" s="2652">
        <f t="shared" si="101"/>
        <v>8.8000000000000005E-3</v>
      </c>
      <c r="J222" s="2656">
        <v>8.0000000000000002E-3</v>
      </c>
      <c r="K222" s="2640">
        <v>8.0000000000000002E-3</v>
      </c>
      <c r="L222" s="2779">
        <v>10</v>
      </c>
      <c r="M222" s="1200"/>
      <c r="N222" s="1200"/>
      <c r="O222" s="2780" t="str">
        <f t="shared" si="102"/>
        <v>ASSAISONNEMENT HORS D'OEUVRE(poids de la matière grasse)</v>
      </c>
      <c r="P222" s="2781">
        <f t="shared" ref="P222:U222" si="109">F222*P164</f>
        <v>1.2650000000000001</v>
      </c>
      <c r="Q222" s="2781">
        <f t="shared" si="109"/>
        <v>5.8029999999999999</v>
      </c>
      <c r="R222" s="2782">
        <f t="shared" si="109"/>
        <v>0.38400000000000001</v>
      </c>
      <c r="S222" s="2783">
        <f t="shared" si="109"/>
        <v>0.1144</v>
      </c>
      <c r="T222" s="2783">
        <f t="shared" si="109"/>
        <v>0.23200000000000001</v>
      </c>
      <c r="U222" s="2781">
        <f t="shared" si="109"/>
        <v>0.13600000000000001</v>
      </c>
      <c r="V222" s="2794">
        <f t="shared" si="104"/>
        <v>7.9344000000000001</v>
      </c>
    </row>
    <row r="223" spans="1:22" ht="15" customHeight="1">
      <c r="A223" s="2464"/>
      <c r="B223" s="2785"/>
      <c r="C223" s="4597" t="s">
        <v>418</v>
      </c>
      <c r="D223" s="4597"/>
      <c r="E223" s="4597"/>
      <c r="F223" s="4597"/>
      <c r="G223" s="4597"/>
      <c r="H223" s="4597"/>
      <c r="I223" s="4597"/>
      <c r="J223" s="4597"/>
      <c r="K223" s="4597"/>
      <c r="L223" s="4598"/>
      <c r="M223" s="2766"/>
      <c r="N223" s="2766"/>
      <c r="O223" s="1201"/>
      <c r="P223" s="4601" t="str">
        <f>C223</f>
        <v>*- VIANDES SANS SAUCE</v>
      </c>
      <c r="Q223" s="4602"/>
      <c r="R223" s="4602"/>
      <c r="S223" s="4602"/>
      <c r="T223" s="4602"/>
      <c r="U223" s="4602"/>
      <c r="V223" s="4603"/>
    </row>
    <row r="224" spans="1:22" ht="15" customHeight="1">
      <c r="A224" s="2464"/>
      <c r="B224" s="2785"/>
      <c r="C224" s="4599"/>
      <c r="D224" s="4599"/>
      <c r="E224" s="4599"/>
      <c r="F224" s="4599"/>
      <c r="G224" s="4599"/>
      <c r="H224" s="4599"/>
      <c r="I224" s="4599"/>
      <c r="J224" s="4599"/>
      <c r="K224" s="4599"/>
      <c r="L224" s="4600"/>
      <c r="M224" s="2766"/>
      <c r="N224" s="2766"/>
      <c r="O224" s="1201"/>
      <c r="P224" s="4604"/>
      <c r="Q224" s="4605"/>
      <c r="R224" s="4605"/>
      <c r="S224" s="4605"/>
      <c r="T224" s="4605"/>
      <c r="U224" s="4605"/>
      <c r="V224" s="4606"/>
    </row>
    <row r="225" spans="1:22" ht="15" customHeight="1">
      <c r="A225" s="2464"/>
      <c r="B225" s="2785"/>
      <c r="C225" s="4599" t="s">
        <v>419</v>
      </c>
      <c r="D225" s="4599"/>
      <c r="E225" s="4599"/>
      <c r="F225" s="4599"/>
      <c r="G225" s="4599"/>
      <c r="H225" s="4599"/>
      <c r="I225" s="4599"/>
      <c r="J225" s="4599"/>
      <c r="K225" s="4599"/>
      <c r="L225" s="4600"/>
      <c r="M225" s="2766"/>
      <c r="N225" s="2766"/>
      <c r="O225" s="1201"/>
      <c r="P225" s="4601" t="str">
        <f>C225</f>
        <v>BŒUF</v>
      </c>
      <c r="Q225" s="4602"/>
      <c r="R225" s="4602"/>
      <c r="S225" s="4602"/>
      <c r="T225" s="4602"/>
      <c r="U225" s="4602"/>
      <c r="V225" s="4603"/>
    </row>
    <row r="226" spans="1:22" ht="15" customHeight="1">
      <c r="A226" s="2464"/>
      <c r="B226" s="2785"/>
      <c r="C226" s="4599"/>
      <c r="D226" s="4599"/>
      <c r="E226" s="4599"/>
      <c r="F226" s="4599"/>
      <c r="G226" s="4599"/>
      <c r="H226" s="4599"/>
      <c r="I226" s="4599"/>
      <c r="J226" s="4599"/>
      <c r="K226" s="4599"/>
      <c r="L226" s="4600"/>
      <c r="M226" s="2766"/>
      <c r="N226" s="2766"/>
      <c r="O226" s="1201"/>
      <c r="P226" s="4604"/>
      <c r="Q226" s="4605"/>
      <c r="R226" s="4605"/>
      <c r="S226" s="4605"/>
      <c r="T226" s="4605"/>
      <c r="U226" s="4605"/>
      <c r="V226" s="4606"/>
    </row>
    <row r="227" spans="1:22" ht="15.75">
      <c r="A227" s="2464"/>
      <c r="B227" s="2776"/>
      <c r="C227" s="2800" t="s">
        <v>420</v>
      </c>
      <c r="D227" s="2800"/>
      <c r="E227" s="2788"/>
      <c r="F227" s="2640">
        <v>0.05</v>
      </c>
      <c r="G227" s="2640">
        <v>7.0000000000000007E-2</v>
      </c>
      <c r="H227" s="2650">
        <v>0.11</v>
      </c>
      <c r="I227" s="2652">
        <f t="shared" ref="I227:I233" si="110">(H227*L227%)+H227</f>
        <v>0.121</v>
      </c>
      <c r="J227" s="2656">
        <v>0.1</v>
      </c>
      <c r="K227" s="2640">
        <v>7.0000000000000007E-2</v>
      </c>
      <c r="L227" s="2779">
        <v>10</v>
      </c>
      <c r="M227" s="1200"/>
      <c r="N227" s="1200"/>
      <c r="O227" s="2780" t="str">
        <f t="shared" ref="O227:O233" si="111">C227</f>
        <v>Bœuf braisé, bœuf sauté, bouilli de bœuf</v>
      </c>
      <c r="P227" s="2781">
        <f t="shared" ref="P227:U227" si="112">F227*P164</f>
        <v>12.65</v>
      </c>
      <c r="Q227" s="2781">
        <f t="shared" si="112"/>
        <v>58.030000000000008</v>
      </c>
      <c r="R227" s="2782">
        <f t="shared" si="112"/>
        <v>5.28</v>
      </c>
      <c r="S227" s="2783">
        <f t="shared" si="112"/>
        <v>1.573</v>
      </c>
      <c r="T227" s="2783">
        <f t="shared" si="112"/>
        <v>2.9000000000000004</v>
      </c>
      <c r="U227" s="2781">
        <f t="shared" si="112"/>
        <v>1.1900000000000002</v>
      </c>
      <c r="V227" s="2794">
        <f t="shared" ref="V227:V233" si="113">SUM(P227:U227)</f>
        <v>81.623000000000005</v>
      </c>
    </row>
    <row r="228" spans="1:22" ht="15.75">
      <c r="A228" s="2464"/>
      <c r="B228" s="2776"/>
      <c r="C228" s="2800" t="s">
        <v>421</v>
      </c>
      <c r="D228" s="2800"/>
      <c r="E228" s="2788"/>
      <c r="F228" s="2640">
        <v>0.04</v>
      </c>
      <c r="G228" s="2640">
        <v>0.06</v>
      </c>
      <c r="H228" s="2650">
        <v>0.09</v>
      </c>
      <c r="I228" s="2652">
        <f t="shared" si="110"/>
        <v>9.8999999999999991E-2</v>
      </c>
      <c r="J228" s="2656">
        <v>0.08</v>
      </c>
      <c r="K228" s="2640">
        <v>0.06</v>
      </c>
      <c r="L228" s="2779">
        <v>10</v>
      </c>
      <c r="M228" s="1200"/>
      <c r="N228" s="1200"/>
      <c r="O228" s="2780" t="str">
        <f t="shared" si="111"/>
        <v>Rôti de bœuf, steak</v>
      </c>
      <c r="P228" s="2781">
        <f t="shared" ref="P228:U228" si="114">F228*P164</f>
        <v>10.120000000000001</v>
      </c>
      <c r="Q228" s="2781">
        <f t="shared" si="114"/>
        <v>49.739999999999995</v>
      </c>
      <c r="R228" s="2782">
        <f t="shared" si="114"/>
        <v>4.32</v>
      </c>
      <c r="S228" s="2783">
        <f t="shared" si="114"/>
        <v>1.2869999999999999</v>
      </c>
      <c r="T228" s="2783">
        <f t="shared" si="114"/>
        <v>2.3199999999999998</v>
      </c>
      <c r="U228" s="2781">
        <f t="shared" si="114"/>
        <v>1.02</v>
      </c>
      <c r="V228" s="2794">
        <f t="shared" si="113"/>
        <v>68.807000000000002</v>
      </c>
    </row>
    <row r="229" spans="1:22" ht="15.75">
      <c r="A229" s="2464"/>
      <c r="B229" s="2776"/>
      <c r="C229" s="2800" t="s">
        <v>422</v>
      </c>
      <c r="D229" s="2800"/>
      <c r="E229" s="2788"/>
      <c r="F229" s="2640">
        <v>0.05</v>
      </c>
      <c r="G229" s="2640">
        <v>7.0000000000000007E-2</v>
      </c>
      <c r="H229" s="2650">
        <v>0.1</v>
      </c>
      <c r="I229" s="2652">
        <f t="shared" si="110"/>
        <v>0.11000000000000001</v>
      </c>
      <c r="J229" s="2656">
        <v>0.1</v>
      </c>
      <c r="K229" s="2640">
        <v>7.0000000000000007E-2</v>
      </c>
      <c r="L229" s="2779">
        <v>10</v>
      </c>
      <c r="M229" s="1200"/>
      <c r="N229" s="1200"/>
      <c r="O229" s="2780" t="str">
        <f t="shared" si="111"/>
        <v>Steak haché</v>
      </c>
      <c r="P229" s="2781">
        <f t="shared" ref="P229:U229" si="115">F229*P164</f>
        <v>12.65</v>
      </c>
      <c r="Q229" s="2781">
        <f t="shared" si="115"/>
        <v>58.030000000000008</v>
      </c>
      <c r="R229" s="2782">
        <f t="shared" si="115"/>
        <v>4.8000000000000007</v>
      </c>
      <c r="S229" s="2783">
        <f t="shared" si="115"/>
        <v>1.4300000000000002</v>
      </c>
      <c r="T229" s="2783">
        <f t="shared" si="115"/>
        <v>2.9000000000000004</v>
      </c>
      <c r="U229" s="2781">
        <f t="shared" si="115"/>
        <v>1.1900000000000002</v>
      </c>
      <c r="V229" s="2794">
        <f t="shared" si="113"/>
        <v>81.000000000000014</v>
      </c>
    </row>
    <row r="230" spans="1:22" ht="15.75">
      <c r="A230" s="2464"/>
      <c r="B230" s="2776"/>
      <c r="C230" s="2800" t="s">
        <v>423</v>
      </c>
      <c r="D230" s="2800"/>
      <c r="E230" s="2788"/>
      <c r="F230" s="2640">
        <v>0.05</v>
      </c>
      <c r="G230" s="2640">
        <v>7.0000000000000007E-2</v>
      </c>
      <c r="H230" s="2650">
        <v>0.1</v>
      </c>
      <c r="I230" s="2652">
        <f t="shared" si="110"/>
        <v>0.11000000000000001</v>
      </c>
      <c r="J230" s="2656">
        <v>0.1</v>
      </c>
      <c r="K230" s="2640">
        <v>7.0000000000000007E-2</v>
      </c>
      <c r="L230" s="2779">
        <v>10</v>
      </c>
      <c r="M230" s="1200"/>
      <c r="N230" s="1200"/>
      <c r="O230" s="2780" t="str">
        <f t="shared" si="111"/>
        <v>Hamburger</v>
      </c>
      <c r="P230" s="2781">
        <f t="shared" ref="P230:U230" si="116">F230*P164</f>
        <v>12.65</v>
      </c>
      <c r="Q230" s="2781">
        <f t="shared" si="116"/>
        <v>58.030000000000008</v>
      </c>
      <c r="R230" s="2782">
        <f t="shared" si="116"/>
        <v>4.8000000000000007</v>
      </c>
      <c r="S230" s="2783">
        <f t="shared" si="116"/>
        <v>1.4300000000000002</v>
      </c>
      <c r="T230" s="2783">
        <f t="shared" si="116"/>
        <v>2.9000000000000004</v>
      </c>
      <c r="U230" s="2781">
        <f t="shared" si="116"/>
        <v>1.1900000000000002</v>
      </c>
      <c r="V230" s="2794">
        <f t="shared" si="113"/>
        <v>81.000000000000014</v>
      </c>
    </row>
    <row r="231" spans="1:22" ht="15.75">
      <c r="A231" s="2464"/>
      <c r="B231" s="2776"/>
      <c r="C231" s="2800" t="s">
        <v>2845</v>
      </c>
      <c r="D231" s="2800"/>
      <c r="E231" s="2788"/>
      <c r="F231" s="2640">
        <v>2</v>
      </c>
      <c r="G231" s="2640">
        <v>3</v>
      </c>
      <c r="H231" s="2650">
        <v>4.5</v>
      </c>
      <c r="I231" s="2652">
        <f t="shared" si="110"/>
        <v>4.95</v>
      </c>
      <c r="J231" s="2656">
        <v>4</v>
      </c>
      <c r="K231" s="2640">
        <v>3</v>
      </c>
      <c r="L231" s="2779">
        <v>10</v>
      </c>
      <c r="M231" s="1200"/>
      <c r="N231" s="1200"/>
      <c r="O231" s="2790" t="str">
        <f t="shared" si="111"/>
        <v>Boulettes de bœuf de 30g pièce crues (à l'unité)</v>
      </c>
      <c r="P231" s="2791">
        <f t="shared" ref="P231:U231" si="117">F231*P164</f>
        <v>506</v>
      </c>
      <c r="Q231" s="2791">
        <f t="shared" si="117"/>
        <v>2487</v>
      </c>
      <c r="R231" s="2792">
        <f t="shared" si="117"/>
        <v>216</v>
      </c>
      <c r="S231" s="2793">
        <f t="shared" si="117"/>
        <v>64.350000000000009</v>
      </c>
      <c r="T231" s="2793">
        <f t="shared" si="117"/>
        <v>116</v>
      </c>
      <c r="U231" s="2791">
        <f t="shared" si="117"/>
        <v>51</v>
      </c>
      <c r="V231" s="2794">
        <f t="shared" si="113"/>
        <v>3440.35</v>
      </c>
    </row>
    <row r="232" spans="1:22" ht="15.75">
      <c r="A232" s="2464"/>
      <c r="B232" s="2776"/>
      <c r="C232" s="2800" t="s">
        <v>2846</v>
      </c>
      <c r="D232" s="2800"/>
      <c r="E232" s="2788"/>
      <c r="F232" s="2640">
        <v>0.06</v>
      </c>
      <c r="G232" s="2640">
        <v>0.09</v>
      </c>
      <c r="H232" s="2650">
        <v>0.13500000000000001</v>
      </c>
      <c r="I232" s="2652">
        <f t="shared" si="110"/>
        <v>0.14850000000000002</v>
      </c>
      <c r="J232" s="2656">
        <v>0.12</v>
      </c>
      <c r="K232" s="2640">
        <v>0.09</v>
      </c>
      <c r="L232" s="2779">
        <v>10</v>
      </c>
      <c r="M232" s="1200"/>
      <c r="N232" s="1200"/>
      <c r="O232" s="2780" t="str">
        <f t="shared" si="111"/>
        <v>Boulettes de bœuf de 30g pièce crues (au poids)</v>
      </c>
      <c r="P232" s="2781">
        <f t="shared" ref="P232:U232" si="118">F232*P164</f>
        <v>15.18</v>
      </c>
      <c r="Q232" s="2781">
        <f t="shared" si="118"/>
        <v>74.61</v>
      </c>
      <c r="R232" s="2782">
        <f t="shared" si="118"/>
        <v>6.48</v>
      </c>
      <c r="S232" s="2783">
        <f t="shared" si="118"/>
        <v>1.9305000000000003</v>
      </c>
      <c r="T232" s="2783">
        <f t="shared" si="118"/>
        <v>3.48</v>
      </c>
      <c r="U232" s="2781">
        <f t="shared" si="118"/>
        <v>1.53</v>
      </c>
      <c r="V232" s="2794">
        <f t="shared" si="113"/>
        <v>103.2105</v>
      </c>
    </row>
    <row r="233" spans="1:22" ht="15.75">
      <c r="A233" s="2464"/>
      <c r="B233" s="2776"/>
      <c r="C233" s="2802" t="s">
        <v>424</v>
      </c>
      <c r="D233" s="2802"/>
      <c r="E233" s="2798"/>
      <c r="F233" s="2640">
        <v>0.05</v>
      </c>
      <c r="G233" s="2640">
        <v>7.0000000000000007E-2</v>
      </c>
      <c r="H233" s="2650">
        <v>0.09</v>
      </c>
      <c r="I233" s="2652">
        <f t="shared" si="110"/>
        <v>9.8999999999999991E-2</v>
      </c>
      <c r="J233" s="2656">
        <v>0.1</v>
      </c>
      <c r="K233" s="2640">
        <v>7.0000000000000007E-2</v>
      </c>
      <c r="L233" s="2779">
        <v>10</v>
      </c>
      <c r="M233" s="1200"/>
      <c r="N233" s="1200"/>
      <c r="O233" s="2780" t="str">
        <f t="shared" si="111"/>
        <v>Bolognaise viande</v>
      </c>
      <c r="P233" s="2781">
        <f t="shared" ref="P233:U233" si="119">F233*P164</f>
        <v>12.65</v>
      </c>
      <c r="Q233" s="2781">
        <f t="shared" si="119"/>
        <v>58.030000000000008</v>
      </c>
      <c r="R233" s="2782">
        <f t="shared" si="119"/>
        <v>4.32</v>
      </c>
      <c r="S233" s="2783">
        <f t="shared" si="119"/>
        <v>1.2869999999999999</v>
      </c>
      <c r="T233" s="2783">
        <f t="shared" si="119"/>
        <v>2.9000000000000004</v>
      </c>
      <c r="U233" s="2781">
        <f t="shared" si="119"/>
        <v>1.1900000000000002</v>
      </c>
      <c r="V233" s="2794">
        <f t="shared" si="113"/>
        <v>80.37700000000001</v>
      </c>
    </row>
    <row r="234" spans="1:22" ht="15" customHeight="1">
      <c r="A234" s="2464"/>
      <c r="B234" s="2785"/>
      <c r="C234" s="4597" t="s">
        <v>425</v>
      </c>
      <c r="D234" s="4597"/>
      <c r="E234" s="4597"/>
      <c r="F234" s="4597"/>
      <c r="G234" s="4597"/>
      <c r="H234" s="4597"/>
      <c r="I234" s="4597"/>
      <c r="J234" s="4597"/>
      <c r="K234" s="4597"/>
      <c r="L234" s="4598"/>
      <c r="M234" s="2766"/>
      <c r="N234" s="2766"/>
      <c r="O234" s="1201"/>
      <c r="P234" s="4601" t="str">
        <f>C234</f>
        <v>VEAU</v>
      </c>
      <c r="Q234" s="4602"/>
      <c r="R234" s="4602"/>
      <c r="S234" s="4602"/>
      <c r="T234" s="4602"/>
      <c r="U234" s="4602"/>
      <c r="V234" s="4603"/>
    </row>
    <row r="235" spans="1:22" ht="15" customHeight="1">
      <c r="A235" s="2464"/>
      <c r="B235" s="2785"/>
      <c r="C235" s="4599"/>
      <c r="D235" s="4599"/>
      <c r="E235" s="4599"/>
      <c r="F235" s="4599"/>
      <c r="G235" s="4599"/>
      <c r="H235" s="4599"/>
      <c r="I235" s="4599"/>
      <c r="J235" s="4599"/>
      <c r="K235" s="4599"/>
      <c r="L235" s="4600"/>
      <c r="M235" s="2766"/>
      <c r="N235" s="2766"/>
      <c r="O235" s="1201"/>
      <c r="P235" s="4604"/>
      <c r="Q235" s="4605"/>
      <c r="R235" s="4605"/>
      <c r="S235" s="4605"/>
      <c r="T235" s="4605"/>
      <c r="U235" s="4605"/>
      <c r="V235" s="4606"/>
    </row>
    <row r="236" spans="1:22" ht="15.75">
      <c r="A236" s="2464"/>
      <c r="B236" s="2776"/>
      <c r="C236" s="2800" t="s">
        <v>426</v>
      </c>
      <c r="D236" s="2800"/>
      <c r="E236" s="2788"/>
      <c r="F236" s="2640">
        <v>0.05</v>
      </c>
      <c r="G236" s="2640">
        <v>7.0000000000000007E-2</v>
      </c>
      <c r="H236" s="2650">
        <v>0.11</v>
      </c>
      <c r="I236" s="2652">
        <f>(H236*L236%)+H236</f>
        <v>0.121</v>
      </c>
      <c r="J236" s="2656">
        <v>0.1</v>
      </c>
      <c r="K236" s="2640">
        <v>7.0000000000000007E-2</v>
      </c>
      <c r="L236" s="2779">
        <v>10</v>
      </c>
      <c r="M236" s="1200"/>
      <c r="N236" s="1200"/>
      <c r="O236" s="2780" t="str">
        <f>C236</f>
        <v>Sauté de veau ou blanquette (sans os)</v>
      </c>
      <c r="P236" s="2781">
        <f t="shared" ref="P236:U236" si="120">F236*P164</f>
        <v>12.65</v>
      </c>
      <c r="Q236" s="2781">
        <f t="shared" si="120"/>
        <v>58.030000000000008</v>
      </c>
      <c r="R236" s="2782">
        <f t="shared" si="120"/>
        <v>5.28</v>
      </c>
      <c r="S236" s="2783">
        <f t="shared" si="120"/>
        <v>1.573</v>
      </c>
      <c r="T236" s="2783">
        <f t="shared" si="120"/>
        <v>2.9000000000000004</v>
      </c>
      <c r="U236" s="2781">
        <f t="shared" si="120"/>
        <v>1.1900000000000002</v>
      </c>
      <c r="V236" s="2794">
        <f>SUM(P236:U236)</f>
        <v>81.623000000000005</v>
      </c>
    </row>
    <row r="237" spans="1:22" ht="15.75">
      <c r="A237" s="2464"/>
      <c r="B237" s="2776"/>
      <c r="C237" s="2800" t="s">
        <v>427</v>
      </c>
      <c r="D237" s="2800"/>
      <c r="E237" s="2788"/>
      <c r="F237" s="2640">
        <v>0.04</v>
      </c>
      <c r="G237" s="2640">
        <v>0.06</v>
      </c>
      <c r="H237" s="2650">
        <v>0.09</v>
      </c>
      <c r="I237" s="2652">
        <f>(H237*L237%)+H237</f>
        <v>9.8999999999999991E-2</v>
      </c>
      <c r="J237" s="2656">
        <v>0.1</v>
      </c>
      <c r="K237" s="2640">
        <v>7.0000000000000007E-2</v>
      </c>
      <c r="L237" s="2779">
        <v>10</v>
      </c>
      <c r="M237" s="1200"/>
      <c r="N237" s="1200"/>
      <c r="O237" s="2780" t="str">
        <f>C237</f>
        <v>Escalope de veau, rôti de veau</v>
      </c>
      <c r="P237" s="2781">
        <f t="shared" ref="P237:U237" si="121">F237*P164</f>
        <v>10.120000000000001</v>
      </c>
      <c r="Q237" s="2781">
        <f t="shared" si="121"/>
        <v>49.739999999999995</v>
      </c>
      <c r="R237" s="2782">
        <f t="shared" si="121"/>
        <v>4.32</v>
      </c>
      <c r="S237" s="2783">
        <f t="shared" si="121"/>
        <v>1.2869999999999999</v>
      </c>
      <c r="T237" s="2783">
        <f t="shared" si="121"/>
        <v>2.9000000000000004</v>
      </c>
      <c r="U237" s="2781">
        <f t="shared" si="121"/>
        <v>1.1900000000000002</v>
      </c>
      <c r="V237" s="2794">
        <f>SUM(P237:U237)</f>
        <v>69.557000000000016</v>
      </c>
    </row>
    <row r="238" spans="1:22" ht="15.75">
      <c r="A238" s="2464"/>
      <c r="B238" s="2776"/>
      <c r="C238" s="2800" t="s">
        <v>428</v>
      </c>
      <c r="D238" s="2800"/>
      <c r="E238" s="2788"/>
      <c r="F238" s="2640">
        <v>0.05</v>
      </c>
      <c r="G238" s="2640">
        <v>7.0000000000000007E-2</v>
      </c>
      <c r="H238" s="2650">
        <v>0.09</v>
      </c>
      <c r="I238" s="2652">
        <f>(H238*L238%)+H238</f>
        <v>9.8999999999999991E-2</v>
      </c>
      <c r="J238" s="2656">
        <v>0.1</v>
      </c>
      <c r="K238" s="2640">
        <v>7.0000000000000007E-2</v>
      </c>
      <c r="L238" s="2779">
        <v>10</v>
      </c>
      <c r="M238" s="1200"/>
      <c r="N238" s="1200"/>
      <c r="O238" s="2780" t="str">
        <f>C238</f>
        <v>Steak haché de veau</v>
      </c>
      <c r="P238" s="2781">
        <f t="shared" ref="P238:U238" si="122">F238*P164</f>
        <v>12.65</v>
      </c>
      <c r="Q238" s="2781">
        <f t="shared" si="122"/>
        <v>58.030000000000008</v>
      </c>
      <c r="R238" s="2782">
        <f t="shared" si="122"/>
        <v>4.32</v>
      </c>
      <c r="S238" s="2783">
        <f t="shared" si="122"/>
        <v>1.2869999999999999</v>
      </c>
      <c r="T238" s="2783">
        <f t="shared" si="122"/>
        <v>2.9000000000000004</v>
      </c>
      <c r="U238" s="2781">
        <f t="shared" si="122"/>
        <v>1.1900000000000002</v>
      </c>
      <c r="V238" s="2794">
        <f>SUM(P238:U238)</f>
        <v>80.37700000000001</v>
      </c>
    </row>
    <row r="239" spans="1:22" ht="15.75">
      <c r="A239" s="2464"/>
      <c r="B239" s="2776"/>
      <c r="C239" s="2800" t="s">
        <v>429</v>
      </c>
      <c r="D239" s="2800"/>
      <c r="E239" s="2788"/>
      <c r="F239" s="2640">
        <v>0.05</v>
      </c>
      <c r="G239" s="2640">
        <v>7.0000000000000007E-2</v>
      </c>
      <c r="H239" s="2650">
        <v>0.09</v>
      </c>
      <c r="I239" s="2652">
        <f>(H239*L239%)+H239</f>
        <v>9.8999999999999991E-2</v>
      </c>
      <c r="J239" s="2656">
        <v>0.08</v>
      </c>
      <c r="K239" s="2640">
        <v>0.06</v>
      </c>
      <c r="L239" s="2779">
        <v>10</v>
      </c>
      <c r="M239" s="1200"/>
      <c r="N239" s="1200"/>
      <c r="O239" s="2780" t="str">
        <f>C239</f>
        <v>Hamburger veau, Rissolette veau</v>
      </c>
      <c r="P239" s="2781">
        <f t="shared" ref="P239:U239" si="123">F239*P164</f>
        <v>12.65</v>
      </c>
      <c r="Q239" s="2781">
        <f t="shared" si="123"/>
        <v>58.030000000000008</v>
      </c>
      <c r="R239" s="2782">
        <f t="shared" si="123"/>
        <v>4.32</v>
      </c>
      <c r="S239" s="2783">
        <f t="shared" si="123"/>
        <v>1.2869999999999999</v>
      </c>
      <c r="T239" s="2783">
        <f t="shared" si="123"/>
        <v>2.3199999999999998</v>
      </c>
      <c r="U239" s="2781">
        <f t="shared" si="123"/>
        <v>1.02</v>
      </c>
      <c r="V239" s="2794">
        <f>SUM(P239:U239)</f>
        <v>79.626999999999995</v>
      </c>
    </row>
    <row r="240" spans="1:22" ht="15.75">
      <c r="A240" s="2464"/>
      <c r="B240" s="2776"/>
      <c r="C240" s="2802" t="s">
        <v>430</v>
      </c>
      <c r="D240" s="2802"/>
      <c r="E240" s="2798"/>
      <c r="F240" s="2640">
        <v>0.05</v>
      </c>
      <c r="G240" s="2640">
        <v>7.0000000000000007E-2</v>
      </c>
      <c r="H240" s="2650">
        <v>0.11</v>
      </c>
      <c r="I240" s="2652">
        <f>(H240*L240%)+H240</f>
        <v>0.121</v>
      </c>
      <c r="J240" s="2656">
        <v>0.1</v>
      </c>
      <c r="K240" s="2640">
        <v>7.0000000000000007E-2</v>
      </c>
      <c r="L240" s="2779">
        <v>10</v>
      </c>
      <c r="M240" s="1200"/>
      <c r="N240" s="1200"/>
      <c r="O240" s="2780" t="str">
        <f>C240</f>
        <v>Paupiette de veau</v>
      </c>
      <c r="P240" s="2781">
        <f t="shared" ref="P240:U240" si="124">F240*P164</f>
        <v>12.65</v>
      </c>
      <c r="Q240" s="2781">
        <f t="shared" si="124"/>
        <v>58.030000000000008</v>
      </c>
      <c r="R240" s="2782">
        <f t="shared" si="124"/>
        <v>5.28</v>
      </c>
      <c r="S240" s="2783">
        <f t="shared" si="124"/>
        <v>1.573</v>
      </c>
      <c r="T240" s="2783">
        <f t="shared" si="124"/>
        <v>2.9000000000000004</v>
      </c>
      <c r="U240" s="2781">
        <f t="shared" si="124"/>
        <v>1.1900000000000002</v>
      </c>
      <c r="V240" s="2794">
        <f>SUM(P240:U240)</f>
        <v>81.623000000000005</v>
      </c>
    </row>
    <row r="241" spans="1:22" ht="15" customHeight="1">
      <c r="A241" s="2464"/>
      <c r="B241" s="2785"/>
      <c r="C241" s="4597" t="s">
        <v>431</v>
      </c>
      <c r="D241" s="4597"/>
      <c r="E241" s="4597"/>
      <c r="F241" s="4597"/>
      <c r="G241" s="4597"/>
      <c r="H241" s="4597"/>
      <c r="I241" s="4597"/>
      <c r="J241" s="4597"/>
      <c r="K241" s="4597"/>
      <c r="L241" s="4598"/>
      <c r="M241" s="2766"/>
      <c r="N241" s="2766"/>
      <c r="O241" s="1201"/>
      <c r="P241" s="4601" t="str">
        <f>C241</f>
        <v>AGNEAU-MOUTON</v>
      </c>
      <c r="Q241" s="4602"/>
      <c r="R241" s="4602"/>
      <c r="S241" s="4602"/>
      <c r="T241" s="4602"/>
      <c r="U241" s="4602"/>
      <c r="V241" s="4603"/>
    </row>
    <row r="242" spans="1:22" ht="15" customHeight="1">
      <c r="A242" s="2464"/>
      <c r="B242" s="2785"/>
      <c r="C242" s="4599"/>
      <c r="D242" s="4599"/>
      <c r="E242" s="4599"/>
      <c r="F242" s="4599"/>
      <c r="G242" s="4599"/>
      <c r="H242" s="4599"/>
      <c r="I242" s="4599"/>
      <c r="J242" s="4599"/>
      <c r="K242" s="4599"/>
      <c r="L242" s="4600"/>
      <c r="M242" s="2766"/>
      <c r="N242" s="2766"/>
      <c r="O242" s="1201"/>
      <c r="P242" s="4604"/>
      <c r="Q242" s="4605"/>
      <c r="R242" s="4605"/>
      <c r="S242" s="4605"/>
      <c r="T242" s="4605"/>
      <c r="U242" s="4605"/>
      <c r="V242" s="4606"/>
    </row>
    <row r="243" spans="1:22" ht="15.75">
      <c r="A243" s="2464"/>
      <c r="B243" s="2776"/>
      <c r="C243" s="2800" t="s">
        <v>432</v>
      </c>
      <c r="D243" s="2800"/>
      <c r="E243" s="2788"/>
      <c r="F243" s="2640">
        <v>0.04</v>
      </c>
      <c r="G243" s="2640">
        <v>0.06</v>
      </c>
      <c r="H243" s="2650">
        <v>0.09</v>
      </c>
      <c r="I243" s="2652">
        <f t="shared" ref="I243:I249" si="125">(H243*L243%)+H243</f>
        <v>9.8999999999999991E-2</v>
      </c>
      <c r="J243" s="2656">
        <v>0.08</v>
      </c>
      <c r="K243" s="2640">
        <v>0.06</v>
      </c>
      <c r="L243" s="2779">
        <v>10</v>
      </c>
      <c r="M243" s="1200"/>
      <c r="N243" s="1200"/>
      <c r="O243" s="2780" t="str">
        <f t="shared" ref="O243:O249" si="126">C243</f>
        <v>Gigot</v>
      </c>
      <c r="P243" s="2781">
        <f t="shared" ref="P243:U243" si="127">F243*P164</f>
        <v>10.120000000000001</v>
      </c>
      <c r="Q243" s="2781">
        <f t="shared" si="127"/>
        <v>49.739999999999995</v>
      </c>
      <c r="R243" s="2782">
        <f t="shared" si="127"/>
        <v>4.32</v>
      </c>
      <c r="S243" s="2783">
        <f t="shared" si="127"/>
        <v>1.2869999999999999</v>
      </c>
      <c r="T243" s="2783">
        <f t="shared" si="127"/>
        <v>2.3199999999999998</v>
      </c>
      <c r="U243" s="2781">
        <f t="shared" si="127"/>
        <v>1.02</v>
      </c>
      <c r="V243" s="2794">
        <f t="shared" ref="V243:V249" si="128">SUM(P243:U243)</f>
        <v>68.807000000000002</v>
      </c>
    </row>
    <row r="244" spans="1:22" ht="15.75">
      <c r="A244" s="2464"/>
      <c r="B244" s="2776"/>
      <c r="C244" s="2800" t="s">
        <v>433</v>
      </c>
      <c r="D244" s="2800"/>
      <c r="E244" s="2788"/>
      <c r="F244" s="2640">
        <v>0.05</v>
      </c>
      <c r="G244" s="2640">
        <v>7.0000000000000007E-2</v>
      </c>
      <c r="H244" s="2650">
        <v>0.11</v>
      </c>
      <c r="I244" s="2652">
        <f t="shared" si="125"/>
        <v>0.121</v>
      </c>
      <c r="J244" s="2656">
        <v>0.1</v>
      </c>
      <c r="K244" s="2640">
        <v>7.0000000000000007E-2</v>
      </c>
      <c r="L244" s="2779">
        <v>10</v>
      </c>
      <c r="M244" s="1200"/>
      <c r="N244" s="1200"/>
      <c r="O244" s="2780" t="str">
        <f t="shared" si="126"/>
        <v>Sauté (sans os)</v>
      </c>
      <c r="P244" s="2781">
        <f t="shared" ref="P244:U244" si="129">F244*P164</f>
        <v>12.65</v>
      </c>
      <c r="Q244" s="2781">
        <f t="shared" si="129"/>
        <v>58.030000000000008</v>
      </c>
      <c r="R244" s="2782">
        <f t="shared" si="129"/>
        <v>5.28</v>
      </c>
      <c r="S244" s="2783">
        <f t="shared" si="129"/>
        <v>1.573</v>
      </c>
      <c r="T244" s="2783">
        <f t="shared" si="129"/>
        <v>2.9000000000000004</v>
      </c>
      <c r="U244" s="2781">
        <f t="shared" si="129"/>
        <v>1.1900000000000002</v>
      </c>
      <c r="V244" s="2794">
        <f t="shared" si="128"/>
        <v>81.623000000000005</v>
      </c>
    </row>
    <row r="245" spans="1:22" ht="15.75">
      <c r="A245" s="2464"/>
      <c r="B245" s="2776"/>
      <c r="C245" s="2800" t="s">
        <v>2847</v>
      </c>
      <c r="D245" s="2800"/>
      <c r="E245" s="2788"/>
      <c r="F245" s="2640">
        <v>0</v>
      </c>
      <c r="G245" s="2640">
        <v>0.08</v>
      </c>
      <c r="H245" s="2650">
        <v>0.11</v>
      </c>
      <c r="I245" s="2652">
        <f t="shared" si="125"/>
        <v>0.121</v>
      </c>
      <c r="J245" s="2656">
        <v>0.1</v>
      </c>
      <c r="K245" s="2640">
        <v>7.0000000000000007E-2</v>
      </c>
      <c r="L245" s="2779">
        <v>10</v>
      </c>
      <c r="M245" s="1200"/>
      <c r="N245" s="1200"/>
      <c r="O245" s="2780" t="str">
        <f t="shared" si="126"/>
        <v>Côte d'agneau avec os</v>
      </c>
      <c r="P245" s="2781">
        <f t="shared" ref="P245:U245" si="130">F245*P164</f>
        <v>0</v>
      </c>
      <c r="Q245" s="2781">
        <f t="shared" si="130"/>
        <v>66.320000000000007</v>
      </c>
      <c r="R245" s="2782">
        <f t="shared" si="130"/>
        <v>5.28</v>
      </c>
      <c r="S245" s="2783">
        <f t="shared" si="130"/>
        <v>1.573</v>
      </c>
      <c r="T245" s="2783">
        <f t="shared" si="130"/>
        <v>2.9000000000000004</v>
      </c>
      <c r="U245" s="2781">
        <f t="shared" si="130"/>
        <v>1.1900000000000002</v>
      </c>
      <c r="V245" s="2794">
        <f t="shared" si="128"/>
        <v>77.263000000000005</v>
      </c>
    </row>
    <row r="246" spans="1:22" ht="15.75">
      <c r="A246" s="2464"/>
      <c r="B246" s="2776"/>
      <c r="C246" s="2800" t="s">
        <v>2848</v>
      </c>
      <c r="D246" s="2800"/>
      <c r="E246" s="2788"/>
      <c r="F246" s="2640">
        <v>2</v>
      </c>
      <c r="G246" s="2640">
        <v>3</v>
      </c>
      <c r="H246" s="2650">
        <v>4.5</v>
      </c>
      <c r="I246" s="2652">
        <f t="shared" si="125"/>
        <v>4.95</v>
      </c>
      <c r="J246" s="2656">
        <v>3</v>
      </c>
      <c r="K246" s="2640">
        <v>2</v>
      </c>
      <c r="L246" s="2779">
        <v>10</v>
      </c>
      <c r="M246" s="1200"/>
      <c r="N246" s="1200"/>
      <c r="O246" s="2790" t="str">
        <f t="shared" si="126"/>
        <v>Boulettes d'agneau-mouton de 30g pièce crues (à l'unité )</v>
      </c>
      <c r="P246" s="2791">
        <f t="shared" ref="P246:U246" si="131">F246*P164</f>
        <v>506</v>
      </c>
      <c r="Q246" s="2791">
        <f t="shared" si="131"/>
        <v>2487</v>
      </c>
      <c r="R246" s="2792">
        <f t="shared" si="131"/>
        <v>216</v>
      </c>
      <c r="S246" s="2793">
        <f t="shared" si="131"/>
        <v>64.350000000000009</v>
      </c>
      <c r="T246" s="2793">
        <f t="shared" si="131"/>
        <v>87</v>
      </c>
      <c r="U246" s="2791">
        <f t="shared" si="131"/>
        <v>34</v>
      </c>
      <c r="V246" s="2794">
        <f t="shared" si="128"/>
        <v>3394.35</v>
      </c>
    </row>
    <row r="247" spans="1:22" ht="15.75">
      <c r="A247" s="2464"/>
      <c r="B247" s="2776"/>
      <c r="C247" s="2800" t="s">
        <v>2849</v>
      </c>
      <c r="D247" s="2800"/>
      <c r="E247" s="2788"/>
      <c r="F247" s="2640">
        <v>0.06</v>
      </c>
      <c r="G247" s="2640">
        <v>0.09</v>
      </c>
      <c r="H247" s="2650">
        <v>0.13500000000000001</v>
      </c>
      <c r="I247" s="2652">
        <f t="shared" si="125"/>
        <v>0.14850000000000002</v>
      </c>
      <c r="J247" s="2656">
        <v>0.09</v>
      </c>
      <c r="K247" s="2640">
        <v>0.06</v>
      </c>
      <c r="L247" s="2779">
        <v>10</v>
      </c>
      <c r="M247" s="1200"/>
      <c r="N247" s="1200"/>
      <c r="O247" s="2780" t="str">
        <f t="shared" si="126"/>
        <v>Boulettes d'agneau-mouton de 30g pièce crues (au Kg )</v>
      </c>
      <c r="P247" s="2781">
        <f t="shared" ref="P247:U247" si="132">F247*P164</f>
        <v>15.18</v>
      </c>
      <c r="Q247" s="2781">
        <f t="shared" si="132"/>
        <v>74.61</v>
      </c>
      <c r="R247" s="2782">
        <f t="shared" si="132"/>
        <v>6.48</v>
      </c>
      <c r="S247" s="2783">
        <f t="shared" si="132"/>
        <v>1.9305000000000003</v>
      </c>
      <c r="T247" s="2783">
        <f t="shared" si="132"/>
        <v>2.61</v>
      </c>
      <c r="U247" s="2781">
        <f t="shared" si="132"/>
        <v>1.02</v>
      </c>
      <c r="V247" s="2794">
        <f t="shared" si="128"/>
        <v>101.83049999999999</v>
      </c>
    </row>
    <row r="248" spans="1:22" ht="15.75">
      <c r="A248" s="2464"/>
      <c r="B248" s="2776"/>
      <c r="C248" s="2800" t="s">
        <v>2850</v>
      </c>
      <c r="D248" s="2800"/>
      <c r="E248" s="2788"/>
      <c r="F248" s="2640">
        <v>1</v>
      </c>
      <c r="G248" s="2640">
        <v>2</v>
      </c>
      <c r="H248" s="2650">
        <v>2.5</v>
      </c>
      <c r="I248" s="2652">
        <f t="shared" si="125"/>
        <v>2.75</v>
      </c>
      <c r="J248" s="2656">
        <v>2</v>
      </c>
      <c r="K248" s="2640">
        <v>1.5</v>
      </c>
      <c r="L248" s="2779">
        <v>10</v>
      </c>
      <c r="M248" s="1200"/>
      <c r="N248" s="1200"/>
      <c r="O248" s="2790" t="str">
        <f t="shared" si="126"/>
        <v>Merguez de 50 g pièce crues (à l'unité)</v>
      </c>
      <c r="P248" s="2791">
        <f t="shared" ref="P248:U248" si="133">F248*P164</f>
        <v>253</v>
      </c>
      <c r="Q248" s="2791">
        <f t="shared" si="133"/>
        <v>1658</v>
      </c>
      <c r="R248" s="2792">
        <f t="shared" si="133"/>
        <v>120</v>
      </c>
      <c r="S248" s="2793">
        <f t="shared" si="133"/>
        <v>35.75</v>
      </c>
      <c r="T248" s="2793">
        <f t="shared" si="133"/>
        <v>58</v>
      </c>
      <c r="U248" s="2791">
        <f t="shared" si="133"/>
        <v>25.5</v>
      </c>
      <c r="V248" s="2794">
        <f t="shared" si="128"/>
        <v>2150.25</v>
      </c>
    </row>
    <row r="249" spans="1:22" ht="15.75">
      <c r="A249" s="2464"/>
      <c r="B249" s="2776"/>
      <c r="C249" s="2802" t="s">
        <v>2851</v>
      </c>
      <c r="D249" s="2802"/>
      <c r="E249" s="2798"/>
      <c r="F249" s="2640">
        <v>0.05</v>
      </c>
      <c r="G249" s="2640">
        <v>0.1</v>
      </c>
      <c r="H249" s="2650">
        <v>0.125</v>
      </c>
      <c r="I249" s="2652">
        <f t="shared" si="125"/>
        <v>0.13750000000000001</v>
      </c>
      <c r="J249" s="2656">
        <v>0.1</v>
      </c>
      <c r="K249" s="2640">
        <v>0.75</v>
      </c>
      <c r="L249" s="2779">
        <v>10</v>
      </c>
      <c r="M249" s="1200"/>
      <c r="N249" s="1200"/>
      <c r="O249" s="2780" t="str">
        <f t="shared" si="126"/>
        <v>Merguez de 50 g pièce crues (au Kg)</v>
      </c>
      <c r="P249" s="2781">
        <f t="shared" ref="P249:U249" si="134">F249*P164</f>
        <v>12.65</v>
      </c>
      <c r="Q249" s="2781">
        <f t="shared" si="134"/>
        <v>82.9</v>
      </c>
      <c r="R249" s="2782">
        <f t="shared" si="134"/>
        <v>6</v>
      </c>
      <c r="S249" s="2783">
        <f t="shared" si="134"/>
        <v>1.7875000000000001</v>
      </c>
      <c r="T249" s="2783">
        <f t="shared" si="134"/>
        <v>2.9000000000000004</v>
      </c>
      <c r="U249" s="2781">
        <f t="shared" si="134"/>
        <v>12.75</v>
      </c>
      <c r="V249" s="2794">
        <f t="shared" si="128"/>
        <v>118.98750000000001</v>
      </c>
    </row>
    <row r="250" spans="1:22" ht="15" customHeight="1">
      <c r="A250" s="2464"/>
      <c r="B250" s="2785"/>
      <c r="C250" s="4597" t="s">
        <v>434</v>
      </c>
      <c r="D250" s="4597"/>
      <c r="E250" s="4597"/>
      <c r="F250" s="4597"/>
      <c r="G250" s="4597"/>
      <c r="H250" s="4597"/>
      <c r="I250" s="4597"/>
      <c r="J250" s="4597"/>
      <c r="K250" s="4597"/>
      <c r="L250" s="4598"/>
      <c r="M250" s="2766"/>
      <c r="N250" s="2766"/>
      <c r="O250" s="1201"/>
      <c r="P250" s="4601" t="str">
        <f>C250</f>
        <v>PORC</v>
      </c>
      <c r="Q250" s="4602"/>
      <c r="R250" s="4602"/>
      <c r="S250" s="4602"/>
      <c r="T250" s="4602"/>
      <c r="U250" s="4602"/>
      <c r="V250" s="4603"/>
    </row>
    <row r="251" spans="1:22" ht="15" customHeight="1">
      <c r="A251" s="2464"/>
      <c r="B251" s="2785"/>
      <c r="C251" s="4599"/>
      <c r="D251" s="4599"/>
      <c r="E251" s="4599"/>
      <c r="F251" s="4599"/>
      <c r="G251" s="4599"/>
      <c r="H251" s="4599"/>
      <c r="I251" s="4599"/>
      <c r="J251" s="4599"/>
      <c r="K251" s="4599"/>
      <c r="L251" s="4600"/>
      <c r="M251" s="2766"/>
      <c r="N251" s="2766"/>
      <c r="O251" s="1201"/>
      <c r="P251" s="4604"/>
      <c r="Q251" s="4605"/>
      <c r="R251" s="4605"/>
      <c r="S251" s="4605"/>
      <c r="T251" s="4605"/>
      <c r="U251" s="4605"/>
      <c r="V251" s="4606"/>
    </row>
    <row r="252" spans="1:22" ht="15.75">
      <c r="A252" s="2464"/>
      <c r="B252" s="2776"/>
      <c r="C252" s="2800" t="s">
        <v>435</v>
      </c>
      <c r="D252" s="2800"/>
      <c r="E252" s="2788"/>
      <c r="F252" s="2640">
        <v>0.04</v>
      </c>
      <c r="G252" s="2640">
        <v>0.06</v>
      </c>
      <c r="H252" s="2650">
        <v>0.09</v>
      </c>
      <c r="I252" s="2652">
        <f t="shared" ref="I252:I261" si="135">(H252*L252%)+H252</f>
        <v>9.8999999999999991E-2</v>
      </c>
      <c r="J252" s="2656">
        <v>0.1</v>
      </c>
      <c r="K252" s="2640">
        <v>7.0000000000000007E-2</v>
      </c>
      <c r="L252" s="2779">
        <v>10</v>
      </c>
      <c r="M252" s="1200"/>
      <c r="N252" s="1200"/>
      <c r="O252" s="2780" t="str">
        <f t="shared" ref="O252:O261" si="136">C252</f>
        <v>Rôti de porc, grillade (sans os)</v>
      </c>
      <c r="P252" s="2781">
        <f t="shared" ref="P252:U252" si="137">F252*P164</f>
        <v>10.120000000000001</v>
      </c>
      <c r="Q252" s="2781">
        <f t="shared" si="137"/>
        <v>49.739999999999995</v>
      </c>
      <c r="R252" s="2782">
        <f t="shared" si="137"/>
        <v>4.32</v>
      </c>
      <c r="S252" s="2783">
        <f t="shared" si="137"/>
        <v>1.2869999999999999</v>
      </c>
      <c r="T252" s="2783">
        <f t="shared" si="137"/>
        <v>2.9000000000000004</v>
      </c>
      <c r="U252" s="2781">
        <f t="shared" si="137"/>
        <v>1.1900000000000002</v>
      </c>
      <c r="V252" s="2794">
        <f t="shared" ref="V252:V261" si="138">SUM(P252:U252)</f>
        <v>69.557000000000016</v>
      </c>
    </row>
    <row r="253" spans="1:22" ht="15.75">
      <c r="A253" s="2464"/>
      <c r="B253" s="2776"/>
      <c r="C253" s="2800" t="s">
        <v>433</v>
      </c>
      <c r="D253" s="2800"/>
      <c r="E253" s="2788"/>
      <c r="F253" s="2640">
        <v>0.05</v>
      </c>
      <c r="G253" s="2640">
        <v>7.0000000000000007E-2</v>
      </c>
      <c r="H253" s="2650">
        <v>0.11</v>
      </c>
      <c r="I253" s="2652">
        <f t="shared" si="135"/>
        <v>0.121</v>
      </c>
      <c r="J253" s="2656">
        <v>0.1</v>
      </c>
      <c r="K253" s="2640">
        <v>7.0000000000000007E-2</v>
      </c>
      <c r="L253" s="2779">
        <v>10</v>
      </c>
      <c r="M253" s="1200"/>
      <c r="N253" s="1200"/>
      <c r="O253" s="2780" t="str">
        <f t="shared" si="136"/>
        <v>Sauté (sans os)</v>
      </c>
      <c r="P253" s="2781">
        <f t="shared" ref="P253:U253" si="139">F253*P164</f>
        <v>12.65</v>
      </c>
      <c r="Q253" s="2781">
        <f t="shared" si="139"/>
        <v>58.030000000000008</v>
      </c>
      <c r="R253" s="2782">
        <f t="shared" si="139"/>
        <v>5.28</v>
      </c>
      <c r="S253" s="2783">
        <f t="shared" si="139"/>
        <v>1.573</v>
      </c>
      <c r="T253" s="2783">
        <f t="shared" si="139"/>
        <v>2.9000000000000004</v>
      </c>
      <c r="U253" s="2781">
        <f t="shared" si="139"/>
        <v>1.1900000000000002</v>
      </c>
      <c r="V253" s="2794">
        <f t="shared" si="138"/>
        <v>81.623000000000005</v>
      </c>
    </row>
    <row r="254" spans="1:22" ht="15.75">
      <c r="A254" s="2464"/>
      <c r="B254" s="2776"/>
      <c r="C254" s="2800" t="s">
        <v>436</v>
      </c>
      <c r="D254" s="2800"/>
      <c r="E254" s="2788"/>
      <c r="F254" s="2640">
        <v>0</v>
      </c>
      <c r="G254" s="2640">
        <v>0.08</v>
      </c>
      <c r="H254" s="2650">
        <v>0.11</v>
      </c>
      <c r="I254" s="2652">
        <f t="shared" si="135"/>
        <v>0.121</v>
      </c>
      <c r="J254" s="2656">
        <v>0.1</v>
      </c>
      <c r="K254" s="2640">
        <v>7.0000000000000007E-2</v>
      </c>
      <c r="L254" s="2779">
        <v>10</v>
      </c>
      <c r="M254" s="1200"/>
      <c r="N254" s="1200"/>
      <c r="O254" s="2780" t="str">
        <f t="shared" si="136"/>
        <v>Côte de porc</v>
      </c>
      <c r="P254" s="2781">
        <f t="shared" ref="P254:U254" si="140">F254*P164</f>
        <v>0</v>
      </c>
      <c r="Q254" s="2781">
        <f t="shared" si="140"/>
        <v>66.320000000000007</v>
      </c>
      <c r="R254" s="2782">
        <f t="shared" si="140"/>
        <v>5.28</v>
      </c>
      <c r="S254" s="2783">
        <f t="shared" si="140"/>
        <v>1.573</v>
      </c>
      <c r="T254" s="2783">
        <f t="shared" si="140"/>
        <v>2.9000000000000004</v>
      </c>
      <c r="U254" s="2781">
        <f t="shared" si="140"/>
        <v>1.1900000000000002</v>
      </c>
      <c r="V254" s="2794">
        <f t="shared" si="138"/>
        <v>77.263000000000005</v>
      </c>
    </row>
    <row r="255" spans="1:22" ht="15.75">
      <c r="A255" s="2464"/>
      <c r="B255" s="2776"/>
      <c r="C255" s="2800" t="s">
        <v>437</v>
      </c>
      <c r="D255" s="2800"/>
      <c r="E255" s="2788"/>
      <c r="F255" s="2640">
        <v>0.04</v>
      </c>
      <c r="G255" s="2640">
        <v>0.06</v>
      </c>
      <c r="H255" s="2650">
        <v>0.09</v>
      </c>
      <c r="I255" s="2652">
        <f t="shared" si="135"/>
        <v>9.8999999999999991E-2</v>
      </c>
      <c r="J255" s="2656">
        <v>0.08</v>
      </c>
      <c r="K255" s="2640">
        <v>7.0000000000000007E-2</v>
      </c>
      <c r="L255" s="2779">
        <v>10</v>
      </c>
      <c r="M255" s="1200"/>
      <c r="N255" s="1200"/>
      <c r="O255" s="2780" t="str">
        <f t="shared" si="136"/>
        <v>Jambon DD, palette de porc</v>
      </c>
      <c r="P255" s="2781">
        <f t="shared" ref="P255:U255" si="141">F255*P164</f>
        <v>10.120000000000001</v>
      </c>
      <c r="Q255" s="2781">
        <f t="shared" si="141"/>
        <v>49.739999999999995</v>
      </c>
      <c r="R255" s="2782">
        <f t="shared" si="141"/>
        <v>4.32</v>
      </c>
      <c r="S255" s="2783">
        <f t="shared" si="141"/>
        <v>1.2869999999999999</v>
      </c>
      <c r="T255" s="2783">
        <f t="shared" si="141"/>
        <v>2.3199999999999998</v>
      </c>
      <c r="U255" s="2781">
        <f t="shared" si="141"/>
        <v>1.1900000000000002</v>
      </c>
      <c r="V255" s="2794">
        <f t="shared" si="138"/>
        <v>68.977000000000004</v>
      </c>
    </row>
    <row r="256" spans="1:22" ht="15.75">
      <c r="A256" s="2464"/>
      <c r="B256" s="2776"/>
      <c r="C256" s="2800" t="s">
        <v>438</v>
      </c>
      <c r="D256" s="2800"/>
      <c r="E256" s="2788"/>
      <c r="F256" s="2640">
        <v>0.05</v>
      </c>
      <c r="G256" s="2640">
        <v>7.0000000000000007E-2</v>
      </c>
      <c r="H256" s="2650">
        <v>0.11</v>
      </c>
      <c r="I256" s="2652">
        <f t="shared" si="135"/>
        <v>0.121</v>
      </c>
      <c r="J256" s="2656">
        <v>0.1</v>
      </c>
      <c r="K256" s="2640">
        <v>7.0000000000000007E-2</v>
      </c>
      <c r="L256" s="2779">
        <v>10</v>
      </c>
      <c r="M256" s="1200"/>
      <c r="N256" s="1200"/>
      <c r="O256" s="2780" t="str">
        <f t="shared" si="136"/>
        <v>Andouillettes</v>
      </c>
      <c r="P256" s="2781">
        <f t="shared" ref="P256:U256" si="142">F256*P164</f>
        <v>12.65</v>
      </c>
      <c r="Q256" s="2781">
        <f t="shared" si="142"/>
        <v>58.030000000000008</v>
      </c>
      <c r="R256" s="2782">
        <f t="shared" si="142"/>
        <v>5.28</v>
      </c>
      <c r="S256" s="2783">
        <f t="shared" si="142"/>
        <v>1.573</v>
      </c>
      <c r="T256" s="2783">
        <f t="shared" si="142"/>
        <v>2.9000000000000004</v>
      </c>
      <c r="U256" s="2781">
        <f t="shared" si="142"/>
        <v>1.1900000000000002</v>
      </c>
      <c r="V256" s="2794">
        <f t="shared" si="138"/>
        <v>81.623000000000005</v>
      </c>
    </row>
    <row r="257" spans="1:22" ht="15.75">
      <c r="A257" s="2464"/>
      <c r="B257" s="2776"/>
      <c r="C257" s="2800" t="s">
        <v>2852</v>
      </c>
      <c r="D257" s="2800"/>
      <c r="E257" s="2788"/>
      <c r="F257" s="2640">
        <v>1</v>
      </c>
      <c r="G257" s="2640">
        <v>2</v>
      </c>
      <c r="H257" s="2650">
        <v>2.5</v>
      </c>
      <c r="I257" s="2652">
        <f t="shared" si="135"/>
        <v>2.75</v>
      </c>
      <c r="J257" s="2656">
        <v>2</v>
      </c>
      <c r="K257" s="2640">
        <v>1.5</v>
      </c>
      <c r="L257" s="2779">
        <v>10</v>
      </c>
      <c r="M257" s="1200"/>
      <c r="N257" s="1200"/>
      <c r="O257" s="2790" t="str">
        <f t="shared" si="136"/>
        <v>Saucisse chipolatas de 50 g pièce crue ( à l'unité)</v>
      </c>
      <c r="P257" s="2791">
        <f t="shared" ref="P257:U257" si="143">F257*P164</f>
        <v>253</v>
      </c>
      <c r="Q257" s="2791">
        <f t="shared" si="143"/>
        <v>1658</v>
      </c>
      <c r="R257" s="2792">
        <f t="shared" si="143"/>
        <v>120</v>
      </c>
      <c r="S257" s="2793">
        <f t="shared" si="143"/>
        <v>35.75</v>
      </c>
      <c r="T257" s="2793">
        <f t="shared" si="143"/>
        <v>58</v>
      </c>
      <c r="U257" s="2791">
        <f t="shared" si="143"/>
        <v>25.5</v>
      </c>
      <c r="V257" s="2794">
        <f t="shared" si="138"/>
        <v>2150.25</v>
      </c>
    </row>
    <row r="258" spans="1:22" ht="15.75">
      <c r="A258" s="2464"/>
      <c r="B258" s="2776"/>
      <c r="C258" s="2800" t="s">
        <v>2853</v>
      </c>
      <c r="D258" s="2800"/>
      <c r="E258" s="2788"/>
      <c r="F258" s="2640">
        <v>0.05</v>
      </c>
      <c r="G258" s="2640">
        <v>0.1</v>
      </c>
      <c r="H258" s="2650">
        <v>0.125</v>
      </c>
      <c r="I258" s="2652">
        <f t="shared" si="135"/>
        <v>0.13750000000000001</v>
      </c>
      <c r="J258" s="2656">
        <v>0.1</v>
      </c>
      <c r="K258" s="2640">
        <v>0.75</v>
      </c>
      <c r="L258" s="2779">
        <v>10</v>
      </c>
      <c r="M258" s="1200"/>
      <c r="N258" s="1200"/>
      <c r="O258" s="2780" t="str">
        <f t="shared" si="136"/>
        <v>Saucisse chipolatas de 50 g pièce crue ( au Kg)</v>
      </c>
      <c r="P258" s="2791">
        <f t="shared" ref="P258:U258" si="144">F258*P164</f>
        <v>12.65</v>
      </c>
      <c r="Q258" s="2791">
        <f t="shared" si="144"/>
        <v>82.9</v>
      </c>
      <c r="R258" s="2792">
        <f t="shared" si="144"/>
        <v>6</v>
      </c>
      <c r="S258" s="2793">
        <f t="shared" si="144"/>
        <v>1.7875000000000001</v>
      </c>
      <c r="T258" s="2793">
        <f t="shared" si="144"/>
        <v>2.9000000000000004</v>
      </c>
      <c r="U258" s="2791">
        <f t="shared" si="144"/>
        <v>12.75</v>
      </c>
      <c r="V258" s="2794">
        <f t="shared" si="138"/>
        <v>118.98750000000001</v>
      </c>
    </row>
    <row r="259" spans="1:22" ht="15.75">
      <c r="A259" s="2464"/>
      <c r="B259" s="2776"/>
      <c r="C259" s="2800" t="s">
        <v>2854</v>
      </c>
      <c r="D259" s="2800"/>
      <c r="E259" s="2788"/>
      <c r="F259" s="2640">
        <v>1</v>
      </c>
      <c r="G259" s="2640">
        <v>2</v>
      </c>
      <c r="H259" s="2650">
        <v>2.5</v>
      </c>
      <c r="I259" s="2652">
        <f t="shared" si="135"/>
        <v>2.75</v>
      </c>
      <c r="J259" s="2656">
        <v>2</v>
      </c>
      <c r="K259" s="2640">
        <v>1.5</v>
      </c>
      <c r="L259" s="2779">
        <v>10</v>
      </c>
      <c r="M259" s="1200"/>
      <c r="N259" s="1200"/>
      <c r="O259" s="2790" t="str">
        <f t="shared" si="136"/>
        <v>Saucisse de Francfort Strasbourg de 50 g pièce crue (à l'unité)</v>
      </c>
      <c r="P259" s="2791">
        <f t="shared" ref="P259:U259" si="145">F259*P164</f>
        <v>253</v>
      </c>
      <c r="Q259" s="2791">
        <f t="shared" si="145"/>
        <v>1658</v>
      </c>
      <c r="R259" s="2792">
        <f t="shared" si="145"/>
        <v>120</v>
      </c>
      <c r="S259" s="2793">
        <f t="shared" si="145"/>
        <v>35.75</v>
      </c>
      <c r="T259" s="2793">
        <f t="shared" si="145"/>
        <v>58</v>
      </c>
      <c r="U259" s="2791">
        <f t="shared" si="145"/>
        <v>25.5</v>
      </c>
      <c r="V259" s="2794">
        <f t="shared" si="138"/>
        <v>2150.25</v>
      </c>
    </row>
    <row r="260" spans="1:22" ht="15.75">
      <c r="A260" s="2464"/>
      <c r="B260" s="2776"/>
      <c r="C260" s="2800" t="s">
        <v>2854</v>
      </c>
      <c r="D260" s="2800"/>
      <c r="E260" s="2788"/>
      <c r="F260" s="2640">
        <v>0.05</v>
      </c>
      <c r="G260" s="2640">
        <v>0.1</v>
      </c>
      <c r="H260" s="2650">
        <v>0.125</v>
      </c>
      <c r="I260" s="2652">
        <f t="shared" si="135"/>
        <v>0.13750000000000001</v>
      </c>
      <c r="J260" s="2656">
        <v>0.1</v>
      </c>
      <c r="K260" s="2640">
        <v>0.75</v>
      </c>
      <c r="L260" s="2779">
        <v>10</v>
      </c>
      <c r="M260" s="1200"/>
      <c r="N260" s="1200"/>
      <c r="O260" s="2790" t="str">
        <f t="shared" si="136"/>
        <v>Saucisse de Francfort Strasbourg de 50 g pièce crue (à l'unité)</v>
      </c>
      <c r="P260" s="2791">
        <f t="shared" ref="P260:U260" si="146">F260*P164</f>
        <v>12.65</v>
      </c>
      <c r="Q260" s="2791">
        <f t="shared" si="146"/>
        <v>82.9</v>
      </c>
      <c r="R260" s="2792">
        <f t="shared" si="146"/>
        <v>6</v>
      </c>
      <c r="S260" s="2793">
        <f t="shared" si="146"/>
        <v>1.7875000000000001</v>
      </c>
      <c r="T260" s="2793">
        <f t="shared" si="146"/>
        <v>2.9000000000000004</v>
      </c>
      <c r="U260" s="2791">
        <f t="shared" si="146"/>
        <v>12.75</v>
      </c>
      <c r="V260" s="2794">
        <f t="shared" si="138"/>
        <v>118.98750000000001</v>
      </c>
    </row>
    <row r="261" spans="1:22" ht="15.75">
      <c r="A261" s="2464"/>
      <c r="B261" s="2776"/>
      <c r="C261" s="2802" t="s">
        <v>439</v>
      </c>
      <c r="D261" s="2802"/>
      <c r="E261" s="2798"/>
      <c r="F261" s="2640">
        <v>0.05</v>
      </c>
      <c r="G261" s="2640">
        <v>7.0000000000000007E-2</v>
      </c>
      <c r="H261" s="2650">
        <v>0.11</v>
      </c>
      <c r="I261" s="2652">
        <f t="shared" si="135"/>
        <v>0.121</v>
      </c>
      <c r="J261" s="2656">
        <v>0.1</v>
      </c>
      <c r="K261" s="2640">
        <v>7.0000000000000007E-2</v>
      </c>
      <c r="L261" s="2779">
        <v>10</v>
      </c>
      <c r="M261" s="1200"/>
      <c r="N261" s="1200"/>
      <c r="O261" s="2780" t="str">
        <f t="shared" si="136"/>
        <v>Saucisse Toulouse, Montbéliard, Morteau</v>
      </c>
      <c r="P261" s="2781">
        <f t="shared" ref="P261:U261" si="147">F261*P164</f>
        <v>12.65</v>
      </c>
      <c r="Q261" s="2781">
        <f t="shared" si="147"/>
        <v>58.030000000000008</v>
      </c>
      <c r="R261" s="2782">
        <f t="shared" si="147"/>
        <v>5.28</v>
      </c>
      <c r="S261" s="2783">
        <f t="shared" si="147"/>
        <v>1.573</v>
      </c>
      <c r="T261" s="2783">
        <f t="shared" si="147"/>
        <v>2.9000000000000004</v>
      </c>
      <c r="U261" s="2781">
        <f t="shared" si="147"/>
        <v>1.1900000000000002</v>
      </c>
      <c r="V261" s="2794">
        <f t="shared" si="138"/>
        <v>81.623000000000005</v>
      </c>
    </row>
    <row r="262" spans="1:22" ht="15" customHeight="1">
      <c r="A262" s="2464"/>
      <c r="B262" s="2785"/>
      <c r="C262" s="4597" t="s">
        <v>440</v>
      </c>
      <c r="D262" s="4597"/>
      <c r="E262" s="4597"/>
      <c r="F262" s="4597"/>
      <c r="G262" s="4597"/>
      <c r="H262" s="4597"/>
      <c r="I262" s="4597"/>
      <c r="J262" s="4597"/>
      <c r="K262" s="4597"/>
      <c r="L262" s="4598"/>
      <c r="M262" s="2766"/>
      <c r="N262" s="2766"/>
      <c r="O262" s="1201"/>
      <c r="P262" s="4601" t="str">
        <f>C262</f>
        <v>VOLAILLE-LAPIN</v>
      </c>
      <c r="Q262" s="4602"/>
      <c r="R262" s="4602"/>
      <c r="S262" s="4602"/>
      <c r="T262" s="4602"/>
      <c r="U262" s="4602"/>
      <c r="V262" s="4603"/>
    </row>
    <row r="263" spans="1:22" ht="15" customHeight="1">
      <c r="A263" s="2464"/>
      <c r="B263" s="2785"/>
      <c r="C263" s="4599"/>
      <c r="D263" s="4599"/>
      <c r="E263" s="4599"/>
      <c r="F263" s="4599"/>
      <c r="G263" s="4599"/>
      <c r="H263" s="4599"/>
      <c r="I263" s="4599"/>
      <c r="J263" s="4599"/>
      <c r="K263" s="4599"/>
      <c r="L263" s="4600"/>
      <c r="M263" s="2766"/>
      <c r="N263" s="2766"/>
      <c r="O263" s="1201"/>
      <c r="P263" s="4604"/>
      <c r="Q263" s="4605"/>
      <c r="R263" s="4605"/>
      <c r="S263" s="4605"/>
      <c r="T263" s="4605"/>
      <c r="U263" s="4605"/>
      <c r="V263" s="4606"/>
    </row>
    <row r="264" spans="1:22" ht="15.75">
      <c r="A264" s="2464"/>
      <c r="B264" s="2776"/>
      <c r="C264" s="2800" t="s">
        <v>441</v>
      </c>
      <c r="D264" s="2800"/>
      <c r="E264" s="2788"/>
      <c r="F264" s="2640">
        <v>0.04</v>
      </c>
      <c r="G264" s="2640">
        <v>0.06</v>
      </c>
      <c r="H264" s="2650">
        <v>0.09</v>
      </c>
      <c r="I264" s="2652">
        <f t="shared" ref="I264:I278" si="148">(H264*L264%)+H264</f>
        <v>9.8999999999999991E-2</v>
      </c>
      <c r="J264" s="2656">
        <v>0.08</v>
      </c>
      <c r="K264" s="2640">
        <v>0.06</v>
      </c>
      <c r="L264" s="2779">
        <v>10</v>
      </c>
      <c r="M264" s="1200"/>
      <c r="N264" s="1200"/>
      <c r="O264" s="2780" t="str">
        <f t="shared" ref="O264:O278" si="149">C264</f>
        <v>Rôti de volaille, escalope de volaille, blanc de
poulet</v>
      </c>
      <c r="P264" s="2781">
        <f t="shared" ref="P264:U264" si="150">F264*P164</f>
        <v>10.120000000000001</v>
      </c>
      <c r="Q264" s="2781">
        <f t="shared" si="150"/>
        <v>49.739999999999995</v>
      </c>
      <c r="R264" s="2782">
        <f t="shared" si="150"/>
        <v>4.32</v>
      </c>
      <c r="S264" s="2783">
        <f t="shared" si="150"/>
        <v>1.2869999999999999</v>
      </c>
      <c r="T264" s="2783">
        <f t="shared" si="150"/>
        <v>2.3199999999999998</v>
      </c>
      <c r="U264" s="2781">
        <f t="shared" si="150"/>
        <v>1.02</v>
      </c>
      <c r="V264" s="2794">
        <f t="shared" ref="V264:V278" si="151">SUM(P264:U264)</f>
        <v>68.807000000000002</v>
      </c>
    </row>
    <row r="265" spans="1:22" ht="15.75">
      <c r="A265" s="2464"/>
      <c r="B265" s="2776"/>
      <c r="C265" s="2800" t="s">
        <v>442</v>
      </c>
      <c r="D265" s="2800"/>
      <c r="E265" s="2788"/>
      <c r="F265" s="2640">
        <v>0.05</v>
      </c>
      <c r="G265" s="2640">
        <v>7.0000000000000007E-2</v>
      </c>
      <c r="H265" s="2650">
        <v>0.11</v>
      </c>
      <c r="I265" s="2652">
        <f t="shared" si="148"/>
        <v>0.121</v>
      </c>
      <c r="J265" s="2656">
        <v>0.1</v>
      </c>
      <c r="K265" s="2640">
        <v>7.0000000000000007E-2</v>
      </c>
      <c r="L265" s="2779">
        <v>10</v>
      </c>
      <c r="M265" s="1200"/>
      <c r="N265" s="1200"/>
      <c r="O265" s="2780" t="str">
        <f t="shared" si="149"/>
        <v>Sauté</v>
      </c>
      <c r="P265" s="2781">
        <f t="shared" ref="P265:U265" si="152">F265*P164</f>
        <v>12.65</v>
      </c>
      <c r="Q265" s="2781">
        <f t="shared" si="152"/>
        <v>58.030000000000008</v>
      </c>
      <c r="R265" s="2782">
        <f t="shared" si="152"/>
        <v>5.28</v>
      </c>
      <c r="S265" s="2783">
        <f t="shared" si="152"/>
        <v>1.573</v>
      </c>
      <c r="T265" s="2783">
        <f t="shared" si="152"/>
        <v>2.9000000000000004</v>
      </c>
      <c r="U265" s="2781">
        <f t="shared" si="152"/>
        <v>1.1900000000000002</v>
      </c>
      <c r="V265" s="2794">
        <f t="shared" si="151"/>
        <v>81.623000000000005</v>
      </c>
    </row>
    <row r="266" spans="1:22" ht="15.75">
      <c r="A266" s="2464"/>
      <c r="B266" s="2776"/>
      <c r="C266" s="2800" t="s">
        <v>443</v>
      </c>
      <c r="D266" s="2800"/>
      <c r="E266" s="2788"/>
      <c r="F266" s="2640">
        <v>0.04</v>
      </c>
      <c r="G266" s="2640">
        <v>0.06</v>
      </c>
      <c r="H266" s="2650">
        <v>0.09</v>
      </c>
      <c r="I266" s="2652">
        <f t="shared" si="148"/>
        <v>9.8999999999999991E-2</v>
      </c>
      <c r="J266" s="2656">
        <v>0.08</v>
      </c>
      <c r="K266" s="2640">
        <v>0.06</v>
      </c>
      <c r="L266" s="2779">
        <v>10</v>
      </c>
      <c r="M266" s="1200"/>
      <c r="N266" s="1200"/>
      <c r="O266" s="2780" t="str">
        <f t="shared" si="149"/>
        <v>Jambon de volaille</v>
      </c>
      <c r="P266" s="2781">
        <f t="shared" ref="P266:U266" si="153">F266*P164</f>
        <v>10.120000000000001</v>
      </c>
      <c r="Q266" s="2781">
        <f t="shared" si="153"/>
        <v>49.739999999999995</v>
      </c>
      <c r="R266" s="2782">
        <f t="shared" si="153"/>
        <v>4.32</v>
      </c>
      <c r="S266" s="2783">
        <f t="shared" si="153"/>
        <v>1.2869999999999999</v>
      </c>
      <c r="T266" s="2783">
        <f t="shared" si="153"/>
        <v>2.3199999999999998</v>
      </c>
      <c r="U266" s="2781">
        <f t="shared" si="153"/>
        <v>1.02</v>
      </c>
      <c r="V266" s="2794">
        <f t="shared" si="151"/>
        <v>68.807000000000002</v>
      </c>
    </row>
    <row r="267" spans="1:22" ht="15.75">
      <c r="A267" s="2464"/>
      <c r="B267" s="2776"/>
      <c r="C267" s="2800" t="s">
        <v>444</v>
      </c>
      <c r="D267" s="2800"/>
      <c r="E267" s="2788"/>
      <c r="F267" s="2640">
        <v>0.05</v>
      </c>
      <c r="G267" s="2640">
        <v>7.0000000000000007E-2</v>
      </c>
      <c r="H267" s="2650">
        <v>0.11</v>
      </c>
      <c r="I267" s="2652">
        <f t="shared" si="148"/>
        <v>0.121</v>
      </c>
      <c r="J267" s="2656">
        <v>0.1</v>
      </c>
      <c r="K267" s="2640">
        <v>7.0000000000000007E-2</v>
      </c>
      <c r="L267" s="2779">
        <v>10</v>
      </c>
      <c r="M267" s="1200"/>
      <c r="N267" s="1200"/>
      <c r="O267" s="2780" t="str">
        <f t="shared" si="149"/>
        <v>Cordon bleu</v>
      </c>
      <c r="P267" s="2781">
        <f t="shared" ref="P267:U267" si="154">F267*P164</f>
        <v>12.65</v>
      </c>
      <c r="Q267" s="2781">
        <f t="shared" si="154"/>
        <v>58.030000000000008</v>
      </c>
      <c r="R267" s="2782">
        <f t="shared" si="154"/>
        <v>5.28</v>
      </c>
      <c r="S267" s="2783">
        <f t="shared" si="154"/>
        <v>1.573</v>
      </c>
      <c r="T267" s="2783">
        <f t="shared" si="154"/>
        <v>2.9000000000000004</v>
      </c>
      <c r="U267" s="2781">
        <f t="shared" si="154"/>
        <v>1.1900000000000002</v>
      </c>
      <c r="V267" s="2794">
        <f t="shared" si="151"/>
        <v>81.623000000000005</v>
      </c>
    </row>
    <row r="268" spans="1:22" ht="15.75">
      <c r="A268" s="2464"/>
      <c r="B268" s="2776"/>
      <c r="C268" s="2800" t="s">
        <v>445</v>
      </c>
      <c r="D268" s="2800"/>
      <c r="E268" s="2788"/>
      <c r="F268" s="2640">
        <v>0.1</v>
      </c>
      <c r="G268" s="2640">
        <v>0.14000000000000001</v>
      </c>
      <c r="H268" s="2650">
        <v>0.16</v>
      </c>
      <c r="I268" s="2652">
        <f t="shared" si="148"/>
        <v>0.17599999999999999</v>
      </c>
      <c r="J268" s="2656">
        <v>0.14000000000000001</v>
      </c>
      <c r="K268" s="2640">
        <v>0.1</v>
      </c>
      <c r="L268" s="2779">
        <v>10</v>
      </c>
      <c r="M268" s="1200"/>
      <c r="N268" s="1200"/>
      <c r="O268" s="2780" t="str">
        <f t="shared" si="149"/>
        <v>Cuisse de poulet, de pintade, de canard</v>
      </c>
      <c r="P268" s="2781">
        <f t="shared" ref="P268:U268" si="155">F268*P164</f>
        <v>25.3</v>
      </c>
      <c r="Q268" s="2781">
        <f t="shared" si="155"/>
        <v>116.06000000000002</v>
      </c>
      <c r="R268" s="2782">
        <f t="shared" si="155"/>
        <v>7.68</v>
      </c>
      <c r="S268" s="2783">
        <f t="shared" si="155"/>
        <v>2.2879999999999998</v>
      </c>
      <c r="T268" s="2783">
        <f t="shared" si="155"/>
        <v>4.0600000000000005</v>
      </c>
      <c r="U268" s="2781">
        <f t="shared" si="155"/>
        <v>1.7000000000000002</v>
      </c>
      <c r="V268" s="2794">
        <f t="shared" si="151"/>
        <v>157.08800000000002</v>
      </c>
    </row>
    <row r="269" spans="1:22" ht="15.75">
      <c r="A269" s="2464"/>
      <c r="B269" s="2776"/>
      <c r="C269" s="2800" t="s">
        <v>446</v>
      </c>
      <c r="D269" s="2800"/>
      <c r="E269" s="2788"/>
      <c r="F269" s="2640">
        <v>0.05</v>
      </c>
      <c r="G269" s="2640">
        <v>7.0000000000000007E-2</v>
      </c>
      <c r="H269" s="2650">
        <v>0.11</v>
      </c>
      <c r="I269" s="2652">
        <f t="shared" si="148"/>
        <v>0.121</v>
      </c>
      <c r="J269" s="2656">
        <v>0.1</v>
      </c>
      <c r="K269" s="2640">
        <v>7.0000000000000007E-2</v>
      </c>
      <c r="L269" s="2779">
        <v>10</v>
      </c>
      <c r="M269" s="1200"/>
      <c r="N269" s="1200"/>
      <c r="O269" s="2780" t="str">
        <f t="shared" si="149"/>
        <v>Brochette</v>
      </c>
      <c r="P269" s="2781">
        <f t="shared" ref="P269:U269" si="156">F269*P164</f>
        <v>12.65</v>
      </c>
      <c r="Q269" s="2781">
        <f t="shared" si="156"/>
        <v>58.030000000000008</v>
      </c>
      <c r="R269" s="2782">
        <f t="shared" si="156"/>
        <v>5.28</v>
      </c>
      <c r="S269" s="2783">
        <f t="shared" si="156"/>
        <v>1.573</v>
      </c>
      <c r="T269" s="2783">
        <f t="shared" si="156"/>
        <v>2.9000000000000004</v>
      </c>
      <c r="U269" s="2781">
        <f t="shared" si="156"/>
        <v>1.1900000000000002</v>
      </c>
      <c r="V269" s="2794">
        <f t="shared" si="151"/>
        <v>81.623000000000005</v>
      </c>
    </row>
    <row r="270" spans="1:22" ht="15.75">
      <c r="A270" s="2464"/>
      <c r="B270" s="2776"/>
      <c r="C270" s="2800" t="s">
        <v>447</v>
      </c>
      <c r="D270" s="2800"/>
      <c r="E270" s="2788"/>
      <c r="F270" s="2640">
        <v>0.05</v>
      </c>
      <c r="G270" s="2640">
        <v>7.0000000000000007E-2</v>
      </c>
      <c r="H270" s="2650">
        <v>0.11</v>
      </c>
      <c r="I270" s="2652">
        <f t="shared" si="148"/>
        <v>0.121</v>
      </c>
      <c r="J270" s="2656">
        <v>0.1</v>
      </c>
      <c r="K270" s="2640">
        <v>7.0000000000000007E-2</v>
      </c>
      <c r="L270" s="2779">
        <v>10</v>
      </c>
      <c r="M270" s="1200"/>
      <c r="N270" s="1200"/>
      <c r="O270" s="2780" t="str">
        <f t="shared" si="149"/>
        <v>Paupiette de volaille</v>
      </c>
      <c r="P270" s="2781">
        <f t="shared" ref="P270:U270" si="157">F270*P164</f>
        <v>12.65</v>
      </c>
      <c r="Q270" s="2781">
        <f t="shared" si="157"/>
        <v>58.030000000000008</v>
      </c>
      <c r="R270" s="2782">
        <f t="shared" si="157"/>
        <v>5.28</v>
      </c>
      <c r="S270" s="2783">
        <f t="shared" si="157"/>
        <v>1.573</v>
      </c>
      <c r="T270" s="2783">
        <f t="shared" si="157"/>
        <v>2.9000000000000004</v>
      </c>
      <c r="U270" s="2781">
        <f t="shared" si="157"/>
        <v>1.1900000000000002</v>
      </c>
      <c r="V270" s="2794">
        <f t="shared" si="151"/>
        <v>81.623000000000005</v>
      </c>
    </row>
    <row r="271" spans="1:22" ht="15.75">
      <c r="A271" s="2464"/>
      <c r="B271" s="2776"/>
      <c r="C271" s="2800" t="s">
        <v>448</v>
      </c>
      <c r="D271" s="2800"/>
      <c r="E271" s="2788"/>
      <c r="F271" s="2640">
        <v>2</v>
      </c>
      <c r="G271" s="2640">
        <v>3</v>
      </c>
      <c r="H271" s="2650">
        <v>5</v>
      </c>
      <c r="I271" s="2652">
        <f t="shared" si="148"/>
        <v>5.5</v>
      </c>
      <c r="J271" s="2656">
        <v>5</v>
      </c>
      <c r="K271" s="2640">
        <v>3.5</v>
      </c>
      <c r="L271" s="2779">
        <v>10</v>
      </c>
      <c r="M271" s="1200"/>
      <c r="N271" s="1200"/>
      <c r="O271" s="2780" t="str">
        <f t="shared" si="149"/>
        <v>Fingers, beignets, nuggets de 20 g pièce crus</v>
      </c>
      <c r="P271" s="2781">
        <f t="shared" ref="P271:U271" si="158">F271*P164</f>
        <v>506</v>
      </c>
      <c r="Q271" s="2781">
        <f t="shared" si="158"/>
        <v>2487</v>
      </c>
      <c r="R271" s="2782">
        <f t="shared" si="158"/>
        <v>240</v>
      </c>
      <c r="S271" s="2783">
        <f t="shared" si="158"/>
        <v>71.5</v>
      </c>
      <c r="T271" s="2783">
        <f t="shared" si="158"/>
        <v>145</v>
      </c>
      <c r="U271" s="2781">
        <f t="shared" si="158"/>
        <v>59.5</v>
      </c>
      <c r="V271" s="2794">
        <f t="shared" si="151"/>
        <v>3509</v>
      </c>
    </row>
    <row r="272" spans="1:22" ht="15.75">
      <c r="A272" s="2464"/>
      <c r="B272" s="2776"/>
      <c r="C272" s="2800" t="s">
        <v>449</v>
      </c>
      <c r="D272" s="2800"/>
      <c r="E272" s="2788"/>
      <c r="F272" s="2640">
        <v>0.04</v>
      </c>
      <c r="G272" s="2640">
        <v>0.06</v>
      </c>
      <c r="H272" s="2650">
        <v>0.1</v>
      </c>
      <c r="I272" s="2652">
        <f t="shared" si="148"/>
        <v>0.11000000000000001</v>
      </c>
      <c r="J272" s="2656">
        <v>0.1</v>
      </c>
      <c r="K272" s="2640">
        <v>7.0000000000000007E-2</v>
      </c>
      <c r="L272" s="2779">
        <v>10</v>
      </c>
      <c r="M272" s="1200"/>
      <c r="N272" s="1200"/>
      <c r="O272" s="2780" t="str">
        <f t="shared" si="149"/>
        <v>Fingers, beignets, nuggets de 20 g (Kg) crus</v>
      </c>
      <c r="P272" s="2781">
        <f t="shared" ref="P272:U272" si="159">F272*P164</f>
        <v>10.120000000000001</v>
      </c>
      <c r="Q272" s="2781">
        <f t="shared" si="159"/>
        <v>49.739999999999995</v>
      </c>
      <c r="R272" s="2782">
        <f t="shared" si="159"/>
        <v>4.8000000000000007</v>
      </c>
      <c r="S272" s="2783">
        <f t="shared" si="159"/>
        <v>1.4300000000000002</v>
      </c>
      <c r="T272" s="2783">
        <f t="shared" si="159"/>
        <v>2.9000000000000004</v>
      </c>
      <c r="U272" s="2781">
        <f t="shared" si="159"/>
        <v>1.1900000000000002</v>
      </c>
      <c r="V272" s="2794">
        <f t="shared" si="151"/>
        <v>70.180000000000007</v>
      </c>
    </row>
    <row r="273" spans="1:22" ht="15.75">
      <c r="A273" s="2464"/>
      <c r="B273" s="2776"/>
      <c r="C273" s="2800" t="s">
        <v>450</v>
      </c>
      <c r="D273" s="2800"/>
      <c r="E273" s="2788"/>
      <c r="F273" s="2640">
        <v>0.05</v>
      </c>
      <c r="G273" s="2640">
        <v>7.0000000000000007E-2</v>
      </c>
      <c r="H273" s="2650">
        <v>0.11</v>
      </c>
      <c r="I273" s="2652">
        <f t="shared" si="148"/>
        <v>0.121</v>
      </c>
      <c r="J273" s="2656">
        <v>0.1</v>
      </c>
      <c r="K273" s="2640">
        <v>7.0000000000000007E-2</v>
      </c>
      <c r="L273" s="2779">
        <v>10</v>
      </c>
      <c r="M273" s="1200"/>
      <c r="N273" s="1200"/>
      <c r="O273" s="2780" t="str">
        <f t="shared" si="149"/>
        <v>Escalope panée</v>
      </c>
      <c r="P273" s="2781">
        <f t="shared" ref="P273:U273" si="160">F273*P164</f>
        <v>12.65</v>
      </c>
      <c r="Q273" s="2781">
        <f t="shared" si="160"/>
        <v>58.030000000000008</v>
      </c>
      <c r="R273" s="2782">
        <f t="shared" si="160"/>
        <v>5.28</v>
      </c>
      <c r="S273" s="2783">
        <f t="shared" si="160"/>
        <v>1.573</v>
      </c>
      <c r="T273" s="2783">
        <f t="shared" si="160"/>
        <v>2.9000000000000004</v>
      </c>
      <c r="U273" s="2781">
        <f t="shared" si="160"/>
        <v>1.1900000000000002</v>
      </c>
      <c r="V273" s="2794">
        <f t="shared" si="151"/>
        <v>81.623000000000005</v>
      </c>
    </row>
    <row r="274" spans="1:22" ht="15.75">
      <c r="A274" s="2464"/>
      <c r="B274" s="2776"/>
      <c r="C274" s="2800" t="s">
        <v>451</v>
      </c>
      <c r="D274" s="2800"/>
      <c r="E274" s="2788"/>
      <c r="F274" s="2640">
        <v>0.1</v>
      </c>
      <c r="G274" s="2640">
        <v>0.14000000000000001</v>
      </c>
      <c r="H274" s="2650">
        <v>0.16</v>
      </c>
      <c r="I274" s="2652">
        <f t="shared" si="148"/>
        <v>0.17599999999999999</v>
      </c>
      <c r="J274" s="2656">
        <v>0.14000000000000001</v>
      </c>
      <c r="K274" s="2640">
        <v>0.1</v>
      </c>
      <c r="L274" s="2779">
        <v>10</v>
      </c>
      <c r="M274" s="1200"/>
      <c r="N274" s="1200"/>
      <c r="O274" s="2780" t="str">
        <f t="shared" si="149"/>
        <v>Cuisse de lapin</v>
      </c>
      <c r="P274" s="2781">
        <f t="shared" ref="P274:U274" si="161">F274*P164</f>
        <v>25.3</v>
      </c>
      <c r="Q274" s="2781">
        <f t="shared" si="161"/>
        <v>116.06000000000002</v>
      </c>
      <c r="R274" s="2782">
        <f t="shared" si="161"/>
        <v>7.68</v>
      </c>
      <c r="S274" s="2783">
        <f t="shared" si="161"/>
        <v>2.2879999999999998</v>
      </c>
      <c r="T274" s="2783">
        <f t="shared" si="161"/>
        <v>4.0600000000000005</v>
      </c>
      <c r="U274" s="2781">
        <f t="shared" si="161"/>
        <v>1.7000000000000002</v>
      </c>
      <c r="V274" s="2794">
        <f t="shared" si="151"/>
        <v>157.08800000000002</v>
      </c>
    </row>
    <row r="275" spans="1:22" ht="15.75">
      <c r="A275" s="2464"/>
      <c r="B275" s="2776"/>
      <c r="C275" s="2800" t="s">
        <v>452</v>
      </c>
      <c r="D275" s="2800"/>
      <c r="E275" s="2788"/>
      <c r="F275" s="2640">
        <v>0</v>
      </c>
      <c r="G275" s="2640">
        <v>0</v>
      </c>
      <c r="H275" s="2650">
        <v>0.16</v>
      </c>
      <c r="I275" s="2652">
        <f t="shared" si="148"/>
        <v>0.17599999999999999</v>
      </c>
      <c r="J275" s="2656">
        <v>0.14000000000000001</v>
      </c>
      <c r="K275" s="2640">
        <v>0.1</v>
      </c>
      <c r="L275" s="2779">
        <v>10</v>
      </c>
      <c r="M275" s="1200"/>
      <c r="N275" s="1200"/>
      <c r="O275" s="2780" t="str">
        <f t="shared" si="149"/>
        <v>Lapin sauté</v>
      </c>
      <c r="P275" s="2781">
        <f t="shared" ref="P275:U275" si="162">F275*P164</f>
        <v>0</v>
      </c>
      <c r="Q275" s="2781">
        <f t="shared" si="162"/>
        <v>0</v>
      </c>
      <c r="R275" s="2782">
        <f t="shared" si="162"/>
        <v>7.68</v>
      </c>
      <c r="S275" s="2783">
        <f t="shared" si="162"/>
        <v>2.2879999999999998</v>
      </c>
      <c r="T275" s="2783">
        <f t="shared" si="162"/>
        <v>4.0600000000000005</v>
      </c>
      <c r="U275" s="2781">
        <f t="shared" si="162"/>
        <v>1.7000000000000002</v>
      </c>
      <c r="V275" s="2794">
        <f t="shared" si="151"/>
        <v>15.728000000000002</v>
      </c>
    </row>
    <row r="276" spans="1:22" ht="15.75">
      <c r="A276" s="2464"/>
      <c r="B276" s="2776"/>
      <c r="C276" s="2800" t="s">
        <v>453</v>
      </c>
      <c r="D276" s="2800"/>
      <c r="E276" s="2788"/>
      <c r="F276" s="2640">
        <v>0.05</v>
      </c>
      <c r="G276" s="2640">
        <v>7.0000000000000007E-2</v>
      </c>
      <c r="H276" s="2650">
        <v>0.11</v>
      </c>
      <c r="I276" s="2652">
        <f t="shared" si="148"/>
        <v>0.121</v>
      </c>
      <c r="J276" s="2656">
        <v>0.1</v>
      </c>
      <c r="K276" s="2640">
        <v>7.0000000000000007E-2</v>
      </c>
      <c r="L276" s="2779">
        <v>10</v>
      </c>
      <c r="M276" s="1200"/>
      <c r="N276" s="1200"/>
      <c r="O276" s="2780" t="str">
        <f t="shared" si="149"/>
        <v>Paupiette de lapin</v>
      </c>
      <c r="P276" s="2781">
        <f t="shared" ref="P276:U276" si="163">F276*P164</f>
        <v>12.65</v>
      </c>
      <c r="Q276" s="2781">
        <f t="shared" si="163"/>
        <v>58.030000000000008</v>
      </c>
      <c r="R276" s="2782">
        <f t="shared" si="163"/>
        <v>5.28</v>
      </c>
      <c r="S276" s="2783">
        <f t="shared" si="163"/>
        <v>1.573</v>
      </c>
      <c r="T276" s="2783">
        <f t="shared" si="163"/>
        <v>2.9000000000000004</v>
      </c>
      <c r="U276" s="2781">
        <f t="shared" si="163"/>
        <v>1.1900000000000002</v>
      </c>
      <c r="V276" s="2794">
        <f t="shared" si="151"/>
        <v>81.623000000000005</v>
      </c>
    </row>
    <row r="277" spans="1:22" ht="15.75">
      <c r="A277" s="2464"/>
      <c r="B277" s="2776"/>
      <c r="C277" s="2800" t="s">
        <v>2855</v>
      </c>
      <c r="D277" s="2800"/>
      <c r="E277" s="2788"/>
      <c r="F277" s="2640">
        <v>1</v>
      </c>
      <c r="G277" s="2640">
        <v>2</v>
      </c>
      <c r="H277" s="2650">
        <v>2.5</v>
      </c>
      <c r="I277" s="2652">
        <f t="shared" si="148"/>
        <v>2.75</v>
      </c>
      <c r="J277" s="2656">
        <v>2</v>
      </c>
      <c r="K277" s="2640">
        <v>1.5</v>
      </c>
      <c r="L277" s="2779">
        <v>10</v>
      </c>
      <c r="M277" s="1200"/>
      <c r="N277" s="1200"/>
      <c r="O277" s="2790" t="str">
        <f t="shared" si="149"/>
        <v>Saucisse de volaille de 50g pièce crue (à l’unité)</v>
      </c>
      <c r="P277" s="2791">
        <f t="shared" ref="P277:U277" si="164">F277*P164</f>
        <v>253</v>
      </c>
      <c r="Q277" s="2791">
        <f t="shared" si="164"/>
        <v>1658</v>
      </c>
      <c r="R277" s="2792">
        <f t="shared" si="164"/>
        <v>120</v>
      </c>
      <c r="S277" s="2793">
        <f t="shared" si="164"/>
        <v>35.75</v>
      </c>
      <c r="T277" s="2793">
        <f t="shared" si="164"/>
        <v>58</v>
      </c>
      <c r="U277" s="2791">
        <f t="shared" si="164"/>
        <v>25.5</v>
      </c>
      <c r="V277" s="2794">
        <f t="shared" si="151"/>
        <v>2150.25</v>
      </c>
    </row>
    <row r="278" spans="1:22" ht="15.75">
      <c r="A278" s="2464"/>
      <c r="B278" s="2776"/>
      <c r="C278" s="2802" t="s">
        <v>454</v>
      </c>
      <c r="D278" s="2802"/>
      <c r="E278" s="2798"/>
      <c r="F278" s="2640">
        <v>0.05</v>
      </c>
      <c r="G278" s="2640">
        <v>0.1</v>
      </c>
      <c r="H278" s="2650">
        <v>0.125</v>
      </c>
      <c r="I278" s="2652">
        <f t="shared" si="148"/>
        <v>0.13750000000000001</v>
      </c>
      <c r="J278" s="2656">
        <v>0.1</v>
      </c>
      <c r="K278" s="2640">
        <v>7.4999999999999997E-2</v>
      </c>
      <c r="L278" s="2779">
        <v>10</v>
      </c>
      <c r="M278" s="1200"/>
      <c r="N278" s="1200"/>
      <c r="O278" s="2780" t="str">
        <f t="shared" si="149"/>
        <v>Saucisse de volaille de 50g pièce crue (Kg)</v>
      </c>
      <c r="P278" s="2781">
        <f t="shared" ref="P278:U278" si="165">F278*P164</f>
        <v>12.65</v>
      </c>
      <c r="Q278" s="2781">
        <f t="shared" si="165"/>
        <v>82.9</v>
      </c>
      <c r="R278" s="2782">
        <f t="shared" si="165"/>
        <v>6</v>
      </c>
      <c r="S278" s="2783">
        <f t="shared" si="165"/>
        <v>1.7875000000000001</v>
      </c>
      <c r="T278" s="2783">
        <f t="shared" si="165"/>
        <v>2.9000000000000004</v>
      </c>
      <c r="U278" s="2781">
        <f t="shared" si="165"/>
        <v>1.2749999999999999</v>
      </c>
      <c r="V278" s="2794">
        <f t="shared" si="151"/>
        <v>107.51250000000002</v>
      </c>
    </row>
    <row r="279" spans="1:22" ht="15" customHeight="1">
      <c r="A279" s="2464"/>
      <c r="B279" s="2785"/>
      <c r="C279" s="4597" t="s">
        <v>455</v>
      </c>
      <c r="D279" s="4597"/>
      <c r="E279" s="4597"/>
      <c r="F279" s="4597"/>
      <c r="G279" s="4597"/>
      <c r="H279" s="4597"/>
      <c r="I279" s="4597"/>
      <c r="J279" s="4597"/>
      <c r="K279" s="4597"/>
      <c r="L279" s="4598"/>
      <c r="M279" s="2766"/>
      <c r="N279" s="2766"/>
      <c r="O279" s="1201"/>
      <c r="P279" s="4601" t="str">
        <f>C279</f>
        <v>ABATS</v>
      </c>
      <c r="Q279" s="4602"/>
      <c r="R279" s="4602"/>
      <c r="S279" s="4602"/>
      <c r="T279" s="4602"/>
      <c r="U279" s="4602"/>
      <c r="V279" s="4603"/>
    </row>
    <row r="280" spans="1:22" ht="15" customHeight="1">
      <c r="A280" s="2464"/>
      <c r="B280" s="2785"/>
      <c r="C280" s="4599"/>
      <c r="D280" s="4599"/>
      <c r="E280" s="4599"/>
      <c r="F280" s="4599"/>
      <c r="G280" s="4599"/>
      <c r="H280" s="4599"/>
      <c r="I280" s="4599"/>
      <c r="J280" s="4599"/>
      <c r="K280" s="4599"/>
      <c r="L280" s="4600"/>
      <c r="M280" s="2766"/>
      <c r="N280" s="2766"/>
      <c r="O280" s="1201"/>
      <c r="P280" s="4604"/>
      <c r="Q280" s="4605"/>
      <c r="R280" s="4605"/>
      <c r="S280" s="4605"/>
      <c r="T280" s="4605"/>
      <c r="U280" s="4605"/>
      <c r="V280" s="4606"/>
    </row>
    <row r="281" spans="1:22" ht="15.75">
      <c r="A281" s="2464"/>
      <c r="B281" s="2776"/>
      <c r="C281" s="2800" t="s">
        <v>456</v>
      </c>
      <c r="D281" s="2800"/>
      <c r="E281" s="2822"/>
      <c r="F281" s="2640">
        <v>0.05</v>
      </c>
      <c r="G281" s="2640">
        <v>7.0000000000000007E-2</v>
      </c>
      <c r="H281" s="2650">
        <v>0.11</v>
      </c>
      <c r="I281" s="2652">
        <f>(H281*L281%)+H281</f>
        <v>0.121</v>
      </c>
      <c r="J281" s="2656">
        <v>0.1</v>
      </c>
      <c r="K281" s="2640">
        <v>7.0000000000000007E-2</v>
      </c>
      <c r="L281" s="2779">
        <v>10</v>
      </c>
      <c r="M281" s="1200"/>
      <c r="N281" s="1200"/>
      <c r="O281" s="2780" t="str">
        <f>C281</f>
        <v>Foie, langue, rognons, boudin</v>
      </c>
      <c r="P281" s="2781">
        <f t="shared" ref="P281:U281" si="166">F281*P164</f>
        <v>12.65</v>
      </c>
      <c r="Q281" s="2781">
        <f t="shared" si="166"/>
        <v>58.030000000000008</v>
      </c>
      <c r="R281" s="2782">
        <f t="shared" si="166"/>
        <v>5.28</v>
      </c>
      <c r="S281" s="2783">
        <f t="shared" si="166"/>
        <v>1.573</v>
      </c>
      <c r="T281" s="2783">
        <f t="shared" si="166"/>
        <v>2.9000000000000004</v>
      </c>
      <c r="U281" s="2781">
        <f t="shared" si="166"/>
        <v>1.1900000000000002</v>
      </c>
      <c r="V281" s="2794">
        <f>SUM(P281:U281)</f>
        <v>81.623000000000005</v>
      </c>
    </row>
    <row r="282" spans="1:22" ht="15.75">
      <c r="A282" s="2464"/>
      <c r="B282" s="2776"/>
      <c r="C282" s="2802" t="s">
        <v>457</v>
      </c>
      <c r="D282" s="2802"/>
      <c r="E282" s="2823"/>
      <c r="F282" s="2640">
        <v>0.05</v>
      </c>
      <c r="G282" s="2640">
        <v>7.0000000000000007E-2</v>
      </c>
      <c r="H282" s="2650">
        <v>0.15</v>
      </c>
      <c r="I282" s="2652">
        <f>(H282*L282%)+H282</f>
        <v>0.16499999999999998</v>
      </c>
      <c r="J282" s="2656">
        <v>0.15</v>
      </c>
      <c r="K282" s="2640">
        <v>0.14000000000000001</v>
      </c>
      <c r="L282" s="2779">
        <v>10</v>
      </c>
      <c r="M282" s="1200"/>
      <c r="N282" s="1200"/>
      <c r="O282" s="2780" t="str">
        <f>C282</f>
        <v>Tripes avec sauce</v>
      </c>
      <c r="P282" s="2781">
        <f t="shared" ref="P282:U282" si="167">F282*P164</f>
        <v>12.65</v>
      </c>
      <c r="Q282" s="2781">
        <f t="shared" si="167"/>
        <v>58.030000000000008</v>
      </c>
      <c r="R282" s="2782">
        <f t="shared" si="167"/>
        <v>7.1999999999999993</v>
      </c>
      <c r="S282" s="2783">
        <f t="shared" si="167"/>
        <v>2.1449999999999996</v>
      </c>
      <c r="T282" s="2783">
        <f t="shared" si="167"/>
        <v>4.3499999999999996</v>
      </c>
      <c r="U282" s="2781">
        <f t="shared" si="167"/>
        <v>2.3800000000000003</v>
      </c>
      <c r="V282" s="2794">
        <f>SUM(P282:U282)</f>
        <v>86.754999999999995</v>
      </c>
    </row>
    <row r="283" spans="1:22" ht="15" customHeight="1">
      <c r="A283" s="2464"/>
      <c r="B283" s="2785"/>
      <c r="C283" s="4597" t="s">
        <v>458</v>
      </c>
      <c r="D283" s="4597"/>
      <c r="E283" s="4597"/>
      <c r="F283" s="4597"/>
      <c r="G283" s="4597"/>
      <c r="H283" s="4597"/>
      <c r="I283" s="4597"/>
      <c r="J283" s="4597"/>
      <c r="K283" s="4597"/>
      <c r="L283" s="4598"/>
      <c r="M283" s="2766"/>
      <c r="N283" s="2766"/>
      <c r="O283" s="1201"/>
      <c r="P283" s="4601" t="str">
        <f>C283</f>
        <v>OEUFS (plat principal)</v>
      </c>
      <c r="Q283" s="4602"/>
      <c r="R283" s="4602"/>
      <c r="S283" s="4602"/>
      <c r="T283" s="4602"/>
      <c r="U283" s="4602"/>
      <c r="V283" s="4603"/>
    </row>
    <row r="284" spans="1:22" ht="15" customHeight="1">
      <c r="A284" s="2464"/>
      <c r="B284" s="2785"/>
      <c r="C284" s="4599"/>
      <c r="D284" s="4599"/>
      <c r="E284" s="4599"/>
      <c r="F284" s="4599"/>
      <c r="G284" s="4599"/>
      <c r="H284" s="4599"/>
      <c r="I284" s="4599"/>
      <c r="J284" s="4599"/>
      <c r="K284" s="4599"/>
      <c r="L284" s="4600"/>
      <c r="M284" s="2766"/>
      <c r="N284" s="2766"/>
      <c r="O284" s="1201"/>
      <c r="P284" s="4604"/>
      <c r="Q284" s="4605"/>
      <c r="R284" s="4605"/>
      <c r="S284" s="4605"/>
      <c r="T284" s="4605"/>
      <c r="U284" s="4605"/>
      <c r="V284" s="4606"/>
    </row>
    <row r="285" spans="1:22" ht="15.75">
      <c r="A285" s="2464"/>
      <c r="B285" s="2776"/>
      <c r="C285" s="2800" t="s">
        <v>2856</v>
      </c>
      <c r="D285" s="2800"/>
      <c r="E285" s="2822"/>
      <c r="F285" s="2640">
        <v>1</v>
      </c>
      <c r="G285" s="2640">
        <v>2</v>
      </c>
      <c r="H285" s="2650">
        <v>2.5</v>
      </c>
      <c r="I285" s="2652">
        <f>(H285*L285%)+H285</f>
        <v>2.75</v>
      </c>
      <c r="J285" s="2656">
        <v>2</v>
      </c>
      <c r="K285" s="2640">
        <v>1.5</v>
      </c>
      <c r="L285" s="2779">
        <v>10</v>
      </c>
      <c r="M285" s="1200"/>
      <c r="N285" s="1200"/>
      <c r="O285" s="2790" t="str">
        <f>C285</f>
        <v>Œufs durs (à l'unité)</v>
      </c>
      <c r="P285" s="2791">
        <f t="shared" ref="P285:U285" si="168">F285*P164</f>
        <v>253</v>
      </c>
      <c r="Q285" s="2791">
        <f t="shared" si="168"/>
        <v>1658</v>
      </c>
      <c r="R285" s="2792">
        <f t="shared" si="168"/>
        <v>120</v>
      </c>
      <c r="S285" s="2793">
        <f t="shared" si="168"/>
        <v>35.75</v>
      </c>
      <c r="T285" s="2793">
        <f t="shared" si="168"/>
        <v>58</v>
      </c>
      <c r="U285" s="2791">
        <f t="shared" si="168"/>
        <v>25.5</v>
      </c>
      <c r="V285" s="2794">
        <f>SUM(P285:U285)</f>
        <v>2150.25</v>
      </c>
    </row>
    <row r="286" spans="1:22" ht="15.75">
      <c r="A286" s="2464"/>
      <c r="B286" s="2776"/>
      <c r="C286" s="2802" t="s">
        <v>459</v>
      </c>
      <c r="D286" s="2802"/>
      <c r="E286" s="2823"/>
      <c r="F286" s="2640">
        <v>0.06</v>
      </c>
      <c r="G286" s="2640">
        <v>0.09</v>
      </c>
      <c r="H286" s="2650">
        <v>0.11</v>
      </c>
      <c r="I286" s="2652">
        <f>(H286*L286%)+H286</f>
        <v>0.121</v>
      </c>
      <c r="J286" s="2656">
        <v>0.09</v>
      </c>
      <c r="K286" s="2640">
        <v>0.06</v>
      </c>
      <c r="L286" s="2779">
        <v>10</v>
      </c>
      <c r="M286" s="1200"/>
      <c r="N286" s="1200"/>
      <c r="O286" s="2780" t="str">
        <f>C286</f>
        <v>Omelette</v>
      </c>
      <c r="P286" s="2781">
        <f t="shared" ref="P286:U286" si="169">F286*P164</f>
        <v>15.18</v>
      </c>
      <c r="Q286" s="2781">
        <f t="shared" si="169"/>
        <v>74.61</v>
      </c>
      <c r="R286" s="2782">
        <f t="shared" si="169"/>
        <v>5.28</v>
      </c>
      <c r="S286" s="2783">
        <f t="shared" si="169"/>
        <v>1.573</v>
      </c>
      <c r="T286" s="2783">
        <f t="shared" si="169"/>
        <v>2.61</v>
      </c>
      <c r="U286" s="2781">
        <f t="shared" si="169"/>
        <v>1.02</v>
      </c>
      <c r="V286" s="2794">
        <f>SUM(P286:U286)</f>
        <v>100.27299999999998</v>
      </c>
    </row>
    <row r="287" spans="1:22" ht="15" customHeight="1">
      <c r="A287" s="2464"/>
      <c r="B287" s="2785"/>
      <c r="C287" s="4597" t="s">
        <v>460</v>
      </c>
      <c r="D287" s="4597"/>
      <c r="E287" s="4597"/>
      <c r="F287" s="4597"/>
      <c r="G287" s="4597"/>
      <c r="H287" s="4597"/>
      <c r="I287" s="4597"/>
      <c r="J287" s="4597"/>
      <c r="K287" s="4597"/>
      <c r="L287" s="4598"/>
      <c r="M287" s="2766"/>
      <c r="N287" s="2766"/>
      <c r="O287" s="1201"/>
      <c r="P287" s="4601" t="str">
        <f>C287</f>
        <v>POISSONS (Sans sauce)</v>
      </c>
      <c r="Q287" s="4602"/>
      <c r="R287" s="4602"/>
      <c r="S287" s="4602"/>
      <c r="T287" s="4602"/>
      <c r="U287" s="4602"/>
      <c r="V287" s="4603"/>
    </row>
    <row r="288" spans="1:22" ht="15" customHeight="1">
      <c r="A288" s="2464"/>
      <c r="B288" s="2785"/>
      <c r="C288" s="4599"/>
      <c r="D288" s="4599"/>
      <c r="E288" s="4599"/>
      <c r="F288" s="4599"/>
      <c r="G288" s="4599"/>
      <c r="H288" s="4599"/>
      <c r="I288" s="4599"/>
      <c r="J288" s="4599"/>
      <c r="K288" s="4599"/>
      <c r="L288" s="4600"/>
      <c r="M288" s="2766"/>
      <c r="N288" s="2766"/>
      <c r="O288" s="1201"/>
      <c r="P288" s="4604"/>
      <c r="Q288" s="4605"/>
      <c r="R288" s="4605"/>
      <c r="S288" s="4605"/>
      <c r="T288" s="4605"/>
      <c r="U288" s="4605"/>
      <c r="V288" s="4606"/>
    </row>
    <row r="289" spans="1:22" ht="15.75">
      <c r="A289" s="2464"/>
      <c r="B289" s="2776"/>
      <c r="C289" s="2800" t="s">
        <v>461</v>
      </c>
      <c r="D289" s="2800"/>
      <c r="E289" s="2822"/>
      <c r="F289" s="2640">
        <v>0.05</v>
      </c>
      <c r="G289" s="2640">
        <v>7.0000000000000007E-2</v>
      </c>
      <c r="H289" s="2650">
        <v>0.11</v>
      </c>
      <c r="I289" s="2652">
        <f>(H289*L289%)+H289</f>
        <v>0.121</v>
      </c>
      <c r="J289" s="2656">
        <v>0.1</v>
      </c>
      <c r="K289" s="2640">
        <v>7.0000000000000007E-2</v>
      </c>
      <c r="L289" s="2779">
        <v>10</v>
      </c>
      <c r="M289" s="1200"/>
      <c r="N289" s="1200"/>
      <c r="O289" s="2780" t="str">
        <f>C289</f>
        <v>Poissons non enrobés sans arêtes (filets, rôtis,
steaks, brochettes, cubes)</v>
      </c>
      <c r="P289" s="2781">
        <f t="shared" ref="P289:U289" si="170">F289*P164</f>
        <v>12.65</v>
      </c>
      <c r="Q289" s="2781">
        <f t="shared" si="170"/>
        <v>58.030000000000008</v>
      </c>
      <c r="R289" s="2782">
        <f t="shared" si="170"/>
        <v>5.28</v>
      </c>
      <c r="S289" s="2783">
        <f t="shared" si="170"/>
        <v>1.573</v>
      </c>
      <c r="T289" s="2783">
        <f t="shared" si="170"/>
        <v>2.9000000000000004</v>
      </c>
      <c r="U289" s="2781">
        <f t="shared" si="170"/>
        <v>1.1900000000000002</v>
      </c>
      <c r="V289" s="2794">
        <f>SUM(P289:U289)</f>
        <v>81.623000000000005</v>
      </c>
    </row>
    <row r="290" spans="1:22" ht="15.75">
      <c r="A290" s="2464"/>
      <c r="B290" s="2776"/>
      <c r="C290" s="2800" t="s">
        <v>462</v>
      </c>
      <c r="D290" s="2800"/>
      <c r="E290" s="2822"/>
      <c r="F290" s="2640">
        <v>0.05</v>
      </c>
      <c r="G290" s="2640">
        <v>7.0000000000000007E-2</v>
      </c>
      <c r="H290" s="2650">
        <v>0.11</v>
      </c>
      <c r="I290" s="2652">
        <f>(H290*L290%)+H290</f>
        <v>0.121</v>
      </c>
      <c r="J290" s="2656">
        <v>0.1</v>
      </c>
      <c r="K290" s="2640">
        <v>7.0000000000000007E-2</v>
      </c>
      <c r="L290" s="2779">
        <v>10</v>
      </c>
      <c r="M290" s="1200"/>
      <c r="N290" s="1200"/>
      <c r="O290" s="2780" t="str">
        <f>C290</f>
        <v>Brochettes de poisson</v>
      </c>
      <c r="P290" s="2781">
        <f t="shared" ref="P290:U290" si="171">F290*P164</f>
        <v>12.65</v>
      </c>
      <c r="Q290" s="2781">
        <f t="shared" si="171"/>
        <v>58.030000000000008</v>
      </c>
      <c r="R290" s="2782">
        <f t="shared" si="171"/>
        <v>5.28</v>
      </c>
      <c r="S290" s="2783">
        <f t="shared" si="171"/>
        <v>1.573</v>
      </c>
      <c r="T290" s="2783">
        <f t="shared" si="171"/>
        <v>2.9000000000000004</v>
      </c>
      <c r="U290" s="2781">
        <f t="shared" si="171"/>
        <v>1.1900000000000002</v>
      </c>
      <c r="V290" s="2794">
        <f>SUM(P290:U290)</f>
        <v>81.623000000000005</v>
      </c>
    </row>
    <row r="291" spans="1:22" ht="15.75">
      <c r="A291" s="2464"/>
      <c r="B291" s="2776"/>
      <c r="C291" s="2800" t="s">
        <v>463</v>
      </c>
      <c r="D291" s="2800"/>
      <c r="E291" s="2822"/>
      <c r="F291" s="2640">
        <v>0</v>
      </c>
      <c r="G291" s="2640">
        <v>0</v>
      </c>
      <c r="H291" s="2650">
        <v>1.1299999999999999</v>
      </c>
      <c r="I291" s="2652">
        <f>(H291*L291%)+H291</f>
        <v>1.2429999999999999</v>
      </c>
      <c r="J291" s="2656">
        <v>0.12</v>
      </c>
      <c r="K291" s="2640">
        <v>0.08</v>
      </c>
      <c r="L291" s="2779">
        <v>10</v>
      </c>
      <c r="M291" s="1200"/>
      <c r="N291" s="1200"/>
      <c r="O291" s="2780" t="str">
        <f>C291</f>
        <v>Darne</v>
      </c>
      <c r="P291" s="2781">
        <f t="shared" ref="P291:U291" si="172">F291*P164</f>
        <v>0</v>
      </c>
      <c r="Q291" s="2781">
        <f t="shared" si="172"/>
        <v>0</v>
      </c>
      <c r="R291" s="2782">
        <f t="shared" si="172"/>
        <v>54.239999999999995</v>
      </c>
      <c r="S291" s="2783">
        <f t="shared" si="172"/>
        <v>16.158999999999999</v>
      </c>
      <c r="T291" s="2783">
        <f t="shared" si="172"/>
        <v>3.48</v>
      </c>
      <c r="U291" s="2781">
        <f t="shared" si="172"/>
        <v>1.36</v>
      </c>
      <c r="V291" s="2794">
        <f>SUM(P291:U291)</f>
        <v>75.239000000000004</v>
      </c>
    </row>
    <row r="292" spans="1:22" ht="15.75">
      <c r="A292" s="2464"/>
      <c r="B292" s="2776"/>
      <c r="C292" s="2800" t="s">
        <v>464</v>
      </c>
      <c r="D292" s="2800"/>
      <c r="E292" s="2822"/>
      <c r="F292" s="2640">
        <v>0.05</v>
      </c>
      <c r="G292" s="2640">
        <v>7.0000000000000007E-2</v>
      </c>
      <c r="H292" s="2650">
        <v>0.11</v>
      </c>
      <c r="I292" s="2652">
        <f>(H292*L292%)+H292</f>
        <v>0.121</v>
      </c>
      <c r="J292" s="2656">
        <v>0.1</v>
      </c>
      <c r="K292" s="2640">
        <v>7.0000000000000007E-2</v>
      </c>
      <c r="L292" s="2779">
        <v>10</v>
      </c>
      <c r="M292" s="1200"/>
      <c r="N292" s="1200"/>
      <c r="O292" s="2780" t="str">
        <f>C292</f>
        <v>Beignets, poissons panés ou enrobés (croquettes,
paupiettes,…)</v>
      </c>
      <c r="P292" s="2781">
        <f t="shared" ref="P292:U292" si="173">F292*P164</f>
        <v>12.65</v>
      </c>
      <c r="Q292" s="2781">
        <f t="shared" si="173"/>
        <v>58.030000000000008</v>
      </c>
      <c r="R292" s="2782">
        <f t="shared" si="173"/>
        <v>5.28</v>
      </c>
      <c r="S292" s="2783">
        <f t="shared" si="173"/>
        <v>1.573</v>
      </c>
      <c r="T292" s="2783">
        <f t="shared" si="173"/>
        <v>2.9000000000000004</v>
      </c>
      <c r="U292" s="2781">
        <f t="shared" si="173"/>
        <v>1.1900000000000002</v>
      </c>
      <c r="V292" s="2794">
        <f>SUM(P292:U292)</f>
        <v>81.623000000000005</v>
      </c>
    </row>
    <row r="293" spans="1:22" ht="15.75">
      <c r="A293" s="2464"/>
      <c r="B293" s="2776"/>
      <c r="C293" s="2802" t="s">
        <v>465</v>
      </c>
      <c r="D293" s="2802"/>
      <c r="E293" s="2823"/>
      <c r="F293" s="2640">
        <v>0</v>
      </c>
      <c r="G293" s="2640">
        <v>0</v>
      </c>
      <c r="H293" s="2650">
        <v>0.16</v>
      </c>
      <c r="I293" s="2652">
        <f>(H293*L293%)+H293</f>
        <v>0.17599999999999999</v>
      </c>
      <c r="J293" s="2656">
        <v>0.15</v>
      </c>
      <c r="K293" s="2640">
        <v>0.11</v>
      </c>
      <c r="L293" s="2779">
        <v>10</v>
      </c>
      <c r="M293" s="1845"/>
      <c r="N293" s="1845"/>
      <c r="O293" s="2780" t="str">
        <f>C293</f>
        <v>Poissons entiers</v>
      </c>
      <c r="P293" s="2781">
        <f t="shared" ref="P293:U293" si="174">F293*P164</f>
        <v>0</v>
      </c>
      <c r="Q293" s="2781">
        <f t="shared" si="174"/>
        <v>0</v>
      </c>
      <c r="R293" s="2782">
        <f t="shared" si="174"/>
        <v>7.68</v>
      </c>
      <c r="S293" s="2783">
        <f t="shared" si="174"/>
        <v>2.2879999999999998</v>
      </c>
      <c r="T293" s="2783">
        <f t="shared" si="174"/>
        <v>4.3499999999999996</v>
      </c>
      <c r="U293" s="2781">
        <f t="shared" si="174"/>
        <v>1.87</v>
      </c>
      <c r="V293" s="2794">
        <f>SUM(P293:U293)</f>
        <v>16.187999999999999</v>
      </c>
    </row>
    <row r="294" spans="1:22" ht="15" customHeight="1">
      <c r="A294" s="2464"/>
      <c r="B294" s="2785"/>
      <c r="C294" s="4597" t="s">
        <v>466</v>
      </c>
      <c r="D294" s="4597"/>
      <c r="E294" s="4597"/>
      <c r="F294" s="4597"/>
      <c r="G294" s="4597"/>
      <c r="H294" s="4597"/>
      <c r="I294" s="4597"/>
      <c r="J294" s="4597"/>
      <c r="K294" s="4597"/>
      <c r="L294" s="4598"/>
      <c r="M294" s="2766"/>
      <c r="N294" s="2766"/>
      <c r="O294" s="1201"/>
      <c r="P294" s="4601" t="str">
        <f>C294</f>
        <v>*- PLATS COMPOSES (denrée protidique et garniture)</v>
      </c>
      <c r="Q294" s="4602"/>
      <c r="R294" s="4602"/>
      <c r="S294" s="4602"/>
      <c r="T294" s="4602"/>
      <c r="U294" s="4602"/>
      <c r="V294" s="4603"/>
    </row>
    <row r="295" spans="1:22" ht="15" customHeight="1">
      <c r="A295" s="2464"/>
      <c r="B295" s="2785"/>
      <c r="C295" s="4599"/>
      <c r="D295" s="4599"/>
      <c r="E295" s="4599"/>
      <c r="F295" s="4599"/>
      <c r="G295" s="4599"/>
      <c r="H295" s="4599"/>
      <c r="I295" s="4599"/>
      <c r="J295" s="4599"/>
      <c r="K295" s="4599"/>
      <c r="L295" s="4600"/>
      <c r="M295" s="2766"/>
      <c r="N295" s="2766"/>
      <c r="O295" s="1201"/>
      <c r="P295" s="4604"/>
      <c r="Q295" s="4605"/>
      <c r="R295" s="4605"/>
      <c r="S295" s="4605"/>
      <c r="T295" s="4605"/>
      <c r="U295" s="4605"/>
      <c r="V295" s="4606"/>
    </row>
    <row r="296" spans="1:22" ht="15.75">
      <c r="A296" s="2464"/>
      <c r="B296" s="2776"/>
      <c r="C296" s="2800" t="s">
        <v>2857</v>
      </c>
      <c r="D296" s="2800"/>
      <c r="E296" s="2822"/>
      <c r="F296" s="2640">
        <v>0.05</v>
      </c>
      <c r="G296" s="2640">
        <v>7.0000000000000007E-2</v>
      </c>
      <c r="H296" s="2650">
        <v>0.11</v>
      </c>
      <c r="I296" s="2652">
        <f t="shared" ref="I296:I303" si="175">(H296*L296%)+H296</f>
        <v>0.121</v>
      </c>
      <c r="J296" s="2656">
        <v>0.1</v>
      </c>
      <c r="K296" s="2640">
        <v>7.0000000000000007E-2</v>
      </c>
      <c r="L296" s="2779">
        <v>10</v>
      </c>
      <c r="M296" s="1200"/>
      <c r="N296" s="1200"/>
      <c r="O296" s="2780" t="str">
        <f t="shared" ref="O296:O303" si="176">C296</f>
        <v>Plat composé, choucroute, paëlla, etc. (poids minimum d’aliment protidique)</v>
      </c>
      <c r="P296" s="2781">
        <f t="shared" ref="P296:U296" si="177">F296*P164</f>
        <v>12.65</v>
      </c>
      <c r="Q296" s="2781">
        <f t="shared" si="177"/>
        <v>58.030000000000008</v>
      </c>
      <c r="R296" s="2782">
        <f t="shared" si="177"/>
        <v>5.28</v>
      </c>
      <c r="S296" s="2783">
        <f t="shared" si="177"/>
        <v>1.573</v>
      </c>
      <c r="T296" s="2783">
        <f t="shared" si="177"/>
        <v>2.9000000000000004</v>
      </c>
      <c r="U296" s="2781">
        <f t="shared" si="177"/>
        <v>1.1900000000000002</v>
      </c>
      <c r="V296" s="2794">
        <f t="shared" ref="V296:V303" si="178">SUM(P296:U296)</f>
        <v>81.623000000000005</v>
      </c>
    </row>
    <row r="297" spans="1:22" ht="15.75">
      <c r="A297" s="2824"/>
      <c r="B297" s="2776"/>
      <c r="C297" s="2800" t="s">
        <v>2858</v>
      </c>
      <c r="D297" s="2800"/>
      <c r="E297" s="2822"/>
      <c r="F297" s="2640">
        <v>0.05</v>
      </c>
      <c r="G297" s="2640">
        <v>7.0000000000000007E-2</v>
      </c>
      <c r="H297" s="2650">
        <v>0.11</v>
      </c>
      <c r="I297" s="2652">
        <f t="shared" si="175"/>
        <v>0.121</v>
      </c>
      <c r="J297" s="2656">
        <v>0.1</v>
      </c>
      <c r="K297" s="2640">
        <v>7.0000000000000007E-2</v>
      </c>
      <c r="L297" s="2779">
        <v>10</v>
      </c>
      <c r="M297" s="1845"/>
      <c r="N297" s="1845"/>
      <c r="O297" s="2780" t="str">
        <f t="shared" si="176"/>
        <v>Hachis Parmentier, Brandade, Légumes farcis (poids minimum d’aliment protidique)</v>
      </c>
      <c r="P297" s="2781">
        <f t="shared" ref="P297:U297" si="179">F297*P164</f>
        <v>12.65</v>
      </c>
      <c r="Q297" s="2781">
        <f t="shared" si="179"/>
        <v>58.030000000000008</v>
      </c>
      <c r="R297" s="2782">
        <f t="shared" si="179"/>
        <v>5.28</v>
      </c>
      <c r="S297" s="2783">
        <f t="shared" si="179"/>
        <v>1.573</v>
      </c>
      <c r="T297" s="2783">
        <f t="shared" si="179"/>
        <v>2.9000000000000004</v>
      </c>
      <c r="U297" s="2781">
        <f t="shared" si="179"/>
        <v>1.1900000000000002</v>
      </c>
      <c r="V297" s="2794">
        <f t="shared" si="178"/>
        <v>81.623000000000005</v>
      </c>
    </row>
    <row r="298" spans="1:22" ht="15.75">
      <c r="A298" s="2464"/>
      <c r="B298" s="2776"/>
      <c r="C298" s="2800" t="s">
        <v>467</v>
      </c>
      <c r="D298" s="2800"/>
      <c r="E298" s="2822"/>
      <c r="F298" s="2640">
        <v>0.18</v>
      </c>
      <c r="G298" s="2640">
        <v>0.25</v>
      </c>
      <c r="H298" s="2650">
        <v>0.28000000000000003</v>
      </c>
      <c r="I298" s="2652">
        <f t="shared" si="175"/>
        <v>0.30800000000000005</v>
      </c>
      <c r="J298" s="2656">
        <v>0.25</v>
      </c>
      <c r="K298" s="2640">
        <v>0.17</v>
      </c>
      <c r="L298" s="2779">
        <v>10</v>
      </c>
      <c r="M298" s="1845"/>
      <c r="N298" s="1845"/>
      <c r="O298" s="2780" t="str">
        <f t="shared" si="176"/>
        <v>Raviolis, Cannellonis, Lasagnes ... (poids ration
avec sauce)</v>
      </c>
      <c r="P298" s="2781">
        <f t="shared" ref="P298:U298" si="180">F298*P164</f>
        <v>45.54</v>
      </c>
      <c r="Q298" s="2781">
        <f t="shared" si="180"/>
        <v>207.25</v>
      </c>
      <c r="R298" s="2782">
        <f t="shared" si="180"/>
        <v>13.440000000000001</v>
      </c>
      <c r="S298" s="2783">
        <f t="shared" si="180"/>
        <v>4.0040000000000004</v>
      </c>
      <c r="T298" s="2783">
        <f t="shared" si="180"/>
        <v>7.25</v>
      </c>
      <c r="U298" s="2781">
        <f t="shared" si="180"/>
        <v>2.89</v>
      </c>
      <c r="V298" s="2794">
        <f t="shared" si="178"/>
        <v>280.37400000000002</v>
      </c>
    </row>
    <row r="299" spans="1:22" ht="15.75">
      <c r="A299" s="2464"/>
      <c r="B299" s="2776"/>
      <c r="C299" s="2800" t="s">
        <v>468</v>
      </c>
      <c r="D299" s="2800"/>
      <c r="E299" s="2822"/>
      <c r="F299" s="2640">
        <v>0.1</v>
      </c>
      <c r="G299" s="2640">
        <v>0.15</v>
      </c>
      <c r="H299" s="2650">
        <v>0.2</v>
      </c>
      <c r="I299" s="2652">
        <f t="shared" si="175"/>
        <v>0.22000000000000003</v>
      </c>
      <c r="J299" s="2656">
        <v>0.15</v>
      </c>
      <c r="K299" s="2640">
        <v>0.15</v>
      </c>
      <c r="L299" s="2779">
        <v>10</v>
      </c>
      <c r="M299" s="1845"/>
      <c r="N299" s="1845"/>
      <c r="O299" s="2780" t="str">
        <f t="shared" si="176"/>
        <v>Préparations pâtissières (crêpes, pizzas, croque-
monsieur, friands, quiches)</v>
      </c>
      <c r="P299" s="2781">
        <f t="shared" ref="P299:U299" si="181">F299*P164</f>
        <v>25.3</v>
      </c>
      <c r="Q299" s="2781">
        <f t="shared" si="181"/>
        <v>124.35</v>
      </c>
      <c r="R299" s="2782">
        <f t="shared" si="181"/>
        <v>9.6000000000000014</v>
      </c>
      <c r="S299" s="2783">
        <f t="shared" si="181"/>
        <v>2.8600000000000003</v>
      </c>
      <c r="T299" s="2783">
        <f t="shared" si="181"/>
        <v>4.3499999999999996</v>
      </c>
      <c r="U299" s="2781">
        <f t="shared" si="181"/>
        <v>2.5499999999999998</v>
      </c>
      <c r="V299" s="2794">
        <f t="shared" si="178"/>
        <v>169.01000000000002</v>
      </c>
    </row>
    <row r="300" spans="1:22" ht="15.75">
      <c r="A300" s="2464"/>
      <c r="B300" s="2776"/>
      <c r="C300" s="2800" t="s">
        <v>469</v>
      </c>
      <c r="D300" s="2800"/>
      <c r="E300" s="2822"/>
      <c r="F300" s="2640">
        <v>0.06</v>
      </c>
      <c r="G300" s="2640">
        <v>0.08</v>
      </c>
      <c r="H300" s="2650">
        <v>0.14000000000000001</v>
      </c>
      <c r="I300" s="2652">
        <f t="shared" si="175"/>
        <v>0.15400000000000003</v>
      </c>
      <c r="J300" s="2656">
        <v>0.12</v>
      </c>
      <c r="K300" s="2640">
        <v>0.08</v>
      </c>
      <c r="L300" s="2779">
        <v>10</v>
      </c>
      <c r="M300" s="1845"/>
      <c r="N300" s="1845"/>
      <c r="O300" s="2780" t="str">
        <f t="shared" si="176"/>
        <v>Quenelle</v>
      </c>
      <c r="P300" s="2781">
        <f t="shared" ref="P300:U300" si="182">F300*P164</f>
        <v>15.18</v>
      </c>
      <c r="Q300" s="2781">
        <f t="shared" si="182"/>
        <v>66.320000000000007</v>
      </c>
      <c r="R300" s="2782">
        <f t="shared" si="182"/>
        <v>6.7200000000000006</v>
      </c>
      <c r="S300" s="2783">
        <f t="shared" si="182"/>
        <v>2.0020000000000002</v>
      </c>
      <c r="T300" s="2783">
        <f t="shared" si="182"/>
        <v>3.48</v>
      </c>
      <c r="U300" s="2781">
        <f t="shared" si="182"/>
        <v>1.36</v>
      </c>
      <c r="V300" s="2794">
        <f t="shared" si="178"/>
        <v>95.061999999999998</v>
      </c>
    </row>
    <row r="301" spans="1:22" ht="15.75">
      <c r="A301" s="2464"/>
      <c r="B301" s="2776"/>
      <c r="C301" s="2800"/>
      <c r="D301" s="2800"/>
      <c r="E301" s="2822"/>
      <c r="F301" s="2640"/>
      <c r="G301" s="2640"/>
      <c r="H301" s="2650"/>
      <c r="I301" s="2652">
        <f t="shared" si="175"/>
        <v>0</v>
      </c>
      <c r="J301" s="2656"/>
      <c r="K301" s="2640"/>
      <c r="L301" s="2779"/>
      <c r="M301" s="1845"/>
      <c r="N301" s="1845"/>
      <c r="O301" s="2780">
        <f t="shared" si="176"/>
        <v>0</v>
      </c>
      <c r="P301" s="2781">
        <f t="shared" ref="P301:U301" si="183">F301*P164</f>
        <v>0</v>
      </c>
      <c r="Q301" s="2781">
        <f t="shared" si="183"/>
        <v>0</v>
      </c>
      <c r="R301" s="2782">
        <f t="shared" si="183"/>
        <v>0</v>
      </c>
      <c r="S301" s="2783">
        <f t="shared" si="183"/>
        <v>0</v>
      </c>
      <c r="T301" s="2783">
        <f t="shared" si="183"/>
        <v>0</v>
      </c>
      <c r="U301" s="2781">
        <f t="shared" si="183"/>
        <v>0</v>
      </c>
      <c r="V301" s="2794">
        <f t="shared" si="178"/>
        <v>0</v>
      </c>
    </row>
    <row r="302" spans="1:22" ht="15.75">
      <c r="A302" s="2464"/>
      <c r="B302" s="2776"/>
      <c r="C302" s="2800"/>
      <c r="D302" s="2800"/>
      <c r="E302" s="2822"/>
      <c r="F302" s="2640"/>
      <c r="G302" s="2640"/>
      <c r="H302" s="2650"/>
      <c r="I302" s="2652">
        <f t="shared" si="175"/>
        <v>0</v>
      </c>
      <c r="J302" s="2656"/>
      <c r="K302" s="2640"/>
      <c r="L302" s="2779"/>
      <c r="M302" s="1845"/>
      <c r="N302" s="1845"/>
      <c r="O302" s="2780">
        <f t="shared" si="176"/>
        <v>0</v>
      </c>
      <c r="P302" s="2781">
        <f t="shared" ref="P302:U302" si="184">F302*P164</f>
        <v>0</v>
      </c>
      <c r="Q302" s="2781">
        <f t="shared" si="184"/>
        <v>0</v>
      </c>
      <c r="R302" s="2782">
        <f t="shared" si="184"/>
        <v>0</v>
      </c>
      <c r="S302" s="2783">
        <f t="shared" si="184"/>
        <v>0</v>
      </c>
      <c r="T302" s="2783">
        <f t="shared" si="184"/>
        <v>0</v>
      </c>
      <c r="U302" s="2781">
        <f t="shared" si="184"/>
        <v>0</v>
      </c>
      <c r="V302" s="2794">
        <f t="shared" si="178"/>
        <v>0</v>
      </c>
    </row>
    <row r="303" spans="1:22" ht="15.75">
      <c r="A303" s="2464"/>
      <c r="B303" s="2776"/>
      <c r="C303" s="2802" t="s">
        <v>470</v>
      </c>
      <c r="D303" s="2802"/>
      <c r="E303" s="2823"/>
      <c r="F303" s="2640">
        <v>0.1</v>
      </c>
      <c r="G303" s="2640">
        <v>0.1</v>
      </c>
      <c r="H303" s="2650">
        <v>0.15</v>
      </c>
      <c r="I303" s="2652">
        <f t="shared" si="175"/>
        <v>0.16499999999999998</v>
      </c>
      <c r="J303" s="2656">
        <v>0.15</v>
      </c>
      <c r="K303" s="2640">
        <v>0.15</v>
      </c>
      <c r="L303" s="2779">
        <v>10</v>
      </c>
      <c r="M303" s="1200"/>
      <c r="N303" s="1200"/>
      <c r="O303" s="2780" t="str">
        <f t="shared" si="176"/>
        <v>LEGUMES CUITS</v>
      </c>
      <c r="P303" s="2781">
        <f t="shared" ref="P303:U303" si="185">F303*P164</f>
        <v>25.3</v>
      </c>
      <c r="Q303" s="2781">
        <f t="shared" si="185"/>
        <v>82.9</v>
      </c>
      <c r="R303" s="2782">
        <f t="shared" si="185"/>
        <v>7.1999999999999993</v>
      </c>
      <c r="S303" s="2783">
        <f t="shared" si="185"/>
        <v>2.1449999999999996</v>
      </c>
      <c r="T303" s="2783">
        <f t="shared" si="185"/>
        <v>4.3499999999999996</v>
      </c>
      <c r="U303" s="2781">
        <f t="shared" si="185"/>
        <v>2.5499999999999998</v>
      </c>
      <c r="V303" s="2794">
        <f t="shared" si="178"/>
        <v>124.44499999999999</v>
      </c>
    </row>
    <row r="304" spans="1:22" ht="15" customHeight="1">
      <c r="A304" s="2464"/>
      <c r="B304" s="2785"/>
      <c r="C304" s="4599" t="s">
        <v>471</v>
      </c>
      <c r="D304" s="4599"/>
      <c r="E304" s="4599"/>
      <c r="F304" s="4597"/>
      <c r="G304" s="4597"/>
      <c r="H304" s="4597"/>
      <c r="I304" s="4597"/>
      <c r="J304" s="4597"/>
      <c r="K304" s="4597"/>
      <c r="L304" s="4598"/>
      <c r="M304" s="2766"/>
      <c r="N304" s="2766"/>
      <c r="O304" s="1201"/>
      <c r="P304" s="4601" t="str">
        <f>C304</f>
        <v>*- FÉCULENTS CUITS</v>
      </c>
      <c r="Q304" s="4602"/>
      <c r="R304" s="4602"/>
      <c r="S304" s="4602"/>
      <c r="T304" s="4602"/>
      <c r="U304" s="4602"/>
      <c r="V304" s="4603"/>
    </row>
    <row r="305" spans="1:22" ht="15" customHeight="1">
      <c r="A305" s="2464"/>
      <c r="B305" s="2785"/>
      <c r="C305" s="4599"/>
      <c r="D305" s="4599"/>
      <c r="E305" s="4599"/>
      <c r="F305" s="4599"/>
      <c r="G305" s="4599"/>
      <c r="H305" s="4599"/>
      <c r="I305" s="4599"/>
      <c r="J305" s="4599"/>
      <c r="K305" s="4599"/>
      <c r="L305" s="4600"/>
      <c r="M305" s="2766"/>
      <c r="N305" s="2766"/>
      <c r="O305" s="1201"/>
      <c r="P305" s="4604"/>
      <c r="Q305" s="4605"/>
      <c r="R305" s="4605"/>
      <c r="S305" s="4605"/>
      <c r="T305" s="4605"/>
      <c r="U305" s="4605"/>
      <c r="V305" s="4606"/>
    </row>
    <row r="306" spans="1:22" ht="15.75">
      <c r="A306" s="2464"/>
      <c r="B306" s="2776"/>
      <c r="C306" s="2800" t="s">
        <v>472</v>
      </c>
      <c r="D306" s="2800"/>
      <c r="E306" s="2822"/>
      <c r="F306" s="2640">
        <v>0.12</v>
      </c>
      <c r="G306" s="2640">
        <v>0.17499999999999999</v>
      </c>
      <c r="H306" s="2650">
        <v>0.22</v>
      </c>
      <c r="I306" s="2652">
        <f t="shared" ref="I306:I315" si="186">(H306*L306%)+H306</f>
        <v>0.24199999999999999</v>
      </c>
      <c r="J306" s="2656">
        <v>0.2</v>
      </c>
      <c r="K306" s="2640">
        <v>0.2</v>
      </c>
      <c r="L306" s="2779">
        <v>10</v>
      </c>
      <c r="M306" s="1200"/>
      <c r="N306" s="1200"/>
      <c r="O306" s="2780" t="str">
        <f t="shared" ref="O306:O315" si="187">C306</f>
        <v>Riz – Pâtes – Pommes de terre</v>
      </c>
      <c r="P306" s="2781">
        <f t="shared" ref="P306:U306" si="188">F306*P164</f>
        <v>30.36</v>
      </c>
      <c r="Q306" s="2781">
        <f t="shared" si="188"/>
        <v>145.07499999999999</v>
      </c>
      <c r="R306" s="2782">
        <f t="shared" si="188"/>
        <v>10.56</v>
      </c>
      <c r="S306" s="2783">
        <f t="shared" si="188"/>
        <v>3.1459999999999999</v>
      </c>
      <c r="T306" s="2783">
        <f t="shared" si="188"/>
        <v>5.8000000000000007</v>
      </c>
      <c r="U306" s="2781">
        <f t="shared" si="188"/>
        <v>3.4000000000000004</v>
      </c>
      <c r="V306" s="2794">
        <f t="shared" ref="V306:V315" si="189">SUM(P306:U306)</f>
        <v>198.34100000000001</v>
      </c>
    </row>
    <row r="307" spans="1:22" ht="15.75">
      <c r="A307" s="2464"/>
      <c r="B307" s="2776"/>
      <c r="C307" s="2800" t="s">
        <v>473</v>
      </c>
      <c r="D307" s="2800"/>
      <c r="E307" s="2822"/>
      <c r="F307" s="2640">
        <v>0.15</v>
      </c>
      <c r="G307" s="2640">
        <v>1.18</v>
      </c>
      <c r="H307" s="2650">
        <v>0.25</v>
      </c>
      <c r="I307" s="2652">
        <f t="shared" si="186"/>
        <v>0.27500000000000002</v>
      </c>
      <c r="J307" s="2656">
        <v>0.23</v>
      </c>
      <c r="K307" s="2640">
        <v>0.23</v>
      </c>
      <c r="L307" s="2779">
        <v>10</v>
      </c>
      <c r="M307" s="1200"/>
      <c r="N307" s="1200"/>
      <c r="O307" s="2780" t="str">
        <f t="shared" si="187"/>
        <v>Purée de pomme de terre, fraiche ou reconstituée</v>
      </c>
      <c r="P307" s="2781">
        <f t="shared" ref="P307:U307" si="190">F307*P164</f>
        <v>37.949999999999996</v>
      </c>
      <c r="Q307" s="2781">
        <f t="shared" si="190"/>
        <v>978.21999999999991</v>
      </c>
      <c r="R307" s="2782">
        <f t="shared" si="190"/>
        <v>12</v>
      </c>
      <c r="S307" s="2783">
        <f t="shared" si="190"/>
        <v>3.5750000000000002</v>
      </c>
      <c r="T307" s="2783">
        <f t="shared" si="190"/>
        <v>6.67</v>
      </c>
      <c r="U307" s="2781">
        <f t="shared" si="190"/>
        <v>3.91</v>
      </c>
      <c r="V307" s="2794">
        <f t="shared" si="189"/>
        <v>1042.3250000000003</v>
      </c>
    </row>
    <row r="308" spans="1:22" ht="15.75">
      <c r="A308" s="2464"/>
      <c r="B308" s="2776"/>
      <c r="C308" s="2800" t="s">
        <v>474</v>
      </c>
      <c r="D308" s="2800"/>
      <c r="E308" s="2822"/>
      <c r="F308" s="2640">
        <v>0.12</v>
      </c>
      <c r="G308" s="2640">
        <v>0.17</v>
      </c>
      <c r="H308" s="2650">
        <v>0.22</v>
      </c>
      <c r="I308" s="2652">
        <f t="shared" si="186"/>
        <v>0.24199999999999999</v>
      </c>
      <c r="J308" s="2656">
        <v>0.2</v>
      </c>
      <c r="K308" s="2640">
        <v>0.2</v>
      </c>
      <c r="L308" s="2779">
        <v>10</v>
      </c>
      <c r="M308" s="1200"/>
      <c r="N308" s="1200"/>
      <c r="O308" s="2780" t="str">
        <f t="shared" si="187"/>
        <v>Frites</v>
      </c>
      <c r="P308" s="2781">
        <f t="shared" ref="P308:U308" si="191">F308*P164</f>
        <v>30.36</v>
      </c>
      <c r="Q308" s="2781">
        <f t="shared" si="191"/>
        <v>140.93</v>
      </c>
      <c r="R308" s="2782">
        <f t="shared" si="191"/>
        <v>10.56</v>
      </c>
      <c r="S308" s="2783">
        <f t="shared" si="191"/>
        <v>3.1459999999999999</v>
      </c>
      <c r="T308" s="2783">
        <f t="shared" si="191"/>
        <v>5.8000000000000007</v>
      </c>
      <c r="U308" s="2781">
        <f t="shared" si="191"/>
        <v>3.4000000000000004</v>
      </c>
      <c r="V308" s="2794">
        <f t="shared" si="189"/>
        <v>194.19600000000003</v>
      </c>
    </row>
    <row r="309" spans="1:22" ht="15.75">
      <c r="A309" s="2464"/>
      <c r="B309" s="2776"/>
      <c r="C309" s="2800" t="s">
        <v>475</v>
      </c>
      <c r="D309" s="2800"/>
      <c r="E309" s="2822"/>
      <c r="F309" s="2640">
        <v>0.12</v>
      </c>
      <c r="G309" s="2640">
        <v>0.17</v>
      </c>
      <c r="H309" s="2650">
        <v>0.22</v>
      </c>
      <c r="I309" s="2652">
        <f t="shared" si="186"/>
        <v>0.24199999999999999</v>
      </c>
      <c r="J309" s="2656">
        <v>0.2</v>
      </c>
      <c r="K309" s="2640">
        <v>0.2</v>
      </c>
      <c r="L309" s="2779">
        <v>10</v>
      </c>
      <c r="M309" s="1200"/>
      <c r="N309" s="1200"/>
      <c r="O309" s="2780" t="str">
        <f t="shared" si="187"/>
        <v>Légumes secs</v>
      </c>
      <c r="P309" s="2781">
        <f t="shared" ref="P309:U309" si="192">F309*P164</f>
        <v>30.36</v>
      </c>
      <c r="Q309" s="2781">
        <f t="shared" si="192"/>
        <v>140.93</v>
      </c>
      <c r="R309" s="2782">
        <f t="shared" si="192"/>
        <v>10.56</v>
      </c>
      <c r="S309" s="2783">
        <f t="shared" si="192"/>
        <v>3.1459999999999999</v>
      </c>
      <c r="T309" s="2783">
        <f t="shared" si="192"/>
        <v>5.8000000000000007</v>
      </c>
      <c r="U309" s="2781">
        <f t="shared" si="192"/>
        <v>3.4000000000000004</v>
      </c>
      <c r="V309" s="2794">
        <f t="shared" si="189"/>
        <v>194.19600000000003</v>
      </c>
    </row>
    <row r="310" spans="1:22" ht="15.75">
      <c r="A310" s="2464"/>
      <c r="B310" s="2785"/>
      <c r="C310" s="2800" t="s">
        <v>476</v>
      </c>
      <c r="D310" s="2800"/>
      <c r="E310" s="2822"/>
      <c r="F310" s="2640">
        <v>0.05</v>
      </c>
      <c r="G310" s="2640">
        <v>7.0000000000000007E-2</v>
      </c>
      <c r="H310" s="2650">
        <v>0.08</v>
      </c>
      <c r="I310" s="2652">
        <f t="shared" si="186"/>
        <v>8.7999999999999995E-2</v>
      </c>
      <c r="J310" s="2656">
        <v>8.0000000000000002E-3</v>
      </c>
      <c r="K310" s="2640">
        <v>8.0000000000000002E-3</v>
      </c>
      <c r="L310" s="2779">
        <v>10</v>
      </c>
      <c r="M310" s="1200"/>
      <c r="N310" s="1200"/>
      <c r="O310" s="2780" t="str">
        <f t="shared" si="187"/>
        <v xml:space="preserve">SAUCES POUR PLATS </v>
      </c>
      <c r="P310" s="2781">
        <f t="shared" ref="P310:U310" si="193">F310*P164</f>
        <v>12.65</v>
      </c>
      <c r="Q310" s="2781">
        <f t="shared" si="193"/>
        <v>58.030000000000008</v>
      </c>
      <c r="R310" s="2782">
        <f t="shared" si="193"/>
        <v>3.84</v>
      </c>
      <c r="S310" s="2783">
        <f t="shared" si="193"/>
        <v>1.1439999999999999</v>
      </c>
      <c r="T310" s="2783">
        <f t="shared" si="193"/>
        <v>0.23200000000000001</v>
      </c>
      <c r="U310" s="2781">
        <f t="shared" si="193"/>
        <v>0.13600000000000001</v>
      </c>
      <c r="V310" s="2794">
        <f t="shared" si="189"/>
        <v>76.032000000000011</v>
      </c>
    </row>
    <row r="311" spans="1:22" ht="15.75">
      <c r="A311" s="2464"/>
      <c r="B311" s="2776"/>
      <c r="C311" s="2800" t="s">
        <v>2859</v>
      </c>
      <c r="D311" s="2800"/>
      <c r="E311" s="2822"/>
      <c r="F311" s="2640">
        <v>5.0000000000000001E-3</v>
      </c>
      <c r="G311" s="2640">
        <v>7.0000000000000001E-3</v>
      </c>
      <c r="H311" s="2650">
        <v>8.0000000000000002E-3</v>
      </c>
      <c r="I311" s="2652">
        <f t="shared" si="186"/>
        <v>8.8000000000000005E-3</v>
      </c>
      <c r="J311" s="2656">
        <v>8.0000000000000002E-3</v>
      </c>
      <c r="K311" s="2640">
        <v>8.0000000000000002E-3</v>
      </c>
      <c r="L311" s="2779">
        <v>10</v>
      </c>
      <c r="M311" s="1200"/>
      <c r="N311" s="1200"/>
      <c r="O311" s="2780" t="str">
        <f t="shared" si="187"/>
        <v>SAUCES POUR PLATS (mayonnaise, ketchup, etc.) Poids de la matière grasse</v>
      </c>
      <c r="P311" s="2781">
        <f t="shared" ref="P311:U311" si="194">F311*P164</f>
        <v>1.2650000000000001</v>
      </c>
      <c r="Q311" s="2781">
        <f t="shared" si="194"/>
        <v>5.8029999999999999</v>
      </c>
      <c r="R311" s="2782">
        <f t="shared" si="194"/>
        <v>0.38400000000000001</v>
      </c>
      <c r="S311" s="2783">
        <f t="shared" si="194"/>
        <v>0.1144</v>
      </c>
      <c r="T311" s="2783">
        <f t="shared" si="194"/>
        <v>0.23200000000000001</v>
      </c>
      <c r="U311" s="2781">
        <f t="shared" si="194"/>
        <v>0.13600000000000001</v>
      </c>
      <c r="V311" s="2794">
        <f t="shared" si="189"/>
        <v>7.9344000000000001</v>
      </c>
    </row>
    <row r="312" spans="1:22" ht="15.75">
      <c r="A312" s="2464"/>
      <c r="B312" s="2776"/>
      <c r="C312" s="2800" t="s">
        <v>2860</v>
      </c>
      <c r="D312" s="2800"/>
      <c r="E312" s="2822"/>
      <c r="F312" s="2640">
        <v>0.05</v>
      </c>
      <c r="G312" s="2640">
        <v>7.0000000000000007E-2</v>
      </c>
      <c r="H312" s="2650">
        <v>0.08</v>
      </c>
      <c r="I312" s="2652">
        <f t="shared" si="186"/>
        <v>8.7999999999999995E-2</v>
      </c>
      <c r="J312" s="2656">
        <v>8.0000000000000002E-3</v>
      </c>
      <c r="K312" s="2640">
        <v>8.0000000000000002E-3</v>
      </c>
      <c r="L312" s="2779">
        <v>10</v>
      </c>
      <c r="M312" s="1200"/>
      <c r="N312" s="1200"/>
      <c r="O312" s="2780" t="str">
        <f t="shared" si="187"/>
        <v>SAUCES POUR PLATS (sauce tomate, béchamel)</v>
      </c>
      <c r="P312" s="2781">
        <f t="shared" ref="P312:U312" si="195">F312*P164</f>
        <v>12.65</v>
      </c>
      <c r="Q312" s="2781">
        <f t="shared" si="195"/>
        <v>58.030000000000008</v>
      </c>
      <c r="R312" s="2782">
        <f t="shared" si="195"/>
        <v>3.84</v>
      </c>
      <c r="S312" s="2783">
        <f t="shared" si="195"/>
        <v>1.1439999999999999</v>
      </c>
      <c r="T312" s="2783">
        <f t="shared" si="195"/>
        <v>0.23200000000000001</v>
      </c>
      <c r="U312" s="2781">
        <f t="shared" si="195"/>
        <v>0.13600000000000001</v>
      </c>
      <c r="V312" s="2794">
        <f t="shared" si="189"/>
        <v>76.032000000000011</v>
      </c>
    </row>
    <row r="313" spans="1:22" ht="15.75">
      <c r="A313" s="2464"/>
      <c r="B313" s="2776"/>
      <c r="C313" s="2800" t="s">
        <v>2861</v>
      </c>
      <c r="D313" s="2800"/>
      <c r="E313" s="2822"/>
      <c r="F313" s="2640">
        <v>2.5000000000000001E-2</v>
      </c>
      <c r="G313" s="2640">
        <v>0.03</v>
      </c>
      <c r="H313" s="2650">
        <v>0.04</v>
      </c>
      <c r="I313" s="2652">
        <f t="shared" si="186"/>
        <v>4.3999999999999997E-2</v>
      </c>
      <c r="J313" s="2656">
        <v>0.04</v>
      </c>
      <c r="K313" s="2640">
        <v>3.5000000000000003E-2</v>
      </c>
      <c r="L313" s="2779">
        <v>10</v>
      </c>
      <c r="M313" s="1200"/>
      <c r="N313" s="1200"/>
      <c r="O313" s="2780" t="str">
        <f t="shared" si="187"/>
        <v>SAUCES POUR PLATS (jus de viande)</v>
      </c>
      <c r="P313" s="2781">
        <f t="shared" ref="P313:U313" si="196">F313*P164</f>
        <v>6.3250000000000002</v>
      </c>
      <c r="Q313" s="2781">
        <f t="shared" si="196"/>
        <v>24.869999999999997</v>
      </c>
      <c r="R313" s="2782">
        <f t="shared" si="196"/>
        <v>1.92</v>
      </c>
      <c r="S313" s="2783">
        <f t="shared" si="196"/>
        <v>0.57199999999999995</v>
      </c>
      <c r="T313" s="2783">
        <f t="shared" si="196"/>
        <v>1.1599999999999999</v>
      </c>
      <c r="U313" s="2781">
        <f t="shared" si="196"/>
        <v>0.59500000000000008</v>
      </c>
      <c r="V313" s="2794">
        <f t="shared" si="189"/>
        <v>35.441999999999993</v>
      </c>
    </row>
    <row r="314" spans="1:22" ht="15.75">
      <c r="A314" s="2464"/>
      <c r="B314" s="2776"/>
      <c r="C314" s="2800" t="s">
        <v>2862</v>
      </c>
      <c r="D314" s="2800"/>
      <c r="E314" s="2822"/>
      <c r="F314" s="2640">
        <v>0.03</v>
      </c>
      <c r="G314" s="2640">
        <v>0.04</v>
      </c>
      <c r="H314" s="2650">
        <v>0.06</v>
      </c>
      <c r="I314" s="2652">
        <f t="shared" si="186"/>
        <v>6.6000000000000003E-2</v>
      </c>
      <c r="J314" s="2656">
        <v>0.06</v>
      </c>
      <c r="K314" s="2640">
        <v>0.04</v>
      </c>
      <c r="L314" s="2779">
        <v>10</v>
      </c>
      <c r="M314" s="1200"/>
      <c r="N314" s="1200"/>
      <c r="O314" s="2780" t="str">
        <f t="shared" si="187"/>
        <v>SAUCES POUR PLATS (beurre blanc, sauce crème,sauce forestière)</v>
      </c>
      <c r="P314" s="2781">
        <f t="shared" ref="P314:U314" si="197">F314*P164</f>
        <v>7.59</v>
      </c>
      <c r="Q314" s="2781">
        <f t="shared" si="197"/>
        <v>33.160000000000004</v>
      </c>
      <c r="R314" s="2782">
        <f t="shared" si="197"/>
        <v>2.88</v>
      </c>
      <c r="S314" s="2783">
        <f t="shared" si="197"/>
        <v>0.8580000000000001</v>
      </c>
      <c r="T314" s="2783">
        <f t="shared" si="197"/>
        <v>1.74</v>
      </c>
      <c r="U314" s="2781">
        <f t="shared" si="197"/>
        <v>0.68</v>
      </c>
      <c r="V314" s="2794">
        <f t="shared" si="189"/>
        <v>46.908000000000001</v>
      </c>
    </row>
    <row r="315" spans="1:22" ht="15.75">
      <c r="A315" s="2464"/>
      <c r="B315" s="2776"/>
      <c r="C315" s="2802" t="s">
        <v>477</v>
      </c>
      <c r="D315" s="2802"/>
      <c r="E315" s="2823"/>
      <c r="F315" s="2640">
        <v>0.02</v>
      </c>
      <c r="G315" s="2640">
        <v>0.03</v>
      </c>
      <c r="H315" s="2650">
        <v>3.5000000000000003E-2</v>
      </c>
      <c r="I315" s="2652">
        <f t="shared" si="186"/>
        <v>3.8500000000000006E-2</v>
      </c>
      <c r="J315" s="2656">
        <v>0.04</v>
      </c>
      <c r="K315" s="2640">
        <v>0.04</v>
      </c>
      <c r="L315" s="2779">
        <v>10</v>
      </c>
      <c r="M315" s="1200"/>
      <c r="N315" s="1200"/>
      <c r="O315" s="2780" t="str">
        <f t="shared" si="187"/>
        <v>FROMAGES</v>
      </c>
      <c r="P315" s="2781">
        <f t="shared" ref="P315:U315" si="198">F315*P164</f>
        <v>5.0600000000000005</v>
      </c>
      <c r="Q315" s="2781">
        <f t="shared" si="198"/>
        <v>24.869999999999997</v>
      </c>
      <c r="R315" s="2782">
        <f t="shared" si="198"/>
        <v>1.6800000000000002</v>
      </c>
      <c r="S315" s="2783">
        <f t="shared" si="198"/>
        <v>0.50050000000000006</v>
      </c>
      <c r="T315" s="2783">
        <f t="shared" si="198"/>
        <v>1.1599999999999999</v>
      </c>
      <c r="U315" s="2781">
        <f t="shared" si="198"/>
        <v>0.68</v>
      </c>
      <c r="V315" s="2794">
        <f t="shared" si="189"/>
        <v>33.950499999999998</v>
      </c>
    </row>
    <row r="316" spans="1:22" ht="15" customHeight="1">
      <c r="A316" s="2464"/>
      <c r="B316" s="2785"/>
      <c r="C316" s="4597" t="s">
        <v>478</v>
      </c>
      <c r="D316" s="4597"/>
      <c r="E316" s="4597"/>
      <c r="F316" s="4597"/>
      <c r="G316" s="4597"/>
      <c r="H316" s="4597"/>
      <c r="I316" s="4597"/>
      <c r="J316" s="4597"/>
      <c r="K316" s="4597"/>
      <c r="L316" s="4598"/>
      <c r="M316" s="2766"/>
      <c r="N316" s="2766"/>
      <c r="O316" s="1201"/>
      <c r="P316" s="4601" t="str">
        <f>C316</f>
        <v>*- PRODUITS LAITIERS FRAIS</v>
      </c>
      <c r="Q316" s="4602"/>
      <c r="R316" s="4602"/>
      <c r="S316" s="4602"/>
      <c r="T316" s="4602"/>
      <c r="U316" s="4602"/>
      <c r="V316" s="4603"/>
    </row>
    <row r="317" spans="1:22" ht="15" customHeight="1">
      <c r="A317" s="2464"/>
      <c r="B317" s="2785"/>
      <c r="C317" s="4599"/>
      <c r="D317" s="4599"/>
      <c r="E317" s="4599"/>
      <c r="F317" s="4599"/>
      <c r="G317" s="4599"/>
      <c r="H317" s="4599"/>
      <c r="I317" s="4599"/>
      <c r="J317" s="4599"/>
      <c r="K317" s="4599"/>
      <c r="L317" s="4600"/>
      <c r="M317" s="2766"/>
      <c r="N317" s="2766"/>
      <c r="O317" s="1201"/>
      <c r="P317" s="4604"/>
      <c r="Q317" s="4605"/>
      <c r="R317" s="4605"/>
      <c r="S317" s="4605"/>
      <c r="T317" s="4605"/>
      <c r="U317" s="4605"/>
      <c r="V317" s="4606"/>
    </row>
    <row r="318" spans="1:22" ht="15.75">
      <c r="A318" s="2464"/>
      <c r="B318" s="2776"/>
      <c r="C318" s="2800" t="s">
        <v>479</v>
      </c>
      <c r="D318" s="2800"/>
      <c r="E318" s="2822"/>
      <c r="F318" s="2640">
        <v>0.11</v>
      </c>
      <c r="G318" s="2640">
        <v>0.11</v>
      </c>
      <c r="H318" s="2650">
        <v>0.111</v>
      </c>
      <c r="I318" s="2652">
        <f>(H318*L318%)+H318</f>
        <v>0.1221</v>
      </c>
      <c r="J318" s="2656">
        <v>0.1</v>
      </c>
      <c r="K318" s="2640">
        <v>0.1</v>
      </c>
      <c r="L318" s="2779">
        <v>10</v>
      </c>
      <c r="M318" s="1200"/>
      <c r="N318" s="1200"/>
      <c r="O318" s="2780" t="str">
        <f>C318</f>
        <v>Fromage blanc, fromages frais</v>
      </c>
      <c r="P318" s="2781">
        <f t="shared" ref="P318:U318" si="199">F318*P164</f>
        <v>27.830000000000002</v>
      </c>
      <c r="Q318" s="2781">
        <f t="shared" si="199"/>
        <v>91.19</v>
      </c>
      <c r="R318" s="2782">
        <f t="shared" si="199"/>
        <v>5.3280000000000003</v>
      </c>
      <c r="S318" s="2783">
        <f t="shared" si="199"/>
        <v>1.5872999999999999</v>
      </c>
      <c r="T318" s="2783">
        <f t="shared" si="199"/>
        <v>2.9000000000000004</v>
      </c>
      <c r="U318" s="2781">
        <f t="shared" si="199"/>
        <v>1.7000000000000002</v>
      </c>
      <c r="V318" s="2794">
        <f>SUM(P318:U318)</f>
        <v>130.53529999999998</v>
      </c>
    </row>
    <row r="319" spans="1:22" ht="15.75">
      <c r="A319" s="2464"/>
      <c r="B319" s="2776"/>
      <c r="C319" s="2800" t="s">
        <v>480</v>
      </c>
      <c r="D319" s="2800"/>
      <c r="E319" s="2822"/>
      <c r="F319" s="2640">
        <v>0.115</v>
      </c>
      <c r="G319" s="2640">
        <v>0.115</v>
      </c>
      <c r="H319" s="2650">
        <v>0.11600000000000001</v>
      </c>
      <c r="I319" s="2652">
        <f>(H319*L319%)+H319</f>
        <v>0.12760000000000002</v>
      </c>
      <c r="J319" s="2656">
        <v>0.115</v>
      </c>
      <c r="K319" s="2640">
        <v>0.115</v>
      </c>
      <c r="L319" s="2779">
        <v>10</v>
      </c>
      <c r="M319" s="1200"/>
      <c r="N319" s="1200"/>
      <c r="O319" s="2780" t="str">
        <f>C319</f>
        <v>Yaourt</v>
      </c>
      <c r="P319" s="2781">
        <f t="shared" ref="P319:U319" si="200">F319*P164</f>
        <v>29.095000000000002</v>
      </c>
      <c r="Q319" s="2781">
        <f t="shared" si="200"/>
        <v>95.335000000000008</v>
      </c>
      <c r="R319" s="2782">
        <f t="shared" si="200"/>
        <v>5.5680000000000005</v>
      </c>
      <c r="S319" s="2783">
        <f t="shared" si="200"/>
        <v>1.6588000000000003</v>
      </c>
      <c r="T319" s="2783">
        <f t="shared" si="200"/>
        <v>3.335</v>
      </c>
      <c r="U319" s="2781">
        <f t="shared" si="200"/>
        <v>1.9550000000000001</v>
      </c>
      <c r="V319" s="2794">
        <f>SUM(P319:U319)</f>
        <v>136.94680000000005</v>
      </c>
    </row>
    <row r="320" spans="1:22" ht="15.75">
      <c r="A320" s="2464"/>
      <c r="B320" s="2776"/>
      <c r="C320" s="2800" t="s">
        <v>481</v>
      </c>
      <c r="D320" s="2800"/>
      <c r="E320" s="2822"/>
      <c r="F320" s="2640">
        <v>0.06</v>
      </c>
      <c r="G320" s="2640">
        <v>0.06</v>
      </c>
      <c r="H320" s="2650">
        <v>0.12</v>
      </c>
      <c r="I320" s="2652">
        <f>(H320*L320%)+H320</f>
        <v>0.13200000000000001</v>
      </c>
      <c r="J320" s="2656">
        <v>0.12</v>
      </c>
      <c r="K320" s="2640">
        <v>0.12</v>
      </c>
      <c r="L320" s="2779">
        <v>10</v>
      </c>
      <c r="M320" s="1200"/>
      <c r="N320" s="1200"/>
      <c r="O320" s="2780" t="str">
        <f>C320</f>
        <v>Petit suisse</v>
      </c>
      <c r="P320" s="2781">
        <f t="shared" ref="P320:U320" si="201">F320*P164</f>
        <v>15.18</v>
      </c>
      <c r="Q320" s="2781">
        <f t="shared" si="201"/>
        <v>49.739999999999995</v>
      </c>
      <c r="R320" s="2782">
        <f t="shared" si="201"/>
        <v>5.76</v>
      </c>
      <c r="S320" s="2783">
        <f t="shared" si="201"/>
        <v>1.7160000000000002</v>
      </c>
      <c r="T320" s="2783">
        <f t="shared" si="201"/>
        <v>3.48</v>
      </c>
      <c r="U320" s="2781">
        <f t="shared" si="201"/>
        <v>2.04</v>
      </c>
      <c r="V320" s="2794">
        <f>SUM(P320:U320)</f>
        <v>77.915999999999997</v>
      </c>
    </row>
    <row r="321" spans="1:22" ht="15.75">
      <c r="A321" s="2464"/>
      <c r="B321" s="2776"/>
      <c r="C321" s="2802" t="s">
        <v>482</v>
      </c>
      <c r="D321" s="2802"/>
      <c r="E321" s="2823"/>
      <c r="F321" s="2640">
        <v>0.125</v>
      </c>
      <c r="G321" s="2640">
        <v>0.125</v>
      </c>
      <c r="H321" s="2650">
        <v>0.125</v>
      </c>
      <c r="I321" s="2652">
        <f>(H321*L321%)+H321</f>
        <v>0.13750000000000001</v>
      </c>
      <c r="J321" s="2656">
        <v>0</v>
      </c>
      <c r="K321" s="2640">
        <v>0</v>
      </c>
      <c r="L321" s="2779">
        <v>10</v>
      </c>
      <c r="M321" s="1200"/>
      <c r="N321" s="1200"/>
      <c r="O321" s="2780" t="str">
        <f>C321</f>
        <v>Lait demi-écrémé en ml des menus 4 composantes</v>
      </c>
      <c r="P321" s="2781">
        <f t="shared" ref="P321:U321" si="202">F321*P164</f>
        <v>31.625</v>
      </c>
      <c r="Q321" s="2781">
        <f t="shared" si="202"/>
        <v>103.625</v>
      </c>
      <c r="R321" s="2782">
        <f t="shared" si="202"/>
        <v>6</v>
      </c>
      <c r="S321" s="2783">
        <f t="shared" si="202"/>
        <v>1.7875000000000001</v>
      </c>
      <c r="T321" s="2783">
        <f t="shared" si="202"/>
        <v>0</v>
      </c>
      <c r="U321" s="2781">
        <f t="shared" si="202"/>
        <v>0</v>
      </c>
      <c r="V321" s="2794">
        <f>SUM(P321:U321)</f>
        <v>143.03749999999999</v>
      </c>
    </row>
    <row r="322" spans="1:22" ht="15" customHeight="1">
      <c r="A322" s="2464"/>
      <c r="B322" s="2785"/>
      <c r="C322" s="4597" t="s">
        <v>483</v>
      </c>
      <c r="D322" s="4597"/>
      <c r="E322" s="4597"/>
      <c r="F322" s="4597"/>
      <c r="G322" s="4597"/>
      <c r="H322" s="4597"/>
      <c r="I322" s="4597"/>
      <c r="J322" s="4597"/>
      <c r="K322" s="4597"/>
      <c r="L322" s="4598"/>
      <c r="M322" s="2766"/>
      <c r="N322" s="2766"/>
      <c r="O322" s="1201"/>
      <c r="P322" s="4601" t="str">
        <f>C322</f>
        <v>*- DESSERTS</v>
      </c>
      <c r="Q322" s="4602"/>
      <c r="R322" s="4602"/>
      <c r="S322" s="4602"/>
      <c r="T322" s="4602"/>
      <c r="U322" s="4602"/>
      <c r="V322" s="4603"/>
    </row>
    <row r="323" spans="1:22" ht="15" customHeight="1">
      <c r="A323" s="2464"/>
      <c r="B323" s="2785"/>
      <c r="C323" s="4599"/>
      <c r="D323" s="4599"/>
      <c r="E323" s="4599"/>
      <c r="F323" s="4599"/>
      <c r="G323" s="4599"/>
      <c r="H323" s="4599"/>
      <c r="I323" s="4599"/>
      <c r="J323" s="4599"/>
      <c r="K323" s="4599"/>
      <c r="L323" s="4600"/>
      <c r="M323" s="2766"/>
      <c r="N323" s="2766"/>
      <c r="O323" s="1201"/>
      <c r="P323" s="4604"/>
      <c r="Q323" s="4605"/>
      <c r="R323" s="4605"/>
      <c r="S323" s="4605"/>
      <c r="T323" s="4605"/>
      <c r="U323" s="4605"/>
      <c r="V323" s="4606"/>
    </row>
    <row r="324" spans="1:22" ht="15.75">
      <c r="A324" s="2464"/>
      <c r="B324" s="2776"/>
      <c r="C324" s="2800" t="s">
        <v>484</v>
      </c>
      <c r="D324" s="2800"/>
      <c r="E324" s="2822"/>
      <c r="F324" s="2640">
        <v>0.1</v>
      </c>
      <c r="G324" s="2640">
        <v>0.1</v>
      </c>
      <c r="H324" s="2650">
        <v>0.1</v>
      </c>
      <c r="I324" s="2652">
        <f t="shared" ref="I324:I331" si="203">(H324*L324%)+H324</f>
        <v>0.11000000000000001</v>
      </c>
      <c r="J324" s="2656">
        <v>0.1</v>
      </c>
      <c r="K324" s="2640">
        <v>0.1</v>
      </c>
      <c r="L324" s="2779">
        <v>10</v>
      </c>
      <c r="M324" s="1200"/>
      <c r="N324" s="1200"/>
      <c r="O324" s="2780" t="str">
        <f t="shared" ref="O324:O331" si="204">C324</f>
        <v>Desserts lactés</v>
      </c>
      <c r="P324" s="2781">
        <f t="shared" ref="P324:U324" si="205">F324*P164</f>
        <v>25.3</v>
      </c>
      <c r="Q324" s="2781">
        <f t="shared" si="205"/>
        <v>82.9</v>
      </c>
      <c r="R324" s="2782">
        <f t="shared" si="205"/>
        <v>4.8000000000000007</v>
      </c>
      <c r="S324" s="2783">
        <f t="shared" si="205"/>
        <v>1.4300000000000002</v>
      </c>
      <c r="T324" s="2783">
        <f t="shared" si="205"/>
        <v>2.9000000000000004</v>
      </c>
      <c r="U324" s="2781">
        <f t="shared" si="205"/>
        <v>1.7000000000000002</v>
      </c>
      <c r="V324" s="2794">
        <f t="shared" ref="V324:V331" si="206">SUM(P324:U324)</f>
        <v>119.03000000000002</v>
      </c>
    </row>
    <row r="325" spans="1:22" ht="15.75">
      <c r="A325" s="2464"/>
      <c r="B325" s="2776"/>
      <c r="C325" s="2800" t="s">
        <v>485</v>
      </c>
      <c r="D325" s="2800"/>
      <c r="E325" s="2822"/>
      <c r="F325" s="2640">
        <v>0.12</v>
      </c>
      <c r="G325" s="2640">
        <v>0.12</v>
      </c>
      <c r="H325" s="2650">
        <v>0.12</v>
      </c>
      <c r="I325" s="2652">
        <f t="shared" si="203"/>
        <v>0.13200000000000001</v>
      </c>
      <c r="J325" s="2656">
        <v>0.12</v>
      </c>
      <c r="K325" s="2640">
        <v>0.12</v>
      </c>
      <c r="L325" s="2779">
        <v>10</v>
      </c>
      <c r="M325" s="1200"/>
      <c r="N325" s="1200"/>
      <c r="O325" s="2780" t="str">
        <f t="shared" si="204"/>
        <v>Mousse (en Litre)</v>
      </c>
      <c r="P325" s="2781">
        <f t="shared" ref="P325:U325" si="207">F325*P164</f>
        <v>30.36</v>
      </c>
      <c r="Q325" s="2781">
        <f t="shared" si="207"/>
        <v>99.47999999999999</v>
      </c>
      <c r="R325" s="2782">
        <f t="shared" si="207"/>
        <v>5.76</v>
      </c>
      <c r="S325" s="2783">
        <f t="shared" si="207"/>
        <v>1.7160000000000002</v>
      </c>
      <c r="T325" s="2783">
        <f t="shared" si="207"/>
        <v>3.48</v>
      </c>
      <c r="U325" s="2781">
        <f t="shared" si="207"/>
        <v>2.04</v>
      </c>
      <c r="V325" s="2794">
        <f t="shared" si="206"/>
        <v>142.83599999999996</v>
      </c>
    </row>
    <row r="326" spans="1:22" ht="15.75">
      <c r="A326" s="2464"/>
      <c r="B326" s="2776"/>
      <c r="C326" s="2800" t="s">
        <v>486</v>
      </c>
      <c r="D326" s="2800"/>
      <c r="E326" s="2822"/>
      <c r="F326" s="2640">
        <v>0.11</v>
      </c>
      <c r="G326" s="2640">
        <v>0.1</v>
      </c>
      <c r="H326" s="2650">
        <v>0.13</v>
      </c>
      <c r="I326" s="2652">
        <f t="shared" si="203"/>
        <v>0.14300000000000002</v>
      </c>
      <c r="J326" s="2656">
        <v>0.13</v>
      </c>
      <c r="K326" s="2640">
        <v>0.13</v>
      </c>
      <c r="L326" s="2779">
        <v>10</v>
      </c>
      <c r="M326" s="1200"/>
      <c r="N326" s="1200"/>
      <c r="O326" s="2780" t="str">
        <f t="shared" si="204"/>
        <v>Fruits crus</v>
      </c>
      <c r="P326" s="2781">
        <f t="shared" ref="P326:U326" si="208">F326*P164</f>
        <v>27.830000000000002</v>
      </c>
      <c r="Q326" s="2781">
        <f t="shared" si="208"/>
        <v>82.9</v>
      </c>
      <c r="R326" s="2782">
        <f t="shared" si="208"/>
        <v>6.24</v>
      </c>
      <c r="S326" s="2783">
        <f t="shared" si="208"/>
        <v>1.8590000000000002</v>
      </c>
      <c r="T326" s="2783">
        <f t="shared" si="208"/>
        <v>3.77</v>
      </c>
      <c r="U326" s="2781">
        <f t="shared" si="208"/>
        <v>2.21</v>
      </c>
      <c r="V326" s="2794">
        <f t="shared" si="206"/>
        <v>124.80899999999998</v>
      </c>
    </row>
    <row r="327" spans="1:22" ht="15.75">
      <c r="A327" s="2464"/>
      <c r="B327" s="2776"/>
      <c r="C327" s="2800" t="s">
        <v>487</v>
      </c>
      <c r="D327" s="2800"/>
      <c r="E327" s="2822"/>
      <c r="F327" s="2640">
        <v>0.1</v>
      </c>
      <c r="G327" s="2640">
        <v>0.1</v>
      </c>
      <c r="H327" s="2650">
        <v>0.13</v>
      </c>
      <c r="I327" s="2652">
        <f t="shared" si="203"/>
        <v>0.14300000000000002</v>
      </c>
      <c r="J327" s="2656">
        <v>0.13</v>
      </c>
      <c r="K327" s="2640">
        <v>0.13</v>
      </c>
      <c r="L327" s="2779">
        <v>10</v>
      </c>
      <c r="M327" s="1200"/>
      <c r="N327" s="1200"/>
      <c r="O327" s="2780" t="str">
        <f t="shared" si="204"/>
        <v>Fruits cuits</v>
      </c>
      <c r="P327" s="2781">
        <f t="shared" ref="P327:U327" si="209">F327*P164</f>
        <v>25.3</v>
      </c>
      <c r="Q327" s="2781">
        <f t="shared" si="209"/>
        <v>82.9</v>
      </c>
      <c r="R327" s="2782">
        <f t="shared" si="209"/>
        <v>6.24</v>
      </c>
      <c r="S327" s="2783">
        <f t="shared" si="209"/>
        <v>1.8590000000000002</v>
      </c>
      <c r="T327" s="2783">
        <f t="shared" si="209"/>
        <v>3.77</v>
      </c>
      <c r="U327" s="2781">
        <f t="shared" si="209"/>
        <v>2.21</v>
      </c>
      <c r="V327" s="2794">
        <f t="shared" si="206"/>
        <v>122.27899999999998</v>
      </c>
    </row>
    <row r="328" spans="1:22" ht="15.75">
      <c r="A328" s="2464"/>
      <c r="B328" s="2776"/>
      <c r="C328" s="2800" t="s">
        <v>488</v>
      </c>
      <c r="D328" s="2800"/>
      <c r="E328" s="2822"/>
      <c r="F328" s="2640">
        <v>0.04</v>
      </c>
      <c r="G328" s="2640">
        <v>0.04</v>
      </c>
      <c r="H328" s="2650">
        <v>0.06</v>
      </c>
      <c r="I328" s="2652">
        <f t="shared" si="203"/>
        <v>6.6000000000000003E-2</v>
      </c>
      <c r="J328" s="2656">
        <v>0.06</v>
      </c>
      <c r="K328" s="2640">
        <v>0.06</v>
      </c>
      <c r="L328" s="2779">
        <v>10</v>
      </c>
      <c r="M328" s="1200"/>
      <c r="N328" s="1200"/>
      <c r="O328" s="2780" t="str">
        <f t="shared" si="204"/>
        <v>Pâtisseries fraiches ou surgelées en portions</v>
      </c>
      <c r="P328" s="2781">
        <f t="shared" ref="P328:U328" si="210">F328*P164</f>
        <v>10.120000000000001</v>
      </c>
      <c r="Q328" s="2781">
        <f t="shared" si="210"/>
        <v>33.160000000000004</v>
      </c>
      <c r="R328" s="2782">
        <f t="shared" si="210"/>
        <v>2.88</v>
      </c>
      <c r="S328" s="2783">
        <f t="shared" si="210"/>
        <v>0.8580000000000001</v>
      </c>
      <c r="T328" s="2783">
        <f t="shared" si="210"/>
        <v>1.74</v>
      </c>
      <c r="U328" s="2781">
        <f t="shared" si="210"/>
        <v>1.02</v>
      </c>
      <c r="V328" s="2794">
        <f t="shared" si="206"/>
        <v>49.778000000000006</v>
      </c>
    </row>
    <row r="329" spans="1:22" ht="15.75">
      <c r="A329" s="2464"/>
      <c r="B329" s="2776"/>
      <c r="C329" s="2800" t="s">
        <v>489</v>
      </c>
      <c r="D329" s="2800"/>
      <c r="E329" s="2822"/>
      <c r="F329" s="2640">
        <v>0.06</v>
      </c>
      <c r="G329" s="2640">
        <v>0.06</v>
      </c>
      <c r="H329" s="2650">
        <v>0.08</v>
      </c>
      <c r="I329" s="2652">
        <f t="shared" si="203"/>
        <v>8.7999999999999995E-2</v>
      </c>
      <c r="J329" s="2656">
        <v>0.08</v>
      </c>
      <c r="K329" s="2640">
        <v>0.08</v>
      </c>
      <c r="L329" s="2779">
        <v>10</v>
      </c>
      <c r="M329" s="1200"/>
      <c r="N329" s="1200"/>
      <c r="O329" s="2780" t="str">
        <f t="shared" si="204"/>
        <v>Pâtisseries fraiches ou surgelées à portionner</v>
      </c>
      <c r="P329" s="2781">
        <f t="shared" ref="P329:U329" si="211">F329*P164</f>
        <v>15.18</v>
      </c>
      <c r="Q329" s="2781">
        <f t="shared" si="211"/>
        <v>49.739999999999995</v>
      </c>
      <c r="R329" s="2782">
        <f t="shared" si="211"/>
        <v>3.84</v>
      </c>
      <c r="S329" s="2783">
        <f t="shared" si="211"/>
        <v>1.1439999999999999</v>
      </c>
      <c r="T329" s="2783">
        <f t="shared" si="211"/>
        <v>2.3199999999999998</v>
      </c>
      <c r="U329" s="2781">
        <f t="shared" si="211"/>
        <v>1.36</v>
      </c>
      <c r="V329" s="2794">
        <f t="shared" si="206"/>
        <v>73.583999999999989</v>
      </c>
    </row>
    <row r="330" spans="1:22" ht="15.75">
      <c r="A330" s="2464"/>
      <c r="B330" s="2776"/>
      <c r="C330" s="2800" t="s">
        <v>490</v>
      </c>
      <c r="D330" s="2800"/>
      <c r="E330" s="2822"/>
      <c r="F330" s="2640">
        <v>0.03</v>
      </c>
      <c r="G330" s="2640">
        <v>0.03</v>
      </c>
      <c r="H330" s="2650">
        <v>0.05</v>
      </c>
      <c r="I330" s="2652">
        <f t="shared" si="203"/>
        <v>5.5000000000000007E-2</v>
      </c>
      <c r="J330" s="2656">
        <v>0.05</v>
      </c>
      <c r="K330" s="2640">
        <v>0.05</v>
      </c>
      <c r="L330" s="2779">
        <v>10</v>
      </c>
      <c r="M330" s="1200"/>
      <c r="N330" s="1200"/>
      <c r="O330" s="2780" t="str">
        <f t="shared" si="204"/>
        <v>Pâtisserie sèche emballée</v>
      </c>
      <c r="P330" s="2781">
        <f t="shared" ref="P330:U330" si="212">F330*P164</f>
        <v>7.59</v>
      </c>
      <c r="Q330" s="2781">
        <f t="shared" si="212"/>
        <v>24.869999999999997</v>
      </c>
      <c r="R330" s="2782">
        <f t="shared" si="212"/>
        <v>2.4000000000000004</v>
      </c>
      <c r="S330" s="2783">
        <f t="shared" si="212"/>
        <v>0.71500000000000008</v>
      </c>
      <c r="T330" s="2783">
        <f t="shared" si="212"/>
        <v>1.4500000000000002</v>
      </c>
      <c r="U330" s="2781">
        <f t="shared" si="212"/>
        <v>0.85000000000000009</v>
      </c>
      <c r="V330" s="2794">
        <f t="shared" si="206"/>
        <v>37.875</v>
      </c>
    </row>
    <row r="331" spans="1:22" ht="15.75">
      <c r="A331" s="2464"/>
      <c r="B331" s="2776"/>
      <c r="C331" s="2802" t="s">
        <v>2863</v>
      </c>
      <c r="D331" s="2802"/>
      <c r="E331" s="2823"/>
      <c r="F331" s="2640">
        <v>1.4999999999999999E-2</v>
      </c>
      <c r="G331" s="2640">
        <v>1.4999999999999999E-2</v>
      </c>
      <c r="H331" s="2650">
        <v>2.1000000000000001E-2</v>
      </c>
      <c r="I331" s="2652">
        <f t="shared" si="203"/>
        <v>2.3100000000000002E-2</v>
      </c>
      <c r="J331" s="2656">
        <v>2E-3</v>
      </c>
      <c r="K331" s="2640">
        <v>2E-3</v>
      </c>
      <c r="L331" s="2779">
        <v>10</v>
      </c>
      <c r="M331" s="1200"/>
      <c r="N331" s="1200"/>
      <c r="O331" s="2780" t="str">
        <f t="shared" si="204"/>
        <v>Biscuits d'accompagnement</v>
      </c>
      <c r="P331" s="2781">
        <f t="shared" ref="P331:U331" si="213">F331*P164</f>
        <v>3.7949999999999999</v>
      </c>
      <c r="Q331" s="2781">
        <f t="shared" si="213"/>
        <v>12.434999999999999</v>
      </c>
      <c r="R331" s="2782">
        <f t="shared" si="213"/>
        <v>1.008</v>
      </c>
      <c r="S331" s="2783">
        <f t="shared" si="213"/>
        <v>0.30030000000000001</v>
      </c>
      <c r="T331" s="2783">
        <f t="shared" si="213"/>
        <v>5.8000000000000003E-2</v>
      </c>
      <c r="U331" s="2781">
        <f t="shared" si="213"/>
        <v>3.4000000000000002E-2</v>
      </c>
      <c r="V331" s="2794">
        <f t="shared" si="206"/>
        <v>17.630299999999995</v>
      </c>
    </row>
    <row r="332" spans="1:22" ht="15" customHeight="1">
      <c r="A332" s="2464"/>
      <c r="B332" s="2785"/>
      <c r="C332" s="4597" t="s">
        <v>491</v>
      </c>
      <c r="D332" s="4597"/>
      <c r="E332" s="4597"/>
      <c r="F332" s="4597"/>
      <c r="G332" s="4597"/>
      <c r="H332" s="4597"/>
      <c r="I332" s="4597"/>
      <c r="J332" s="4597"/>
      <c r="K332" s="4597"/>
      <c r="L332" s="4598"/>
      <c r="M332" s="2766"/>
      <c r="N332" s="2766"/>
      <c r="O332" s="1201"/>
      <c r="P332" s="4601" t="str">
        <f>C332</f>
        <v>GOUTER, COLLATION (enfants, adolescents et personnes âgées en institution)</v>
      </c>
      <c r="Q332" s="4602"/>
      <c r="R332" s="4602"/>
      <c r="S332" s="4602"/>
      <c r="T332" s="4602"/>
      <c r="U332" s="4602"/>
      <c r="V332" s="4603"/>
    </row>
    <row r="333" spans="1:22" ht="15" customHeight="1">
      <c r="A333" s="2464"/>
      <c r="B333" s="2785"/>
      <c r="C333" s="4599"/>
      <c r="D333" s="4599"/>
      <c r="E333" s="4599"/>
      <c r="F333" s="4599"/>
      <c r="G333" s="4599"/>
      <c r="H333" s="4599"/>
      <c r="I333" s="4599"/>
      <c r="J333" s="4599"/>
      <c r="K333" s="4599"/>
      <c r="L333" s="4600"/>
      <c r="M333" s="2766"/>
      <c r="N333" s="2766"/>
      <c r="O333" s="1201"/>
      <c r="P333" s="4604"/>
      <c r="Q333" s="4605"/>
      <c r="R333" s="4605"/>
      <c r="S333" s="4605"/>
      <c r="T333" s="4605"/>
      <c r="U333" s="4605"/>
      <c r="V333" s="4606"/>
    </row>
    <row r="334" spans="1:22" ht="15.75">
      <c r="A334" s="2464"/>
      <c r="B334" s="2776"/>
      <c r="C334" s="2802" t="s">
        <v>492</v>
      </c>
      <c r="D334" s="2802"/>
      <c r="E334" s="2823"/>
      <c r="F334" s="2640">
        <v>0.04</v>
      </c>
      <c r="G334" s="2640">
        <v>0.05</v>
      </c>
      <c r="H334" s="2650">
        <v>0.08</v>
      </c>
      <c r="I334" s="2652">
        <f>(H334*L334%)+H334</f>
        <v>8.7999999999999995E-2</v>
      </c>
      <c r="J334" s="2656">
        <v>0.04</v>
      </c>
      <c r="K334" s="2640"/>
      <c r="L334" s="2779">
        <v>10</v>
      </c>
      <c r="M334" s="1200"/>
      <c r="N334" s="1200"/>
      <c r="O334" s="2780" t="str">
        <f>C334</f>
        <v>Pain</v>
      </c>
      <c r="P334" s="2781">
        <f t="shared" ref="P334:U334" si="214">F334*P164</f>
        <v>10.120000000000001</v>
      </c>
      <c r="Q334" s="2781">
        <f t="shared" si="214"/>
        <v>41.45</v>
      </c>
      <c r="R334" s="2782">
        <f t="shared" si="214"/>
        <v>3.84</v>
      </c>
      <c r="S334" s="2783">
        <f t="shared" si="214"/>
        <v>1.1439999999999999</v>
      </c>
      <c r="T334" s="2783">
        <f t="shared" si="214"/>
        <v>1.1599999999999999</v>
      </c>
      <c r="U334" s="2781">
        <f t="shared" si="214"/>
        <v>0</v>
      </c>
      <c r="V334" s="2794">
        <f>SUM(P334:U334)</f>
        <v>57.714000000000006</v>
      </c>
    </row>
    <row r="335" spans="1:22" ht="15" customHeight="1">
      <c r="A335" s="2464"/>
      <c r="B335" s="2785"/>
      <c r="C335" s="4597" t="s">
        <v>493</v>
      </c>
      <c r="D335" s="4597"/>
      <c r="E335" s="4597"/>
      <c r="F335" s="4597"/>
      <c r="G335" s="4597"/>
      <c r="H335" s="4597"/>
      <c r="I335" s="4597"/>
      <c r="J335" s="4597"/>
      <c r="K335" s="4597"/>
      <c r="L335" s="4598"/>
      <c r="M335" s="2766"/>
      <c r="N335" s="2766"/>
      <c r="O335" s="1201"/>
      <c r="P335" s="4601" t="str">
        <f>C335</f>
        <v>Biscuits secs</v>
      </c>
      <c r="Q335" s="4602"/>
      <c r="R335" s="4602"/>
      <c r="S335" s="4602"/>
      <c r="T335" s="4602"/>
      <c r="U335" s="4602"/>
      <c r="V335" s="4603"/>
    </row>
    <row r="336" spans="1:22" ht="15" customHeight="1">
      <c r="A336" s="2464"/>
      <c r="B336" s="2785"/>
      <c r="C336" s="4599"/>
      <c r="D336" s="4599"/>
      <c r="E336" s="4599"/>
      <c r="F336" s="4599"/>
      <c r="G336" s="4599"/>
      <c r="H336" s="4599"/>
      <c r="I336" s="4599"/>
      <c r="J336" s="4599"/>
      <c r="K336" s="4599"/>
      <c r="L336" s="4600"/>
      <c r="M336" s="2766"/>
      <c r="N336" s="2766"/>
      <c r="O336" s="1201"/>
      <c r="P336" s="4604"/>
      <c r="Q336" s="4605"/>
      <c r="R336" s="4605"/>
      <c r="S336" s="4605"/>
      <c r="T336" s="4605"/>
      <c r="U336" s="4605"/>
      <c r="V336" s="4606"/>
    </row>
    <row r="337" spans="1:22" ht="15.75">
      <c r="A337" s="2464"/>
      <c r="B337" s="2776"/>
      <c r="C337" s="2800" t="s">
        <v>494</v>
      </c>
      <c r="D337" s="2800"/>
      <c r="E337" s="2822"/>
      <c r="F337" s="2640">
        <v>3.5000000000000003E-2</v>
      </c>
      <c r="G337" s="2640">
        <v>5.5E-2</v>
      </c>
      <c r="H337" s="2650">
        <v>0.08</v>
      </c>
      <c r="I337" s="2652">
        <f t="shared" ref="I337:I346" si="215">(H337*L337%)+H337</f>
        <v>8.7999999999999995E-2</v>
      </c>
      <c r="J337" s="2656"/>
      <c r="K337" s="2640"/>
      <c r="L337" s="2779">
        <v>10</v>
      </c>
      <c r="M337" s="1200"/>
      <c r="N337" s="1200"/>
      <c r="O337" s="2780" t="str">
        <f t="shared" ref="O337:O346" si="216">C337</f>
        <v>Céréales (enfants et adolescents uniquement)</v>
      </c>
      <c r="P337" s="2781">
        <f t="shared" ref="P337:U337" si="217">F337*P164</f>
        <v>8.8550000000000004</v>
      </c>
      <c r="Q337" s="2781">
        <f t="shared" si="217"/>
        <v>45.594999999999999</v>
      </c>
      <c r="R337" s="2782">
        <f t="shared" si="217"/>
        <v>3.84</v>
      </c>
      <c r="S337" s="2783">
        <f t="shared" si="217"/>
        <v>1.1439999999999999</v>
      </c>
      <c r="T337" s="2783">
        <f t="shared" si="217"/>
        <v>0</v>
      </c>
      <c r="U337" s="2781">
        <f t="shared" si="217"/>
        <v>0</v>
      </c>
      <c r="V337" s="2794">
        <f t="shared" ref="V337:V346" si="218">SUM(P337:U337)</f>
        <v>59.434000000000005</v>
      </c>
    </row>
    <row r="338" spans="1:22" ht="15.75">
      <c r="A338" s="2464"/>
      <c r="B338" s="2776"/>
      <c r="C338" s="2800" t="s">
        <v>495</v>
      </c>
      <c r="D338" s="2800"/>
      <c r="E338" s="2822"/>
      <c r="F338" s="2640">
        <v>0.03</v>
      </c>
      <c r="G338" s="2640">
        <v>0.03</v>
      </c>
      <c r="H338" s="2650">
        <v>0.05</v>
      </c>
      <c r="I338" s="2652">
        <f t="shared" si="215"/>
        <v>5.5000000000000007E-2</v>
      </c>
      <c r="J338" s="2656">
        <v>0.05</v>
      </c>
      <c r="K338" s="2640"/>
      <c r="L338" s="2779">
        <v>10</v>
      </c>
      <c r="M338" s="1200"/>
      <c r="N338" s="1200"/>
      <c r="O338" s="2780" t="str">
        <f t="shared" si="216"/>
        <v>Pâtisseries sèches emballées</v>
      </c>
      <c r="P338" s="2781">
        <f t="shared" ref="P338:U338" si="219">F338*P164</f>
        <v>7.59</v>
      </c>
      <c r="Q338" s="2781">
        <f t="shared" si="219"/>
        <v>24.869999999999997</v>
      </c>
      <c r="R338" s="2782">
        <f t="shared" si="219"/>
        <v>2.4000000000000004</v>
      </c>
      <c r="S338" s="2783">
        <f t="shared" si="219"/>
        <v>0.71500000000000008</v>
      </c>
      <c r="T338" s="2783">
        <f t="shared" si="219"/>
        <v>1.4500000000000002</v>
      </c>
      <c r="U338" s="2781">
        <f t="shared" si="219"/>
        <v>0</v>
      </c>
      <c r="V338" s="2794">
        <f t="shared" si="218"/>
        <v>37.024999999999999</v>
      </c>
    </row>
    <row r="339" spans="1:22" ht="15.75">
      <c r="A339" s="2464"/>
      <c r="B339" s="2776"/>
      <c r="C339" s="2800" t="s">
        <v>496</v>
      </c>
      <c r="D339" s="2800"/>
      <c r="E339" s="2822"/>
      <c r="F339" s="2640">
        <v>0.02</v>
      </c>
      <c r="G339" s="2640">
        <v>0.02</v>
      </c>
      <c r="H339" s="2650">
        <v>0.03</v>
      </c>
      <c r="I339" s="2652">
        <f t="shared" si="215"/>
        <v>3.3000000000000002E-2</v>
      </c>
      <c r="J339" s="2656">
        <v>0.03</v>
      </c>
      <c r="K339" s="2640"/>
      <c r="L339" s="2779">
        <v>10</v>
      </c>
      <c r="M339" s="1200"/>
      <c r="N339" s="1200"/>
      <c r="O339" s="2780" t="str">
        <f t="shared" si="216"/>
        <v>Confiture, chocolat, miel</v>
      </c>
      <c r="P339" s="2781">
        <f t="shared" ref="P339:U339" si="220">F339*P164</f>
        <v>5.0600000000000005</v>
      </c>
      <c r="Q339" s="2781">
        <f t="shared" si="220"/>
        <v>16.580000000000002</v>
      </c>
      <c r="R339" s="2782">
        <f t="shared" si="220"/>
        <v>1.44</v>
      </c>
      <c r="S339" s="2783">
        <f t="shared" si="220"/>
        <v>0.42900000000000005</v>
      </c>
      <c r="T339" s="2783">
        <f t="shared" si="220"/>
        <v>0.87</v>
      </c>
      <c r="U339" s="2781">
        <f t="shared" si="220"/>
        <v>0</v>
      </c>
      <c r="V339" s="2794">
        <f t="shared" si="218"/>
        <v>24.379000000000001</v>
      </c>
    </row>
    <row r="340" spans="1:22" ht="15.75">
      <c r="A340" s="2464"/>
      <c r="B340" s="2776"/>
      <c r="C340" s="2800" t="s">
        <v>497</v>
      </c>
      <c r="D340" s="2800"/>
      <c r="E340" s="2822"/>
      <c r="F340" s="2640">
        <v>0.1</v>
      </c>
      <c r="G340" s="2640">
        <v>0.2</v>
      </c>
      <c r="H340" s="2650">
        <v>0.13</v>
      </c>
      <c r="I340" s="2652">
        <f t="shared" si="215"/>
        <v>0.14300000000000002</v>
      </c>
      <c r="J340" s="2656">
        <v>0.13</v>
      </c>
      <c r="K340" s="2640"/>
      <c r="L340" s="2779">
        <v>10</v>
      </c>
      <c r="M340" s="1200"/>
      <c r="N340" s="1200"/>
      <c r="O340" s="2780" t="str">
        <f t="shared" si="216"/>
        <v>Fruit cru</v>
      </c>
      <c r="P340" s="2781">
        <f t="shared" ref="P340:U340" si="221">F340*P164</f>
        <v>25.3</v>
      </c>
      <c r="Q340" s="2781">
        <f t="shared" si="221"/>
        <v>165.8</v>
      </c>
      <c r="R340" s="2782">
        <f t="shared" si="221"/>
        <v>6.24</v>
      </c>
      <c r="S340" s="2783">
        <f t="shared" si="221"/>
        <v>1.8590000000000002</v>
      </c>
      <c r="T340" s="2783">
        <f t="shared" si="221"/>
        <v>3.77</v>
      </c>
      <c r="U340" s="2781">
        <f t="shared" si="221"/>
        <v>0</v>
      </c>
      <c r="V340" s="2794">
        <f t="shared" si="218"/>
        <v>202.96900000000005</v>
      </c>
    </row>
    <row r="341" spans="1:22" ht="15.75">
      <c r="A341" s="2464"/>
      <c r="B341" s="2776"/>
      <c r="C341" s="2800" t="s">
        <v>498</v>
      </c>
      <c r="D341" s="2800"/>
      <c r="E341" s="2822"/>
      <c r="F341" s="2640">
        <v>0.1</v>
      </c>
      <c r="G341" s="2640">
        <v>0.1</v>
      </c>
      <c r="H341" s="2650">
        <v>0.13</v>
      </c>
      <c r="I341" s="2652">
        <f t="shared" si="215"/>
        <v>0.14300000000000002</v>
      </c>
      <c r="J341" s="2656">
        <v>0.13</v>
      </c>
      <c r="K341" s="2640"/>
      <c r="L341" s="2779">
        <v>10</v>
      </c>
      <c r="M341" s="1200"/>
      <c r="N341" s="1200"/>
      <c r="O341" s="2780" t="str">
        <f t="shared" si="216"/>
        <v>Fruit cuit</v>
      </c>
      <c r="P341" s="2781">
        <f t="shared" ref="P341:U341" si="222">F341*P164</f>
        <v>25.3</v>
      </c>
      <c r="Q341" s="2781">
        <f t="shared" si="222"/>
        <v>82.9</v>
      </c>
      <c r="R341" s="2782">
        <f t="shared" si="222"/>
        <v>6.24</v>
      </c>
      <c r="S341" s="2783">
        <f t="shared" si="222"/>
        <v>1.8590000000000002</v>
      </c>
      <c r="T341" s="2783">
        <f t="shared" si="222"/>
        <v>3.77</v>
      </c>
      <c r="U341" s="2781">
        <f t="shared" si="222"/>
        <v>0</v>
      </c>
      <c r="V341" s="2794">
        <f t="shared" si="218"/>
        <v>120.06899999999999</v>
      </c>
    </row>
    <row r="342" spans="1:22" ht="15.75">
      <c r="A342" s="2464"/>
      <c r="B342" s="2776"/>
      <c r="C342" s="2800" t="s">
        <v>499</v>
      </c>
      <c r="D342" s="2800"/>
      <c r="E342" s="2822"/>
      <c r="F342" s="2640">
        <v>0.125</v>
      </c>
      <c r="G342" s="2640">
        <v>0.125</v>
      </c>
      <c r="H342" s="2650">
        <v>0.25</v>
      </c>
      <c r="I342" s="2652">
        <f t="shared" si="215"/>
        <v>0.27500000000000002</v>
      </c>
      <c r="J342" s="2656">
        <v>0.15</v>
      </c>
      <c r="K342" s="2640"/>
      <c r="L342" s="2779">
        <v>10</v>
      </c>
      <c r="M342" s="1200"/>
      <c r="N342" s="1200"/>
      <c r="O342" s="2780" t="str">
        <f t="shared" si="216"/>
        <v>Lait 1/2 écrémé (en Litre)</v>
      </c>
      <c r="P342" s="2781">
        <f t="shared" ref="P342:U342" si="223">F342*P164</f>
        <v>31.625</v>
      </c>
      <c r="Q342" s="2781">
        <f t="shared" si="223"/>
        <v>103.625</v>
      </c>
      <c r="R342" s="2782">
        <f t="shared" si="223"/>
        <v>12</v>
      </c>
      <c r="S342" s="2783">
        <f t="shared" si="223"/>
        <v>3.5750000000000002</v>
      </c>
      <c r="T342" s="2783">
        <f t="shared" si="223"/>
        <v>4.3499999999999996</v>
      </c>
      <c r="U342" s="2781">
        <f t="shared" si="223"/>
        <v>0</v>
      </c>
      <c r="V342" s="2794">
        <f t="shared" si="218"/>
        <v>155.17499999999998</v>
      </c>
    </row>
    <row r="343" spans="1:22" ht="15.75">
      <c r="A343" s="2464"/>
      <c r="B343" s="2776"/>
      <c r="C343" s="2800" t="s">
        <v>480</v>
      </c>
      <c r="D343" s="2800"/>
      <c r="E343" s="2822"/>
      <c r="F343" s="2640">
        <v>0.115</v>
      </c>
      <c r="G343" s="2640">
        <v>0.115</v>
      </c>
      <c r="H343" s="2650">
        <v>0.11</v>
      </c>
      <c r="I343" s="2652">
        <f t="shared" si="215"/>
        <v>0.121</v>
      </c>
      <c r="J343" s="2656">
        <v>0.115</v>
      </c>
      <c r="K343" s="2640"/>
      <c r="L343" s="2779">
        <v>10</v>
      </c>
      <c r="M343" s="1200"/>
      <c r="N343" s="1200"/>
      <c r="O343" s="2780" t="str">
        <f t="shared" si="216"/>
        <v>Yaourt</v>
      </c>
      <c r="P343" s="2781">
        <f t="shared" ref="P343:U343" si="224">F343*P164</f>
        <v>29.095000000000002</v>
      </c>
      <c r="Q343" s="2781">
        <f t="shared" si="224"/>
        <v>95.335000000000008</v>
      </c>
      <c r="R343" s="2782">
        <f t="shared" si="224"/>
        <v>5.28</v>
      </c>
      <c r="S343" s="2783">
        <f t="shared" si="224"/>
        <v>1.573</v>
      </c>
      <c r="T343" s="2783">
        <f t="shared" si="224"/>
        <v>3.335</v>
      </c>
      <c r="U343" s="2781">
        <f t="shared" si="224"/>
        <v>0</v>
      </c>
      <c r="V343" s="2794">
        <f t="shared" si="218"/>
        <v>134.61800000000002</v>
      </c>
    </row>
    <row r="344" spans="1:22" ht="15.75">
      <c r="A344" s="2464"/>
      <c r="B344" s="2776"/>
      <c r="C344" s="2800" t="s">
        <v>500</v>
      </c>
      <c r="D344" s="2800"/>
      <c r="E344" s="2822"/>
      <c r="F344" s="2640">
        <v>0.11</v>
      </c>
      <c r="G344" s="2640">
        <v>0.11</v>
      </c>
      <c r="H344" s="2650">
        <v>0.11</v>
      </c>
      <c r="I344" s="2652">
        <f t="shared" si="215"/>
        <v>0.121</v>
      </c>
      <c r="J344" s="2656">
        <v>0.1</v>
      </c>
      <c r="K344" s="2640"/>
      <c r="L344" s="2779">
        <v>10</v>
      </c>
      <c r="M344" s="1200"/>
      <c r="N344" s="1200"/>
      <c r="O344" s="2780" t="str">
        <f t="shared" si="216"/>
        <v>Fromage blanc</v>
      </c>
      <c r="P344" s="2781">
        <f t="shared" ref="P344:U344" si="225">F344*P164</f>
        <v>27.830000000000002</v>
      </c>
      <c r="Q344" s="2781">
        <f t="shared" si="225"/>
        <v>91.19</v>
      </c>
      <c r="R344" s="2782">
        <f t="shared" si="225"/>
        <v>5.28</v>
      </c>
      <c r="S344" s="2783">
        <f t="shared" si="225"/>
        <v>1.573</v>
      </c>
      <c r="T344" s="2783">
        <f t="shared" si="225"/>
        <v>2.9000000000000004</v>
      </c>
      <c r="U344" s="2781">
        <f t="shared" si="225"/>
        <v>0</v>
      </c>
      <c r="V344" s="2794">
        <f t="shared" si="218"/>
        <v>128.773</v>
      </c>
    </row>
    <row r="345" spans="1:22" ht="15.75">
      <c r="A345" s="2464"/>
      <c r="B345" s="2776"/>
      <c r="C345" s="2800" t="s">
        <v>501</v>
      </c>
      <c r="D345" s="2800"/>
      <c r="E345" s="2822"/>
      <c r="F345" s="2640">
        <v>0.02</v>
      </c>
      <c r="G345" s="2640">
        <v>0.03</v>
      </c>
      <c r="H345" s="2650">
        <v>3.5000000000000003E-2</v>
      </c>
      <c r="I345" s="2652">
        <f t="shared" si="215"/>
        <v>3.8500000000000006E-2</v>
      </c>
      <c r="J345" s="2656">
        <v>0.04</v>
      </c>
      <c r="K345" s="2640"/>
      <c r="L345" s="2779">
        <v>10</v>
      </c>
      <c r="M345" s="1200"/>
      <c r="N345" s="1200"/>
      <c r="O345" s="2780" t="str">
        <f t="shared" si="216"/>
        <v>Fromage</v>
      </c>
      <c r="P345" s="2781">
        <f t="shared" ref="P345:U345" si="226">F345*P164</f>
        <v>5.0600000000000005</v>
      </c>
      <c r="Q345" s="2781">
        <f t="shared" si="226"/>
        <v>24.869999999999997</v>
      </c>
      <c r="R345" s="2782">
        <f t="shared" si="226"/>
        <v>1.6800000000000002</v>
      </c>
      <c r="S345" s="2783">
        <f t="shared" si="226"/>
        <v>0.50050000000000006</v>
      </c>
      <c r="T345" s="2783">
        <f t="shared" si="226"/>
        <v>1.1599999999999999</v>
      </c>
      <c r="U345" s="2781">
        <f t="shared" si="226"/>
        <v>0</v>
      </c>
      <c r="V345" s="2794">
        <f t="shared" si="218"/>
        <v>33.270499999999998</v>
      </c>
    </row>
    <row r="346" spans="1:22" ht="16.5" thickBot="1">
      <c r="A346" s="2464"/>
      <c r="B346" s="2825"/>
      <c r="C346" s="2826" t="s">
        <v>481</v>
      </c>
      <c r="D346" s="2826"/>
      <c r="E346" s="2827"/>
      <c r="F346" s="2828">
        <v>0.06</v>
      </c>
      <c r="G346" s="2828">
        <v>0.06</v>
      </c>
      <c r="H346" s="2829">
        <v>0.12</v>
      </c>
      <c r="I346" s="2830">
        <f t="shared" si="215"/>
        <v>0.13200000000000001</v>
      </c>
      <c r="J346" s="2831">
        <v>0.12</v>
      </c>
      <c r="K346" s="2828"/>
      <c r="L346" s="2832">
        <v>10</v>
      </c>
      <c r="M346" s="2833"/>
      <c r="N346" s="2834"/>
      <c r="O346" s="2835" t="str">
        <f t="shared" si="216"/>
        <v>Petit suisse</v>
      </c>
      <c r="P346" s="2836">
        <f t="shared" ref="P346:U346" si="227">F346*P164</f>
        <v>15.18</v>
      </c>
      <c r="Q346" s="2837">
        <f t="shared" si="227"/>
        <v>49.739999999999995</v>
      </c>
      <c r="R346" s="2838">
        <f t="shared" si="227"/>
        <v>5.76</v>
      </c>
      <c r="S346" s="2836">
        <f t="shared" si="227"/>
        <v>1.7160000000000002</v>
      </c>
      <c r="T346" s="2836">
        <f t="shared" si="227"/>
        <v>3.48</v>
      </c>
      <c r="U346" s="2837">
        <f t="shared" si="227"/>
        <v>0</v>
      </c>
      <c r="V346" s="2794">
        <f t="shared" si="218"/>
        <v>75.875999999999991</v>
      </c>
    </row>
    <row r="347" spans="1:22">
      <c r="A347" s="2464"/>
      <c r="B347" s="2464"/>
      <c r="C347" s="2464"/>
      <c r="D347" s="2464"/>
      <c r="E347" s="2464"/>
      <c r="F347" s="2464"/>
      <c r="G347" s="2464"/>
      <c r="H347" s="2464"/>
      <c r="I347" s="2629"/>
      <c r="J347" s="2464"/>
      <c r="K347" s="2464"/>
      <c r="L347" s="2464"/>
      <c r="M347" s="1200"/>
      <c r="N347" s="1200"/>
      <c r="O347" s="1201"/>
      <c r="P347" s="1201"/>
      <c r="Q347" s="1201"/>
      <c r="R347" s="1201"/>
      <c r="S347" s="1201"/>
      <c r="T347" s="1201"/>
      <c r="U347" s="1201"/>
      <c r="V347" s="1201"/>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984AF-5E9A-47BF-A702-0076ADC99B13}">
  <dimension ref="A1:AR227"/>
  <sheetViews>
    <sheetView zoomScale="75" zoomScaleNormal="75" workbookViewId="0">
      <selection activeCell="L13" sqref="L13"/>
    </sheetView>
  </sheetViews>
  <sheetFormatPr baseColWidth="10" defaultRowHeight="12.75"/>
  <cols>
    <col min="1" max="27" width="15.7109375" style="95" customWidth="1"/>
    <col min="28" max="16384" width="11.42578125" style="95"/>
  </cols>
  <sheetData>
    <row r="1" spans="1:33" ht="30" customHeight="1">
      <c r="A1" s="1147">
        <f t="shared" ref="A1:AA1" ca="1" si="0">CELL("largeur",A1)</f>
        <v>15</v>
      </c>
      <c r="B1" s="1147">
        <f t="shared" ca="1" si="0"/>
        <v>15</v>
      </c>
      <c r="C1" s="1147">
        <f t="shared" ca="1" si="0"/>
        <v>15</v>
      </c>
      <c r="D1" s="1147">
        <f t="shared" ca="1" si="0"/>
        <v>15</v>
      </c>
      <c r="E1" s="1147">
        <f t="shared" ca="1" si="0"/>
        <v>15</v>
      </c>
      <c r="F1" s="1147">
        <f t="shared" ca="1" si="0"/>
        <v>15</v>
      </c>
      <c r="G1" s="1147">
        <f t="shared" ca="1" si="0"/>
        <v>15</v>
      </c>
      <c r="H1" s="1147">
        <f t="shared" ca="1" si="0"/>
        <v>15</v>
      </c>
      <c r="I1" s="1147">
        <f t="shared" ca="1" si="0"/>
        <v>15</v>
      </c>
      <c r="J1" s="1147">
        <f t="shared" ca="1" si="0"/>
        <v>15</v>
      </c>
      <c r="K1" s="1147">
        <f t="shared" ca="1" si="0"/>
        <v>15</v>
      </c>
      <c r="L1" s="1147">
        <f t="shared" ca="1" si="0"/>
        <v>15</v>
      </c>
      <c r="M1" s="1147">
        <f t="shared" ca="1" si="0"/>
        <v>15</v>
      </c>
      <c r="N1" s="1147">
        <f t="shared" ca="1" si="0"/>
        <v>15</v>
      </c>
      <c r="O1" s="1147">
        <f t="shared" ca="1" si="0"/>
        <v>15</v>
      </c>
      <c r="P1" s="1147">
        <f t="shared" ca="1" si="0"/>
        <v>15</v>
      </c>
      <c r="Q1" s="1147">
        <f t="shared" ca="1" si="0"/>
        <v>15</v>
      </c>
      <c r="R1" s="1147">
        <f t="shared" ca="1" si="0"/>
        <v>15</v>
      </c>
      <c r="S1" s="1147">
        <f t="shared" ca="1" si="0"/>
        <v>15</v>
      </c>
      <c r="T1" s="1147">
        <f t="shared" ca="1" si="0"/>
        <v>15</v>
      </c>
      <c r="U1" s="1147">
        <f t="shared" ca="1" si="0"/>
        <v>15</v>
      </c>
      <c r="V1" s="1147">
        <f t="shared" ca="1" si="0"/>
        <v>15</v>
      </c>
      <c r="W1" s="1147">
        <f t="shared" ca="1" si="0"/>
        <v>15</v>
      </c>
      <c r="X1" s="1147">
        <f t="shared" ca="1" si="0"/>
        <v>15</v>
      </c>
      <c r="Y1" s="1147">
        <f t="shared" ca="1" si="0"/>
        <v>15</v>
      </c>
      <c r="Z1" s="1147">
        <f t="shared" ca="1" si="0"/>
        <v>15</v>
      </c>
      <c r="AA1" s="1147">
        <f t="shared" ca="1" si="0"/>
        <v>15</v>
      </c>
    </row>
    <row r="2" spans="1:33" ht="30" customHeight="1">
      <c r="A2" s="8"/>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row>
    <row r="3" spans="1:33" ht="30" customHeight="1">
      <c r="A3" s="8"/>
      <c r="B3" s="3019" t="s">
        <v>3147</v>
      </c>
      <c r="C3" s="8"/>
      <c r="D3" s="8"/>
      <c r="E3" s="8"/>
      <c r="F3" s="8"/>
      <c r="G3" s="8"/>
      <c r="H3" s="8"/>
      <c r="I3" s="4886"/>
      <c r="J3" s="8"/>
      <c r="K3" s="8"/>
      <c r="L3" s="4886"/>
      <c r="M3" s="4886"/>
      <c r="N3" s="4886"/>
      <c r="O3" s="4886"/>
      <c r="P3" s="4887" t="s">
        <v>3259</v>
      </c>
      <c r="Q3" s="1078"/>
      <c r="R3" s="1078"/>
      <c r="S3" s="1078"/>
      <c r="T3" s="1078"/>
      <c r="U3" s="4887"/>
      <c r="V3" s="1078"/>
      <c r="W3" s="1078"/>
      <c r="X3" s="1078"/>
      <c r="Y3" s="1078"/>
      <c r="Z3" s="1078"/>
      <c r="AA3" s="1078"/>
    </row>
    <row r="4" spans="1:33" ht="30" customHeight="1">
      <c r="A4" s="8"/>
      <c r="B4" s="3019" t="s">
        <v>3148</v>
      </c>
      <c r="C4" s="1078"/>
      <c r="D4" s="1078"/>
      <c r="E4" s="1078"/>
      <c r="F4" s="1078"/>
      <c r="G4" s="1078"/>
      <c r="H4" s="1078"/>
      <c r="I4" s="1078"/>
      <c r="J4" s="1078"/>
      <c r="K4" s="1078"/>
      <c r="L4" s="1078"/>
      <c r="M4" s="1078"/>
      <c r="N4" s="1078"/>
      <c r="O4" s="1078"/>
      <c r="P4" s="4887" t="s">
        <v>3149</v>
      </c>
      <c r="Q4" s="1078"/>
      <c r="R4" s="1078"/>
      <c r="S4" s="1078"/>
      <c r="T4" s="1078"/>
      <c r="U4" s="4887"/>
      <c r="V4" s="1078"/>
      <c r="W4" s="1078"/>
      <c r="X4" s="1078"/>
      <c r="Y4" s="1078"/>
      <c r="Z4" s="1078"/>
      <c r="AA4" s="1078"/>
    </row>
    <row r="5" spans="1:33" ht="30" customHeight="1">
      <c r="A5" s="8"/>
      <c r="B5" s="1078"/>
      <c r="C5" s="1078"/>
      <c r="D5" s="1078"/>
      <c r="E5" s="1078"/>
      <c r="F5" s="1078"/>
      <c r="G5" s="1078"/>
      <c r="H5" s="1078"/>
      <c r="I5" s="1078"/>
      <c r="J5" s="1078"/>
      <c r="K5" s="1078"/>
      <c r="L5" s="1078"/>
      <c r="M5" s="1078"/>
      <c r="N5" s="1078"/>
      <c r="O5" s="1078"/>
      <c r="P5" s="1078"/>
      <c r="Q5" s="1078"/>
      <c r="R5" s="1078"/>
      <c r="S5" s="1078"/>
      <c r="T5" s="1078"/>
      <c r="U5" s="1078"/>
      <c r="V5" s="1078"/>
      <c r="W5" s="1078"/>
      <c r="X5" s="1078"/>
      <c r="Y5" s="1078"/>
      <c r="Z5" s="1078"/>
      <c r="AA5" s="1078"/>
    </row>
    <row r="6" spans="1:33" s="1104" customFormat="1" ht="40.5" customHeight="1">
      <c r="A6" s="1101"/>
      <c r="B6" s="1105"/>
      <c r="C6" s="3020" t="s">
        <v>2817</v>
      </c>
      <c r="D6" s="1102"/>
      <c r="E6" s="1102"/>
      <c r="F6" s="1102"/>
      <c r="G6" s="1102"/>
      <c r="H6" s="1102"/>
      <c r="I6" s="1102"/>
      <c r="J6" s="1102"/>
      <c r="K6" s="1102"/>
      <c r="L6" s="1102"/>
      <c r="M6" s="4886"/>
      <c r="N6" s="1102"/>
      <c r="O6" s="1102"/>
      <c r="P6" s="1102"/>
      <c r="Q6" s="1102"/>
      <c r="R6" s="1102"/>
      <c r="S6" s="1102"/>
      <c r="T6" s="1102"/>
      <c r="U6" s="1102"/>
      <c r="V6" s="1102"/>
      <c r="W6" s="1102"/>
      <c r="X6" s="1102"/>
      <c r="Y6" s="1102"/>
      <c r="Z6" s="1102"/>
      <c r="AA6" s="1102"/>
      <c r="AG6" s="95"/>
    </row>
    <row r="7" spans="1:33" s="1104" customFormat="1" ht="40.5" customHeight="1">
      <c r="A7" s="1101"/>
      <c r="B7" s="1105"/>
      <c r="C7" s="1080"/>
      <c r="D7" s="1102"/>
      <c r="E7" s="3021" t="s">
        <v>3150</v>
      </c>
      <c r="F7" s="1102"/>
      <c r="G7" s="3022" t="s">
        <v>3151</v>
      </c>
      <c r="H7" s="1102"/>
      <c r="I7" s="1102"/>
      <c r="J7" s="1102"/>
      <c r="K7" s="1102"/>
      <c r="L7" s="3021" t="s">
        <v>3150</v>
      </c>
      <c r="M7" s="1102"/>
      <c r="N7" s="3022" t="s">
        <v>3151</v>
      </c>
      <c r="O7" s="1102"/>
      <c r="P7" s="1102"/>
      <c r="Q7" s="1102"/>
      <c r="R7" s="1102"/>
      <c r="S7" s="1102"/>
      <c r="T7" s="1102"/>
      <c r="U7" s="1102"/>
      <c r="V7" s="1102"/>
      <c r="W7" s="1102"/>
      <c r="X7" s="1102"/>
      <c r="Y7" s="1102"/>
      <c r="Z7" s="1102"/>
      <c r="AA7" s="1102"/>
      <c r="AG7" s="95"/>
    </row>
    <row r="8" spans="1:33" s="1104" customFormat="1" ht="40.5" customHeight="1">
      <c r="A8" s="1101"/>
      <c r="B8" s="1105"/>
      <c r="C8" s="1132"/>
      <c r="D8" s="1134" t="s">
        <v>786</v>
      </c>
      <c r="E8" s="1135">
        <f>COLUMN()</f>
        <v>5</v>
      </c>
      <c r="F8" s="1102"/>
      <c r="G8" s="4888" t="str">
        <f ca="1">_xlfn.FORMULATEXT(E8)</f>
        <v>=COLONNE()</v>
      </c>
      <c r="H8" s="3023"/>
      <c r="I8" s="1102"/>
      <c r="J8" s="1134"/>
      <c r="K8" s="1134" t="s">
        <v>787</v>
      </c>
      <c r="L8" s="1136" t="str">
        <f>ADDRESS(ROW(),COLUMN(),4)</f>
        <v>L8</v>
      </c>
      <c r="M8" s="1102"/>
      <c r="N8" s="4888" t="str">
        <f ca="1">_xlfn.FORMULATEXT(L8)</f>
        <v>=ADRESSE(LIGNE();COLONNE();4)</v>
      </c>
      <c r="O8" s="1102"/>
      <c r="P8" s="1102"/>
      <c r="Q8" s="1102"/>
      <c r="R8" s="3023"/>
      <c r="S8" s="3023"/>
      <c r="T8" s="3023"/>
      <c r="U8" s="1102"/>
      <c r="V8" s="1102"/>
      <c r="W8" s="1102"/>
      <c r="X8" s="1102"/>
      <c r="Y8" s="1102"/>
      <c r="Z8" s="1102"/>
      <c r="AA8" s="1102"/>
      <c r="AG8" s="95"/>
    </row>
    <row r="9" spans="1:33" s="1104" customFormat="1" ht="40.5" customHeight="1">
      <c r="A9" s="1101"/>
      <c r="B9" s="1105"/>
      <c r="C9" s="1102"/>
      <c r="D9" s="1102"/>
      <c r="E9" s="3021" t="s">
        <v>3150</v>
      </c>
      <c r="F9" s="1102"/>
      <c r="G9" s="3022" t="s">
        <v>3151</v>
      </c>
      <c r="H9" s="1102"/>
      <c r="I9" s="1102"/>
      <c r="J9" s="4886"/>
      <c r="K9" s="1102"/>
      <c r="L9" s="3021" t="s">
        <v>3150</v>
      </c>
      <c r="M9" s="1102"/>
      <c r="N9" s="3022" t="s">
        <v>3151</v>
      </c>
      <c r="O9" s="1102"/>
      <c r="P9" s="1102"/>
      <c r="Q9" s="1102"/>
      <c r="R9" s="1102"/>
      <c r="S9" s="1102"/>
      <c r="T9" s="1102"/>
      <c r="U9" s="1102"/>
      <c r="V9" s="1102"/>
      <c r="W9" s="1102"/>
      <c r="X9" s="1102"/>
      <c r="Y9" s="1102"/>
      <c r="Z9" s="1102"/>
      <c r="AA9" s="1102"/>
      <c r="AG9" s="95"/>
    </row>
    <row r="10" spans="1:33" s="1104" customFormat="1" ht="40.5" customHeight="1">
      <c r="A10" s="1101"/>
      <c r="B10" s="1105"/>
      <c r="C10" s="1132"/>
      <c r="D10" s="1134" t="s">
        <v>790</v>
      </c>
      <c r="E10" s="1144">
        <f>ROW()</f>
        <v>10</v>
      </c>
      <c r="F10" s="1102"/>
      <c r="G10" s="4888" t="str">
        <f ca="1">_xlfn.FORMULATEXT(E10)</f>
        <v>=LIGNE()</v>
      </c>
      <c r="H10" s="3023"/>
      <c r="I10" s="1102"/>
      <c r="J10" s="1132"/>
      <c r="K10" s="1134" t="s">
        <v>1032</v>
      </c>
      <c r="L10" s="1147">
        <f t="shared" ref="L10" ca="1" si="1">CELL("largeur",L10)</f>
        <v>15</v>
      </c>
      <c r="M10" s="1102"/>
      <c r="N10" s="4888" t="str">
        <f ca="1">_xlfn.FORMULATEXT(L10)</f>
        <v>=CELLULE("largeur";L10)</v>
      </c>
      <c r="O10" s="1102"/>
      <c r="P10" s="1102"/>
      <c r="Q10" s="1102"/>
      <c r="R10" s="3023"/>
      <c r="S10" s="3023"/>
      <c r="T10" s="3023"/>
      <c r="U10" s="1102"/>
      <c r="V10" s="1102"/>
      <c r="W10" s="1102"/>
      <c r="X10" s="1102"/>
      <c r="Y10" s="1102"/>
      <c r="Z10" s="1102"/>
      <c r="AA10" s="1102"/>
      <c r="AG10" s="95"/>
    </row>
    <row r="11" spans="1:33" s="1104" customFormat="1" ht="40.5" customHeight="1">
      <c r="A11" s="1101"/>
      <c r="B11" s="1105"/>
      <c r="C11" s="1102"/>
      <c r="D11" s="1102"/>
      <c r="E11" s="3021" t="s">
        <v>3150</v>
      </c>
      <c r="F11" s="1102"/>
      <c r="G11" s="3022" t="s">
        <v>3151</v>
      </c>
      <c r="H11" s="1102"/>
      <c r="I11" s="1102"/>
      <c r="J11" s="1102"/>
      <c r="K11" s="1102"/>
      <c r="L11" s="1102"/>
      <c r="M11" s="4886"/>
      <c r="N11" s="1102"/>
      <c r="O11" s="1102"/>
      <c r="P11" s="1102"/>
      <c r="Q11" s="1102"/>
      <c r="R11" s="1102"/>
      <c r="S11" s="1102"/>
      <c r="T11" s="1102"/>
      <c r="U11" s="1102"/>
      <c r="V11" s="1102"/>
      <c r="W11" s="1102"/>
      <c r="X11" s="1102"/>
      <c r="Y11" s="1102"/>
      <c r="Z11" s="1102"/>
      <c r="AA11" s="1102"/>
      <c r="AG11" s="95"/>
    </row>
    <row r="12" spans="1:33" s="1104" customFormat="1" ht="40.5" customHeight="1">
      <c r="A12" s="1101"/>
      <c r="B12" s="1105"/>
      <c r="C12" s="1134"/>
      <c r="D12" s="1134" t="s">
        <v>2822</v>
      </c>
      <c r="E12" s="1145" t="str">
        <f>LEFT(ADDRESS(1,COLUMN(),4),LEN(ADDRESS(1,COLUMN(),4))-1)</f>
        <v>E</v>
      </c>
      <c r="F12" s="1102"/>
      <c r="G12" s="4888" t="str">
        <f ca="1">_xlfn.FORMULATEXT(E12)</f>
        <v>=GAUCHE(ADRESSE(1;COLONNE();4);NBCAR(ADRESSE(1;COLONNE();4))-1)</v>
      </c>
      <c r="H12" s="4888"/>
      <c r="I12" s="4888"/>
      <c r="J12" s="4888"/>
      <c r="K12" s="4888"/>
      <c r="L12" s="4888"/>
      <c r="M12" s="4888"/>
      <c r="N12" s="4888"/>
      <c r="O12" s="4888"/>
      <c r="P12" s="1102"/>
      <c r="Q12" s="1102"/>
      <c r="R12" s="1102"/>
      <c r="S12" s="1102"/>
      <c r="T12" s="1102"/>
      <c r="U12" s="1102"/>
      <c r="V12" s="1102"/>
      <c r="W12" s="1102"/>
      <c r="X12" s="1102"/>
      <c r="Y12" s="1102"/>
      <c r="Z12" s="1102"/>
      <c r="AA12" s="1102"/>
      <c r="AG12" s="95"/>
    </row>
    <row r="13" spans="1:33" s="3028" customFormat="1" ht="40.5" customHeight="1">
      <c r="A13" s="3024"/>
      <c r="B13" s="3025"/>
      <c r="C13" s="3026"/>
      <c r="D13" s="3024"/>
      <c r="E13" s="3026"/>
      <c r="F13" s="3024"/>
      <c r="G13" s="3024"/>
      <c r="H13" s="4886"/>
      <c r="I13" s="4886"/>
      <c r="J13" s="4886"/>
      <c r="K13" s="4889"/>
      <c r="L13" s="4890" t="str">
        <f ca="1">"Page "&amp;_xlfn.SHEET()&amp;" sur "&amp;_xlfn.SHEETS()</f>
        <v>Page 32 sur 38</v>
      </c>
      <c r="M13" s="4886"/>
      <c r="N13" s="4888" t="s">
        <v>3260</v>
      </c>
      <c r="O13" s="3027"/>
      <c r="P13" s="3027"/>
      <c r="Q13" s="3027"/>
      <c r="R13" s="3027"/>
      <c r="S13" s="3027"/>
      <c r="T13" s="3027"/>
      <c r="U13" s="3027"/>
      <c r="V13" s="3027"/>
      <c r="W13" s="3027"/>
      <c r="X13" s="3027"/>
      <c r="Y13" s="1148"/>
      <c r="Z13" s="3027"/>
      <c r="AA13" s="1148"/>
      <c r="AG13" s="95"/>
    </row>
    <row r="14" spans="1:33" s="1104" customFormat="1" ht="40.5" customHeight="1">
      <c r="A14" s="1101"/>
      <c r="B14" s="1105"/>
      <c r="C14" s="1141"/>
      <c r="D14" s="1101"/>
      <c r="E14" s="1141"/>
      <c r="F14" s="3021" t="s">
        <v>3150</v>
      </c>
      <c r="G14" s="1101"/>
      <c r="H14" s="1101"/>
      <c r="I14" s="1101"/>
      <c r="J14" s="1101"/>
      <c r="K14" s="1101"/>
      <c r="L14" s="4886"/>
      <c r="M14" s="4886"/>
      <c r="N14" s="1102"/>
      <c r="O14" s="1102"/>
      <c r="P14" s="1102"/>
      <c r="Q14" s="1102"/>
      <c r="R14" s="1102"/>
      <c r="S14" s="1102"/>
      <c r="T14" s="1102"/>
      <c r="U14" s="1102"/>
      <c r="V14" s="1102"/>
      <c r="W14" s="1102"/>
      <c r="X14" s="1102"/>
      <c r="Y14" s="1102"/>
      <c r="Z14" s="1128"/>
      <c r="AA14" s="1128"/>
      <c r="AG14" s="95"/>
    </row>
    <row r="15" spans="1:33" s="1104" customFormat="1" ht="40.5" customHeight="1">
      <c r="A15" s="1101"/>
      <c r="B15" s="1105"/>
      <c r="C15" s="3029" t="s">
        <v>3152</v>
      </c>
      <c r="D15" s="3023"/>
      <c r="E15" s="3023"/>
      <c r="F15" s="3030" t="str">
        <f ca="1">CELL("nomfichier")</f>
        <v>E:\0-UPRT\1-UPRT.FR-SITE-WEB\ff-fiches-fabrications\ff-fiches-fabrication-maj-08-2020\[ff-8-restauration-Christian.Frechede.xlsx]Formats-Formules-Fonctions</v>
      </c>
      <c r="G15" s="3031"/>
      <c r="H15" s="3031"/>
      <c r="I15" s="3031"/>
      <c r="J15" s="3031"/>
      <c r="K15" s="3031"/>
      <c r="L15" s="4891"/>
      <c r="M15" s="4891"/>
      <c r="N15" s="1149"/>
      <c r="O15" s="1149"/>
      <c r="P15" s="1149"/>
      <c r="Q15" s="1149"/>
      <c r="R15" s="1149"/>
      <c r="S15" s="1149"/>
      <c r="T15" s="1149"/>
      <c r="U15" s="1149"/>
      <c r="V15" s="1149"/>
      <c r="W15" s="1149"/>
      <c r="X15" s="1149"/>
      <c r="Y15" s="1102"/>
      <c r="Z15" s="1102"/>
      <c r="AA15" s="1102"/>
      <c r="AG15" s="95"/>
    </row>
    <row r="16" spans="1:33" s="1104" customFormat="1" ht="40.5" customHeight="1">
      <c r="A16" s="1101"/>
      <c r="B16" s="1105"/>
      <c r="C16" s="1101"/>
      <c r="D16" s="1101"/>
      <c r="E16" s="1101"/>
      <c r="F16" s="4888" t="str">
        <f ca="1">_xlfn.FORMULATEXT(F15)</f>
        <v>=CELLULE("nomfichier")</v>
      </c>
      <c r="G16" s="4888"/>
      <c r="H16" s="4888"/>
      <c r="I16" s="4888"/>
      <c r="J16" s="1101"/>
      <c r="K16" s="1101"/>
      <c r="L16" s="4886"/>
      <c r="M16" s="4886"/>
      <c r="N16" s="1102"/>
      <c r="O16" s="1102"/>
      <c r="P16" s="1102"/>
      <c r="Q16" s="1102"/>
      <c r="R16" s="1102"/>
      <c r="S16" s="1102"/>
      <c r="T16" s="1102"/>
      <c r="U16" s="1102"/>
      <c r="V16" s="1102"/>
      <c r="W16" s="1102"/>
      <c r="X16" s="1102"/>
      <c r="Y16" s="1102"/>
      <c r="Z16" s="1102"/>
      <c r="AA16" s="1102"/>
      <c r="AG16" s="95"/>
    </row>
    <row r="17" spans="1:44" s="3028" customFormat="1" ht="40.5" customHeight="1">
      <c r="A17" s="3024"/>
      <c r="B17" s="3025"/>
      <c r="C17" s="3026"/>
      <c r="D17" s="3024"/>
      <c r="E17" s="3026"/>
      <c r="F17" s="3032" t="s">
        <v>3151</v>
      </c>
      <c r="G17" s="3024"/>
      <c r="H17" s="4886"/>
      <c r="I17" s="4886"/>
      <c r="J17" s="4886"/>
      <c r="K17" s="4886"/>
      <c r="L17" s="4886"/>
      <c r="M17" s="4886"/>
      <c r="N17" s="3027"/>
      <c r="O17" s="3027"/>
      <c r="P17" s="3027"/>
      <c r="Q17" s="3027"/>
      <c r="R17" s="3027"/>
      <c r="S17" s="3027"/>
      <c r="T17" s="3027"/>
      <c r="U17" s="3027"/>
      <c r="V17" s="3027"/>
      <c r="W17" s="3027"/>
      <c r="X17" s="3027"/>
      <c r="Y17" s="1148"/>
      <c r="Z17" s="3027"/>
      <c r="AA17" s="1148"/>
      <c r="AG17" s="95"/>
    </row>
    <row r="18" spans="1:44" s="3028" customFormat="1" ht="40.5" customHeight="1">
      <c r="A18" s="3024"/>
      <c r="B18" s="3025"/>
      <c r="C18" s="3026"/>
      <c r="D18" s="3024"/>
      <c r="E18" s="3026"/>
      <c r="F18" s="3024"/>
      <c r="G18" s="3024"/>
      <c r="H18" s="4886"/>
      <c r="I18" s="4886"/>
      <c r="J18" s="4886"/>
      <c r="K18" s="4886"/>
      <c r="L18" s="4886"/>
      <c r="M18" s="4886"/>
      <c r="N18" s="3027"/>
      <c r="O18" s="3027"/>
      <c r="P18" s="3027"/>
      <c r="Q18" s="3027"/>
      <c r="R18" s="3027"/>
      <c r="S18" s="3027"/>
      <c r="T18" s="3027"/>
      <c r="U18" s="3027"/>
      <c r="V18" s="3027"/>
      <c r="W18" s="3027"/>
      <c r="X18" s="3027"/>
      <c r="Y18" s="1148"/>
      <c r="Z18" s="3027"/>
      <c r="AA18" s="1148"/>
      <c r="AG18" s="95"/>
    </row>
    <row r="19" spans="1:44" s="1103" customFormat="1" ht="53.25" customHeight="1">
      <c r="A19" s="3033"/>
      <c r="B19" s="3034"/>
      <c r="C19" s="3035"/>
      <c r="D19" s="3036"/>
      <c r="E19" s="3036"/>
      <c r="F19" s="3037"/>
      <c r="G19" s="3037"/>
      <c r="H19" s="3037"/>
      <c r="I19" s="3037"/>
      <c r="J19" s="3038"/>
      <c r="K19" s="3035"/>
      <c r="L19" s="3035"/>
      <c r="M19" s="3035"/>
      <c r="N19" s="3035"/>
      <c r="O19" s="3035"/>
      <c r="P19" s="3035"/>
      <c r="Q19" s="3035"/>
      <c r="R19" s="3035"/>
      <c r="S19" s="3035"/>
      <c r="T19" s="3035"/>
      <c r="U19" s="3035"/>
      <c r="V19" s="3035"/>
      <c r="W19" s="3035"/>
      <c r="X19" s="3035"/>
      <c r="Y19" s="3035"/>
      <c r="Z19" s="3035"/>
      <c r="AA19" s="3035"/>
    </row>
    <row r="20" spans="1:44" s="1103" customFormat="1" ht="24.95" customHeight="1">
      <c r="A20" s="1101"/>
      <c r="B20" s="4892" t="s">
        <v>3153</v>
      </c>
      <c r="C20" s="4892"/>
      <c r="D20" s="4892"/>
      <c r="E20" s="4892"/>
      <c r="F20" s="4892"/>
      <c r="G20" s="4892"/>
      <c r="H20" s="4892"/>
      <c r="I20" s="4892"/>
      <c r="J20" s="4892"/>
      <c r="K20" s="4892"/>
      <c r="L20" s="4892"/>
      <c r="M20" s="4892"/>
      <c r="N20" s="4892"/>
      <c r="O20" s="4892"/>
      <c r="P20" s="4893"/>
      <c r="Q20" s="1102"/>
      <c r="R20" s="1102"/>
      <c r="S20" s="1102"/>
      <c r="T20" s="1102"/>
      <c r="U20" s="1102"/>
      <c r="V20" s="1102"/>
      <c r="W20" s="1102"/>
      <c r="X20" s="1102"/>
      <c r="Y20" s="1102"/>
      <c r="Z20" s="1102"/>
      <c r="AA20" s="1102"/>
    </row>
    <row r="21" spans="1:44" s="1104" customFormat="1" ht="24.95" customHeight="1">
      <c r="A21" s="1101"/>
      <c r="B21" s="4892"/>
      <c r="C21" s="4892"/>
      <c r="D21" s="4892"/>
      <c r="E21" s="4892"/>
      <c r="F21" s="4892"/>
      <c r="G21" s="4892"/>
      <c r="H21" s="4892"/>
      <c r="I21" s="4892"/>
      <c r="J21" s="4892"/>
      <c r="K21" s="4892"/>
      <c r="L21" s="4892"/>
      <c r="M21" s="4892"/>
      <c r="N21" s="4892"/>
      <c r="O21" s="4892"/>
      <c r="P21" s="4893"/>
      <c r="Q21" s="1102"/>
      <c r="R21" s="1102"/>
      <c r="S21" s="1102"/>
      <c r="T21" s="1102"/>
      <c r="U21" s="1102"/>
      <c r="V21" s="1102"/>
      <c r="W21" s="1102"/>
      <c r="X21" s="1102"/>
      <c r="Y21" s="1102"/>
      <c r="Z21" s="1102"/>
      <c r="AA21" s="1102"/>
      <c r="AB21" s="1103"/>
      <c r="AC21" s="1103"/>
      <c r="AD21" s="1103"/>
      <c r="AE21" s="1103"/>
      <c r="AF21" s="1103"/>
      <c r="AG21" s="1103"/>
      <c r="AH21" s="1103"/>
      <c r="AI21" s="1103"/>
      <c r="AJ21" s="1103"/>
      <c r="AK21" s="1103"/>
      <c r="AL21" s="1103"/>
      <c r="AM21" s="1103"/>
      <c r="AN21" s="1103"/>
      <c r="AO21" s="1103"/>
      <c r="AP21" s="1103"/>
      <c r="AQ21" s="1103"/>
      <c r="AR21" s="1103"/>
    </row>
    <row r="22" spans="1:44" s="1103" customFormat="1" ht="24.95" customHeight="1">
      <c r="A22" s="3040"/>
      <c r="B22" s="4892"/>
      <c r="C22" s="4892"/>
      <c r="D22" s="4892"/>
      <c r="E22" s="4892"/>
      <c r="F22" s="4892"/>
      <c r="G22" s="4892"/>
      <c r="H22" s="4892"/>
      <c r="I22" s="4892"/>
      <c r="J22" s="4892"/>
      <c r="K22" s="4892"/>
      <c r="L22" s="4892"/>
      <c r="M22" s="4892"/>
      <c r="N22" s="4892"/>
      <c r="O22" s="4892"/>
      <c r="P22" s="3041"/>
      <c r="Q22" s="1102"/>
      <c r="R22" s="1102"/>
      <c r="S22" s="1102"/>
      <c r="T22" s="1102"/>
      <c r="U22" s="1102"/>
      <c r="V22" s="1102"/>
      <c r="W22" s="1102"/>
      <c r="X22" s="1102"/>
      <c r="Y22" s="1102"/>
      <c r="Z22" s="1102"/>
      <c r="AA22" s="1102"/>
    </row>
    <row r="23" spans="1:44" s="1103" customFormat="1" ht="24.95" customHeight="1">
      <c r="A23" s="3040"/>
      <c r="B23" s="4892"/>
      <c r="C23" s="4892"/>
      <c r="D23" s="4892"/>
      <c r="E23" s="4892"/>
      <c r="F23" s="4892"/>
      <c r="G23" s="4892"/>
      <c r="H23" s="4892"/>
      <c r="I23" s="4892"/>
      <c r="J23" s="4892"/>
      <c r="K23" s="4892"/>
      <c r="L23" s="4892"/>
      <c r="M23" s="4892"/>
      <c r="N23" s="4892"/>
      <c r="O23" s="4892"/>
      <c r="P23" s="3041"/>
      <c r="Q23" s="1102"/>
      <c r="R23" s="1102"/>
      <c r="S23" s="1102"/>
      <c r="T23" s="1102"/>
      <c r="U23" s="1102"/>
      <c r="V23" s="1102"/>
      <c r="W23" s="1102"/>
      <c r="X23" s="1102"/>
      <c r="Y23" s="1102"/>
      <c r="Z23" s="1102"/>
      <c r="AA23" s="1102"/>
    </row>
    <row r="24" spans="1:44" s="1103" customFormat="1" ht="24.95" customHeight="1">
      <c r="A24" s="3040"/>
      <c r="B24" s="3041"/>
      <c r="C24" s="3041"/>
      <c r="D24" s="3042"/>
      <c r="E24" s="3043"/>
      <c r="F24" s="3042"/>
      <c r="G24" s="3042"/>
      <c r="H24" s="3042"/>
      <c r="I24" s="3042"/>
      <c r="J24" s="3044"/>
      <c r="K24" s="3041"/>
      <c r="L24" s="3041"/>
      <c r="M24" s="3041"/>
      <c r="N24" s="3041"/>
      <c r="O24" s="3041"/>
      <c r="P24" s="3041"/>
      <c r="Q24" s="1102"/>
      <c r="R24" s="1102"/>
      <c r="S24" s="1102"/>
      <c r="T24" s="1102"/>
      <c r="U24" s="1102"/>
      <c r="V24" s="1102"/>
      <c r="W24" s="1102"/>
      <c r="X24" s="1102"/>
      <c r="Y24" s="1102"/>
      <c r="Z24" s="1102"/>
      <c r="AA24" s="1102"/>
    </row>
    <row r="25" spans="1:44" s="1103" customFormat="1" ht="24.95" customHeight="1">
      <c r="A25" s="3040"/>
      <c r="B25" s="3041"/>
      <c r="C25" s="4894" t="s">
        <v>3154</v>
      </c>
      <c r="D25" s="3042"/>
      <c r="E25" s="3043"/>
      <c r="F25" s="3042"/>
      <c r="G25" s="3042"/>
      <c r="H25" s="3042"/>
      <c r="I25" s="3042"/>
      <c r="J25" s="3044"/>
      <c r="K25" s="3041"/>
      <c r="L25" s="3041"/>
      <c r="M25" s="3041"/>
      <c r="N25" s="3041"/>
      <c r="O25" s="3041"/>
      <c r="P25" s="3041"/>
      <c r="Q25" s="1102"/>
      <c r="R25" s="1102"/>
      <c r="S25" s="1102"/>
      <c r="T25" s="1102"/>
      <c r="U25" s="1102"/>
      <c r="V25" s="1102"/>
      <c r="W25" s="1102"/>
      <c r="X25" s="1102"/>
      <c r="Y25" s="1102"/>
      <c r="Z25" s="1102"/>
      <c r="AA25" s="1102"/>
    </row>
    <row r="26" spans="1:44" s="1103" customFormat="1" ht="24.95" customHeight="1">
      <c r="A26" s="3040"/>
      <c r="B26" s="3041"/>
      <c r="C26" s="4895" t="s">
        <v>3155</v>
      </c>
      <c r="D26" s="3042"/>
      <c r="E26" s="3043"/>
      <c r="F26" s="3042"/>
      <c r="G26" s="3042"/>
      <c r="H26" s="3042"/>
      <c r="I26" s="3042"/>
      <c r="J26" s="3044"/>
      <c r="K26" s="3041"/>
      <c r="L26" s="3041"/>
      <c r="M26" s="3041"/>
      <c r="N26" s="3041"/>
      <c r="O26" s="3041"/>
      <c r="P26" s="3041"/>
      <c r="Q26" s="1102"/>
      <c r="R26" s="1102"/>
      <c r="S26" s="1102"/>
      <c r="T26" s="1102"/>
      <c r="U26" s="1102"/>
      <c r="V26" s="1102"/>
      <c r="W26" s="1102"/>
      <c r="X26" s="1102"/>
      <c r="Y26" s="1102"/>
      <c r="Z26" s="1102"/>
      <c r="AA26" s="1102"/>
    </row>
    <row r="27" spans="1:44" s="1103" customFormat="1" ht="24.95" customHeight="1">
      <c r="A27" s="3040"/>
      <c r="B27" s="3041"/>
      <c r="C27" s="3041"/>
      <c r="D27" s="3042"/>
      <c r="E27" s="3043"/>
      <c r="F27" s="3042"/>
      <c r="G27" s="3042"/>
      <c r="H27" s="3042"/>
      <c r="I27" s="3042"/>
      <c r="J27" s="3044"/>
      <c r="K27" s="3041"/>
      <c r="L27" s="3041"/>
      <c r="M27" s="3041"/>
      <c r="N27" s="3041"/>
      <c r="O27" s="3041"/>
      <c r="P27" s="3041"/>
      <c r="Q27" s="1102"/>
      <c r="R27" s="1102"/>
      <c r="S27" s="1102"/>
      <c r="T27" s="1102"/>
      <c r="U27" s="1102"/>
      <c r="V27" s="1102"/>
      <c r="W27" s="1102"/>
      <c r="X27" s="1102"/>
      <c r="Y27" s="1102"/>
      <c r="Z27" s="1102"/>
      <c r="AA27" s="1102"/>
    </row>
    <row r="28" spans="1:44" s="1103" customFormat="1" ht="24.95" customHeight="1">
      <c r="A28" s="3040"/>
      <c r="B28" s="3041"/>
      <c r="C28" s="3045" t="s">
        <v>3156</v>
      </c>
      <c r="D28" s="3046" t="s">
        <v>732</v>
      </c>
      <c r="E28" s="4896" t="s">
        <v>3157</v>
      </c>
      <c r="F28" s="3048"/>
      <c r="G28" s="3048"/>
      <c r="H28" s="3048"/>
      <c r="I28" s="3048"/>
      <c r="J28" s="3048"/>
      <c r="K28" s="3048"/>
      <c r="L28" s="3041"/>
      <c r="M28" s="3041"/>
      <c r="N28" s="3041"/>
      <c r="O28" s="3041"/>
      <c r="P28" s="3041"/>
      <c r="Q28" s="1102"/>
      <c r="R28" s="3049"/>
      <c r="S28" s="1102"/>
      <c r="T28" s="1102"/>
      <c r="U28" s="1102"/>
      <c r="V28" s="1102"/>
      <c r="W28" s="1102"/>
      <c r="X28" s="1102"/>
      <c r="Y28" s="1102"/>
      <c r="Z28" s="1102"/>
      <c r="AA28" s="1102"/>
    </row>
    <row r="29" spans="1:44" s="1103" customFormat="1" ht="24.95" customHeight="1">
      <c r="A29" s="3040"/>
      <c r="B29" s="3041"/>
      <c r="C29" s="3040"/>
      <c r="D29" s="3040"/>
      <c r="E29" s="3040"/>
      <c r="F29" s="3040"/>
      <c r="G29" s="3040"/>
      <c r="H29" s="3040"/>
      <c r="I29" s="3040"/>
      <c r="J29" s="3040"/>
      <c r="K29" s="3040"/>
      <c r="L29" s="3040"/>
      <c r="M29" s="3040"/>
      <c r="N29" s="3040"/>
      <c r="O29" s="3041"/>
      <c r="P29" s="3041"/>
      <c r="Q29" s="1102"/>
      <c r="R29" s="3049"/>
      <c r="S29" s="1102"/>
      <c r="T29" s="1102"/>
      <c r="U29" s="1102"/>
      <c r="V29" s="1102"/>
      <c r="W29" s="1102"/>
      <c r="X29" s="1102"/>
      <c r="Y29" s="1102"/>
      <c r="Z29" s="1102"/>
      <c r="AA29" s="1102"/>
    </row>
    <row r="30" spans="1:44" s="1103" customFormat="1" ht="24.95" customHeight="1" thickBot="1">
      <c r="A30" s="3050"/>
      <c r="B30" s="3050"/>
      <c r="C30" s="3050"/>
      <c r="D30" s="3050"/>
      <c r="E30" s="3050"/>
      <c r="F30" s="3050"/>
      <c r="G30" s="3050"/>
      <c r="H30" s="3050"/>
      <c r="I30" s="3050"/>
      <c r="J30" s="3050"/>
      <c r="K30" s="3050"/>
      <c r="L30" s="3050"/>
      <c r="M30" s="3050"/>
      <c r="N30" s="3050"/>
      <c r="O30" s="3050"/>
      <c r="P30" s="3050"/>
      <c r="Q30" s="3050"/>
      <c r="R30" s="3050"/>
      <c r="S30" s="3050"/>
      <c r="T30" s="3050"/>
      <c r="U30" s="3050"/>
      <c r="V30" s="3050"/>
      <c r="W30" s="3050"/>
      <c r="X30" s="3050"/>
      <c r="Y30" s="3050"/>
      <c r="Z30" s="3050"/>
      <c r="AA30" s="3050"/>
    </row>
    <row r="31" spans="1:44" s="1103" customFormat="1" ht="24.95" customHeight="1">
      <c r="A31" s="3040"/>
      <c r="B31" s="3051"/>
      <c r="C31" s="3052"/>
      <c r="D31" s="3053"/>
      <c r="E31" s="3053"/>
      <c r="F31" s="3053"/>
      <c r="G31" s="3053"/>
      <c r="H31" s="3053"/>
      <c r="I31" s="3053"/>
      <c r="J31" s="3054"/>
      <c r="K31" s="3052"/>
      <c r="L31" s="3052"/>
      <c r="M31" s="3052"/>
      <c r="N31" s="3055"/>
      <c r="O31" s="3050"/>
      <c r="P31" s="3050"/>
      <c r="Q31" s="4897" t="s">
        <v>3261</v>
      </c>
      <c r="R31" s="4897"/>
      <c r="S31" s="4897"/>
      <c r="T31" s="4897"/>
      <c r="U31" s="4897"/>
      <c r="V31" s="4897"/>
      <c r="W31" s="4897"/>
      <c r="X31" s="4897"/>
      <c r="Y31" s="4897"/>
      <c r="Z31" s="4897"/>
      <c r="AA31" s="4897"/>
    </row>
    <row r="32" spans="1:44" s="1103" customFormat="1" ht="24.95" customHeight="1">
      <c r="A32" s="3040"/>
      <c r="B32" s="3056" t="s">
        <v>3158</v>
      </c>
      <c r="C32" s="3057" t="s">
        <v>3159</v>
      </c>
      <c r="D32" s="3058"/>
      <c r="E32" s="3058"/>
      <c r="F32" s="3058"/>
      <c r="G32" s="3058"/>
      <c r="H32" s="3058"/>
      <c r="I32" s="3058"/>
      <c r="J32" s="3059"/>
      <c r="K32" s="3060"/>
      <c r="L32" s="3060"/>
      <c r="M32" s="3060"/>
      <c r="N32" s="3061"/>
      <c r="O32" s="3050"/>
      <c r="P32" s="3050"/>
      <c r="Q32" s="4898"/>
      <c r="R32" s="4898"/>
      <c r="S32" s="4898"/>
      <c r="T32" s="4898"/>
      <c r="U32" s="4898"/>
      <c r="V32" s="4898"/>
      <c r="W32" s="4898"/>
      <c r="X32" s="4898"/>
      <c r="Y32" s="4898"/>
      <c r="Z32" s="4898"/>
      <c r="AA32" s="4898"/>
    </row>
    <row r="33" spans="1:27" s="1103" customFormat="1" ht="24.95" customHeight="1" thickBot="1">
      <c r="A33" s="3040"/>
      <c r="B33" s="3056"/>
      <c r="C33" s="4899" t="str">
        <f ca="1">MID(LEFT(CELL("filename",A1),FIND("[",CELL("filename",A1))-2),SEARCH("µ",SUBSTITUTE(LEFT(CELL("filename",A1),FIND("[",CELL("filename",A1))-2),"\","µ",LEN(LEFT(CELL("filename",A1),FIND("[",CELL("filename",A1))-2))-LEN(SUBSTITUTE(LEFT(CELL("filename",A1),FIND("[",CELL("filename",A1))-2),"\",""))))+1,100)</f>
        <v>ff-fiches-fabrication-maj-08-2020</v>
      </c>
      <c r="D33" s="4900"/>
      <c r="E33" s="4900"/>
      <c r="F33" s="4900"/>
      <c r="G33" s="4900"/>
      <c r="H33" s="4900"/>
      <c r="I33" s="4900"/>
      <c r="J33" s="3062"/>
      <c r="K33" s="3062"/>
      <c r="L33" s="3063"/>
      <c r="M33" s="3063"/>
      <c r="N33" s="3064"/>
      <c r="O33" s="3063"/>
      <c r="P33" s="3050"/>
      <c r="Q33" s="4901" t="s">
        <v>1064</v>
      </c>
      <c r="R33" s="4902"/>
      <c r="S33" s="4902"/>
      <c r="T33" s="4902"/>
      <c r="U33" s="4903"/>
      <c r="V33" s="4904"/>
      <c r="W33" s="4904"/>
      <c r="X33" s="4905" t="s">
        <v>122</v>
      </c>
      <c r="Y33" s="4906" t="s">
        <v>1059</v>
      </c>
      <c r="Z33" s="4906" t="s">
        <v>1060</v>
      </c>
      <c r="AA33" s="4907" t="s">
        <v>1061</v>
      </c>
    </row>
    <row r="34" spans="1:27" s="1103" customFormat="1" ht="24.95" customHeight="1">
      <c r="A34" s="3040"/>
      <c r="B34" s="3056">
        <f>ROW()</f>
        <v>34</v>
      </c>
      <c r="C34" s="4908"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4908"/>
      <c r="E34" s="4908"/>
      <c r="F34" s="4908"/>
      <c r="G34" s="4908"/>
      <c r="H34" s="4908"/>
      <c r="I34" s="4908"/>
      <c r="J34" s="4908"/>
      <c r="K34" s="4908"/>
      <c r="L34" s="4908"/>
      <c r="M34" s="4908"/>
      <c r="N34" s="4909"/>
      <c r="O34" s="4908" t="s">
        <v>1239</v>
      </c>
      <c r="P34" s="3050"/>
      <c r="Q34" s="4910" t="s">
        <v>1068</v>
      </c>
      <c r="R34" s="4911" t="s">
        <v>1069</v>
      </c>
      <c r="S34" s="4911" t="s">
        <v>1070</v>
      </c>
      <c r="T34" s="4911" t="s">
        <v>1071</v>
      </c>
      <c r="U34" s="4912"/>
      <c r="V34" s="4913"/>
      <c r="W34" s="4913"/>
      <c r="X34" s="4914"/>
      <c r="Y34" s="4915"/>
      <c r="Z34" s="4915"/>
      <c r="AA34" s="4916"/>
    </row>
    <row r="35" spans="1:27" s="1103" customFormat="1" ht="24.95" customHeight="1" thickBot="1">
      <c r="A35" s="3040"/>
      <c r="B35" s="3065"/>
      <c r="C35" s="3066" t="s">
        <v>3160</v>
      </c>
      <c r="D35" s="3067"/>
      <c r="E35" s="3067"/>
      <c r="F35" s="3067"/>
      <c r="G35" s="3067"/>
      <c r="H35" s="3067"/>
      <c r="I35" s="3067"/>
      <c r="J35" s="3068"/>
      <c r="K35" s="3069"/>
      <c r="L35" s="3069"/>
      <c r="M35" s="3069"/>
      <c r="N35" s="3070"/>
      <c r="O35" s="3050"/>
      <c r="P35" s="3050"/>
      <c r="Q35" s="4917"/>
      <c r="R35" s="4918"/>
      <c r="S35" s="4918"/>
      <c r="T35" s="4918"/>
      <c r="U35" s="4919" t="s">
        <v>122</v>
      </c>
      <c r="V35" s="4920" t="s">
        <v>1066</v>
      </c>
      <c r="W35" s="4920" t="s">
        <v>1067</v>
      </c>
      <c r="X35" s="4921" t="s">
        <v>224</v>
      </c>
      <c r="Y35" s="4922" t="s">
        <v>1065</v>
      </c>
      <c r="Z35" s="4922" t="s">
        <v>1066</v>
      </c>
      <c r="AA35" s="4923" t="s">
        <v>1067</v>
      </c>
    </row>
    <row r="36" spans="1:27" s="1103" customFormat="1" ht="24.95" customHeight="1" thickBot="1">
      <c r="A36" s="3040"/>
      <c r="B36" s="3041"/>
      <c r="C36" s="3050"/>
      <c r="D36" s="3071"/>
      <c r="E36" s="3071"/>
      <c r="F36" s="3072"/>
      <c r="G36" s="3072"/>
      <c r="H36" s="3072"/>
      <c r="I36" s="3072"/>
      <c r="J36" s="3073"/>
      <c r="K36" s="3050"/>
      <c r="L36" s="3050"/>
      <c r="M36" s="3050"/>
      <c r="N36" s="3050"/>
      <c r="O36" s="3050"/>
      <c r="P36" s="3050"/>
      <c r="Q36" s="4917"/>
      <c r="R36" s="4918"/>
      <c r="S36" s="4918"/>
      <c r="T36" s="4918"/>
      <c r="U36" s="4919"/>
      <c r="V36" s="4920"/>
      <c r="W36" s="4920"/>
      <c r="X36" s="4921"/>
      <c r="Y36" s="4922"/>
      <c r="Z36" s="4922"/>
      <c r="AA36" s="4923"/>
    </row>
    <row r="37" spans="1:27" s="1103" customFormat="1" ht="24.95" customHeight="1">
      <c r="A37" s="3040"/>
      <c r="B37" s="3074"/>
      <c r="C37" s="3075"/>
      <c r="D37" s="3076"/>
      <c r="E37" s="3076"/>
      <c r="F37" s="3077"/>
      <c r="G37" s="3077"/>
      <c r="H37" s="3077"/>
      <c r="I37" s="3077"/>
      <c r="J37" s="3078"/>
      <c r="K37" s="3075"/>
      <c r="L37" s="3079"/>
      <c r="M37" s="3050"/>
      <c r="N37" s="3050"/>
      <c r="O37" s="3050"/>
      <c r="P37" s="3050"/>
      <c r="Q37" s="4924" t="s">
        <v>1072</v>
      </c>
      <c r="R37" s="4925" t="s">
        <v>1073</v>
      </c>
      <c r="S37" s="4925" t="s">
        <v>1074</v>
      </c>
      <c r="T37" s="4925" t="s">
        <v>1075</v>
      </c>
      <c r="U37" s="4926" t="s">
        <v>3262</v>
      </c>
      <c r="V37" s="4925" t="s">
        <v>1073</v>
      </c>
      <c r="W37" s="4925" t="s">
        <v>3263</v>
      </c>
      <c r="X37" s="4927">
        <v>1</v>
      </c>
      <c r="Y37" s="4928" t="s">
        <v>2786</v>
      </c>
      <c r="Z37" s="4928" t="s">
        <v>3264</v>
      </c>
      <c r="AA37" s="4929" t="s">
        <v>3264</v>
      </c>
    </row>
    <row r="38" spans="1:27" s="1103" customFormat="1" ht="24.95" customHeight="1">
      <c r="A38" s="3040"/>
      <c r="B38" s="3056" t="s">
        <v>3158</v>
      </c>
      <c r="C38" s="3080" t="s">
        <v>3161</v>
      </c>
      <c r="D38" s="3058"/>
      <c r="E38" s="3058"/>
      <c r="F38" s="3058"/>
      <c r="G38" s="3058"/>
      <c r="H38" s="3058"/>
      <c r="I38" s="3058"/>
      <c r="J38" s="3059"/>
      <c r="K38" s="3060"/>
      <c r="L38" s="3061"/>
      <c r="M38" s="3050"/>
      <c r="N38" s="3050"/>
      <c r="O38" s="3050"/>
      <c r="P38" s="3050"/>
      <c r="Q38" s="4930"/>
      <c r="R38" s="4931"/>
      <c r="S38" s="4931"/>
      <c r="T38" s="4931"/>
      <c r="U38" s="4932"/>
      <c r="V38" s="4931"/>
      <c r="W38" s="4931"/>
      <c r="X38" s="4933"/>
      <c r="Y38" s="4934"/>
      <c r="Z38" s="4934"/>
      <c r="AA38" s="4935"/>
    </row>
    <row r="39" spans="1:27" s="1103" customFormat="1" ht="24.95" customHeight="1">
      <c r="A39" s="3040"/>
      <c r="B39" s="3056"/>
      <c r="C39" s="4899" t="str">
        <f ca="1">RIGHT(CELL("filename",A1),LEN(CELL("filename",A1))-SEARCH("]",CELL("filename",A1)))</f>
        <v>Formats-Formules-Fonctions</v>
      </c>
      <c r="D39" s="4936"/>
      <c r="E39" s="4936"/>
      <c r="F39" s="4900"/>
      <c r="G39" s="4900"/>
      <c r="H39" s="4900"/>
      <c r="I39" s="4900"/>
      <c r="J39" s="3062"/>
      <c r="K39" s="3062"/>
      <c r="L39" s="3061"/>
      <c r="M39" s="3050"/>
      <c r="N39" s="3063"/>
      <c r="O39" s="3063"/>
      <c r="P39" s="3050"/>
      <c r="Q39" s="4924" t="s">
        <v>1076</v>
      </c>
      <c r="R39" s="4925" t="s">
        <v>1077</v>
      </c>
      <c r="S39" s="4925" t="s">
        <v>1078</v>
      </c>
      <c r="T39" s="4925" t="s">
        <v>1079</v>
      </c>
      <c r="U39" s="4937" t="s">
        <v>3265</v>
      </c>
      <c r="V39" s="4938" t="s">
        <v>3266</v>
      </c>
      <c r="W39" s="4938" t="s">
        <v>3267</v>
      </c>
      <c r="X39" s="4939" t="s">
        <v>3268</v>
      </c>
      <c r="Y39" s="4940" t="s">
        <v>2786</v>
      </c>
      <c r="Z39" s="4940" t="s">
        <v>3264</v>
      </c>
      <c r="AA39" s="4941" t="s">
        <v>3264</v>
      </c>
    </row>
    <row r="40" spans="1:27" s="1103" customFormat="1" ht="24.95" customHeight="1">
      <c r="A40" s="3040"/>
      <c r="B40" s="3056">
        <f>ROW()</f>
        <v>40</v>
      </c>
      <c r="C40" s="4908" t="str">
        <f ca="1">_xlfn.FORMULATEXT(C39)</f>
        <v>=DROITE(CELLULE("filename";A1);NBCAR(CELLULE("filename";A1))-CHERCHE("]";CELLULE("filename";A1)))</v>
      </c>
      <c r="D40" s="4908"/>
      <c r="E40" s="4908"/>
      <c r="F40" s="4908"/>
      <c r="G40" s="4908"/>
      <c r="H40" s="4908"/>
      <c r="I40" s="4908"/>
      <c r="J40" s="4908"/>
      <c r="K40" s="4908"/>
      <c r="L40" s="3061"/>
      <c r="M40" s="3050"/>
      <c r="N40" s="4908"/>
      <c r="O40" s="4908"/>
      <c r="P40" s="3050"/>
      <c r="Q40" s="4942"/>
      <c r="R40" s="4943"/>
      <c r="S40" s="4943"/>
      <c r="T40" s="4943"/>
      <c r="U40" s="4944"/>
      <c r="V40" s="4945"/>
      <c r="W40" s="4945"/>
      <c r="X40" s="4946"/>
      <c r="Y40" s="4947"/>
      <c r="Z40" s="4947"/>
      <c r="AA40" s="4948"/>
    </row>
    <row r="41" spans="1:27" s="1103" customFormat="1" ht="24.95" customHeight="1" thickBot="1">
      <c r="A41" s="3040"/>
      <c r="B41" s="3081"/>
      <c r="C41" s="3066" t="s">
        <v>3160</v>
      </c>
      <c r="D41" s="3067"/>
      <c r="E41" s="3067"/>
      <c r="F41" s="3067"/>
      <c r="G41" s="3067"/>
      <c r="H41" s="3067"/>
      <c r="I41" s="3067"/>
      <c r="J41" s="3068"/>
      <c r="K41" s="3069"/>
      <c r="L41" s="3070"/>
      <c r="M41" s="3050"/>
      <c r="N41" s="3050"/>
      <c r="O41" s="3050"/>
      <c r="P41" s="3050"/>
      <c r="Q41" s="4924" t="s">
        <v>1080</v>
      </c>
      <c r="R41" s="4925" t="s">
        <v>1081</v>
      </c>
      <c r="S41" s="4925" t="s">
        <v>1082</v>
      </c>
      <c r="T41" s="4925" t="s">
        <v>1083</v>
      </c>
      <c r="U41" s="4937" t="s">
        <v>3269</v>
      </c>
      <c r="V41" s="4938" t="s">
        <v>3270</v>
      </c>
      <c r="W41" s="4938" t="s">
        <v>3271</v>
      </c>
      <c r="X41" s="4939" t="s">
        <v>3264</v>
      </c>
      <c r="Y41" s="4949" t="s">
        <v>3264</v>
      </c>
      <c r="Z41" s="4940">
        <v>5</v>
      </c>
      <c r="AA41" s="4941" t="s">
        <v>3264</v>
      </c>
    </row>
    <row r="42" spans="1:27" s="1103" customFormat="1" ht="24.95" customHeight="1" thickBot="1">
      <c r="A42" s="3040"/>
      <c r="B42" s="3041"/>
      <c r="C42" s="3050"/>
      <c r="D42" s="3071"/>
      <c r="E42" s="3071"/>
      <c r="F42" s="3072"/>
      <c r="G42" s="3072"/>
      <c r="H42" s="3072"/>
      <c r="I42" s="3072"/>
      <c r="J42" s="3073"/>
      <c r="K42" s="3050"/>
      <c r="L42" s="3050"/>
      <c r="M42" s="3050"/>
      <c r="N42" s="3050"/>
      <c r="O42" s="3050"/>
      <c r="P42" s="3050"/>
      <c r="Q42" s="4942"/>
      <c r="R42" s="4943"/>
      <c r="S42" s="4943"/>
      <c r="T42" s="4943"/>
      <c r="U42" s="4944"/>
      <c r="V42" s="4945"/>
      <c r="W42" s="4945"/>
      <c r="X42" s="4946"/>
      <c r="Y42" s="4950"/>
      <c r="Z42" s="4947"/>
      <c r="AA42" s="4948"/>
    </row>
    <row r="43" spans="1:27" s="1103" customFormat="1" ht="24.95" customHeight="1">
      <c r="A43" s="3040"/>
      <c r="B43" s="3051"/>
      <c r="C43" s="3052"/>
      <c r="D43" s="3053"/>
      <c r="E43" s="3053"/>
      <c r="F43" s="3053"/>
      <c r="G43" s="3053"/>
      <c r="H43" s="3053"/>
      <c r="I43" s="3053"/>
      <c r="J43" s="3054"/>
      <c r="K43" s="3052"/>
      <c r="L43" s="3052"/>
      <c r="M43" s="3052"/>
      <c r="N43" s="3055"/>
      <c r="O43" s="3050"/>
      <c r="P43" s="3050"/>
      <c r="Q43" s="4924" t="s">
        <v>1084</v>
      </c>
      <c r="R43" s="4925" t="s">
        <v>1085</v>
      </c>
      <c r="S43" s="4925" t="s">
        <v>1086</v>
      </c>
      <c r="T43" s="4925" t="s">
        <v>1087</v>
      </c>
      <c r="U43" s="4937" t="s">
        <v>3272</v>
      </c>
      <c r="V43" s="4938" t="s">
        <v>3273</v>
      </c>
      <c r="W43" s="4938" t="s">
        <v>3274</v>
      </c>
      <c r="X43" s="4939" t="s">
        <v>3264</v>
      </c>
      <c r="Y43" s="4949" t="s">
        <v>3264</v>
      </c>
      <c r="Z43" s="4949" t="s">
        <v>3264</v>
      </c>
      <c r="AA43" s="4941">
        <v>5</v>
      </c>
    </row>
    <row r="44" spans="1:27" s="1103" customFormat="1" ht="24.95" customHeight="1">
      <c r="A44" s="3040"/>
      <c r="B44" s="3056" t="s">
        <v>3158</v>
      </c>
      <c r="C44" s="3080" t="s">
        <v>3162</v>
      </c>
      <c r="D44" s="3058"/>
      <c r="E44" s="3058"/>
      <c r="F44" s="3058"/>
      <c r="G44" s="3058"/>
      <c r="H44" s="3058"/>
      <c r="I44" s="3058"/>
      <c r="J44" s="3059"/>
      <c r="K44" s="3060"/>
      <c r="L44" s="3060"/>
      <c r="M44" s="3060"/>
      <c r="N44" s="3061"/>
      <c r="O44" s="3050"/>
      <c r="P44" s="3050"/>
      <c r="Q44" s="4942"/>
      <c r="R44" s="4943"/>
      <c r="S44" s="4943"/>
      <c r="T44" s="4943"/>
      <c r="U44" s="4944"/>
      <c r="V44" s="4945"/>
      <c r="W44" s="4945"/>
      <c r="X44" s="4946"/>
      <c r="Y44" s="4950"/>
      <c r="Z44" s="4950"/>
      <c r="AA44" s="4948"/>
    </row>
    <row r="45" spans="1:27" s="1103" customFormat="1" ht="24.95" customHeight="1">
      <c r="A45" s="3040"/>
      <c r="B45" s="3056"/>
      <c r="C45" s="4899" t="str">
        <f t="array" aca="1" ref="C45" ca="1">MID(CELL("filename",A1),SEARCH("[",CELL("filename",A1))+1,SEARCH("]",CELL("filename",A1))-SEARCH("[",CELL("filename",A1))-1)</f>
        <v>ff-8-restauration-Christian.Frechede.xlsx</v>
      </c>
      <c r="D45" s="4936"/>
      <c r="E45" s="4936"/>
      <c r="F45" s="4936"/>
      <c r="G45" s="4936"/>
      <c r="H45" s="4900"/>
      <c r="I45" s="4900"/>
      <c r="J45" s="3062"/>
      <c r="K45" s="3062"/>
      <c r="L45" s="3063"/>
      <c r="M45" s="3063"/>
      <c r="N45" s="3061"/>
      <c r="O45" s="3050"/>
      <c r="P45" s="3050"/>
      <c r="Q45" s="4951" t="s">
        <v>2354</v>
      </c>
      <c r="R45" s="4952" t="s">
        <v>1088</v>
      </c>
      <c r="S45" s="4952"/>
      <c r="T45" s="4952"/>
      <c r="U45" s="4952"/>
      <c r="V45" s="4952"/>
      <c r="W45" s="4952"/>
      <c r="X45" s="4952"/>
      <c r="Y45" s="4952"/>
      <c r="Z45" s="4952"/>
      <c r="AA45" s="4953"/>
    </row>
    <row r="46" spans="1:27" s="1103" customFormat="1" ht="24.95" customHeight="1">
      <c r="A46" s="3040"/>
      <c r="B46" s="3056">
        <f>ROW()</f>
        <v>46</v>
      </c>
      <c r="C46" s="4908" t="str">
        <f ca="1">_xlfn.FORMULATEXT(C45)</f>
        <v>{=STXT(CELLULE("filename";A1);CHERCHE("[";CELLULE("filename";A1))+1;CHERCHE("]";CELLULE("filename";A1))-CHERCHE("[";CELLULE("filename";A1))-1)}</v>
      </c>
      <c r="D46" s="4908"/>
      <c r="E46" s="4908"/>
      <c r="F46" s="4908"/>
      <c r="G46" s="4908"/>
      <c r="H46" s="4908"/>
      <c r="I46" s="4908"/>
      <c r="J46" s="4908"/>
      <c r="K46" s="4908"/>
      <c r="L46" s="4908"/>
      <c r="M46" s="4908"/>
      <c r="N46" s="3061"/>
      <c r="O46" s="3050" t="s">
        <v>1239</v>
      </c>
      <c r="P46" s="3050"/>
      <c r="Q46" s="4954"/>
      <c r="R46" s="4955"/>
      <c r="S46" s="4955"/>
      <c r="T46" s="4955"/>
      <c r="U46" s="4955"/>
      <c r="V46" s="4955"/>
      <c r="W46" s="4955"/>
      <c r="X46" s="4955"/>
      <c r="Y46" s="4955"/>
      <c r="Z46" s="4955"/>
      <c r="AA46" s="4956"/>
    </row>
    <row r="47" spans="1:27" s="1103" customFormat="1" ht="24.95" customHeight="1" thickBot="1">
      <c r="A47" s="3040"/>
      <c r="B47" s="3065"/>
      <c r="C47" s="3066" t="s">
        <v>3160</v>
      </c>
      <c r="D47" s="3082"/>
      <c r="E47" s="3082"/>
      <c r="F47" s="3082"/>
      <c r="G47" s="3082"/>
      <c r="H47" s="3082"/>
      <c r="I47" s="3082"/>
      <c r="J47" s="3082"/>
      <c r="K47" s="3082"/>
      <c r="L47" s="3082"/>
      <c r="M47" s="3082"/>
      <c r="N47" s="3083"/>
      <c r="O47" s="3050"/>
      <c r="P47" s="3050"/>
      <c r="Q47" s="4957"/>
      <c r="R47" s="4958" t="s">
        <v>3275</v>
      </c>
      <c r="S47" s="4958"/>
      <c r="T47" s="4958"/>
      <c r="U47" s="4958"/>
      <c r="V47" s="4958"/>
      <c r="W47" s="4958"/>
      <c r="X47" s="4958"/>
      <c r="Y47" s="4958"/>
      <c r="Z47" s="4958"/>
      <c r="AA47" s="4959"/>
    </row>
    <row r="48" spans="1:27" s="1103" customFormat="1" ht="24.95" customHeight="1" thickBot="1">
      <c r="A48" s="3040"/>
      <c r="B48" s="3041"/>
      <c r="C48" s="3050"/>
      <c r="D48" s="3071"/>
      <c r="E48" s="3071"/>
      <c r="F48" s="3072"/>
      <c r="G48" s="3072"/>
      <c r="H48" s="3072"/>
      <c r="I48" s="3072"/>
      <c r="J48" s="3073"/>
      <c r="K48" s="3050"/>
      <c r="L48" s="3050"/>
      <c r="M48" s="3050"/>
      <c r="N48" s="3050"/>
      <c r="O48" s="3050"/>
      <c r="P48" s="3050"/>
      <c r="Q48" s="3050"/>
      <c r="R48" s="3050"/>
      <c r="S48" s="3050"/>
      <c r="T48" s="3050"/>
      <c r="U48" s="3050"/>
      <c r="V48" s="3050"/>
      <c r="W48" s="3050"/>
      <c r="X48" s="3050"/>
      <c r="Y48" s="3050"/>
      <c r="Z48" s="3050"/>
      <c r="AA48" s="3050"/>
    </row>
    <row r="49" spans="1:27" s="1103" customFormat="1" ht="24.95" customHeight="1">
      <c r="A49" s="3040"/>
      <c r="B49" s="3074"/>
      <c r="C49" s="3075"/>
      <c r="D49" s="3076"/>
      <c r="E49" s="3076"/>
      <c r="F49" s="3077"/>
      <c r="G49" s="3077"/>
      <c r="H49" s="3077"/>
      <c r="I49" s="3077"/>
      <c r="J49" s="3078"/>
      <c r="K49" s="3075"/>
      <c r="L49" s="3079"/>
      <c r="M49" s="3050"/>
      <c r="N49" s="3050"/>
      <c r="O49" s="3050"/>
      <c r="P49" s="3050"/>
      <c r="Q49" s="3050"/>
      <c r="R49" s="3050"/>
      <c r="S49" s="3050"/>
      <c r="T49" s="3050"/>
      <c r="U49" s="3050"/>
      <c r="V49" s="3050"/>
      <c r="W49" s="3050"/>
      <c r="X49" s="3050"/>
      <c r="Y49" s="3050"/>
      <c r="Z49" s="3050"/>
      <c r="AA49" s="3050"/>
    </row>
    <row r="50" spans="1:27" s="1103" customFormat="1" ht="24.95" customHeight="1">
      <c r="A50" s="3040"/>
      <c r="B50" s="3056" t="s">
        <v>3158</v>
      </c>
      <c r="C50" s="3080" t="s">
        <v>3163</v>
      </c>
      <c r="D50" s="3058"/>
      <c r="E50" s="3058"/>
      <c r="F50" s="3058"/>
      <c r="G50" s="3058"/>
      <c r="H50" s="3058"/>
      <c r="I50" s="3058"/>
      <c r="J50" s="3059"/>
      <c r="K50" s="3060"/>
      <c r="L50" s="3061"/>
      <c r="M50" s="3050"/>
      <c r="N50" s="3050"/>
      <c r="O50" s="3050"/>
      <c r="P50" s="3050"/>
      <c r="Q50" s="3050"/>
      <c r="R50" s="3050"/>
      <c r="S50" s="3050"/>
      <c r="T50" s="3050"/>
      <c r="U50" s="3050"/>
      <c r="V50" s="3050"/>
      <c r="W50" s="3050"/>
      <c r="X50" s="3050"/>
      <c r="Y50" s="3050"/>
      <c r="Z50" s="3050"/>
      <c r="AA50" s="3050"/>
    </row>
    <row r="51" spans="1:27" s="1103" customFormat="1" ht="24.95" customHeight="1">
      <c r="A51" s="3040"/>
      <c r="B51" s="3056"/>
      <c r="C51" s="4899" t="str">
        <f ca="1">RIGHT(CELL("filename",A1),LEN(CELL("filename",A1))-SEARCH("[",CELL("filename",A1))+1)</f>
        <v>[ff-8-restauration-Christian.Frechede.xlsx]Formats-Formules-Fonctions</v>
      </c>
      <c r="D51" s="4936"/>
      <c r="E51" s="4936"/>
      <c r="F51" s="4936"/>
      <c r="G51" s="4936"/>
      <c r="H51" s="4936"/>
      <c r="I51" s="4936"/>
      <c r="J51" s="3062"/>
      <c r="K51" s="3062"/>
      <c r="L51" s="3061"/>
      <c r="M51" s="3050"/>
      <c r="N51" s="3063"/>
      <c r="O51" s="3063"/>
      <c r="P51" s="3050"/>
      <c r="Q51" s="3050"/>
      <c r="R51" s="3050"/>
      <c r="S51" s="3050"/>
      <c r="T51" s="3050"/>
      <c r="U51" s="3050"/>
      <c r="V51" s="3050"/>
      <c r="W51" s="3050"/>
      <c r="X51" s="3050"/>
      <c r="Y51" s="3050"/>
      <c r="Z51" s="3050"/>
      <c r="AA51" s="3050"/>
    </row>
    <row r="52" spans="1:27" s="1103" customFormat="1" ht="24.95" customHeight="1">
      <c r="A52" s="3040"/>
      <c r="B52" s="3056">
        <f>ROW()</f>
        <v>52</v>
      </c>
      <c r="C52" s="4908" t="str">
        <f ca="1">_xlfn.FORMULATEXT(C51)</f>
        <v>=DROITE(CELLULE("filename";A1);NBCAR(CELLULE("filename";A1))-CHERCHE("[";CELLULE("filename";A1))+1)</v>
      </c>
      <c r="D52" s="4908"/>
      <c r="E52" s="4908"/>
      <c r="F52" s="4908"/>
      <c r="G52" s="4908"/>
      <c r="H52" s="4908"/>
      <c r="I52" s="4908"/>
      <c r="J52" s="4908"/>
      <c r="K52" s="4908"/>
      <c r="L52" s="3061"/>
      <c r="M52" s="3050"/>
      <c r="N52" s="4908"/>
      <c r="O52" s="4908"/>
      <c r="P52" s="3050"/>
      <c r="Q52" s="3050"/>
      <c r="R52" s="3050"/>
      <c r="S52" s="3050"/>
      <c r="T52" s="3050"/>
      <c r="U52" s="3050"/>
      <c r="V52" s="3050"/>
      <c r="W52" s="3050"/>
      <c r="X52" s="3050"/>
      <c r="Y52" s="3050"/>
      <c r="Z52" s="3050"/>
      <c r="AA52" s="3050"/>
    </row>
    <row r="53" spans="1:27" s="1103" customFormat="1" ht="24.95" customHeight="1" thickBot="1">
      <c r="A53" s="3040"/>
      <c r="B53" s="3081"/>
      <c r="C53" s="3066" t="s">
        <v>3160</v>
      </c>
      <c r="D53" s="3067"/>
      <c r="E53" s="3067"/>
      <c r="F53" s="3067"/>
      <c r="G53" s="3067"/>
      <c r="H53" s="3067"/>
      <c r="I53" s="3067"/>
      <c r="J53" s="3068"/>
      <c r="K53" s="3069"/>
      <c r="L53" s="3070"/>
      <c r="M53" s="3050"/>
      <c r="N53" s="3050"/>
      <c r="O53" s="3050"/>
      <c r="P53" s="3050"/>
      <c r="Q53" s="3050"/>
      <c r="R53" s="3050"/>
      <c r="S53" s="3050"/>
      <c r="T53" s="3050"/>
      <c r="U53" s="3050"/>
      <c r="V53" s="3050"/>
      <c r="W53" s="3050"/>
      <c r="X53" s="3050"/>
      <c r="Y53" s="3050"/>
      <c r="Z53" s="3050"/>
      <c r="AA53" s="3050"/>
    </row>
    <row r="54" spans="1:27" s="1103" customFormat="1" ht="24.95" customHeight="1" thickBot="1">
      <c r="A54" s="3040"/>
      <c r="B54" s="3050"/>
      <c r="C54" s="3050"/>
      <c r="D54" s="3050"/>
      <c r="E54" s="3050"/>
      <c r="F54" s="3050"/>
      <c r="G54" s="3050"/>
      <c r="H54" s="3050"/>
      <c r="I54" s="3050"/>
      <c r="J54" s="3050"/>
      <c r="K54" s="3050"/>
      <c r="L54" s="3050"/>
      <c r="M54" s="3050"/>
      <c r="N54" s="3050"/>
      <c r="O54" s="3050"/>
      <c r="P54" s="3050"/>
      <c r="Q54" s="3050"/>
      <c r="R54" s="3050"/>
      <c r="S54" s="3050"/>
      <c r="T54" s="3050"/>
      <c r="U54" s="3050"/>
      <c r="V54" s="3050"/>
      <c r="W54" s="3050"/>
      <c r="X54" s="3050"/>
      <c r="Y54" s="3050"/>
      <c r="Z54" s="3050"/>
      <c r="AA54" s="3050"/>
    </row>
    <row r="55" spans="1:27" s="1103" customFormat="1" ht="24.95" customHeight="1">
      <c r="A55" s="3040"/>
      <c r="B55" s="3074"/>
      <c r="C55" s="3052"/>
      <c r="D55" s="3053"/>
      <c r="E55" s="3053"/>
      <c r="F55" s="3053"/>
      <c r="G55" s="3053"/>
      <c r="H55" s="3053"/>
      <c r="I55" s="3053"/>
      <c r="J55" s="3084"/>
      <c r="K55" s="3050"/>
      <c r="L55" s="3050"/>
      <c r="M55" s="3050"/>
      <c r="N55" s="3050"/>
      <c r="O55" s="3050"/>
      <c r="P55" s="3050"/>
      <c r="Q55" s="3050"/>
      <c r="R55" s="3050"/>
      <c r="S55" s="3050"/>
      <c r="T55" s="3050"/>
      <c r="U55" s="3050"/>
      <c r="V55" s="3050"/>
      <c r="W55" s="3050"/>
      <c r="X55" s="3050"/>
      <c r="Y55" s="3050"/>
      <c r="Z55" s="3050"/>
      <c r="AA55" s="3050"/>
    </row>
    <row r="56" spans="1:27" s="1103" customFormat="1" ht="24.95" customHeight="1">
      <c r="A56" s="3040"/>
      <c r="B56" s="3056" t="s">
        <v>3158</v>
      </c>
      <c r="C56" s="3080" t="s">
        <v>3164</v>
      </c>
      <c r="D56" s="3085"/>
      <c r="E56" s="3060"/>
      <c r="F56" s="3060"/>
      <c r="G56" s="4908"/>
      <c r="H56" s="4908"/>
      <c r="I56" s="3086"/>
      <c r="J56" s="3061"/>
      <c r="K56" s="3050"/>
      <c r="L56" s="3050"/>
      <c r="M56" s="3050"/>
      <c r="N56" s="3050"/>
      <c r="O56" s="3050"/>
      <c r="P56" s="3050"/>
      <c r="Q56" s="3050"/>
      <c r="R56" s="3050"/>
      <c r="S56" s="3050"/>
      <c r="T56" s="3050"/>
      <c r="U56" s="3050"/>
      <c r="V56" s="3050"/>
      <c r="W56" s="3050"/>
      <c r="X56" s="3050"/>
      <c r="Y56" s="3050"/>
      <c r="Z56" s="3050"/>
      <c r="AA56" s="3050"/>
    </row>
    <row r="57" spans="1:27" s="1103" customFormat="1" ht="24.95" customHeight="1">
      <c r="A57" s="3040"/>
      <c r="B57" s="3056"/>
      <c r="C57" s="4899" t="str">
        <f t="array" aca="1" ref="C57" ca="1">LEFT(CELL("filename",A1),SEARCH("[",CELL("filename",A1))-1)</f>
        <v>E:\0-UPRT\1-UPRT.FR-SITE-WEB\ff-fiches-fabrications\ff-fiches-fabrication-maj-08-2020\</v>
      </c>
      <c r="D57" s="4936"/>
      <c r="E57" s="4936"/>
      <c r="F57" s="4936"/>
      <c r="G57" s="4936"/>
      <c r="H57" s="4936"/>
      <c r="I57" s="4900"/>
      <c r="J57" s="3061"/>
      <c r="K57" s="3050"/>
      <c r="L57" s="3063"/>
      <c r="M57" s="3063"/>
      <c r="N57" s="3063"/>
      <c r="O57" s="3063"/>
      <c r="P57" s="3050"/>
      <c r="Q57" s="3050"/>
      <c r="R57" s="3050"/>
      <c r="S57" s="3050"/>
      <c r="T57" s="3050"/>
      <c r="U57" s="3050"/>
      <c r="V57" s="3050"/>
      <c r="W57" s="3050"/>
      <c r="X57" s="3050"/>
      <c r="Y57" s="3050"/>
      <c r="Z57" s="3050"/>
      <c r="AA57" s="3050"/>
    </row>
    <row r="58" spans="1:27" s="1103" customFormat="1" ht="24.95" customHeight="1">
      <c r="A58" s="3040"/>
      <c r="B58" s="3056">
        <f>ROW()</f>
        <v>58</v>
      </c>
      <c r="C58" s="4908" t="str">
        <f ca="1">_xlfn.FORMULATEXT(C57)</f>
        <v>{=GAUCHE(CELLULE("filename";A1);CHERCHE("[";CELLULE("filename";A1))-1)}</v>
      </c>
      <c r="D58" s="4908"/>
      <c r="E58" s="4908"/>
      <c r="F58" s="4908"/>
      <c r="G58" s="4908"/>
      <c r="H58" s="4908"/>
      <c r="I58" s="4908"/>
      <c r="J58" s="3061"/>
      <c r="K58" s="3050"/>
      <c r="L58" s="4908"/>
      <c r="M58" s="4908"/>
      <c r="N58" s="4908"/>
      <c r="O58" s="3063"/>
      <c r="P58" s="3050"/>
      <c r="Q58" s="3050"/>
      <c r="R58" s="3050"/>
      <c r="S58" s="3050"/>
      <c r="T58" s="3050"/>
      <c r="U58" s="3050"/>
      <c r="V58" s="3050"/>
      <c r="W58" s="3050"/>
      <c r="X58" s="3050"/>
      <c r="Y58" s="3050"/>
      <c r="Z58" s="3050"/>
      <c r="AA58" s="3050"/>
    </row>
    <row r="59" spans="1:27" s="1103" customFormat="1" ht="24.95" customHeight="1" thickBot="1">
      <c r="A59" s="3040"/>
      <c r="B59" s="3081"/>
      <c r="C59" s="3066" t="s">
        <v>3160</v>
      </c>
      <c r="D59" s="3069"/>
      <c r="E59" s="3069"/>
      <c r="F59" s="3069"/>
      <c r="G59" s="3069"/>
      <c r="H59" s="3069"/>
      <c r="I59" s="3069"/>
      <c r="J59" s="3070"/>
      <c r="K59" s="3050"/>
      <c r="L59" s="3050"/>
      <c r="M59" s="3050"/>
      <c r="N59" s="3050"/>
      <c r="O59" s="3050"/>
      <c r="P59" s="3050"/>
      <c r="Q59" s="3050"/>
      <c r="R59" s="3050"/>
      <c r="S59" s="3050"/>
      <c r="T59" s="3050"/>
      <c r="U59" s="3050"/>
      <c r="V59" s="3050"/>
      <c r="W59" s="3050"/>
      <c r="X59" s="3050"/>
      <c r="Y59" s="3050"/>
      <c r="Z59" s="3050"/>
      <c r="AA59" s="3050"/>
    </row>
    <row r="60" spans="1:27" s="1103" customFormat="1" ht="24.95" customHeight="1" thickBot="1">
      <c r="A60" s="3040"/>
      <c r="B60" s="3041"/>
      <c r="C60" s="3050"/>
      <c r="D60" s="3071"/>
      <c r="E60" s="3071"/>
      <c r="F60" s="3072"/>
      <c r="G60" s="3072"/>
      <c r="H60" s="3072"/>
      <c r="I60" s="3072"/>
      <c r="J60" s="3073"/>
      <c r="K60" s="3050"/>
      <c r="L60" s="3050"/>
      <c r="M60" s="3050"/>
      <c r="N60" s="3050"/>
      <c r="O60" s="3050"/>
      <c r="P60" s="3050"/>
      <c r="Q60" s="3050"/>
      <c r="R60" s="3050"/>
      <c r="S60" s="3050"/>
      <c r="T60" s="3050"/>
      <c r="U60" s="3050"/>
      <c r="V60" s="3050"/>
      <c r="W60" s="3050"/>
      <c r="X60" s="3050"/>
      <c r="Y60" s="3050"/>
      <c r="Z60" s="3050"/>
      <c r="AA60" s="3050"/>
    </row>
    <row r="61" spans="1:27" s="1103" customFormat="1" ht="24.95" customHeight="1">
      <c r="A61" s="3040"/>
      <c r="B61" s="3051"/>
      <c r="C61" s="3052"/>
      <c r="D61" s="3053"/>
      <c r="E61" s="3053"/>
      <c r="F61" s="3053"/>
      <c r="G61" s="3053"/>
      <c r="H61" s="3053"/>
      <c r="I61" s="3053"/>
      <c r="J61" s="3054"/>
      <c r="K61" s="3052"/>
      <c r="L61" s="3055"/>
      <c r="M61" s="3050"/>
      <c r="N61" s="3050"/>
      <c r="O61" s="3050"/>
      <c r="P61" s="3050"/>
      <c r="Q61" s="3050"/>
      <c r="R61" s="3050"/>
      <c r="S61" s="3050"/>
      <c r="T61" s="3050"/>
      <c r="U61" s="3050"/>
      <c r="V61" s="3050"/>
      <c r="W61" s="3050"/>
      <c r="X61" s="3050"/>
      <c r="Y61" s="3050"/>
      <c r="Z61" s="3050"/>
      <c r="AA61" s="3050"/>
    </row>
    <row r="62" spans="1:27" s="1103" customFormat="1" ht="24.95" customHeight="1">
      <c r="A62" s="3040"/>
      <c r="B62" s="3056" t="s">
        <v>3158</v>
      </c>
      <c r="C62" s="3080" t="s">
        <v>3165</v>
      </c>
      <c r="D62" s="3085"/>
      <c r="E62" s="3060"/>
      <c r="F62" s="3060"/>
      <c r="G62" s="3060"/>
      <c r="H62" s="3060"/>
      <c r="I62" s="3060"/>
      <c r="J62" s="3060"/>
      <c r="K62" s="3060"/>
      <c r="L62" s="3061"/>
      <c r="M62" s="3050"/>
      <c r="N62" s="3050"/>
      <c r="O62" s="3050"/>
      <c r="P62" s="3050"/>
      <c r="Q62" s="3050"/>
      <c r="R62" s="3050"/>
      <c r="S62" s="3050"/>
      <c r="T62" s="3050"/>
      <c r="U62" s="3050"/>
      <c r="V62" s="3050"/>
      <c r="W62" s="3050"/>
      <c r="X62" s="3050"/>
      <c r="Y62" s="3050"/>
      <c r="Z62" s="3050"/>
      <c r="AA62" s="3050"/>
    </row>
    <row r="63" spans="1:27" s="1103" customFormat="1" ht="24.95" customHeight="1">
      <c r="A63" s="3040"/>
      <c r="B63" s="3056"/>
      <c r="C63" s="4899" t="str">
        <f t="array" aca="1" ref="C63" ca="1">LEFT(CELL("filename",A1),SEARCH("]",CELL("filename",A1)))</f>
        <v>E:\0-UPRT\1-UPRT.FR-SITE-WEB\ff-fiches-fabrications\ff-fiches-fabrication-maj-08-2020\[ff-8-restauration-Christian.Frechede.xlsx]</v>
      </c>
      <c r="D63" s="4936"/>
      <c r="E63" s="4960"/>
      <c r="F63" s="4960"/>
      <c r="G63" s="4960"/>
      <c r="H63" s="4960"/>
      <c r="I63" s="4960"/>
      <c r="J63" s="3087"/>
      <c r="K63" s="3087"/>
      <c r="L63" s="3088"/>
      <c r="M63" s="3050"/>
      <c r="N63" s="3063"/>
      <c r="O63" s="3063"/>
      <c r="P63" s="3050"/>
      <c r="Q63" s="3050"/>
      <c r="R63" s="3050"/>
      <c r="S63" s="3050"/>
      <c r="T63" s="3050"/>
      <c r="U63" s="3050"/>
      <c r="V63" s="3050"/>
      <c r="W63" s="3050"/>
      <c r="X63" s="3050"/>
      <c r="Y63" s="3050"/>
      <c r="Z63" s="3050"/>
      <c r="AA63" s="3050"/>
    </row>
    <row r="64" spans="1:27" s="1103" customFormat="1" ht="24.95" customHeight="1">
      <c r="A64" s="3040"/>
      <c r="B64" s="3056">
        <f>ROW()</f>
        <v>64</v>
      </c>
      <c r="C64" s="4908" t="str">
        <f ca="1">_xlfn.FORMULATEXT(C63)</f>
        <v>{=GAUCHE(CELLULE("filename";A1);CHERCHE("]";CELLULE("filename";A1)))}</v>
      </c>
      <c r="D64" s="4908"/>
      <c r="E64" s="4908"/>
      <c r="F64" s="4908"/>
      <c r="G64" s="4908"/>
      <c r="H64" s="4908"/>
      <c r="I64" s="4908"/>
      <c r="J64" s="4908"/>
      <c r="K64" s="4908"/>
      <c r="L64" s="3061"/>
      <c r="M64" s="3050"/>
      <c r="N64" s="4908"/>
      <c r="O64" s="4908"/>
      <c r="P64" s="3050"/>
      <c r="Q64" s="3050"/>
      <c r="R64" s="3050"/>
      <c r="S64" s="3050"/>
      <c r="T64" s="3050"/>
      <c r="U64" s="3050"/>
      <c r="V64" s="3050"/>
      <c r="W64" s="3050"/>
      <c r="X64" s="3050"/>
      <c r="Y64" s="3050"/>
      <c r="Z64" s="3050"/>
      <c r="AA64" s="3050"/>
    </row>
    <row r="65" spans="1:27" s="1103" customFormat="1" ht="24.95" customHeight="1" thickBot="1">
      <c r="A65" s="3040"/>
      <c r="B65" s="3065"/>
      <c r="C65" s="3066" t="s">
        <v>3160</v>
      </c>
      <c r="D65" s="3069"/>
      <c r="E65" s="3069"/>
      <c r="F65" s="3069"/>
      <c r="G65" s="3069"/>
      <c r="H65" s="3069"/>
      <c r="I65" s="3069"/>
      <c r="J65" s="3069"/>
      <c r="K65" s="3069"/>
      <c r="L65" s="3070"/>
      <c r="M65" s="3050"/>
      <c r="N65" s="3050"/>
      <c r="O65" s="3050"/>
      <c r="P65" s="3050"/>
      <c r="Q65" s="3050"/>
      <c r="R65" s="3050"/>
      <c r="S65" s="3050"/>
      <c r="T65" s="3050"/>
      <c r="U65" s="3050"/>
      <c r="V65" s="3050"/>
      <c r="W65" s="3050"/>
      <c r="X65" s="3050"/>
      <c r="Y65" s="3050"/>
      <c r="Z65" s="3050"/>
      <c r="AA65" s="3050"/>
    </row>
    <row r="66" spans="1:27" s="1103" customFormat="1" ht="24.95" customHeight="1" thickBot="1">
      <c r="A66" s="3040"/>
      <c r="B66" s="3041"/>
      <c r="C66" s="3050"/>
      <c r="D66" s="3071"/>
      <c r="E66" s="3071"/>
      <c r="F66" s="3072"/>
      <c r="G66" s="3072"/>
      <c r="H66" s="3072"/>
      <c r="I66" s="3072"/>
      <c r="J66" s="3073"/>
      <c r="K66" s="3050"/>
      <c r="L66" s="3050"/>
      <c r="M66" s="3050"/>
      <c r="N66" s="3050"/>
      <c r="O66" s="3050"/>
      <c r="P66" s="3050"/>
      <c r="Q66" s="3050"/>
      <c r="R66" s="3050"/>
      <c r="S66" s="3050"/>
      <c r="T66" s="3050"/>
      <c r="U66" s="3050"/>
      <c r="V66" s="3050"/>
      <c r="W66" s="3050"/>
      <c r="X66" s="3050"/>
      <c r="Y66" s="3050"/>
      <c r="Z66" s="3050"/>
      <c r="AA66" s="3050"/>
    </row>
    <row r="67" spans="1:27" s="1103" customFormat="1" ht="24.95" customHeight="1">
      <c r="A67" s="3040"/>
      <c r="B67" s="3074"/>
      <c r="C67" s="3075"/>
      <c r="D67" s="3076"/>
      <c r="E67" s="3076"/>
      <c r="F67" s="3077"/>
      <c r="G67" s="3077"/>
      <c r="H67" s="3077"/>
      <c r="I67" s="3089"/>
      <c r="J67" s="3073"/>
      <c r="K67" s="3050"/>
      <c r="L67" s="3050"/>
      <c r="M67" s="3050"/>
      <c r="N67" s="3050"/>
      <c r="O67" s="3050"/>
      <c r="P67" s="3050"/>
      <c r="Q67" s="3050"/>
      <c r="R67" s="3050"/>
      <c r="S67" s="3050"/>
      <c r="T67" s="3050"/>
      <c r="U67" s="3050"/>
      <c r="V67" s="3050"/>
      <c r="W67" s="3050"/>
      <c r="X67" s="3050"/>
      <c r="Y67" s="3050"/>
      <c r="Z67" s="3050"/>
      <c r="AA67" s="3050"/>
    </row>
    <row r="68" spans="1:27" s="1103" customFormat="1" ht="24.95" customHeight="1">
      <c r="A68" s="3040"/>
      <c r="B68" s="3056" t="s">
        <v>3158</v>
      </c>
      <c r="C68" s="3080" t="s">
        <v>3166</v>
      </c>
      <c r="D68" s="3050"/>
      <c r="E68" s="3071"/>
      <c r="F68" s="3072"/>
      <c r="G68" s="3072"/>
      <c r="H68" s="3072"/>
      <c r="I68" s="3090"/>
      <c r="J68" s="3073"/>
      <c r="K68" s="3050"/>
      <c r="L68" s="3050"/>
      <c r="M68" s="3050"/>
      <c r="N68" s="3050"/>
      <c r="O68" s="3050"/>
      <c r="P68" s="3050"/>
      <c r="Q68" s="3050"/>
      <c r="R68" s="3050"/>
      <c r="S68" s="3050"/>
      <c r="T68" s="3050"/>
      <c r="U68" s="3050"/>
      <c r="V68" s="3050"/>
      <c r="W68" s="3050"/>
      <c r="X68" s="3050"/>
      <c r="Y68" s="3050"/>
      <c r="Z68" s="3050"/>
      <c r="AA68" s="3050"/>
    </row>
    <row r="69" spans="1:27" s="1103" customFormat="1" ht="24.95" customHeight="1">
      <c r="A69" s="3040"/>
      <c r="B69" s="3056">
        <f>ROW()</f>
        <v>69</v>
      </c>
      <c r="C69" s="4961" t="s">
        <v>3167</v>
      </c>
      <c r="D69" s="3091"/>
      <c r="E69" s="3071"/>
      <c r="F69" s="3072"/>
      <c r="G69" s="3072"/>
      <c r="H69" s="3072"/>
      <c r="I69" s="3090"/>
      <c r="J69" s="3073"/>
      <c r="K69" s="3050"/>
      <c r="L69" s="3050"/>
      <c r="M69" s="3050"/>
      <c r="N69" s="3050"/>
      <c r="O69" s="3050"/>
      <c r="P69" s="3050"/>
      <c r="Q69" s="3050"/>
      <c r="R69" s="3050"/>
      <c r="S69" s="3050"/>
      <c r="T69" s="3050"/>
      <c r="U69" s="3050"/>
      <c r="V69" s="3050"/>
      <c r="W69" s="3050"/>
      <c r="X69" s="3050"/>
      <c r="Y69" s="3050"/>
      <c r="Z69" s="3050"/>
      <c r="AA69" s="3050"/>
    </row>
    <row r="70" spans="1:27" s="1103" customFormat="1" ht="24.95" customHeight="1" thickBot="1">
      <c r="A70" s="3040"/>
      <c r="B70" s="3081"/>
      <c r="C70" s="3066" t="s">
        <v>3168</v>
      </c>
      <c r="D70" s="3092"/>
      <c r="E70" s="3093"/>
      <c r="F70" s="3094"/>
      <c r="G70" s="3094"/>
      <c r="H70" s="3094"/>
      <c r="I70" s="3095"/>
      <c r="J70" s="3073"/>
      <c r="K70" s="3050"/>
      <c r="L70" s="3050"/>
      <c r="M70" s="3050"/>
      <c r="N70" s="3050"/>
      <c r="O70" s="3050"/>
      <c r="P70" s="3050"/>
      <c r="Q70" s="3050"/>
      <c r="R70" s="3050"/>
      <c r="S70" s="3050"/>
      <c r="T70" s="3050"/>
      <c r="U70" s="3050"/>
      <c r="V70" s="3050"/>
      <c r="W70" s="3050"/>
      <c r="X70" s="3050"/>
      <c r="Y70" s="3050"/>
      <c r="Z70" s="3050"/>
      <c r="AA70" s="3050"/>
    </row>
    <row r="71" spans="1:27" s="1103" customFormat="1" ht="24.95" customHeight="1">
      <c r="A71" s="3040"/>
      <c r="B71" s="3041"/>
      <c r="C71" s="3050"/>
      <c r="D71" s="3071"/>
      <c r="E71" s="3071"/>
      <c r="F71" s="3072"/>
      <c r="G71" s="3072"/>
      <c r="H71" s="3072"/>
      <c r="I71" s="3072"/>
      <c r="J71" s="3073"/>
      <c r="K71" s="3050"/>
      <c r="L71" s="3050"/>
      <c r="M71" s="3050"/>
      <c r="N71" s="3050"/>
      <c r="O71" s="3050"/>
      <c r="P71" s="3050"/>
      <c r="Q71" s="3050"/>
      <c r="R71" s="3050"/>
      <c r="S71" s="3050"/>
      <c r="T71" s="3050"/>
      <c r="U71" s="3050"/>
      <c r="V71" s="3050"/>
      <c r="W71" s="3050"/>
      <c r="X71" s="3050"/>
      <c r="Y71" s="3050"/>
      <c r="Z71" s="3050"/>
      <c r="AA71" s="3050"/>
    </row>
    <row r="72" spans="1:27" s="1103" customFormat="1" ht="24.95" customHeight="1">
      <c r="A72" s="3033"/>
      <c r="B72" s="3034"/>
      <c r="C72" s="3035"/>
      <c r="D72" s="3036"/>
      <c r="E72" s="3036"/>
      <c r="F72" s="3037"/>
      <c r="G72" s="3037"/>
      <c r="H72" s="3037"/>
      <c r="I72" s="3037"/>
      <c r="J72" s="3038"/>
      <c r="K72" s="3035"/>
      <c r="L72" s="3035"/>
      <c r="M72" s="3035"/>
      <c r="N72" s="3035"/>
      <c r="O72" s="3035"/>
      <c r="P72" s="3035"/>
      <c r="Q72" s="3035"/>
      <c r="R72" s="3035"/>
      <c r="S72" s="3035"/>
      <c r="T72" s="3035"/>
      <c r="U72" s="3035"/>
      <c r="V72" s="3035"/>
      <c r="W72" s="3035"/>
      <c r="X72" s="3035"/>
      <c r="Y72" s="3035"/>
      <c r="Z72" s="3035"/>
      <c r="AA72" s="3035"/>
    </row>
    <row r="73" spans="1:27" s="1103" customFormat="1" ht="24.95" customHeight="1">
      <c r="A73" s="3040"/>
      <c r="B73" s="3041"/>
      <c r="C73" s="3050"/>
      <c r="D73" s="3071"/>
      <c r="E73" s="3071"/>
      <c r="F73" s="3072"/>
      <c r="G73" s="3072"/>
      <c r="H73" s="3072"/>
      <c r="I73" s="3072"/>
      <c r="J73" s="3073"/>
      <c r="K73" s="3050"/>
      <c r="L73" s="3050"/>
      <c r="M73" s="3050"/>
      <c r="N73" s="3050"/>
      <c r="O73" s="3050"/>
      <c r="P73" s="3050"/>
      <c r="Q73" s="3050"/>
      <c r="R73" s="3050"/>
      <c r="S73" s="3050"/>
      <c r="T73" s="3050"/>
      <c r="U73" s="3050"/>
      <c r="V73" s="3050"/>
      <c r="W73" s="3050"/>
      <c r="X73" s="3050"/>
      <c r="Y73" s="3050"/>
      <c r="Z73" s="3050"/>
      <c r="AA73" s="3050"/>
    </row>
    <row r="74" spans="1:27" s="1103" customFormat="1" ht="24.95" customHeight="1" thickBot="1">
      <c r="A74" s="3040"/>
      <c r="B74" s="3041"/>
      <c r="C74" s="3050"/>
      <c r="D74" s="3071"/>
      <c r="E74" s="3071"/>
      <c r="F74" s="3072"/>
      <c r="G74" s="3072"/>
      <c r="H74" s="3072"/>
      <c r="I74" s="3072"/>
      <c r="J74" s="3073"/>
      <c r="K74" s="3050"/>
      <c r="L74" s="3050"/>
      <c r="M74" s="3050"/>
      <c r="N74" s="3050"/>
      <c r="O74" s="3050"/>
      <c r="P74" s="3050"/>
      <c r="Q74" s="3050"/>
      <c r="R74" s="3050"/>
      <c r="S74" s="3050"/>
      <c r="T74" s="3050"/>
      <c r="U74" s="3050"/>
      <c r="V74" s="3050"/>
      <c r="W74" s="3050"/>
      <c r="X74" s="3050"/>
      <c r="Y74" s="3050"/>
      <c r="Z74" s="3050"/>
      <c r="AA74" s="3050"/>
    </row>
    <row r="75" spans="1:27" s="1103" customFormat="1" ht="24.95" customHeight="1">
      <c r="A75" s="3040"/>
      <c r="B75" s="3051"/>
      <c r="C75" s="3052"/>
      <c r="D75" s="3053"/>
      <c r="E75" s="3053"/>
      <c r="F75" s="3053"/>
      <c r="G75" s="3053"/>
      <c r="H75" s="3053"/>
      <c r="I75" s="3053"/>
      <c r="J75" s="3054"/>
      <c r="K75" s="3052"/>
      <c r="L75" s="3052"/>
      <c r="M75" s="3055"/>
      <c r="N75" s="3050"/>
      <c r="O75" s="3050"/>
      <c r="P75" s="3050"/>
      <c r="Q75" s="3050"/>
      <c r="R75" s="3050"/>
      <c r="S75" s="3050"/>
      <c r="T75" s="3050"/>
      <c r="U75" s="3050"/>
      <c r="V75" s="3050"/>
      <c r="W75" s="3050"/>
      <c r="X75" s="3050"/>
      <c r="Y75" s="3050"/>
      <c r="Z75" s="3050"/>
      <c r="AA75" s="3050"/>
    </row>
    <row r="76" spans="1:27" s="1103" customFormat="1" ht="24.95" customHeight="1">
      <c r="A76" s="3040"/>
      <c r="B76" s="3056" t="s">
        <v>3158</v>
      </c>
      <c r="C76" s="3080" t="s">
        <v>3169</v>
      </c>
      <c r="D76" s="3058"/>
      <c r="E76" s="3058"/>
      <c r="F76" s="3058"/>
      <c r="G76" s="3058"/>
      <c r="H76" s="3058"/>
      <c r="I76" s="3058"/>
      <c r="J76" s="3059"/>
      <c r="K76" s="3060"/>
      <c r="L76" s="3060"/>
      <c r="M76" s="3061"/>
      <c r="N76" s="3050"/>
      <c r="O76" s="3050"/>
      <c r="P76" s="3050"/>
      <c r="Q76" s="3050"/>
      <c r="R76" s="3050"/>
      <c r="S76" s="3050"/>
      <c r="T76" s="3050"/>
      <c r="U76" s="3050"/>
      <c r="V76" s="3050"/>
      <c r="W76" s="3050"/>
      <c r="X76" s="3050"/>
      <c r="Y76" s="3050"/>
      <c r="Z76" s="3050"/>
      <c r="AA76" s="3050"/>
    </row>
    <row r="77" spans="1:27" s="1103" customFormat="1" ht="24.95" customHeight="1">
      <c r="A77" s="3040"/>
      <c r="B77" s="3056">
        <f>ROW()</f>
        <v>77</v>
      </c>
      <c r="C77" s="4899" t="str">
        <f ca="1">CELL("nomfichier")</f>
        <v>E:\0-UPRT\1-UPRT.FR-SITE-WEB\ff-fiches-fabrications\ff-fiches-fabrication-maj-08-2020\[ff-8-restauration-Christian.Frechede.xlsx]Formats-Formules-Fonctions</v>
      </c>
      <c r="D77" s="4936"/>
      <c r="E77" s="4936"/>
      <c r="F77" s="4936"/>
      <c r="G77" s="4936"/>
      <c r="H77" s="4936"/>
      <c r="I77" s="4936"/>
      <c r="J77" s="3096"/>
      <c r="K77" s="3096"/>
      <c r="L77" s="3097"/>
      <c r="M77" s="3098"/>
      <c r="N77" s="3050" t="s">
        <v>1239</v>
      </c>
      <c r="O77" s="3063"/>
      <c r="P77" s="3050"/>
      <c r="Q77" s="3050"/>
      <c r="R77" s="3050"/>
      <c r="S77" s="3050"/>
      <c r="T77" s="3050"/>
      <c r="U77" s="3050"/>
      <c r="V77" s="3050"/>
      <c r="W77" s="3050"/>
      <c r="X77" s="3050"/>
      <c r="Y77" s="3050"/>
      <c r="Z77" s="3050"/>
      <c r="AA77" s="3050"/>
    </row>
    <row r="78" spans="1:27" s="1103" customFormat="1" ht="24.95" customHeight="1">
      <c r="A78" s="3040"/>
      <c r="B78" s="3099"/>
      <c r="C78" s="4908" t="str">
        <f ca="1">_xlfn.FORMULATEXT(C77)</f>
        <v>=CELLULE("nomfichier")</v>
      </c>
      <c r="D78" s="4908"/>
      <c r="E78" s="4908"/>
      <c r="F78" s="4908"/>
      <c r="G78" s="4908"/>
      <c r="H78" s="4908"/>
      <c r="I78" s="4908"/>
      <c r="J78" s="4908"/>
      <c r="K78" s="4908"/>
      <c r="L78" s="4908"/>
      <c r="M78" s="3061"/>
      <c r="N78" s="3050"/>
      <c r="O78" s="4908"/>
      <c r="P78" s="3050"/>
      <c r="Q78" s="3050"/>
      <c r="R78" s="3050"/>
      <c r="S78" s="3050"/>
      <c r="T78" s="3050"/>
      <c r="U78" s="3050"/>
      <c r="V78" s="3050"/>
      <c r="W78" s="3050"/>
      <c r="X78" s="3050"/>
      <c r="Y78" s="3050"/>
      <c r="Z78" s="3050"/>
      <c r="AA78" s="3050"/>
    </row>
    <row r="79" spans="1:27" s="1103" customFormat="1" ht="24.95" customHeight="1" thickBot="1">
      <c r="A79" s="3040"/>
      <c r="B79" s="3065"/>
      <c r="C79" s="3100" t="s">
        <v>3170</v>
      </c>
      <c r="D79" s="3067"/>
      <c r="E79" s="3067"/>
      <c r="F79" s="3067"/>
      <c r="G79" s="3067"/>
      <c r="H79" s="3067"/>
      <c r="I79" s="3067"/>
      <c r="J79" s="3068"/>
      <c r="K79" s="3069"/>
      <c r="L79" s="3069"/>
      <c r="M79" s="3070"/>
      <c r="N79" s="3050"/>
      <c r="O79" s="3050"/>
      <c r="P79" s="3050"/>
      <c r="Q79" s="3050"/>
      <c r="R79" s="3050"/>
      <c r="S79" s="3050"/>
      <c r="T79" s="3050"/>
      <c r="U79" s="3050"/>
      <c r="V79" s="3050"/>
      <c r="W79" s="3050"/>
      <c r="X79" s="3050"/>
      <c r="Y79" s="3050"/>
      <c r="Z79" s="3050"/>
      <c r="AA79" s="3050"/>
    </row>
    <row r="80" spans="1:27" s="1103" customFormat="1" ht="24.95" customHeight="1" thickBot="1">
      <c r="A80" s="3040"/>
      <c r="B80" s="3041"/>
      <c r="C80" s="3050"/>
      <c r="D80" s="3071"/>
      <c r="E80" s="3071"/>
      <c r="F80" s="3072"/>
      <c r="G80" s="3072"/>
      <c r="H80" s="3072"/>
      <c r="I80" s="3072"/>
      <c r="J80" s="3073"/>
      <c r="K80" s="3050"/>
      <c r="L80" s="3050"/>
      <c r="M80" s="3050"/>
      <c r="N80" s="3050"/>
      <c r="O80" s="3050"/>
      <c r="P80" s="3050"/>
      <c r="Q80" s="3050"/>
      <c r="R80" s="3050"/>
      <c r="S80" s="3050"/>
      <c r="T80" s="3050"/>
      <c r="U80" s="3050"/>
      <c r="V80" s="3050"/>
      <c r="W80" s="3050"/>
      <c r="X80" s="3050"/>
      <c r="Y80" s="3050"/>
      <c r="Z80" s="3050"/>
      <c r="AA80" s="3050"/>
    </row>
    <row r="81" spans="1:27" s="1103" customFormat="1" ht="24.95" customHeight="1">
      <c r="A81" s="3040"/>
      <c r="B81" s="3051"/>
      <c r="C81" s="3052"/>
      <c r="D81" s="3053"/>
      <c r="E81" s="3053"/>
      <c r="F81" s="3053"/>
      <c r="G81" s="3053"/>
      <c r="H81" s="3053"/>
      <c r="I81" s="3053"/>
      <c r="J81" s="3054"/>
      <c r="K81" s="3055"/>
      <c r="L81" s="3050"/>
      <c r="M81" s="3050"/>
      <c r="N81" s="3050"/>
      <c r="O81" s="3050"/>
      <c r="P81" s="3050"/>
      <c r="Q81" s="3050"/>
      <c r="R81" s="3050"/>
      <c r="S81" s="3050"/>
      <c r="T81" s="3050"/>
      <c r="U81" s="3050"/>
      <c r="V81" s="3050"/>
      <c r="W81" s="3050"/>
      <c r="X81" s="3050"/>
      <c r="Y81" s="3050"/>
      <c r="Z81" s="3050"/>
      <c r="AA81" s="3050"/>
    </row>
    <row r="82" spans="1:27" s="1103" customFormat="1" ht="24.95" customHeight="1">
      <c r="A82" s="3040"/>
      <c r="B82" s="3056" t="s">
        <v>3158</v>
      </c>
      <c r="C82" s="3080" t="s">
        <v>3171</v>
      </c>
      <c r="D82" s="3058"/>
      <c r="E82" s="3058"/>
      <c r="F82" s="3058"/>
      <c r="G82" s="3058"/>
      <c r="H82" s="3058"/>
      <c r="I82" s="3058"/>
      <c r="J82" s="3059"/>
      <c r="K82" s="3061"/>
      <c r="L82" s="3050"/>
      <c r="M82" s="3050"/>
      <c r="N82" s="3050"/>
      <c r="O82" s="3050"/>
      <c r="P82" s="3050"/>
      <c r="Q82" s="3050"/>
      <c r="R82" s="3050"/>
      <c r="S82" s="3050"/>
      <c r="T82" s="3050"/>
      <c r="U82" s="3050"/>
      <c r="V82" s="3050"/>
      <c r="W82" s="3050"/>
      <c r="X82" s="3050"/>
      <c r="Y82" s="3050"/>
      <c r="Z82" s="3050"/>
      <c r="AA82" s="3050"/>
    </row>
    <row r="83" spans="1:27" s="1103" customFormat="1" ht="24.95" customHeight="1">
      <c r="A83" s="3040"/>
      <c r="B83" s="3056">
        <f>ROW()</f>
        <v>83</v>
      </c>
      <c r="C83" s="4962" t="s">
        <v>3172</v>
      </c>
      <c r="D83" s="3101"/>
      <c r="E83" s="3101"/>
      <c r="F83" s="3101"/>
      <c r="G83" s="3101"/>
      <c r="H83" s="3101"/>
      <c r="I83" s="3101"/>
      <c r="J83" s="3101"/>
      <c r="K83" s="3061"/>
      <c r="L83" s="3050"/>
      <c r="M83" s="3050"/>
      <c r="N83" s="3050"/>
      <c r="O83" s="3050"/>
      <c r="P83" s="3050"/>
      <c r="Q83" s="3050"/>
      <c r="R83" s="3050"/>
      <c r="S83" s="3050"/>
      <c r="T83" s="3050"/>
      <c r="U83" s="3050"/>
      <c r="V83" s="3050"/>
      <c r="W83" s="3050"/>
      <c r="X83" s="3050"/>
      <c r="Y83" s="3050"/>
      <c r="Z83" s="3050"/>
      <c r="AA83" s="3050"/>
    </row>
    <row r="84" spans="1:27" s="1103" customFormat="1" ht="24.95" customHeight="1" thickBot="1">
      <c r="A84" s="3040"/>
      <c r="B84" s="3065"/>
      <c r="C84" s="3100" t="s">
        <v>3173</v>
      </c>
      <c r="D84" s="3067"/>
      <c r="E84" s="3067"/>
      <c r="F84" s="3067"/>
      <c r="G84" s="3067"/>
      <c r="H84" s="3067"/>
      <c r="I84" s="3067"/>
      <c r="J84" s="3068"/>
      <c r="K84" s="3070"/>
      <c r="L84" s="3050"/>
      <c r="M84" s="3050"/>
      <c r="N84" s="3050"/>
      <c r="O84" s="3050"/>
      <c r="P84" s="3050"/>
      <c r="Q84" s="3050"/>
      <c r="R84" s="3050"/>
      <c r="S84" s="3050"/>
      <c r="T84" s="3050"/>
      <c r="U84" s="3050"/>
      <c r="V84" s="3050"/>
      <c r="W84" s="3050"/>
      <c r="X84" s="3050"/>
      <c r="Y84" s="3050"/>
      <c r="Z84" s="3050"/>
      <c r="AA84" s="3050"/>
    </row>
    <row r="85" spans="1:27" s="1103" customFormat="1" ht="24.95" customHeight="1" thickBot="1">
      <c r="A85" s="3040"/>
      <c r="B85" s="3041"/>
      <c r="C85" s="3050"/>
      <c r="D85" s="3071"/>
      <c r="E85" s="3071"/>
      <c r="F85" s="3072"/>
      <c r="G85" s="3072"/>
      <c r="H85" s="3072"/>
      <c r="I85" s="3072"/>
      <c r="J85" s="3073"/>
      <c r="K85" s="3050"/>
      <c r="L85" s="3050"/>
      <c r="M85" s="3050"/>
      <c r="N85" s="3050"/>
      <c r="O85" s="3050"/>
      <c r="P85" s="3050"/>
      <c r="Q85" s="3050"/>
      <c r="R85" s="3050"/>
      <c r="S85" s="3050"/>
      <c r="T85" s="3050"/>
      <c r="U85" s="3050"/>
      <c r="V85" s="3050"/>
      <c r="W85" s="3050"/>
      <c r="X85" s="3050"/>
      <c r="Y85" s="3050"/>
      <c r="Z85" s="3050"/>
      <c r="AA85" s="3050"/>
    </row>
    <row r="86" spans="1:27" s="1103" customFormat="1" ht="24.95" customHeight="1">
      <c r="A86" s="3040"/>
      <c r="B86" s="3051"/>
      <c r="C86" s="3052"/>
      <c r="D86" s="3053"/>
      <c r="E86" s="3053"/>
      <c r="F86" s="3053"/>
      <c r="G86" s="3053"/>
      <c r="H86" s="3053"/>
      <c r="I86" s="3053"/>
      <c r="J86" s="3054"/>
      <c r="K86" s="3052"/>
      <c r="L86" s="3052"/>
      <c r="M86" s="3052"/>
      <c r="N86" s="3052"/>
      <c r="O86" s="3052"/>
      <c r="P86" s="3055"/>
      <c r="Q86" s="3050"/>
      <c r="R86" s="3050"/>
      <c r="S86" s="3050"/>
      <c r="T86" s="3050"/>
      <c r="U86" s="3050"/>
      <c r="V86" s="3050"/>
      <c r="W86" s="3050"/>
      <c r="X86" s="3050"/>
      <c r="Y86" s="3050"/>
      <c r="Z86" s="3050"/>
      <c r="AA86" s="3050"/>
    </row>
    <row r="87" spans="1:27" s="1103" customFormat="1" ht="24.95" customHeight="1">
      <c r="A87" s="3040"/>
      <c r="B87" s="3056" t="s">
        <v>3158</v>
      </c>
      <c r="C87" s="3080" t="s">
        <v>3174</v>
      </c>
      <c r="D87" s="3085"/>
      <c r="E87" s="3060"/>
      <c r="F87" s="3060"/>
      <c r="G87" s="3060"/>
      <c r="H87" s="3060"/>
      <c r="I87" s="3060"/>
      <c r="J87" s="3060"/>
      <c r="K87" s="3060"/>
      <c r="L87" s="3060"/>
      <c r="M87" s="3060"/>
      <c r="N87" s="3060"/>
      <c r="O87" s="3060"/>
      <c r="P87" s="3061"/>
      <c r="Q87" s="3102"/>
      <c r="R87" s="3050"/>
      <c r="S87" s="3050"/>
      <c r="T87" s="3050"/>
      <c r="U87" s="3050"/>
      <c r="V87" s="3050"/>
      <c r="W87" s="3050"/>
      <c r="X87" s="3050"/>
      <c r="Y87" s="3050"/>
      <c r="Z87" s="3050"/>
      <c r="AA87" s="3050"/>
    </row>
    <row r="88" spans="1:27" s="1103" customFormat="1" ht="24.95" customHeight="1">
      <c r="A88" s="3040"/>
      <c r="B88" s="3056"/>
      <c r="C88" s="4899" t="str">
        <f ca="1">SUBSTITUTE(SUBSTITUTE(RIGHT(CELL("filename",A1),LEN(CELL("filename",A1))-SEARCH("[",CELL("filename",A1))+1),"[",""),"]"," ")</f>
        <v>ff-8-restauration-Christian.Frechede.xlsx Formats-Formules-Fonctions</v>
      </c>
      <c r="D88" s="4936"/>
      <c r="E88" s="4936"/>
      <c r="F88" s="4936"/>
      <c r="G88" s="4936"/>
      <c r="H88" s="4936"/>
      <c r="I88" s="4936"/>
      <c r="J88" s="3062"/>
      <c r="K88" s="3062"/>
      <c r="L88" s="3063"/>
      <c r="M88" s="3063"/>
      <c r="N88" s="3063"/>
      <c r="O88" s="3063"/>
      <c r="P88" s="3103"/>
      <c r="Q88" s="3102"/>
      <c r="R88" s="3050"/>
      <c r="S88" s="3050"/>
      <c r="T88" s="3050"/>
      <c r="U88" s="3050"/>
      <c r="V88" s="3050"/>
      <c r="W88" s="3050"/>
      <c r="X88" s="3050"/>
      <c r="Y88" s="3050"/>
      <c r="Z88" s="3050"/>
      <c r="AA88" s="3050"/>
    </row>
    <row r="89" spans="1:27" s="1103" customFormat="1" ht="24.95" customHeight="1">
      <c r="A89" s="3040"/>
      <c r="B89" s="3056">
        <f>ROW()</f>
        <v>89</v>
      </c>
      <c r="C89" s="4908" t="str">
        <f ca="1">_xlfn.FORMULATEXT(C88)</f>
        <v>=SUBSTITUE(SUBSTITUE(DROITE(CELLULE("filename";A1);NBCAR(CELLULE("filename";A1))-CHERCHE("[";CELLULE("filename";A1))+1);"[";"");"]";" ")</v>
      </c>
      <c r="D89" s="4908"/>
      <c r="E89" s="4908"/>
      <c r="F89" s="4908"/>
      <c r="G89" s="4908"/>
      <c r="H89" s="4908"/>
      <c r="I89" s="4908"/>
      <c r="J89" s="4908"/>
      <c r="K89" s="4908"/>
      <c r="L89" s="4908"/>
      <c r="M89" s="4908"/>
      <c r="N89" s="4908"/>
      <c r="O89" s="4908"/>
      <c r="P89" s="4963"/>
      <c r="Q89" s="3102"/>
      <c r="R89" s="3050"/>
      <c r="S89" s="3050"/>
      <c r="T89" s="3050"/>
      <c r="U89" s="3050"/>
      <c r="V89" s="3050"/>
      <c r="W89" s="3050"/>
      <c r="X89" s="3050"/>
      <c r="Y89" s="3050"/>
      <c r="Z89" s="3050"/>
      <c r="AA89" s="3050"/>
    </row>
    <row r="90" spans="1:27" s="1103" customFormat="1" ht="24.95" customHeight="1" thickBot="1">
      <c r="A90" s="3040"/>
      <c r="B90" s="3065"/>
      <c r="C90" s="3066" t="s">
        <v>3160</v>
      </c>
      <c r="D90" s="4964"/>
      <c r="E90" s="3067"/>
      <c r="F90" s="3067"/>
      <c r="G90" s="3067"/>
      <c r="H90" s="3067"/>
      <c r="I90" s="3067"/>
      <c r="J90" s="3069"/>
      <c r="K90" s="3069"/>
      <c r="L90" s="3069"/>
      <c r="M90" s="3069"/>
      <c r="N90" s="3069"/>
      <c r="O90" s="3069"/>
      <c r="P90" s="3070"/>
      <c r="Q90" s="3102"/>
      <c r="R90" s="3050"/>
      <c r="S90" s="3050"/>
      <c r="T90" s="3050"/>
      <c r="U90" s="3050"/>
      <c r="V90" s="3050"/>
      <c r="W90" s="3050"/>
      <c r="X90" s="3050"/>
      <c r="Y90" s="3050"/>
      <c r="Z90" s="3050"/>
      <c r="AA90" s="3050"/>
    </row>
    <row r="91" spans="1:27" s="1103" customFormat="1" ht="24.95" customHeight="1" thickBot="1">
      <c r="A91" s="3040"/>
      <c r="B91" s="3041"/>
      <c r="C91" s="3050"/>
      <c r="D91" s="3071"/>
      <c r="E91" s="3071"/>
      <c r="F91" s="3072"/>
      <c r="G91" s="3072"/>
      <c r="H91" s="3072"/>
      <c r="I91" s="3072"/>
      <c r="J91" s="3073"/>
      <c r="K91" s="3050"/>
      <c r="L91" s="3050"/>
      <c r="M91" s="3050"/>
      <c r="N91" s="3050"/>
      <c r="O91" s="3050"/>
      <c r="P91" s="3050"/>
      <c r="Q91" s="3050"/>
      <c r="R91" s="3050"/>
      <c r="S91" s="3050"/>
      <c r="T91" s="3050"/>
      <c r="U91" s="3050"/>
      <c r="V91" s="3050"/>
      <c r="W91" s="3050"/>
      <c r="X91" s="3050"/>
      <c r="Y91" s="3050"/>
      <c r="Z91" s="3050"/>
      <c r="AA91" s="3050"/>
    </row>
    <row r="92" spans="1:27" s="1103" customFormat="1" ht="24.95" customHeight="1">
      <c r="A92" s="3040"/>
      <c r="B92" s="3074"/>
      <c r="C92" s="3075"/>
      <c r="D92" s="3076"/>
      <c r="E92" s="3076"/>
      <c r="F92" s="3077"/>
      <c r="G92" s="3077"/>
      <c r="H92" s="3077"/>
      <c r="I92" s="3077"/>
      <c r="J92" s="3078"/>
      <c r="K92" s="3075"/>
      <c r="L92" s="3075"/>
      <c r="M92" s="3079"/>
      <c r="N92" s="3050"/>
      <c r="O92" s="3050"/>
      <c r="P92" s="3050"/>
      <c r="Q92" s="3050"/>
      <c r="R92" s="3050"/>
      <c r="S92" s="3050"/>
      <c r="T92" s="3050"/>
      <c r="U92" s="3050"/>
      <c r="V92" s="3050"/>
      <c r="W92" s="3050"/>
      <c r="X92" s="3050"/>
      <c r="Y92" s="3050"/>
      <c r="Z92" s="3050"/>
      <c r="AA92" s="3050"/>
    </row>
    <row r="93" spans="1:27" s="1103" customFormat="1" ht="24.95" customHeight="1">
      <c r="A93" s="3040"/>
      <c r="B93" s="3056" t="s">
        <v>3158</v>
      </c>
      <c r="C93" s="3080" t="s">
        <v>3175</v>
      </c>
      <c r="D93" s="3104"/>
      <c r="E93" s="3050"/>
      <c r="F93" s="3050"/>
      <c r="G93" s="3050"/>
      <c r="H93" s="3050"/>
      <c r="I93" s="3050"/>
      <c r="J93" s="3050"/>
      <c r="K93" s="3050"/>
      <c r="L93" s="3050"/>
      <c r="M93" s="3061"/>
      <c r="N93" s="3050"/>
      <c r="O93" s="3050"/>
      <c r="P93" s="3050"/>
      <c r="Q93" s="3050"/>
      <c r="R93" s="3050"/>
      <c r="S93" s="3050"/>
      <c r="T93" s="3050"/>
      <c r="U93" s="3050"/>
      <c r="V93" s="3050"/>
      <c r="W93" s="3050"/>
      <c r="X93" s="3050"/>
      <c r="Y93" s="3050"/>
      <c r="Z93" s="3050"/>
      <c r="AA93" s="3050"/>
    </row>
    <row r="94" spans="1:27" s="1103" customFormat="1" ht="24.95" customHeight="1">
      <c r="A94" s="3040"/>
      <c r="B94" s="3056"/>
      <c r="C94" s="4899" t="str">
        <f ca="1">SUBSTITUTE(SUBSTITUTE(LEFT(CELL("filename",A1),SEARCH("]",CELL("filename",A1))),"[",""),"]","")</f>
        <v>E:\0-UPRT\1-UPRT.FR-SITE-WEB\ff-fiches-fabrications\ff-fiches-fabrication-maj-08-2020\ff-8-restauration-Christian.Frechede.xlsx</v>
      </c>
      <c r="D94" s="4936"/>
      <c r="E94" s="4936"/>
      <c r="F94" s="4936"/>
      <c r="G94" s="4936"/>
      <c r="H94" s="4936"/>
      <c r="I94" s="4936"/>
      <c r="J94" s="4936"/>
      <c r="K94" s="4936"/>
      <c r="L94" s="4936"/>
      <c r="M94" s="3061"/>
      <c r="N94" s="3050"/>
      <c r="O94" s="3063"/>
      <c r="P94" s="3050"/>
      <c r="Q94" s="3050"/>
      <c r="R94" s="3050"/>
      <c r="S94" s="3050"/>
      <c r="T94" s="3050"/>
      <c r="U94" s="3050"/>
      <c r="V94" s="3050"/>
      <c r="W94" s="3050"/>
      <c r="X94" s="3050"/>
      <c r="Y94" s="3050"/>
      <c r="Z94" s="3050"/>
      <c r="AA94" s="3050"/>
    </row>
    <row r="95" spans="1:27" s="1103" customFormat="1" ht="24.95" customHeight="1">
      <c r="A95" s="3040"/>
      <c r="B95" s="3056">
        <f>ROW()</f>
        <v>95</v>
      </c>
      <c r="C95" s="4908" t="str">
        <f ca="1">_xlfn.FORMULATEXT(C94)</f>
        <v>=SUBSTITUE(SUBSTITUE(GAUCHE(CELLULE("filename";A1);CHERCHE("]";CELLULE("filename";A1)));"[";"");"]";"")</v>
      </c>
      <c r="D95" s="4908"/>
      <c r="E95" s="4908"/>
      <c r="F95" s="4908"/>
      <c r="G95" s="4908"/>
      <c r="H95" s="4908"/>
      <c r="I95" s="4908"/>
      <c r="J95" s="4908"/>
      <c r="K95" s="4908"/>
      <c r="L95" s="4908"/>
      <c r="M95" s="3061"/>
      <c r="N95" s="3050"/>
      <c r="O95" s="4908"/>
      <c r="P95" s="3050"/>
      <c r="Q95" s="3050"/>
      <c r="R95" s="3050"/>
      <c r="S95" s="3050"/>
      <c r="T95" s="3050"/>
      <c r="U95" s="3050"/>
      <c r="V95" s="3050"/>
      <c r="W95" s="3050"/>
      <c r="X95" s="3050"/>
      <c r="Y95" s="3050"/>
      <c r="Z95" s="3050"/>
      <c r="AA95" s="3050"/>
    </row>
    <row r="96" spans="1:27" s="1103" customFormat="1" ht="24.95" customHeight="1" thickBot="1">
      <c r="A96" s="3040"/>
      <c r="B96" s="3081"/>
      <c r="C96" s="3066" t="s">
        <v>3160</v>
      </c>
      <c r="D96" s="4964"/>
      <c r="E96" s="3067"/>
      <c r="F96" s="3067"/>
      <c r="G96" s="3067"/>
      <c r="H96" s="3067"/>
      <c r="I96" s="3067"/>
      <c r="J96" s="3105"/>
      <c r="K96" s="3092"/>
      <c r="L96" s="3092"/>
      <c r="M96" s="3106"/>
      <c r="N96" s="3050"/>
      <c r="O96" s="3050"/>
      <c r="P96" s="3050"/>
      <c r="Q96" s="3050"/>
      <c r="R96" s="3050"/>
      <c r="S96" s="3050"/>
      <c r="T96" s="3050"/>
      <c r="U96" s="3050"/>
      <c r="V96" s="3050"/>
      <c r="W96" s="3050"/>
      <c r="X96" s="3050"/>
      <c r="Y96" s="3050"/>
      <c r="Z96" s="3050"/>
      <c r="AA96" s="3050"/>
    </row>
    <row r="97" spans="1:27" s="1103" customFormat="1" ht="24.95" customHeight="1" thickBot="1">
      <c r="A97" s="3040"/>
      <c r="B97" s="3041"/>
      <c r="C97" s="3050"/>
      <c r="D97" s="3071"/>
      <c r="E97" s="3071"/>
      <c r="F97" s="3072"/>
      <c r="G97" s="3072"/>
      <c r="H97" s="3072"/>
      <c r="I97" s="3072"/>
      <c r="J97" s="3073"/>
      <c r="K97" s="3050"/>
      <c r="L97" s="3050"/>
      <c r="M97" s="3050"/>
      <c r="N97" s="3050"/>
      <c r="O97" s="3050"/>
      <c r="P97" s="3050"/>
      <c r="Q97" s="3050"/>
      <c r="R97" s="3050"/>
      <c r="S97" s="3050"/>
      <c r="T97" s="3050"/>
      <c r="U97" s="3050"/>
      <c r="V97" s="3050"/>
      <c r="W97" s="3050"/>
      <c r="X97" s="3050"/>
      <c r="Y97" s="3050"/>
      <c r="Z97" s="3050"/>
      <c r="AA97" s="3050"/>
    </row>
    <row r="98" spans="1:27" s="1103" customFormat="1" ht="24.95" customHeight="1">
      <c r="A98" s="3040"/>
      <c r="B98" s="3107"/>
      <c r="C98" s="3108"/>
      <c r="D98" s="3109"/>
      <c r="E98" s="3109"/>
      <c r="F98" s="3110"/>
      <c r="G98" s="3110"/>
      <c r="H98" s="3110"/>
      <c r="I98" s="3110"/>
      <c r="J98" s="3111"/>
      <c r="K98" s="3108"/>
      <c r="L98" s="3108"/>
      <c r="M98" s="3108"/>
      <c r="N98" s="3108"/>
      <c r="O98" s="3108"/>
      <c r="P98" s="3112"/>
      <c r="Q98" s="3050"/>
      <c r="R98" s="3050"/>
      <c r="S98" s="3050"/>
      <c r="T98" s="3050"/>
      <c r="U98" s="3050"/>
      <c r="V98" s="3050"/>
      <c r="W98" s="3050"/>
      <c r="X98" s="3050"/>
      <c r="Y98" s="3050"/>
      <c r="Z98" s="3050"/>
      <c r="AA98" s="3050"/>
    </row>
    <row r="99" spans="1:27" s="1103" customFormat="1" ht="24.95" customHeight="1">
      <c r="A99" s="3040"/>
      <c r="B99" s="3056" t="s">
        <v>3158</v>
      </c>
      <c r="C99" s="3080" t="s">
        <v>3176</v>
      </c>
      <c r="D99" s="3058"/>
      <c r="E99" s="3058"/>
      <c r="F99" s="3113"/>
      <c r="G99" s="3113"/>
      <c r="H99" s="3113"/>
      <c r="I99" s="3113"/>
      <c r="J99" s="3114"/>
      <c r="K99" s="3063"/>
      <c r="L99" s="3063"/>
      <c r="M99" s="3063"/>
      <c r="N99" s="3063"/>
      <c r="O99" s="3063"/>
      <c r="P99" s="3103"/>
      <c r="Q99" s="3050"/>
      <c r="R99" s="3050"/>
      <c r="S99" s="3050"/>
      <c r="T99" s="3050"/>
      <c r="U99" s="3050"/>
      <c r="V99" s="3050"/>
      <c r="W99" s="3050"/>
      <c r="X99" s="3050"/>
      <c r="Y99" s="3050"/>
      <c r="Z99" s="3050"/>
      <c r="AA99" s="3050"/>
    </row>
    <row r="100" spans="1:27" s="1103" customFormat="1" ht="24.95" customHeight="1">
      <c r="A100" s="3040"/>
      <c r="B100" s="3056"/>
      <c r="C100" s="4899" t="str">
        <f ca="1">IF(CELL("nomfichier",C55)="\\rcg006bur\usei_cartographie\[ff-29-formats-formules-pourcentages.xlsx]sites","","ff-29-formats-formules-pourcentages COPIE")</f>
        <v>ff-29-formats-formules-pourcentages COPIE</v>
      </c>
      <c r="D100" s="4936"/>
      <c r="E100" s="4936"/>
      <c r="F100" s="4936"/>
      <c r="G100" s="4900"/>
      <c r="H100" s="4900"/>
      <c r="I100" s="4900"/>
      <c r="J100" s="3062"/>
      <c r="K100" s="3062"/>
      <c r="L100" s="3063"/>
      <c r="M100" s="3063"/>
      <c r="N100" s="3063"/>
      <c r="O100" s="3063"/>
      <c r="P100" s="3103"/>
      <c r="Q100" s="3050"/>
      <c r="R100" s="3050"/>
      <c r="S100" s="3050"/>
      <c r="T100" s="3050"/>
      <c r="U100" s="3050"/>
      <c r="V100" s="3050"/>
      <c r="W100" s="3050"/>
      <c r="X100" s="3050"/>
      <c r="Y100" s="3050"/>
      <c r="Z100" s="3050"/>
      <c r="AA100" s="3050"/>
    </row>
    <row r="101" spans="1:27" s="1103" customFormat="1" ht="24.95" customHeight="1">
      <c r="A101" s="3040"/>
      <c r="B101" s="3056">
        <f>ROW()</f>
        <v>101</v>
      </c>
      <c r="C101" s="4908" t="str">
        <f ca="1">_xlfn.FORMULATEXT(C100)</f>
        <v>=SI(CELLULE("nomfichier";C55)="\\rcg006bur\usei_cartographie\[ff-29-formats-formules-pourcentages.xlsx]sites";"";"ff-29-formats-formules-pourcentages COPIE")</v>
      </c>
      <c r="D101" s="4908"/>
      <c r="E101" s="4908"/>
      <c r="F101" s="4908"/>
      <c r="G101" s="4908"/>
      <c r="H101" s="4908"/>
      <c r="I101" s="4908"/>
      <c r="J101" s="4908"/>
      <c r="K101" s="4908"/>
      <c r="L101" s="4908"/>
      <c r="M101" s="4908"/>
      <c r="N101" s="4908"/>
      <c r="O101" s="4908"/>
      <c r="P101" s="4963"/>
      <c r="Q101" s="3050"/>
      <c r="R101" s="3050"/>
      <c r="S101" s="3050"/>
      <c r="T101" s="3050"/>
      <c r="U101" s="3050"/>
      <c r="V101" s="3050"/>
      <c r="W101" s="3050"/>
      <c r="X101" s="3050"/>
      <c r="Y101" s="3050"/>
      <c r="Z101" s="3050"/>
      <c r="AA101" s="3050"/>
    </row>
    <row r="102" spans="1:27" s="1103" customFormat="1" ht="24.95" customHeight="1" thickBot="1">
      <c r="A102" s="3040"/>
      <c r="B102" s="3115"/>
      <c r="C102" s="3116" t="s">
        <v>3177</v>
      </c>
      <c r="D102" s="3117"/>
      <c r="E102" s="3117"/>
      <c r="F102" s="3118"/>
      <c r="G102" s="3118"/>
      <c r="H102" s="3118"/>
      <c r="I102" s="3118"/>
      <c r="J102" s="3119"/>
      <c r="K102" s="3119"/>
      <c r="L102" s="3119"/>
      <c r="M102" s="3119"/>
      <c r="N102" s="3119"/>
      <c r="O102" s="3119"/>
      <c r="P102" s="3120"/>
      <c r="Q102" s="3050"/>
      <c r="R102" s="3050"/>
      <c r="S102" s="3050"/>
      <c r="T102" s="3050"/>
      <c r="U102" s="3050"/>
      <c r="V102" s="3050"/>
      <c r="W102" s="3050"/>
      <c r="X102" s="3050"/>
      <c r="Y102" s="3050"/>
      <c r="Z102" s="3050"/>
      <c r="AA102" s="3050"/>
    </row>
    <row r="103" spans="1:27" s="1103" customFormat="1" ht="24.95" customHeight="1" thickBot="1">
      <c r="A103" s="3040"/>
      <c r="B103" s="3041"/>
      <c r="C103" s="3050"/>
      <c r="D103" s="3071"/>
      <c r="E103" s="3071"/>
      <c r="F103" s="3072"/>
      <c r="G103" s="3072"/>
      <c r="H103" s="3072"/>
      <c r="I103" s="3072"/>
      <c r="J103" s="3073"/>
      <c r="K103" s="3050"/>
      <c r="L103" s="3050"/>
      <c r="M103" s="3050"/>
      <c r="N103" s="3050"/>
      <c r="O103" s="3050"/>
      <c r="P103" s="3050"/>
      <c r="Q103" s="3050"/>
      <c r="R103" s="3050"/>
      <c r="S103" s="3050"/>
      <c r="T103" s="3050"/>
      <c r="U103" s="3050"/>
      <c r="V103" s="3050"/>
      <c r="W103" s="3050"/>
      <c r="X103" s="3050"/>
      <c r="Y103" s="3050"/>
      <c r="Z103" s="3050"/>
      <c r="AA103" s="3050"/>
    </row>
    <row r="104" spans="1:27" s="1103" customFormat="1" ht="24.95" customHeight="1">
      <c r="A104" s="3040"/>
      <c r="B104" s="3051"/>
      <c r="C104" s="3052"/>
      <c r="D104" s="3053"/>
      <c r="E104" s="3053"/>
      <c r="F104" s="3053"/>
      <c r="G104" s="3053"/>
      <c r="H104" s="3053"/>
      <c r="I104" s="3053"/>
      <c r="J104" s="3054"/>
      <c r="K104" s="3052"/>
      <c r="L104" s="3055"/>
      <c r="M104" s="3050"/>
      <c r="N104" s="3050"/>
      <c r="O104" s="3050"/>
      <c r="P104" s="3050"/>
      <c r="Q104" s="3050"/>
      <c r="R104" s="3050"/>
      <c r="S104" s="3050"/>
      <c r="T104" s="3050"/>
      <c r="U104" s="3050"/>
      <c r="V104" s="3050"/>
      <c r="W104" s="3050"/>
      <c r="X104" s="3050"/>
      <c r="Y104" s="3050"/>
      <c r="Z104" s="3050"/>
      <c r="AA104" s="3050"/>
    </row>
    <row r="105" spans="1:27" s="1103" customFormat="1" ht="24.95" customHeight="1">
      <c r="A105" s="3040"/>
      <c r="B105" s="3099"/>
      <c r="C105" s="3080" t="s">
        <v>3178</v>
      </c>
      <c r="D105" s="3121"/>
      <c r="E105" s="3122"/>
      <c r="F105" s="3058"/>
      <c r="G105" s="3058"/>
      <c r="H105" s="3058"/>
      <c r="I105" s="3058"/>
      <c r="J105" s="3059"/>
      <c r="K105" s="3060"/>
      <c r="L105" s="3061"/>
      <c r="M105" s="3050"/>
      <c r="N105" s="3050"/>
      <c r="O105" s="3050"/>
      <c r="P105" s="3050"/>
      <c r="Q105" s="3050"/>
      <c r="R105" s="3050"/>
      <c r="S105" s="3050"/>
      <c r="T105" s="3050"/>
      <c r="U105" s="3050"/>
      <c r="V105" s="3050"/>
      <c r="W105" s="3050"/>
      <c r="X105" s="3050"/>
      <c r="Y105" s="3050"/>
      <c r="Z105" s="3050"/>
      <c r="AA105" s="3050"/>
    </row>
    <row r="106" spans="1:27" s="1103" customFormat="1" ht="24.95" customHeight="1" thickBot="1">
      <c r="A106" s="3040"/>
      <c r="B106" s="3056" t="s">
        <v>3158</v>
      </c>
      <c r="C106" s="4965" t="s">
        <v>3179</v>
      </c>
      <c r="D106" s="3121"/>
      <c r="E106" s="3122"/>
      <c r="F106" s="3058"/>
      <c r="G106" s="3058"/>
      <c r="H106" s="3058"/>
      <c r="I106" s="3058"/>
      <c r="J106" s="3059"/>
      <c r="K106" s="3060"/>
      <c r="L106" s="3061"/>
      <c r="M106" s="3050"/>
      <c r="N106" s="3050"/>
      <c r="O106" s="3050"/>
      <c r="P106" s="3050"/>
      <c r="Q106" s="3050"/>
      <c r="R106" s="3050"/>
      <c r="S106" s="3050"/>
      <c r="T106" s="3050"/>
      <c r="U106" s="3050"/>
      <c r="V106" s="3050"/>
      <c r="W106" s="3050"/>
      <c r="X106" s="3050"/>
      <c r="Y106" s="3050"/>
      <c r="Z106" s="3050"/>
      <c r="AA106" s="3050"/>
    </row>
    <row r="107" spans="1:27" s="1103" customFormat="1" ht="24.95" customHeight="1" thickBot="1">
      <c r="A107" s="3040"/>
      <c r="B107" s="3056">
        <f>ROW()</f>
        <v>107</v>
      </c>
      <c r="C107" s="4966" t="s">
        <v>3180</v>
      </c>
      <c r="D107" s="4967"/>
      <c r="E107" s="4968" t="str">
        <f>RIGHT(C107,LEN(C107)-SEARCH(" ",C107))&amp;" "&amp;LEFT(C107,SEARCH(" ",C107))</f>
        <v xml:space="preserve">paul  legendre </v>
      </c>
      <c r="F107" s="4969"/>
      <c r="G107" s="4900"/>
      <c r="H107" s="4900"/>
      <c r="I107" s="4900"/>
      <c r="J107" s="4900"/>
      <c r="K107" s="4900"/>
      <c r="L107" s="3061"/>
      <c r="M107" s="3050"/>
      <c r="N107" s="3063"/>
      <c r="O107" s="3063"/>
      <c r="P107" s="3063"/>
      <c r="Q107" s="3063"/>
      <c r="R107" s="3050"/>
      <c r="S107" s="3050"/>
      <c r="T107" s="3050"/>
      <c r="U107" s="3050"/>
      <c r="V107" s="3050"/>
      <c r="W107" s="3050"/>
      <c r="X107" s="3050"/>
      <c r="Y107" s="3050"/>
      <c r="Z107" s="3050"/>
      <c r="AA107" s="3050"/>
    </row>
    <row r="108" spans="1:27" s="1103" customFormat="1" ht="24.95" customHeight="1">
      <c r="A108" s="3040"/>
      <c r="B108" s="3099"/>
      <c r="C108" s="3060"/>
      <c r="D108" s="3058"/>
      <c r="E108" s="4908" t="str">
        <f ca="1">_xlfn.FORMULATEXT(E107)</f>
        <v>=DROITE(C107;NBCAR(C107)-CHERCHE(" ";C107))&amp;" "&amp;GAUCHE(C107;CHERCHE(" ";C107))</v>
      </c>
      <c r="F108" s="4908"/>
      <c r="G108" s="4908"/>
      <c r="H108" s="4908"/>
      <c r="I108" s="4908"/>
      <c r="J108" s="4908"/>
      <c r="K108" s="4908"/>
      <c r="L108" s="3061"/>
      <c r="M108" s="3050"/>
      <c r="N108" s="4908"/>
      <c r="O108" s="4908"/>
      <c r="P108" s="4908"/>
      <c r="Q108" s="4908"/>
      <c r="R108" s="3050"/>
      <c r="S108" s="3050"/>
      <c r="T108" s="3050"/>
      <c r="U108" s="3050"/>
      <c r="V108" s="3050"/>
      <c r="W108" s="3050"/>
      <c r="X108" s="3050"/>
      <c r="Y108" s="3050"/>
      <c r="Z108" s="3050"/>
      <c r="AA108" s="3050"/>
    </row>
    <row r="109" spans="1:27" s="1103" customFormat="1" ht="24.95" customHeight="1" thickBot="1">
      <c r="A109" s="3040"/>
      <c r="B109" s="3065"/>
      <c r="C109" s="3069"/>
      <c r="D109" s="3067"/>
      <c r="E109" s="3066" t="s">
        <v>3181</v>
      </c>
      <c r="F109" s="3067"/>
      <c r="G109" s="3067"/>
      <c r="H109" s="3067"/>
      <c r="I109" s="3067"/>
      <c r="J109" s="3068"/>
      <c r="K109" s="3069"/>
      <c r="L109" s="3070"/>
      <c r="M109" s="3050"/>
      <c r="N109" s="3050"/>
      <c r="O109" s="3050"/>
      <c r="P109" s="3050"/>
      <c r="Q109" s="3050"/>
      <c r="R109" s="3050"/>
      <c r="S109" s="3050"/>
      <c r="T109" s="3050"/>
      <c r="U109" s="3050"/>
      <c r="V109" s="3050"/>
      <c r="W109" s="3050"/>
      <c r="X109" s="3050"/>
      <c r="Y109" s="3050"/>
      <c r="Z109" s="3050"/>
      <c r="AA109" s="3050"/>
    </row>
    <row r="110" spans="1:27" s="1103" customFormat="1" ht="24.95" customHeight="1" thickBot="1">
      <c r="A110" s="3040"/>
      <c r="B110" s="3041"/>
      <c r="C110" s="3050"/>
      <c r="D110" s="3071"/>
      <c r="E110" s="3071"/>
      <c r="F110" s="3072"/>
      <c r="G110" s="3072"/>
      <c r="H110" s="3072"/>
      <c r="I110" s="3072"/>
      <c r="J110" s="3073"/>
      <c r="K110" s="3050"/>
      <c r="L110" s="3050"/>
      <c r="M110" s="3050"/>
      <c r="N110" s="3050"/>
      <c r="O110" s="3050"/>
      <c r="P110" s="3050"/>
      <c r="Q110" s="3050"/>
      <c r="R110" s="3050"/>
      <c r="S110" s="3050"/>
      <c r="T110" s="3050"/>
      <c r="U110" s="3050"/>
      <c r="V110" s="3050"/>
      <c r="W110" s="3050"/>
      <c r="X110" s="3050"/>
      <c r="Y110" s="3050"/>
      <c r="Z110" s="3050"/>
      <c r="AA110" s="3050"/>
    </row>
    <row r="111" spans="1:27" s="1103" customFormat="1" ht="24.95" customHeight="1">
      <c r="A111" s="3040"/>
      <c r="B111" s="3051"/>
      <c r="C111" s="3052"/>
      <c r="D111" s="3053"/>
      <c r="E111" s="3053"/>
      <c r="F111" s="3053"/>
      <c r="G111" s="3053"/>
      <c r="H111" s="3053"/>
      <c r="I111" s="3053"/>
      <c r="J111" s="3078"/>
      <c r="K111" s="3079"/>
      <c r="L111" s="3050"/>
      <c r="M111" s="3050"/>
      <c r="N111" s="3050"/>
      <c r="O111" s="3050"/>
      <c r="P111" s="3050"/>
      <c r="Q111" s="3050"/>
      <c r="R111" s="3050"/>
      <c r="S111" s="3050"/>
      <c r="T111" s="3050"/>
      <c r="U111" s="3050"/>
      <c r="V111" s="3050"/>
      <c r="W111" s="3050"/>
      <c r="X111" s="3050"/>
      <c r="Y111" s="3050"/>
      <c r="Z111" s="3050"/>
      <c r="AA111" s="3050"/>
    </row>
    <row r="112" spans="1:27" s="1103" customFormat="1" ht="24.95" customHeight="1">
      <c r="A112" s="3040"/>
      <c r="B112" s="3099"/>
      <c r="C112" s="3080" t="s">
        <v>3182</v>
      </c>
      <c r="D112" s="3058"/>
      <c r="E112" s="3058"/>
      <c r="F112" s="3058"/>
      <c r="G112" s="3058"/>
      <c r="H112" s="3058"/>
      <c r="I112" s="3058"/>
      <c r="J112" s="3073"/>
      <c r="K112" s="3123"/>
      <c r="L112" s="3050"/>
      <c r="M112" s="3050"/>
      <c r="N112" s="3050"/>
      <c r="O112" s="3050"/>
      <c r="P112" s="3050"/>
      <c r="Q112" s="3050"/>
      <c r="R112" s="3050"/>
      <c r="S112" s="3050"/>
      <c r="T112" s="3050"/>
      <c r="U112" s="3050"/>
      <c r="V112" s="3050"/>
      <c r="W112" s="3050"/>
      <c r="X112" s="3050"/>
      <c r="Y112" s="3050"/>
      <c r="Z112" s="3050"/>
      <c r="AA112" s="3050"/>
    </row>
    <row r="113" spans="1:27" s="1103" customFormat="1" ht="24.95" customHeight="1">
      <c r="A113" s="3040"/>
      <c r="B113" s="3056" t="s">
        <v>3158</v>
      </c>
      <c r="C113" s="3058"/>
      <c r="D113" s="3058"/>
      <c r="E113" s="3058"/>
      <c r="F113" s="3058"/>
      <c r="G113" s="3058"/>
      <c r="H113" s="3058"/>
      <c r="I113" s="3058"/>
      <c r="J113" s="3073"/>
      <c r="K113" s="3123"/>
      <c r="L113" s="3050"/>
      <c r="M113" s="3050"/>
      <c r="N113" s="3050"/>
      <c r="O113" s="3050"/>
      <c r="P113" s="3050"/>
      <c r="Q113" s="3050"/>
      <c r="R113" s="3050"/>
      <c r="S113" s="3050"/>
      <c r="T113" s="3050"/>
      <c r="U113" s="3050"/>
      <c r="V113" s="3050"/>
      <c r="W113" s="3050"/>
      <c r="X113" s="3050"/>
      <c r="Y113" s="3050"/>
      <c r="Z113" s="3050"/>
      <c r="AA113" s="3050"/>
    </row>
    <row r="114" spans="1:27" s="1103" customFormat="1" ht="24.95" customHeight="1">
      <c r="A114" s="3040"/>
      <c r="B114" s="3056">
        <f>ROW()</f>
        <v>114</v>
      </c>
      <c r="C114" s="3124">
        <v>5</v>
      </c>
      <c r="D114" s="4970">
        <f>RANK(C114,C114:C118,0)</f>
        <v>3</v>
      </c>
      <c r="E114" s="4908" t="str">
        <f ca="1">_xlfn.FORMULATEXT(D114)</f>
        <v>=RANG(C114;C114:C118;0)</v>
      </c>
      <c r="F114" s="3122"/>
      <c r="G114" s="3058"/>
      <c r="H114" s="3071"/>
      <c r="I114" s="3058"/>
      <c r="J114" s="3073"/>
      <c r="K114" s="3123"/>
      <c r="L114" s="3050"/>
      <c r="M114" s="3050"/>
      <c r="N114" s="3050"/>
      <c r="O114" s="3050"/>
      <c r="P114" s="3050"/>
      <c r="Q114" s="3050"/>
      <c r="R114" s="3050"/>
      <c r="S114" s="3050"/>
      <c r="T114" s="3050"/>
      <c r="U114" s="3050"/>
      <c r="V114" s="3050"/>
      <c r="W114" s="3050"/>
      <c r="X114" s="3050"/>
      <c r="Y114" s="3050"/>
      <c r="Z114" s="3050"/>
      <c r="AA114" s="3050"/>
    </row>
    <row r="115" spans="1:27" s="1103" customFormat="1" ht="24.95" customHeight="1">
      <c r="A115" s="3040"/>
      <c r="B115" s="3099"/>
      <c r="C115" s="3124">
        <v>8</v>
      </c>
      <c r="D115" s="4970">
        <f>RANK(C115,C114:C118,0)</f>
        <v>1</v>
      </c>
      <c r="E115" s="3125" t="s">
        <v>3183</v>
      </c>
      <c r="F115" s="3122"/>
      <c r="G115" s="3058"/>
      <c r="H115" s="3058"/>
      <c r="I115" s="3058"/>
      <c r="J115" s="3073"/>
      <c r="K115" s="3123"/>
      <c r="L115" s="3050"/>
      <c r="M115" s="3050"/>
      <c r="N115" s="3050"/>
      <c r="O115" s="3050"/>
      <c r="P115" s="3050"/>
      <c r="Q115" s="3050"/>
      <c r="R115" s="3050"/>
      <c r="S115" s="3050"/>
      <c r="T115" s="3050"/>
      <c r="U115" s="3050"/>
      <c r="V115" s="3050"/>
      <c r="W115" s="3050"/>
      <c r="X115" s="3050"/>
      <c r="Y115" s="3050"/>
      <c r="Z115" s="3050"/>
      <c r="AA115" s="3050"/>
    </row>
    <row r="116" spans="1:27" s="1103" customFormat="1" ht="24.95" customHeight="1">
      <c r="A116" s="3040"/>
      <c r="B116" s="3099"/>
      <c r="C116" s="3124">
        <v>4</v>
      </c>
      <c r="D116" s="4970">
        <f>RANK(C116,C114:C118,0)</f>
        <v>4</v>
      </c>
      <c r="E116" s="3121"/>
      <c r="F116" s="3122"/>
      <c r="G116" s="3058"/>
      <c r="H116" s="3058"/>
      <c r="I116" s="3058"/>
      <c r="J116" s="3073"/>
      <c r="K116" s="3123"/>
      <c r="L116" s="3050"/>
      <c r="M116" s="3050"/>
      <c r="N116" s="3050"/>
      <c r="O116" s="3050"/>
      <c r="P116" s="3050"/>
      <c r="Q116" s="3050"/>
      <c r="R116" s="3050"/>
      <c r="S116" s="3050"/>
      <c r="T116" s="3050"/>
      <c r="U116" s="3050"/>
      <c r="V116" s="3050"/>
      <c r="W116" s="3050"/>
      <c r="X116" s="3050"/>
      <c r="Y116" s="3050"/>
      <c r="Z116" s="3050"/>
      <c r="AA116" s="3050"/>
    </row>
    <row r="117" spans="1:27" s="1103" customFormat="1" ht="24.95" customHeight="1">
      <c r="A117" s="3040"/>
      <c r="B117" s="3099"/>
      <c r="C117" s="3124">
        <v>1</v>
      </c>
      <c r="D117" s="4970">
        <f>RANK(C117,C114:C118,0)</f>
        <v>5</v>
      </c>
      <c r="E117" s="3121"/>
      <c r="F117" s="3122"/>
      <c r="G117" s="3058"/>
      <c r="H117" s="3058"/>
      <c r="I117" s="3058"/>
      <c r="J117" s="3073"/>
      <c r="K117" s="3123"/>
      <c r="L117" s="3050"/>
      <c r="M117" s="3050"/>
      <c r="N117" s="3050"/>
      <c r="O117" s="3050"/>
      <c r="P117" s="3050"/>
      <c r="Q117" s="3050"/>
      <c r="R117" s="3050"/>
      <c r="S117" s="3050"/>
      <c r="T117" s="3050"/>
      <c r="U117" s="3050"/>
      <c r="V117" s="3050"/>
      <c r="W117" s="3050"/>
      <c r="X117" s="3050"/>
      <c r="Y117" s="3050"/>
      <c r="Z117" s="3050"/>
      <c r="AA117" s="3050"/>
    </row>
    <row r="118" spans="1:27" s="1103" customFormat="1" ht="24.95" customHeight="1">
      <c r="A118" s="3040"/>
      <c r="B118" s="3099"/>
      <c r="C118" s="3124">
        <v>7</v>
      </c>
      <c r="D118" s="4970">
        <f>RANK(C118,C114:C118,0)</f>
        <v>2</v>
      </c>
      <c r="E118" s="3121"/>
      <c r="F118" s="3122"/>
      <c r="G118" s="3058"/>
      <c r="H118" s="3058"/>
      <c r="I118" s="3058"/>
      <c r="J118" s="3073"/>
      <c r="K118" s="3123"/>
      <c r="L118" s="3050"/>
      <c r="M118" s="3050"/>
      <c r="N118" s="3050"/>
      <c r="O118" s="3050"/>
      <c r="P118" s="3050"/>
      <c r="Q118" s="3050"/>
      <c r="R118" s="3050"/>
      <c r="S118" s="3050"/>
      <c r="T118" s="3050"/>
      <c r="U118" s="3050"/>
      <c r="V118" s="3050"/>
      <c r="W118" s="3050"/>
      <c r="X118" s="3050"/>
      <c r="Y118" s="3050"/>
      <c r="Z118" s="3050"/>
      <c r="AA118" s="3050"/>
    </row>
    <row r="119" spans="1:27" s="1103" customFormat="1" ht="24.95" customHeight="1" thickBot="1">
      <c r="A119" s="3040"/>
      <c r="B119" s="3126" t="s">
        <v>3276</v>
      </c>
      <c r="C119" s="3069"/>
      <c r="D119" s="3067"/>
      <c r="E119" s="3067"/>
      <c r="F119" s="3067"/>
      <c r="G119" s="3067"/>
      <c r="H119" s="3067"/>
      <c r="I119" s="3067"/>
      <c r="J119" s="3105"/>
      <c r="K119" s="3106"/>
      <c r="L119" s="3050"/>
      <c r="M119" s="3050"/>
      <c r="N119" s="3050"/>
      <c r="O119" s="3050"/>
      <c r="P119" s="3050"/>
      <c r="Q119" s="3050"/>
      <c r="R119" s="3050"/>
      <c r="S119" s="3050"/>
      <c r="T119" s="3050"/>
      <c r="U119" s="3050"/>
      <c r="V119" s="3050"/>
      <c r="W119" s="3050"/>
      <c r="X119" s="3050"/>
      <c r="Y119" s="3050"/>
      <c r="Z119" s="3050"/>
      <c r="AA119" s="3050"/>
    </row>
    <row r="120" spans="1:27" s="1103" customFormat="1" ht="24.95" customHeight="1" thickBot="1">
      <c r="A120" s="3040"/>
      <c r="B120" s="3041"/>
      <c r="C120" s="3050"/>
      <c r="D120" s="3071"/>
      <c r="E120" s="3071"/>
      <c r="F120" s="3072"/>
      <c r="G120" s="3072"/>
      <c r="H120" s="3072"/>
      <c r="I120" s="3072"/>
      <c r="J120" s="3073"/>
      <c r="K120" s="3050"/>
      <c r="L120" s="3050"/>
      <c r="M120" s="3050"/>
      <c r="N120" s="3050"/>
      <c r="O120" s="3050"/>
      <c r="P120" s="3050"/>
      <c r="Q120" s="3050"/>
      <c r="R120" s="3050"/>
      <c r="S120" s="3050"/>
      <c r="T120" s="3050"/>
      <c r="U120" s="3050"/>
      <c r="V120" s="3050"/>
      <c r="W120" s="3050"/>
      <c r="X120" s="3050"/>
      <c r="Y120" s="3050"/>
      <c r="Z120" s="3050"/>
      <c r="AA120" s="3050"/>
    </row>
    <row r="121" spans="1:27" s="1103" customFormat="1" ht="24.95" customHeight="1">
      <c r="A121" s="3040"/>
      <c r="B121" s="3051"/>
      <c r="C121" s="3052"/>
      <c r="D121" s="3053"/>
      <c r="E121" s="3053"/>
      <c r="F121" s="3053"/>
      <c r="G121" s="3053"/>
      <c r="H121" s="3053"/>
      <c r="I121" s="3053"/>
      <c r="J121" s="3054"/>
      <c r="K121" s="3055"/>
      <c r="L121" s="3050"/>
      <c r="M121" s="3050"/>
      <c r="N121" s="3050"/>
      <c r="O121" s="3050"/>
      <c r="P121" s="3050"/>
      <c r="Q121" s="3050"/>
      <c r="R121" s="3050"/>
      <c r="S121" s="3050"/>
      <c r="T121" s="3050"/>
      <c r="U121" s="3050"/>
      <c r="V121" s="3050"/>
      <c r="W121" s="3050"/>
      <c r="X121" s="3050"/>
      <c r="Y121" s="3050"/>
      <c r="Z121" s="3050"/>
      <c r="AA121" s="3050"/>
    </row>
    <row r="122" spans="1:27" s="1103" customFormat="1" ht="24.95" customHeight="1">
      <c r="A122" s="3040"/>
      <c r="B122" s="3099"/>
      <c r="C122" s="3080" t="s">
        <v>3184</v>
      </c>
      <c r="D122" s="4971"/>
      <c r="E122" s="3121"/>
      <c r="F122" s="3122"/>
      <c r="G122" s="3058"/>
      <c r="H122" s="3058"/>
      <c r="I122" s="3058"/>
      <c r="J122" s="3059"/>
      <c r="K122" s="3061"/>
      <c r="L122" s="3050"/>
      <c r="M122" s="3050"/>
      <c r="N122" s="3050"/>
      <c r="O122" s="3050"/>
      <c r="P122" s="3050"/>
      <c r="Q122" s="3050"/>
      <c r="R122" s="3050"/>
      <c r="S122" s="3050"/>
      <c r="T122" s="3050"/>
      <c r="U122" s="3050"/>
      <c r="V122" s="3050"/>
      <c r="W122" s="3050"/>
      <c r="X122" s="3050"/>
      <c r="Y122" s="3050"/>
      <c r="Z122" s="3050"/>
      <c r="AA122" s="3050"/>
    </row>
    <row r="123" spans="1:27" s="1103" customFormat="1" ht="24.95" customHeight="1">
      <c r="A123" s="3040"/>
      <c r="B123" s="3099"/>
      <c r="C123" s="4965" t="s">
        <v>3185</v>
      </c>
      <c r="D123" s="3060"/>
      <c r="E123" s="3121"/>
      <c r="F123" s="3122"/>
      <c r="G123" s="3058"/>
      <c r="H123" s="3058"/>
      <c r="I123" s="3058"/>
      <c r="J123" s="3059"/>
      <c r="K123" s="3061"/>
      <c r="L123" s="3050"/>
      <c r="M123" s="3050"/>
      <c r="N123" s="3050"/>
      <c r="O123" s="3050"/>
      <c r="P123" s="3050"/>
      <c r="Q123" s="3050"/>
      <c r="R123" s="3050"/>
      <c r="S123" s="3050"/>
      <c r="T123" s="3050"/>
      <c r="U123" s="3050"/>
      <c r="V123" s="3050"/>
      <c r="W123" s="3050"/>
      <c r="X123" s="3050"/>
      <c r="Y123" s="3050"/>
      <c r="Z123" s="3050"/>
      <c r="AA123" s="3050"/>
    </row>
    <row r="124" spans="1:27" s="1103" customFormat="1" ht="24.95" customHeight="1">
      <c r="A124" s="3040"/>
      <c r="B124" s="3099"/>
      <c r="C124" s="4965" t="s">
        <v>3186</v>
      </c>
      <c r="D124" s="3060"/>
      <c r="E124" s="3121"/>
      <c r="F124" s="3122"/>
      <c r="G124" s="3058"/>
      <c r="H124" s="3058"/>
      <c r="I124" s="3058"/>
      <c r="J124" s="3059"/>
      <c r="K124" s="3061"/>
      <c r="L124" s="3050"/>
      <c r="M124" s="3050"/>
      <c r="N124" s="3050"/>
      <c r="O124" s="3050"/>
      <c r="P124" s="3050"/>
      <c r="Q124" s="3050"/>
      <c r="R124" s="3050"/>
      <c r="S124" s="3050"/>
      <c r="T124" s="3050"/>
      <c r="U124" s="3050"/>
      <c r="V124" s="3050"/>
      <c r="W124" s="3050"/>
      <c r="X124" s="3050"/>
      <c r="Y124" s="3050"/>
      <c r="Z124" s="3050"/>
      <c r="AA124" s="3050"/>
    </row>
    <row r="125" spans="1:27" s="1103" customFormat="1" ht="24.95" customHeight="1">
      <c r="A125" s="3040"/>
      <c r="B125" s="3099"/>
      <c r="C125" s="4971" t="s">
        <v>3187</v>
      </c>
      <c r="D125" s="3060"/>
      <c r="E125" s="3121"/>
      <c r="F125" s="3122"/>
      <c r="G125" s="3058"/>
      <c r="H125" s="3058"/>
      <c r="I125" s="3058"/>
      <c r="J125" s="3059"/>
      <c r="K125" s="3061"/>
      <c r="L125" s="3050"/>
      <c r="M125" s="3050"/>
      <c r="N125" s="3050"/>
      <c r="O125" s="3050"/>
      <c r="P125" s="3050"/>
      <c r="Q125" s="3050"/>
      <c r="R125" s="3050"/>
      <c r="S125" s="3050"/>
      <c r="T125" s="3050"/>
      <c r="U125" s="3050"/>
      <c r="V125" s="3050"/>
      <c r="W125" s="3050"/>
      <c r="X125" s="3050"/>
      <c r="Y125" s="3050"/>
      <c r="Z125" s="3050"/>
      <c r="AA125" s="3050"/>
    </row>
    <row r="126" spans="1:27" s="1103" customFormat="1" ht="24.95" customHeight="1">
      <c r="A126" s="3040"/>
      <c r="B126" s="3056" t="s">
        <v>3158</v>
      </c>
      <c r="C126" s="3058"/>
      <c r="D126" s="3058"/>
      <c r="E126" s="3058"/>
      <c r="F126" s="3058"/>
      <c r="G126" s="3058"/>
      <c r="H126" s="3058"/>
      <c r="I126" s="3058"/>
      <c r="J126" s="3059"/>
      <c r="K126" s="3061"/>
      <c r="L126" s="3050"/>
      <c r="M126" s="3050"/>
      <c r="N126" s="3050"/>
      <c r="O126" s="3050"/>
      <c r="P126" s="3050"/>
      <c r="Q126" s="3050"/>
      <c r="R126" s="3050"/>
      <c r="S126" s="3050"/>
      <c r="T126" s="3050"/>
      <c r="U126" s="3050"/>
      <c r="V126" s="3050"/>
      <c r="W126" s="3050"/>
      <c r="X126" s="3050"/>
      <c r="Y126" s="3050"/>
      <c r="Z126" s="3050"/>
      <c r="AA126" s="3050"/>
    </row>
    <row r="127" spans="1:27" s="1103" customFormat="1" ht="24.95" customHeight="1">
      <c r="A127" s="3040"/>
      <c r="B127" s="3056">
        <f>ROW()</f>
        <v>127</v>
      </c>
      <c r="C127" s="3124">
        <v>5</v>
      </c>
      <c r="D127" s="4972" t="str">
        <f>REPT(CHAR(7),RANK(C127,C127:C131,1))</f>
        <v>_x0007__x0007__x0007_</v>
      </c>
      <c r="E127" s="4908" t="str">
        <f ca="1">_xlfn.FORMULATEXT(D127)</f>
        <v>=REPT(CAR(7);RANG(C127;C127:C131;1))</v>
      </c>
      <c r="F127" s="3122"/>
      <c r="G127" s="3122"/>
      <c r="H127" s="3122"/>
      <c r="I127" s="3058"/>
      <c r="J127" s="3059"/>
      <c r="K127" s="3061"/>
      <c r="L127" s="3050"/>
      <c r="M127" s="3050"/>
      <c r="N127" s="3050"/>
      <c r="O127" s="3050"/>
      <c r="P127" s="3050"/>
      <c r="Q127" s="3050"/>
      <c r="R127" s="3050"/>
      <c r="S127" s="3050"/>
      <c r="T127" s="3050"/>
      <c r="U127" s="3050"/>
      <c r="V127" s="3050"/>
      <c r="W127" s="3050"/>
      <c r="X127" s="3050"/>
      <c r="Y127" s="3050"/>
      <c r="Z127" s="3050"/>
      <c r="AA127" s="3050"/>
    </row>
    <row r="128" spans="1:27" s="1103" customFormat="1" ht="24.95" customHeight="1">
      <c r="A128" s="3040"/>
      <c r="B128" s="3099"/>
      <c r="C128" s="3124">
        <v>8</v>
      </c>
      <c r="D128" s="4972" t="str">
        <f>REPT(CHAR(7),RANK(C128,C127:C131,1))</f>
        <v>_x0007__x0007__x0007__x0007__x0007_</v>
      </c>
      <c r="E128" s="3121"/>
      <c r="F128" s="3122"/>
      <c r="G128" s="3058"/>
      <c r="H128" s="3058"/>
      <c r="I128" s="3058"/>
      <c r="J128" s="3059"/>
      <c r="K128" s="3061"/>
      <c r="L128" s="3050"/>
      <c r="M128" s="3050"/>
      <c r="N128" s="3050"/>
      <c r="O128" s="3050"/>
      <c r="P128" s="3050"/>
      <c r="Q128" s="3050"/>
      <c r="R128" s="3050"/>
      <c r="S128" s="3050"/>
      <c r="T128" s="3050"/>
      <c r="U128" s="3050"/>
      <c r="V128" s="3050"/>
      <c r="W128" s="3050"/>
      <c r="X128" s="3050"/>
      <c r="Y128" s="3050"/>
      <c r="Z128" s="3050"/>
      <c r="AA128" s="3050"/>
    </row>
    <row r="129" spans="1:27" s="1103" customFormat="1" ht="24.95" customHeight="1">
      <c r="A129" s="3040"/>
      <c r="B129" s="3099"/>
      <c r="C129" s="3124">
        <v>4</v>
      </c>
      <c r="D129" s="4972" t="str">
        <f>REPT(CHAR(7),RANK(C129,C127:C131,1))</f>
        <v>_x0007__x0007_</v>
      </c>
      <c r="E129" s="3121"/>
      <c r="F129" s="3122"/>
      <c r="G129" s="3058"/>
      <c r="H129" s="3058"/>
      <c r="I129" s="3058"/>
      <c r="J129" s="3059"/>
      <c r="K129" s="3061"/>
      <c r="L129" s="3050"/>
      <c r="M129" s="3050"/>
      <c r="N129" s="3050"/>
      <c r="O129" s="3050"/>
      <c r="P129" s="3050"/>
      <c r="Q129" s="3050"/>
      <c r="R129" s="3050"/>
      <c r="S129" s="3050"/>
      <c r="T129" s="3050"/>
      <c r="U129" s="3050"/>
      <c r="V129" s="3050"/>
      <c r="W129" s="3050"/>
      <c r="X129" s="3050"/>
      <c r="Y129" s="3050"/>
      <c r="Z129" s="3050"/>
      <c r="AA129" s="3050"/>
    </row>
    <row r="130" spans="1:27" s="1103" customFormat="1" ht="24.95" customHeight="1">
      <c r="A130" s="3040"/>
      <c r="B130" s="3099"/>
      <c r="C130" s="3124">
        <v>1</v>
      </c>
      <c r="D130" s="4972" t="str">
        <f>REPT(CHAR(7),RANK(C130,C127:C131,1))</f>
        <v>_x0007_</v>
      </c>
      <c r="E130" s="3121"/>
      <c r="F130" s="3122"/>
      <c r="G130" s="3058"/>
      <c r="H130" s="3058"/>
      <c r="I130" s="3058"/>
      <c r="J130" s="3059"/>
      <c r="K130" s="3061"/>
      <c r="L130" s="3050"/>
      <c r="M130" s="3050"/>
      <c r="N130" s="3050"/>
      <c r="O130" s="3050"/>
      <c r="P130" s="3050"/>
      <c r="Q130" s="3050"/>
      <c r="R130" s="3050"/>
      <c r="S130" s="3050"/>
      <c r="T130" s="3050"/>
      <c r="U130" s="3050"/>
      <c r="V130" s="3050"/>
      <c r="W130" s="3050"/>
      <c r="X130" s="3050"/>
      <c r="Y130" s="3050"/>
      <c r="Z130" s="3050"/>
      <c r="AA130" s="3050"/>
    </row>
    <row r="131" spans="1:27" s="1103" customFormat="1" ht="24.95" customHeight="1">
      <c r="A131" s="3040"/>
      <c r="B131" s="3099"/>
      <c r="C131" s="3124">
        <v>7</v>
      </c>
      <c r="D131" s="4972" t="str">
        <f>REPT(CHAR(7),RANK(C131,C127:C131,1))</f>
        <v>_x0007__x0007__x0007__x0007_</v>
      </c>
      <c r="E131" s="3121"/>
      <c r="F131" s="3122"/>
      <c r="G131" s="3058"/>
      <c r="H131" s="3058"/>
      <c r="I131" s="3058"/>
      <c r="J131" s="3059"/>
      <c r="K131" s="3061"/>
      <c r="L131" s="3050"/>
      <c r="M131" s="3050"/>
      <c r="N131" s="3050"/>
      <c r="O131" s="3050"/>
      <c r="P131" s="3050"/>
      <c r="Q131" s="3050"/>
      <c r="R131" s="3050"/>
      <c r="S131" s="3050"/>
      <c r="T131" s="3050"/>
      <c r="U131" s="3050"/>
      <c r="V131" s="3050"/>
      <c r="W131" s="3050"/>
      <c r="X131" s="3050"/>
      <c r="Y131" s="3050"/>
      <c r="Z131" s="3050"/>
      <c r="AA131" s="3050"/>
    </row>
    <row r="132" spans="1:27" s="1103" customFormat="1" ht="24.95" customHeight="1" thickBot="1">
      <c r="A132" s="3040"/>
      <c r="B132" s="3126" t="s">
        <v>3276</v>
      </c>
      <c r="C132" s="3069"/>
      <c r="D132" s="3127"/>
      <c r="E132" s="3127"/>
      <c r="F132" s="3127"/>
      <c r="G132" s="3067"/>
      <c r="H132" s="3067"/>
      <c r="I132" s="3067"/>
      <c r="J132" s="3068"/>
      <c r="K132" s="3070"/>
      <c r="L132" s="3050"/>
      <c r="M132" s="3050"/>
      <c r="N132" s="3050"/>
      <c r="O132" s="3050"/>
      <c r="P132" s="3050"/>
      <c r="Q132" s="3050"/>
      <c r="R132" s="3050"/>
      <c r="S132" s="3050"/>
      <c r="T132" s="3050"/>
      <c r="U132" s="3050"/>
      <c r="V132" s="3050"/>
      <c r="W132" s="3050"/>
      <c r="X132" s="3050"/>
      <c r="Y132" s="3050"/>
      <c r="Z132" s="3050"/>
      <c r="AA132" s="3050"/>
    </row>
    <row r="133" spans="1:27" s="1103" customFormat="1" ht="24.95" customHeight="1" thickBot="1">
      <c r="A133" s="3040"/>
      <c r="B133" s="3041"/>
      <c r="C133" s="3050"/>
      <c r="D133" s="3071"/>
      <c r="E133" s="3071"/>
      <c r="F133" s="3072"/>
      <c r="G133" s="3072"/>
      <c r="H133" s="3072"/>
      <c r="I133" s="3072"/>
      <c r="J133" s="3073"/>
      <c r="K133" s="3050"/>
      <c r="L133" s="3050"/>
      <c r="M133" s="3050"/>
      <c r="N133" s="3050"/>
      <c r="O133" s="3050"/>
      <c r="P133" s="3050"/>
      <c r="Q133" s="3050"/>
      <c r="R133" s="3050"/>
      <c r="S133" s="3050"/>
      <c r="T133" s="3050"/>
      <c r="U133" s="3050"/>
      <c r="V133" s="3050"/>
      <c r="W133" s="3050"/>
      <c r="X133" s="3050"/>
      <c r="Y133" s="3050"/>
      <c r="Z133" s="3050"/>
      <c r="AA133" s="3050"/>
    </row>
    <row r="134" spans="1:27" s="1103" customFormat="1" ht="24.95" customHeight="1">
      <c r="A134" s="3128"/>
      <c r="B134" s="3129"/>
      <c r="C134" s="3130"/>
      <c r="D134" s="3109"/>
      <c r="E134" s="3109"/>
      <c r="F134" s="3109"/>
      <c r="G134" s="3109"/>
      <c r="H134" s="3109"/>
      <c r="I134" s="3131"/>
      <c r="J134" s="3059"/>
      <c r="K134" s="3060"/>
      <c r="L134" s="3060"/>
      <c r="M134" s="3050"/>
      <c r="N134" s="3050"/>
      <c r="O134" s="3050"/>
      <c r="P134" s="3050"/>
      <c r="Q134" s="3050"/>
      <c r="R134" s="3050"/>
      <c r="S134" s="3050"/>
      <c r="T134" s="3050"/>
      <c r="U134" s="3050"/>
      <c r="V134" s="3050"/>
      <c r="W134" s="3050"/>
      <c r="X134" s="3050"/>
      <c r="Y134" s="3050"/>
      <c r="Z134" s="3050"/>
      <c r="AA134" s="3050"/>
    </row>
    <row r="135" spans="1:27" s="1103" customFormat="1" ht="24.95" customHeight="1">
      <c r="A135" s="3128"/>
      <c r="B135" s="3132"/>
      <c r="C135" s="3080" t="s">
        <v>3188</v>
      </c>
      <c r="D135" s="3058"/>
      <c r="E135" s="3058"/>
      <c r="F135" s="3058"/>
      <c r="G135" s="3058"/>
      <c r="H135" s="3058"/>
      <c r="I135" s="3133"/>
      <c r="J135" s="3059"/>
      <c r="K135" s="3060"/>
      <c r="L135" s="3060"/>
      <c r="M135" s="3050"/>
      <c r="N135" s="3050"/>
      <c r="O135" s="3050"/>
      <c r="P135" s="3050"/>
      <c r="Q135" s="3050"/>
      <c r="R135" s="3050"/>
      <c r="S135" s="3050"/>
      <c r="T135" s="3050"/>
      <c r="U135" s="3050"/>
      <c r="V135" s="3050"/>
      <c r="W135" s="3050"/>
      <c r="X135" s="3050"/>
      <c r="Y135" s="3050"/>
      <c r="Z135" s="3050"/>
      <c r="AA135" s="3050"/>
    </row>
    <row r="136" spans="1:27" s="1103" customFormat="1" ht="24.95" customHeight="1">
      <c r="A136" s="3128"/>
      <c r="B136" s="3056" t="s">
        <v>3189</v>
      </c>
      <c r="C136" s="3060"/>
      <c r="D136" s="3060"/>
      <c r="E136" s="3058"/>
      <c r="F136" s="3058"/>
      <c r="G136" s="3134"/>
      <c r="H136" s="3060"/>
      <c r="I136" s="3135"/>
      <c r="J136" s="3060"/>
      <c r="K136" s="3060"/>
      <c r="L136" s="3060"/>
      <c r="M136" s="3050"/>
      <c r="N136" s="3050"/>
      <c r="O136" s="3050"/>
      <c r="P136" s="3050"/>
      <c r="Q136" s="3050"/>
      <c r="R136" s="3050"/>
      <c r="S136" s="3050"/>
      <c r="T136" s="3050"/>
      <c r="U136" s="3050"/>
      <c r="V136" s="3050"/>
      <c r="W136" s="3050"/>
      <c r="X136" s="3050"/>
      <c r="Y136" s="3050"/>
      <c r="Z136" s="3050"/>
      <c r="AA136" s="3050"/>
    </row>
    <row r="137" spans="1:27" s="1103" customFormat="1" ht="24.95" customHeight="1">
      <c r="A137" s="3128"/>
      <c r="B137" s="3136">
        <f>ROW()</f>
        <v>137</v>
      </c>
      <c r="C137" s="4973">
        <f ca="1">TODAY()</f>
        <v>44545</v>
      </c>
      <c r="D137" s="4973"/>
      <c r="E137" s="4973"/>
      <c r="F137" s="3125"/>
      <c r="G137" s="4908" t="str">
        <f ca="1">_xlfn.FORMULATEXT(C137)</f>
        <v>=AUJOURDHUI()</v>
      </c>
      <c r="H137" s="3060"/>
      <c r="I137" s="3135"/>
      <c r="J137" s="3060"/>
      <c r="K137" s="3060"/>
      <c r="L137" s="3060"/>
      <c r="M137" s="3050"/>
      <c r="N137" s="3050"/>
      <c r="O137" s="3050"/>
      <c r="P137" s="3050"/>
      <c r="Q137" s="3050"/>
      <c r="R137" s="3050"/>
      <c r="S137" s="3050"/>
      <c r="T137" s="3050"/>
      <c r="U137" s="3050"/>
      <c r="V137" s="3050"/>
      <c r="W137" s="3050"/>
      <c r="X137" s="3050"/>
      <c r="Y137" s="3050"/>
      <c r="Z137" s="3050"/>
      <c r="AA137" s="3050"/>
    </row>
    <row r="138" spans="1:27" s="1103" customFormat="1" ht="24.95" customHeight="1">
      <c r="A138" s="3128"/>
      <c r="B138" s="3132"/>
      <c r="C138" s="3125" t="s">
        <v>3190</v>
      </c>
      <c r="D138" s="3122"/>
      <c r="E138" s="3122"/>
      <c r="F138" s="3122"/>
      <c r="G138" s="3122"/>
      <c r="H138" s="3060"/>
      <c r="I138" s="3135"/>
      <c r="J138" s="3060"/>
      <c r="K138" s="3060"/>
      <c r="L138" s="3060"/>
      <c r="M138" s="3050"/>
      <c r="N138" s="3050"/>
      <c r="O138" s="3050"/>
      <c r="P138" s="3050"/>
      <c r="Q138" s="3050"/>
      <c r="R138" s="3050"/>
      <c r="S138" s="3050"/>
      <c r="T138" s="3050"/>
      <c r="U138" s="3050"/>
      <c r="V138" s="3050"/>
      <c r="W138" s="3050"/>
      <c r="X138" s="3050"/>
      <c r="Y138" s="3050"/>
      <c r="Z138" s="3050"/>
      <c r="AA138" s="3050"/>
    </row>
    <row r="139" spans="1:27" s="1103" customFormat="1" ht="24.95" customHeight="1">
      <c r="A139" s="3128"/>
      <c r="B139" s="3132"/>
      <c r="C139" s="3125"/>
      <c r="D139" s="3122"/>
      <c r="E139" s="3122"/>
      <c r="F139" s="3122"/>
      <c r="G139" s="3122"/>
      <c r="H139" s="3060"/>
      <c r="I139" s="3135"/>
      <c r="J139" s="3060"/>
      <c r="K139" s="3060"/>
      <c r="L139" s="3060"/>
      <c r="M139" s="3050"/>
      <c r="N139" s="3050"/>
      <c r="O139" s="3050"/>
      <c r="P139" s="3050"/>
      <c r="Q139" s="3050"/>
      <c r="R139" s="3050"/>
      <c r="S139" s="3050"/>
      <c r="T139" s="3050"/>
      <c r="U139" s="3050"/>
      <c r="V139" s="3050"/>
      <c r="W139" s="3050"/>
      <c r="X139" s="3050"/>
      <c r="Y139" s="3050"/>
      <c r="Z139" s="3050"/>
      <c r="AA139" s="3050"/>
    </row>
    <row r="140" spans="1:27" s="1103" customFormat="1" ht="24.95" customHeight="1">
      <c r="A140" s="3128"/>
      <c r="B140" s="3136">
        <f>ROW()</f>
        <v>140</v>
      </c>
      <c r="C140" s="4973">
        <f ca="1">NOW()</f>
        <v>44545.461550462962</v>
      </c>
      <c r="D140" s="4973"/>
      <c r="E140" s="4973"/>
      <c r="F140" s="3125"/>
      <c r="G140" s="4908" t="str">
        <f ca="1">_xlfn.FORMULATEXT(C140)</f>
        <v>=MAINTENANT()</v>
      </c>
      <c r="H140" s="3060"/>
      <c r="I140" s="3135"/>
      <c r="J140" s="3060"/>
      <c r="K140" s="3060"/>
      <c r="L140" s="3060"/>
      <c r="M140" s="3050"/>
      <c r="N140" s="3050"/>
      <c r="O140" s="3050"/>
      <c r="P140" s="3050"/>
      <c r="Q140" s="3050"/>
      <c r="R140" s="3050"/>
      <c r="S140" s="3050"/>
      <c r="T140" s="3050"/>
      <c r="U140" s="3050"/>
      <c r="V140" s="3050"/>
      <c r="W140" s="3050"/>
      <c r="X140" s="3050"/>
      <c r="Y140" s="3050"/>
      <c r="Z140" s="3050"/>
      <c r="AA140" s="3050"/>
    </row>
    <row r="141" spans="1:27" s="1103" customFormat="1" ht="24.95" customHeight="1">
      <c r="A141" s="3128"/>
      <c r="B141" s="3132"/>
      <c r="C141" s="3125" t="s">
        <v>3190</v>
      </c>
      <c r="D141" s="3122"/>
      <c r="E141" s="3122"/>
      <c r="F141" s="3122"/>
      <c r="G141" s="3122"/>
      <c r="H141" s="3060"/>
      <c r="I141" s="3135"/>
      <c r="J141" s="3060"/>
      <c r="K141" s="3060"/>
      <c r="L141" s="3060"/>
      <c r="M141" s="3050"/>
      <c r="N141" s="3050"/>
      <c r="O141" s="3050"/>
      <c r="P141" s="3050"/>
      <c r="Q141" s="3050"/>
      <c r="R141" s="3050"/>
      <c r="S141" s="3050"/>
      <c r="T141" s="3050"/>
      <c r="U141" s="3050"/>
      <c r="V141" s="3050"/>
      <c r="W141" s="3050"/>
      <c r="X141" s="3050"/>
      <c r="Y141" s="3050"/>
      <c r="Z141" s="3050"/>
      <c r="AA141" s="3050"/>
    </row>
    <row r="142" spans="1:27" s="1103" customFormat="1" ht="24.95" customHeight="1">
      <c r="A142" s="3128"/>
      <c r="B142" s="3132"/>
      <c r="C142" s="3122"/>
      <c r="D142" s="3122"/>
      <c r="E142" s="3122"/>
      <c r="F142" s="3122"/>
      <c r="G142" s="3122"/>
      <c r="H142" s="3060"/>
      <c r="I142" s="3135"/>
      <c r="J142" s="3060"/>
      <c r="K142" s="3060"/>
      <c r="L142" s="3060"/>
      <c r="M142" s="3050"/>
      <c r="N142" s="3050"/>
      <c r="O142" s="3050"/>
      <c r="P142" s="3050"/>
      <c r="Q142" s="3050"/>
      <c r="R142" s="3050"/>
      <c r="S142" s="3050"/>
      <c r="T142" s="3050"/>
      <c r="U142" s="3050"/>
      <c r="V142" s="3050"/>
      <c r="W142" s="3050"/>
      <c r="X142" s="3050"/>
      <c r="Y142" s="3050"/>
      <c r="Z142" s="3050"/>
      <c r="AA142" s="3050"/>
    </row>
    <row r="143" spans="1:27" s="1103" customFormat="1" ht="24.95" customHeight="1">
      <c r="A143" s="3128"/>
      <c r="B143" s="3136">
        <f>ROW()</f>
        <v>143</v>
      </c>
      <c r="C143" s="4974">
        <f ca="1">NOW()</f>
        <v>44545.461550462962</v>
      </c>
      <c r="D143" s="4974"/>
      <c r="E143" s="4974"/>
      <c r="F143" s="3125"/>
      <c r="G143" s="4908" t="str">
        <f ca="1">_xlfn.FORMULATEXT(C143)</f>
        <v>=MAINTENANT()</v>
      </c>
      <c r="H143" s="3060"/>
      <c r="I143" s="3135"/>
      <c r="J143" s="3060"/>
      <c r="K143" s="3060"/>
      <c r="L143" s="3060"/>
      <c r="M143" s="3050"/>
      <c r="N143" s="3050"/>
      <c r="O143" s="3050"/>
      <c r="P143" s="3050"/>
      <c r="Q143" s="3050"/>
      <c r="R143" s="3050"/>
      <c r="S143" s="3050"/>
      <c r="T143" s="3050"/>
      <c r="U143" s="3050"/>
      <c r="V143" s="3050"/>
      <c r="W143" s="3050"/>
      <c r="X143" s="3050"/>
      <c r="Y143" s="3050"/>
      <c r="Z143" s="3050"/>
      <c r="AA143" s="3050"/>
    </row>
    <row r="144" spans="1:27" s="1103" customFormat="1" ht="24.95" customHeight="1">
      <c r="A144" s="3128"/>
      <c r="B144" s="3132"/>
      <c r="C144" s="3125"/>
      <c r="D144" s="3137" t="s">
        <v>3191</v>
      </c>
      <c r="E144" s="3138" t="s">
        <v>3192</v>
      </c>
      <c r="F144" s="3122"/>
      <c r="G144" s="3122"/>
      <c r="H144" s="3060"/>
      <c r="I144" s="3135"/>
      <c r="J144" s="3060"/>
      <c r="K144" s="3060"/>
      <c r="L144" s="3060"/>
      <c r="M144" s="3050"/>
      <c r="N144" s="3050"/>
      <c r="O144" s="3050"/>
      <c r="P144" s="3050"/>
      <c r="Q144" s="3050"/>
      <c r="R144" s="3050"/>
      <c r="S144" s="3050"/>
      <c r="T144" s="3050"/>
      <c r="U144" s="3050"/>
      <c r="V144" s="3050"/>
      <c r="W144" s="3050"/>
      <c r="X144" s="3050"/>
      <c r="Y144" s="3050"/>
      <c r="Z144" s="3050"/>
      <c r="AA144" s="3050"/>
    </row>
    <row r="145" spans="1:27" s="1103" customFormat="1" ht="24.95" customHeight="1">
      <c r="A145" s="3128"/>
      <c r="B145" s="3132"/>
      <c r="C145" s="3125"/>
      <c r="D145" s="3122"/>
      <c r="E145" s="3122"/>
      <c r="F145" s="3122"/>
      <c r="G145" s="3122"/>
      <c r="H145" s="3060"/>
      <c r="I145" s="3135"/>
      <c r="J145" s="3060"/>
      <c r="K145" s="3060"/>
      <c r="L145" s="3060"/>
      <c r="M145" s="3050"/>
      <c r="N145" s="3050"/>
      <c r="O145" s="3050"/>
      <c r="P145" s="3050"/>
      <c r="Q145" s="3050"/>
      <c r="R145" s="3050"/>
      <c r="S145" s="3050"/>
      <c r="T145" s="3050"/>
      <c r="U145" s="3050"/>
      <c r="V145" s="3050"/>
      <c r="W145" s="3050"/>
      <c r="X145" s="3050"/>
      <c r="Y145" s="3050"/>
      <c r="Z145" s="3050"/>
      <c r="AA145" s="3050"/>
    </row>
    <row r="146" spans="1:27" s="1103" customFormat="1" ht="24.95" customHeight="1">
      <c r="A146" s="3128"/>
      <c r="B146" s="3136">
        <f>ROW()</f>
        <v>146</v>
      </c>
      <c r="C146" s="4975">
        <f ca="1">NOW()</f>
        <v>44545.461550462962</v>
      </c>
      <c r="D146" s="3121"/>
      <c r="E146" s="3060"/>
      <c r="F146" s="3125"/>
      <c r="G146" s="4908" t="str">
        <f ca="1">_xlfn.FORMULATEXT(C146)</f>
        <v>=MAINTENANT()</v>
      </c>
      <c r="H146" s="3060"/>
      <c r="I146" s="3135"/>
      <c r="J146" s="3060"/>
      <c r="K146" s="3060"/>
      <c r="L146" s="3060"/>
      <c r="M146" s="3050"/>
      <c r="N146" s="3050"/>
      <c r="O146" s="3050"/>
      <c r="P146" s="3050"/>
      <c r="Q146" s="3050"/>
      <c r="R146" s="3050"/>
      <c r="S146" s="3050"/>
      <c r="T146" s="3050"/>
      <c r="U146" s="3050"/>
      <c r="V146" s="3050"/>
      <c r="W146" s="3050"/>
      <c r="X146" s="3050"/>
      <c r="Y146" s="3050"/>
      <c r="Z146" s="3050"/>
      <c r="AA146" s="3050"/>
    </row>
    <row r="147" spans="1:27" s="1103" customFormat="1" ht="24.95" customHeight="1">
      <c r="A147" s="3128"/>
      <c r="B147" s="3132"/>
      <c r="C147" s="3125" t="s">
        <v>3193</v>
      </c>
      <c r="D147" s="3121"/>
      <c r="E147" s="3122"/>
      <c r="F147" s="4976"/>
      <c r="G147" s="4976"/>
      <c r="H147" s="3060"/>
      <c r="I147" s="3135"/>
      <c r="J147" s="3060"/>
      <c r="K147" s="3060"/>
      <c r="L147" s="3060"/>
      <c r="M147" s="3050"/>
      <c r="N147" s="3050"/>
      <c r="O147" s="3050"/>
      <c r="P147" s="3050"/>
      <c r="Q147" s="3050"/>
      <c r="R147" s="3050"/>
      <c r="S147" s="3050"/>
      <c r="T147" s="3050"/>
      <c r="U147" s="3050"/>
      <c r="V147" s="3050"/>
      <c r="W147" s="3050"/>
      <c r="X147" s="3050"/>
      <c r="Y147" s="3050"/>
      <c r="Z147" s="3050"/>
      <c r="AA147" s="3050"/>
    </row>
    <row r="148" spans="1:27" s="1103" customFormat="1" ht="24.95" customHeight="1">
      <c r="A148" s="3128"/>
      <c r="B148" s="3132"/>
      <c r="C148" s="3128"/>
      <c r="D148" s="3128"/>
      <c r="E148" s="3128"/>
      <c r="F148" s="3128"/>
      <c r="G148" s="3128"/>
      <c r="H148" s="3128"/>
      <c r="I148" s="3139"/>
      <c r="J148" s="3128"/>
      <c r="K148" s="3128"/>
      <c r="L148" s="3128"/>
      <c r="M148" s="3040"/>
      <c r="N148" s="3040"/>
      <c r="O148" s="3040"/>
      <c r="P148" s="3040"/>
      <c r="Q148" s="3040"/>
      <c r="R148" s="3050"/>
      <c r="S148" s="3050"/>
      <c r="T148" s="3050"/>
      <c r="U148" s="3050"/>
      <c r="V148" s="3050"/>
      <c r="W148" s="3050"/>
      <c r="X148" s="3050"/>
      <c r="Y148" s="3050"/>
      <c r="Z148" s="3050"/>
      <c r="AA148" s="3050"/>
    </row>
    <row r="149" spans="1:27" s="1103" customFormat="1" ht="24.95" customHeight="1">
      <c r="A149" s="3128"/>
      <c r="B149" s="3136">
        <f>ROW()</f>
        <v>149</v>
      </c>
      <c r="C149" s="4977">
        <f ca="1">TODAY()</f>
        <v>44545</v>
      </c>
      <c r="D149" s="4977"/>
      <c r="E149" s="3128"/>
      <c r="F149" s="3128"/>
      <c r="G149" s="4908" t="str">
        <f ca="1">_xlfn.FORMULATEXT(C149)</f>
        <v>=AUJOURDHUI()</v>
      </c>
      <c r="H149" s="3060"/>
      <c r="I149" s="3135"/>
      <c r="J149" s="3060"/>
      <c r="K149" s="3060"/>
      <c r="L149" s="3060"/>
      <c r="M149" s="3050"/>
      <c r="N149" s="3102"/>
      <c r="O149" s="3102"/>
      <c r="P149" s="3102"/>
      <c r="Q149" s="3102"/>
      <c r="R149" s="3050"/>
      <c r="S149" s="3050"/>
      <c r="T149" s="3050"/>
      <c r="U149" s="3050"/>
      <c r="V149" s="3050"/>
      <c r="W149" s="3050"/>
      <c r="X149" s="3050"/>
      <c r="Y149" s="3050"/>
      <c r="Z149" s="3050"/>
      <c r="AA149" s="3050"/>
    </row>
    <row r="150" spans="1:27" s="1103" customFormat="1" ht="24.95" customHeight="1">
      <c r="A150" s="3128"/>
      <c r="B150" s="3132"/>
      <c r="C150" s="3125" t="s">
        <v>3190</v>
      </c>
      <c r="D150" s="3059"/>
      <c r="E150" s="3125"/>
      <c r="F150" s="3059"/>
      <c r="G150" s="3059"/>
      <c r="H150" s="3059"/>
      <c r="I150" s="3140"/>
      <c r="J150" s="3060"/>
      <c r="K150" s="3060"/>
      <c r="L150" s="3060"/>
      <c r="M150" s="3050"/>
      <c r="N150" s="3102"/>
      <c r="O150" s="3102"/>
      <c r="P150" s="3102"/>
      <c r="Q150" s="3102"/>
      <c r="R150" s="3050"/>
      <c r="S150" s="3050"/>
      <c r="T150" s="3050"/>
      <c r="U150" s="3050"/>
      <c r="V150" s="3050"/>
      <c r="W150" s="3050"/>
      <c r="X150" s="3050"/>
      <c r="Y150" s="3050"/>
      <c r="Z150" s="3050"/>
      <c r="AA150" s="3050"/>
    </row>
    <row r="151" spans="1:27" s="1103" customFormat="1" ht="24.95" customHeight="1" thickBot="1">
      <c r="A151" s="3128"/>
      <c r="B151" s="3141"/>
      <c r="C151" s="3142"/>
      <c r="D151" s="3143"/>
      <c r="E151" s="3142"/>
      <c r="F151" s="3143"/>
      <c r="G151" s="3143"/>
      <c r="H151" s="3143"/>
      <c r="I151" s="3144"/>
      <c r="J151" s="3060"/>
      <c r="K151" s="3060"/>
      <c r="L151" s="3060"/>
      <c r="M151" s="3050"/>
      <c r="N151" s="3102"/>
      <c r="O151" s="3102"/>
      <c r="P151" s="3102"/>
      <c r="Q151" s="3102"/>
      <c r="R151" s="3050"/>
      <c r="S151" s="3050"/>
      <c r="T151" s="3050"/>
      <c r="U151" s="3050"/>
      <c r="V151" s="3050"/>
      <c r="W151" s="3050"/>
      <c r="X151" s="3050"/>
      <c r="Y151" s="3050"/>
      <c r="Z151" s="3050"/>
      <c r="AA151" s="3050"/>
    </row>
    <row r="152" spans="1:27" s="1103" customFormat="1" ht="24.95" customHeight="1" thickBot="1">
      <c r="A152" s="3128"/>
      <c r="B152" s="3128"/>
      <c r="C152" s="3125"/>
      <c r="D152" s="3059"/>
      <c r="E152" s="3125"/>
      <c r="F152" s="3059"/>
      <c r="G152" s="3059"/>
      <c r="H152" s="3059"/>
      <c r="I152" s="3059"/>
      <c r="J152" s="3060"/>
      <c r="K152" s="3060"/>
      <c r="L152" s="3060"/>
      <c r="M152" s="3050"/>
      <c r="N152" s="3102"/>
      <c r="O152" s="3102"/>
      <c r="P152" s="3102"/>
      <c r="Q152" s="3102"/>
      <c r="R152" s="3050"/>
      <c r="S152" s="3050"/>
      <c r="T152" s="3050"/>
      <c r="U152" s="3050"/>
      <c r="V152" s="3050"/>
      <c r="W152" s="3050"/>
      <c r="X152" s="3050"/>
      <c r="Y152" s="3050"/>
      <c r="Z152" s="3050"/>
      <c r="AA152" s="3050"/>
    </row>
    <row r="153" spans="1:27" s="1103" customFormat="1" ht="24.95" customHeight="1">
      <c r="A153" s="3128"/>
      <c r="B153" s="3051"/>
      <c r="C153" s="3052"/>
      <c r="D153" s="3054"/>
      <c r="E153" s="3054"/>
      <c r="F153" s="3054"/>
      <c r="G153" s="3054"/>
      <c r="H153" s="3054"/>
      <c r="I153" s="3054"/>
      <c r="J153" s="3052"/>
      <c r="K153" s="3052"/>
      <c r="L153" s="3055"/>
      <c r="M153" s="3050"/>
      <c r="N153" s="3102"/>
      <c r="O153" s="3102"/>
      <c r="P153" s="3102"/>
      <c r="Q153" s="3102"/>
      <c r="R153" s="3050"/>
      <c r="S153" s="3050"/>
      <c r="T153" s="3050"/>
      <c r="U153" s="3050"/>
      <c r="V153" s="3050"/>
      <c r="W153" s="3050"/>
      <c r="X153" s="3050"/>
      <c r="Y153" s="3050"/>
      <c r="Z153" s="3050"/>
      <c r="AA153" s="3050"/>
    </row>
    <row r="154" spans="1:27" s="1103" customFormat="1" ht="24.95" customHeight="1">
      <c r="A154" s="3128"/>
      <c r="B154" s="3099"/>
      <c r="C154" s="3080" t="s">
        <v>3194</v>
      </c>
      <c r="D154" s="3145"/>
      <c r="E154" s="3058"/>
      <c r="F154" s="3058"/>
      <c r="G154" s="3058"/>
      <c r="H154" s="3058"/>
      <c r="I154" s="3058"/>
      <c r="J154" s="3060"/>
      <c r="K154" s="3060"/>
      <c r="L154" s="3061"/>
      <c r="M154" s="3050"/>
      <c r="N154" s="3102"/>
      <c r="O154" s="3102"/>
      <c r="P154" s="3102"/>
      <c r="Q154" s="3102"/>
      <c r="R154" s="3050"/>
      <c r="S154" s="3050"/>
      <c r="T154" s="3050"/>
      <c r="U154" s="3050"/>
      <c r="V154" s="3050"/>
      <c r="W154" s="3050"/>
      <c r="X154" s="3050"/>
      <c r="Y154" s="3050"/>
      <c r="Z154" s="3050"/>
      <c r="AA154" s="3050"/>
    </row>
    <row r="155" spans="1:27" s="1103" customFormat="1" ht="24.95" customHeight="1">
      <c r="A155" s="3128"/>
      <c r="B155" s="3056" t="s">
        <v>3189</v>
      </c>
      <c r="C155" s="4978" t="s">
        <v>3195</v>
      </c>
      <c r="D155" s="3145"/>
      <c r="E155" s="3058"/>
      <c r="F155" s="3058"/>
      <c r="G155" s="3058"/>
      <c r="H155" s="3058"/>
      <c r="I155" s="3058"/>
      <c r="J155" s="3060"/>
      <c r="K155" s="3060"/>
      <c r="L155" s="3061"/>
      <c r="M155" s="3050"/>
      <c r="N155" s="3102"/>
      <c r="O155" s="3102"/>
      <c r="P155" s="3102"/>
      <c r="Q155" s="3102"/>
      <c r="R155" s="3050"/>
      <c r="S155" s="3050"/>
      <c r="T155" s="3050"/>
      <c r="U155" s="3050"/>
      <c r="V155" s="3050"/>
      <c r="W155" s="3050"/>
      <c r="X155" s="3050"/>
      <c r="Y155" s="3050"/>
      <c r="Z155" s="3050"/>
      <c r="AA155" s="3050"/>
    </row>
    <row r="156" spans="1:27" s="1103" customFormat="1" ht="24.95" customHeight="1">
      <c r="A156" s="3128"/>
      <c r="B156" s="3056">
        <f>ROW()</f>
        <v>156</v>
      </c>
      <c r="C156" s="4979">
        <f ca="1">INT((C149-(DATE(YEAR(C149-WEEKDAY(C149-1)+4),1,3)-WEEKDAY(DATE(YEAR(C149 -WEEKDAY(C149-1)+4),1,3)))+5)/7)</f>
        <v>50</v>
      </c>
      <c r="D156" s="4980"/>
      <c r="E156" s="3058"/>
      <c r="F156" s="3058"/>
      <c r="G156" s="3058"/>
      <c r="H156" s="3058"/>
      <c r="I156" s="3058"/>
      <c r="J156" s="3060"/>
      <c r="K156" s="3060"/>
      <c r="L156" s="3061"/>
      <c r="M156" s="3050"/>
      <c r="N156" s="3102"/>
      <c r="O156" s="3102"/>
      <c r="P156" s="3102"/>
      <c r="Q156" s="3102"/>
      <c r="R156" s="3050"/>
      <c r="S156" s="3050"/>
      <c r="T156" s="3050"/>
      <c r="U156" s="3050"/>
      <c r="V156" s="3050"/>
      <c r="W156" s="3050"/>
      <c r="X156" s="3050"/>
      <c r="Y156" s="3050"/>
      <c r="Z156" s="3050"/>
      <c r="AA156" s="3050"/>
    </row>
    <row r="157" spans="1:27" s="1103" customFormat="1" ht="24.95" customHeight="1">
      <c r="A157" s="3128"/>
      <c r="B157" s="3099"/>
      <c r="C157" s="4908" t="str">
        <f ca="1">_xlfn.FORMULATEXT(C156)</f>
        <v>=ENT((C149-(DATE(ANNEE(C149-JOURSEM(C149-1)+4);1;3)-JOURSEM(DATE(ANNEE(C149 -JOURSEM(C149-1)+4);1;3)))+5)/7)</v>
      </c>
      <c r="D157" s="3058"/>
      <c r="E157" s="3058"/>
      <c r="F157" s="3058"/>
      <c r="G157" s="3058"/>
      <c r="H157" s="3058"/>
      <c r="I157" s="3058"/>
      <c r="J157" s="3060"/>
      <c r="K157" s="3060"/>
      <c r="L157" s="3061"/>
      <c r="M157" s="3050"/>
      <c r="N157" s="3102"/>
      <c r="O157" s="3102"/>
      <c r="P157" s="3102"/>
      <c r="Q157" s="3102"/>
      <c r="R157" s="3050"/>
      <c r="S157" s="3050"/>
      <c r="T157" s="3050"/>
      <c r="U157" s="3050"/>
      <c r="V157" s="3050"/>
      <c r="W157" s="3050"/>
      <c r="X157" s="3050"/>
      <c r="Y157" s="3050"/>
      <c r="Z157" s="3050"/>
      <c r="AA157" s="3050"/>
    </row>
    <row r="158" spans="1:27" s="1103" customFormat="1" ht="24.95" customHeight="1">
      <c r="A158" s="3128"/>
      <c r="B158" s="3099"/>
      <c r="C158" s="3128"/>
      <c r="D158" s="3128"/>
      <c r="E158" s="3058"/>
      <c r="F158" s="3058"/>
      <c r="G158" s="3058"/>
      <c r="H158" s="3058"/>
      <c r="I158" s="3058"/>
      <c r="J158" s="3060"/>
      <c r="K158" s="3060"/>
      <c r="L158" s="3061"/>
      <c r="M158" s="3050"/>
      <c r="N158" s="3050"/>
      <c r="O158" s="3050"/>
      <c r="P158" s="3050"/>
      <c r="Q158" s="3050"/>
      <c r="R158" s="3050"/>
      <c r="S158" s="3050"/>
      <c r="T158" s="3050"/>
      <c r="U158" s="3050"/>
      <c r="V158" s="3050"/>
      <c r="W158" s="3050"/>
      <c r="X158" s="3050"/>
      <c r="Y158" s="3050"/>
      <c r="Z158" s="3050"/>
      <c r="AA158" s="3050"/>
    </row>
    <row r="159" spans="1:27" s="1103" customFormat="1" ht="24.95" customHeight="1">
      <c r="A159" s="3128"/>
      <c r="B159" s="3056">
        <f>ROW()</f>
        <v>159</v>
      </c>
      <c r="C159" s="4981">
        <f ca="1">C156</f>
        <v>50</v>
      </c>
      <c r="D159" s="4981"/>
      <c r="E159" s="3058"/>
      <c r="F159" s="3058"/>
      <c r="G159" s="3058"/>
      <c r="H159" s="3058"/>
      <c r="I159" s="3058"/>
      <c r="J159" s="3059"/>
      <c r="K159" s="3060"/>
      <c r="L159" s="3061"/>
      <c r="M159" s="3050"/>
      <c r="N159" s="3050"/>
      <c r="O159" s="3050"/>
      <c r="P159" s="3050"/>
      <c r="Q159" s="3050"/>
      <c r="R159" s="3050"/>
      <c r="S159" s="3050"/>
      <c r="T159" s="3050"/>
      <c r="U159" s="3050"/>
      <c r="V159" s="3050"/>
      <c r="W159" s="3050"/>
      <c r="X159" s="3050"/>
      <c r="Y159" s="3050"/>
      <c r="Z159" s="3050"/>
      <c r="AA159" s="3050"/>
    </row>
    <row r="160" spans="1:27" s="1103" customFormat="1" ht="24.95" customHeight="1">
      <c r="A160" s="3128"/>
      <c r="B160" s="3099"/>
      <c r="C160" s="4908" t="str">
        <f ca="1">_xlfn.FORMULATEXT(C159)</f>
        <v>=C156</v>
      </c>
      <c r="D160" s="3125" t="s">
        <v>3196</v>
      </c>
      <c r="E160" s="3058"/>
      <c r="F160" s="3058"/>
      <c r="G160" s="3058"/>
      <c r="H160" s="3058"/>
      <c r="I160" s="3058"/>
      <c r="J160" s="3059"/>
      <c r="K160" s="3060"/>
      <c r="L160" s="3061"/>
      <c r="M160" s="3050"/>
      <c r="N160" s="3050"/>
      <c r="O160" s="3050"/>
      <c r="P160" s="3050"/>
      <c r="Q160" s="3050"/>
      <c r="R160" s="3050"/>
      <c r="S160" s="3050"/>
      <c r="T160" s="3050"/>
      <c r="U160" s="3050"/>
      <c r="V160" s="3050"/>
      <c r="W160" s="3050"/>
      <c r="X160" s="3050"/>
      <c r="Y160" s="3050"/>
      <c r="Z160" s="3050"/>
      <c r="AA160" s="3050"/>
    </row>
    <row r="161" spans="1:27" s="1103" customFormat="1" ht="24.95" customHeight="1" thickBot="1">
      <c r="A161" s="3128"/>
      <c r="B161" s="3065"/>
      <c r="C161" s="3069"/>
      <c r="D161" s="3067"/>
      <c r="E161" s="3067"/>
      <c r="F161" s="3067"/>
      <c r="G161" s="3067"/>
      <c r="H161" s="3067"/>
      <c r="I161" s="3067"/>
      <c r="J161" s="3068"/>
      <c r="K161" s="3069"/>
      <c r="L161" s="3070"/>
      <c r="M161" s="3050"/>
      <c r="N161" s="3050"/>
      <c r="O161" s="3050"/>
      <c r="P161" s="3050"/>
      <c r="Q161" s="3050"/>
      <c r="R161" s="3050"/>
      <c r="S161" s="3050"/>
      <c r="T161" s="3050"/>
      <c r="U161" s="3050"/>
      <c r="V161" s="3050"/>
      <c r="W161" s="3050"/>
      <c r="X161" s="3050"/>
      <c r="Y161" s="3050"/>
      <c r="Z161" s="3050"/>
      <c r="AA161" s="3050"/>
    </row>
    <row r="162" spans="1:27" s="1103" customFormat="1" ht="24.95" customHeight="1" thickBot="1">
      <c r="A162" s="3128"/>
      <c r="B162" s="3128"/>
      <c r="C162" s="3060"/>
      <c r="D162" s="3058"/>
      <c r="E162" s="3058"/>
      <c r="F162" s="3058"/>
      <c r="G162" s="3058"/>
      <c r="H162" s="3058"/>
      <c r="I162" s="3058"/>
      <c r="J162" s="3059"/>
      <c r="K162" s="3060"/>
      <c r="L162" s="3060"/>
      <c r="M162" s="3050"/>
      <c r="N162" s="3050"/>
      <c r="O162" s="3050"/>
      <c r="P162" s="3050"/>
      <c r="Q162" s="3050"/>
      <c r="R162" s="3050"/>
      <c r="S162" s="3050"/>
      <c r="T162" s="3050"/>
      <c r="U162" s="3050"/>
      <c r="V162" s="3050"/>
      <c r="W162" s="3050"/>
      <c r="X162" s="3050"/>
      <c r="Y162" s="3050"/>
      <c r="Z162" s="3050"/>
      <c r="AA162" s="3050"/>
    </row>
    <row r="163" spans="1:27" s="1103" customFormat="1" ht="24.95" customHeight="1">
      <c r="A163" s="3128"/>
      <c r="B163" s="3051"/>
      <c r="C163" s="3052"/>
      <c r="D163" s="3053"/>
      <c r="E163" s="3053"/>
      <c r="F163" s="3053"/>
      <c r="G163" s="3053"/>
      <c r="H163" s="3053"/>
      <c r="I163" s="3053"/>
      <c r="J163" s="3084"/>
      <c r="K163" s="3060"/>
      <c r="L163" s="3060"/>
      <c r="M163" s="3050"/>
      <c r="N163" s="3050"/>
      <c r="O163" s="3050"/>
      <c r="P163" s="3050"/>
      <c r="Q163" s="3050"/>
      <c r="R163" s="3050"/>
      <c r="S163" s="3050"/>
      <c r="T163" s="3050"/>
      <c r="U163" s="3050"/>
      <c r="V163" s="3050"/>
      <c r="W163" s="3050"/>
      <c r="X163" s="3050"/>
      <c r="Y163" s="3050"/>
      <c r="Z163" s="3050"/>
      <c r="AA163" s="3050"/>
    </row>
    <row r="164" spans="1:27" s="1103" customFormat="1" ht="24.95" customHeight="1">
      <c r="A164" s="3128"/>
      <c r="B164" s="3099"/>
      <c r="C164" s="3080" t="s">
        <v>3197</v>
      </c>
      <c r="D164" s="3060"/>
      <c r="E164" s="3060"/>
      <c r="F164" s="3060"/>
      <c r="G164" s="3060"/>
      <c r="H164" s="3060"/>
      <c r="I164" s="3060"/>
      <c r="J164" s="3061"/>
      <c r="K164" s="3060"/>
      <c r="L164" s="3060"/>
      <c r="M164" s="3050"/>
      <c r="N164" s="3050"/>
      <c r="O164" s="3050"/>
      <c r="P164" s="3050"/>
      <c r="Q164" s="3050"/>
      <c r="R164" s="3050"/>
      <c r="S164" s="3050"/>
      <c r="T164" s="3050"/>
      <c r="U164" s="3050"/>
      <c r="V164" s="3050"/>
      <c r="W164" s="3050"/>
      <c r="X164" s="3050"/>
      <c r="Y164" s="3050"/>
      <c r="Z164" s="3050"/>
      <c r="AA164" s="3050"/>
    </row>
    <row r="165" spans="1:27" s="1103" customFormat="1" ht="24.95" customHeight="1">
      <c r="A165" s="3128"/>
      <c r="B165" s="3056" t="s">
        <v>3189</v>
      </c>
      <c r="C165" s="4978" t="s">
        <v>3195</v>
      </c>
      <c r="D165" s="3058"/>
      <c r="E165" s="3060"/>
      <c r="F165" s="3060"/>
      <c r="G165" s="3060"/>
      <c r="H165" s="3060"/>
      <c r="I165" s="3060"/>
      <c r="J165" s="3061"/>
      <c r="K165" s="3060"/>
      <c r="L165" s="3060"/>
      <c r="M165" s="3050"/>
      <c r="N165" s="3050"/>
      <c r="O165" s="3050"/>
      <c r="P165" s="3050"/>
      <c r="Q165" s="3050"/>
      <c r="R165" s="3050"/>
      <c r="S165" s="3050"/>
      <c r="T165" s="3050"/>
      <c r="U165" s="3050"/>
      <c r="V165" s="3050"/>
      <c r="W165" s="3050"/>
      <c r="X165" s="3050"/>
      <c r="Y165" s="3050"/>
      <c r="Z165" s="3050"/>
      <c r="AA165" s="3050"/>
    </row>
    <row r="166" spans="1:27" s="1103" customFormat="1" ht="24.95" customHeight="1">
      <c r="A166" s="3128"/>
      <c r="B166" s="3056">
        <f>ROW()</f>
        <v>166</v>
      </c>
      <c r="C166" s="3287">
        <v>44140</v>
      </c>
      <c r="D166" s="3287"/>
      <c r="E166" s="3060"/>
      <c r="F166" s="3060"/>
      <c r="G166" s="3060"/>
      <c r="H166" s="3060"/>
      <c r="I166" s="3060"/>
      <c r="J166" s="3061"/>
      <c r="K166" s="3060"/>
      <c r="L166" s="3060"/>
      <c r="M166" s="3050"/>
      <c r="N166" s="3050"/>
      <c r="O166" s="3050"/>
      <c r="P166" s="3050"/>
      <c r="Q166" s="3050"/>
      <c r="R166" s="3050"/>
      <c r="S166" s="3050"/>
      <c r="T166" s="3050"/>
      <c r="U166" s="3050"/>
      <c r="V166" s="3050"/>
      <c r="W166" s="3050"/>
      <c r="X166" s="3050"/>
      <c r="Y166" s="3050"/>
      <c r="Z166" s="3050"/>
      <c r="AA166" s="3050"/>
    </row>
    <row r="167" spans="1:27" s="1103" customFormat="1" ht="24.95" customHeight="1">
      <c r="A167" s="3128"/>
      <c r="B167" s="3056">
        <f>ROW()</f>
        <v>167</v>
      </c>
      <c r="C167" s="4982">
        <f>DATE(YEAR(C166),MONTH(C166)+1,1)-WEEKDAY(DATE(YEAR(C166),MONTH(C166)+1,2))</f>
        <v>44162</v>
      </c>
      <c r="D167" s="4982"/>
      <c r="E167" s="3060"/>
      <c r="F167" s="3060"/>
      <c r="G167" s="3060"/>
      <c r="H167" s="3060"/>
      <c r="I167" s="3060"/>
      <c r="J167" s="3061"/>
      <c r="K167" s="3060"/>
      <c r="L167" s="3060"/>
      <c r="M167" s="3050"/>
      <c r="N167" s="3050"/>
      <c r="O167" s="3050"/>
      <c r="P167" s="3050"/>
      <c r="Q167" s="3050"/>
      <c r="R167" s="3050"/>
      <c r="S167" s="3050"/>
      <c r="T167" s="3050"/>
      <c r="U167" s="3050"/>
      <c r="V167" s="3050"/>
      <c r="W167" s="3050"/>
      <c r="X167" s="3050"/>
      <c r="Y167" s="3050"/>
      <c r="Z167" s="3050"/>
      <c r="AA167" s="3050"/>
    </row>
    <row r="168" spans="1:27" s="1103" customFormat="1" ht="24.95" customHeight="1">
      <c r="A168" s="3128"/>
      <c r="B168" s="3099"/>
      <c r="C168" s="4908" t="str">
        <f ca="1">_xlfn.FORMULATEXT(C167)</f>
        <v>=DATE(ANNEE(C166);MOIS(C166)+1;1)-JOURSEM(DATE(ANNEE(C166);MOIS(C166)+1;2))</v>
      </c>
      <c r="D168" s="4983"/>
      <c r="E168" s="3058"/>
      <c r="F168" s="3058"/>
      <c r="G168" s="4908"/>
      <c r="H168" s="3058"/>
      <c r="I168" s="3058"/>
      <c r="J168" s="3146"/>
      <c r="K168" s="3060"/>
      <c r="L168" s="3060"/>
      <c r="M168" s="3050"/>
      <c r="N168" s="3050"/>
      <c r="O168" s="3050"/>
      <c r="P168" s="3050"/>
      <c r="Q168" s="3050"/>
      <c r="R168" s="3050"/>
      <c r="S168" s="3050"/>
      <c r="T168" s="3050"/>
      <c r="U168" s="3050"/>
      <c r="V168" s="3050"/>
      <c r="W168" s="3050"/>
      <c r="X168" s="3050"/>
      <c r="Y168" s="3050"/>
      <c r="Z168" s="3050"/>
      <c r="AA168" s="3050"/>
    </row>
    <row r="169" spans="1:27" s="1103" customFormat="1" ht="24.95" customHeight="1">
      <c r="A169" s="3128"/>
      <c r="B169" s="3099"/>
      <c r="C169" s="3060"/>
      <c r="D169" s="3060"/>
      <c r="E169" s="3060"/>
      <c r="F169" s="3060"/>
      <c r="G169" s="3060"/>
      <c r="H169" s="3060"/>
      <c r="I169" s="3060"/>
      <c r="J169" s="3061"/>
      <c r="K169" s="3060"/>
      <c r="L169" s="3060"/>
      <c r="M169" s="3050"/>
      <c r="N169" s="3050"/>
      <c r="O169" s="3050"/>
      <c r="P169" s="3050"/>
      <c r="Q169" s="3050"/>
      <c r="R169" s="3050"/>
      <c r="S169" s="3050"/>
      <c r="T169" s="3050"/>
      <c r="U169" s="3050"/>
      <c r="V169" s="3050"/>
      <c r="W169" s="3050"/>
      <c r="X169" s="3050"/>
      <c r="Y169" s="3050"/>
      <c r="Z169" s="3050"/>
      <c r="AA169" s="3050"/>
    </row>
    <row r="170" spans="1:27" s="1103" customFormat="1" ht="24.95" customHeight="1">
      <c r="A170" s="3128"/>
      <c r="B170" s="3056">
        <f>ROW()</f>
        <v>170</v>
      </c>
      <c r="C170" s="4984">
        <f>DATE(YEAR(C166),MONTH(C166)+1,1)-WEEKDAY(DATE(YEAR(C166),MONTH(C166)+1,2))</f>
        <v>44162</v>
      </c>
      <c r="D170" s="4984"/>
      <c r="E170" s="4984"/>
      <c r="F170" s="4984"/>
      <c r="G170" s="3060"/>
      <c r="H170" s="3060"/>
      <c r="I170" s="3060"/>
      <c r="J170" s="3061"/>
      <c r="K170" s="3060"/>
      <c r="L170" s="3060"/>
      <c r="M170" s="3050"/>
      <c r="N170" s="3050"/>
      <c r="O170" s="3050"/>
      <c r="P170" s="3050"/>
      <c r="Q170" s="3050"/>
      <c r="R170" s="3050"/>
      <c r="S170" s="3050"/>
      <c r="T170" s="3050"/>
      <c r="U170" s="3050"/>
      <c r="V170" s="3050"/>
      <c r="W170" s="3050"/>
      <c r="X170" s="3050"/>
      <c r="Y170" s="3050"/>
      <c r="Z170" s="3050"/>
      <c r="AA170" s="3050"/>
    </row>
    <row r="171" spans="1:27" s="1103" customFormat="1" ht="24.95" customHeight="1">
      <c r="A171" s="3128"/>
      <c r="B171" s="3099"/>
      <c r="C171" s="4908" t="str">
        <f ca="1">_xlfn.FORMULATEXT(C170)</f>
        <v>=DATE(ANNEE(C166);MOIS(C166)+1;1)-JOURSEM(DATE(ANNEE(C166);MOIS(C166)+1;2))</v>
      </c>
      <c r="D171" s="3058"/>
      <c r="E171" s="3058"/>
      <c r="F171" s="3058"/>
      <c r="G171" s="4908"/>
      <c r="H171" s="3058"/>
      <c r="I171" s="3058"/>
      <c r="J171" s="3146"/>
      <c r="K171" s="3060"/>
      <c r="L171" s="3060"/>
      <c r="M171" s="3050"/>
      <c r="N171" s="3050"/>
      <c r="O171" s="3050"/>
      <c r="P171" s="3050"/>
      <c r="Q171" s="3050"/>
      <c r="R171" s="3050"/>
      <c r="S171" s="3050"/>
      <c r="T171" s="3050"/>
      <c r="U171" s="3050"/>
      <c r="V171" s="3050"/>
      <c r="W171" s="3050"/>
      <c r="X171" s="3050"/>
      <c r="Y171" s="3050"/>
      <c r="Z171" s="3050"/>
      <c r="AA171" s="3050"/>
    </row>
    <row r="172" spans="1:27" s="1103" customFormat="1" ht="24.95" customHeight="1">
      <c r="A172" s="3128"/>
      <c r="B172" s="3099"/>
      <c r="C172" s="4976" t="s">
        <v>3198</v>
      </c>
      <c r="D172" s="4976"/>
      <c r="E172" s="4976" t="s">
        <v>3199</v>
      </c>
      <c r="F172" s="4976"/>
      <c r="G172" s="3058"/>
      <c r="H172" s="3058"/>
      <c r="I172" s="3058"/>
      <c r="J172" s="3146"/>
      <c r="K172" s="3060"/>
      <c r="L172" s="3060"/>
      <c r="M172" s="3050"/>
      <c r="N172" s="3050"/>
      <c r="O172" s="3050"/>
      <c r="P172" s="3050"/>
      <c r="Q172" s="3050"/>
      <c r="R172" s="3050"/>
      <c r="S172" s="3050"/>
      <c r="T172" s="3050"/>
      <c r="U172" s="3050"/>
      <c r="V172" s="3050"/>
      <c r="W172" s="3050"/>
      <c r="X172" s="3050"/>
      <c r="Y172" s="3050"/>
      <c r="Z172" s="3050"/>
      <c r="AA172" s="3050"/>
    </row>
    <row r="173" spans="1:27" s="1103" customFormat="1" ht="24.95" customHeight="1">
      <c r="A173" s="3128"/>
      <c r="B173" s="3099"/>
      <c r="C173" s="4976" t="s">
        <v>3200</v>
      </c>
      <c r="D173" s="4976"/>
      <c r="E173" s="4976" t="s">
        <v>3201</v>
      </c>
      <c r="F173" s="4976"/>
      <c r="G173" s="3060"/>
      <c r="H173" s="3060"/>
      <c r="I173" s="3060"/>
      <c r="J173" s="3061"/>
      <c r="K173" s="3060"/>
      <c r="L173" s="3060"/>
      <c r="M173" s="3050"/>
      <c r="N173" s="3050"/>
      <c r="O173" s="3050"/>
      <c r="P173" s="3050"/>
      <c r="Q173" s="3050"/>
      <c r="R173" s="3050"/>
      <c r="S173" s="3050"/>
      <c r="T173" s="3050"/>
      <c r="U173" s="3050"/>
      <c r="V173" s="3050"/>
      <c r="W173" s="3050"/>
      <c r="X173" s="3050"/>
      <c r="Y173" s="3050"/>
      <c r="Z173" s="3050"/>
      <c r="AA173" s="3050"/>
    </row>
    <row r="174" spans="1:27" s="1103" customFormat="1" ht="24.95" customHeight="1">
      <c r="A174" s="3128"/>
      <c r="B174" s="3099"/>
      <c r="C174" s="4976" t="s">
        <v>3202</v>
      </c>
      <c r="D174" s="4976"/>
      <c r="E174" s="4976" t="s">
        <v>3203</v>
      </c>
      <c r="F174" s="4976"/>
      <c r="G174" s="3060"/>
      <c r="H174" s="3060"/>
      <c r="I174" s="3060"/>
      <c r="J174" s="3061"/>
      <c r="K174" s="3060"/>
      <c r="L174" s="3060"/>
      <c r="M174" s="3050"/>
      <c r="N174" s="3050"/>
      <c r="O174" s="3050"/>
      <c r="P174" s="3050"/>
      <c r="Q174" s="3050"/>
      <c r="R174" s="3050"/>
      <c r="S174" s="3050"/>
      <c r="T174" s="3050"/>
      <c r="U174" s="3050"/>
      <c r="V174" s="3050"/>
      <c r="W174" s="3050"/>
      <c r="X174" s="3050"/>
      <c r="Y174" s="3050"/>
      <c r="Z174" s="3050"/>
      <c r="AA174" s="3050"/>
    </row>
    <row r="175" spans="1:27" s="1103" customFormat="1" ht="24.95" customHeight="1">
      <c r="A175" s="3128"/>
      <c r="B175" s="3099"/>
      <c r="C175" s="4976" t="s">
        <v>3204</v>
      </c>
      <c r="D175" s="4976"/>
      <c r="E175" s="4976"/>
      <c r="F175" s="4976"/>
      <c r="G175" s="3060"/>
      <c r="H175" s="3060"/>
      <c r="I175" s="3060"/>
      <c r="J175" s="3061"/>
      <c r="K175" s="3060"/>
      <c r="L175" s="3060"/>
      <c r="M175" s="3050"/>
      <c r="N175" s="3050"/>
      <c r="O175" s="3050"/>
      <c r="P175" s="3050"/>
      <c r="Q175" s="3050"/>
      <c r="R175" s="3050"/>
      <c r="S175" s="3050"/>
      <c r="T175" s="3050"/>
      <c r="U175" s="3050"/>
      <c r="V175" s="3050"/>
      <c r="W175" s="3050"/>
      <c r="X175" s="3050"/>
      <c r="Y175" s="3050"/>
      <c r="Z175" s="3050"/>
      <c r="AA175" s="3050"/>
    </row>
    <row r="176" spans="1:27" s="1103" customFormat="1" ht="24.95" customHeight="1" thickBot="1">
      <c r="A176" s="3128"/>
      <c r="B176" s="3065"/>
      <c r="C176" s="3069"/>
      <c r="D176" s="3069"/>
      <c r="E176" s="3069"/>
      <c r="F176" s="3069"/>
      <c r="G176" s="3069"/>
      <c r="H176" s="3069"/>
      <c r="I176" s="3069"/>
      <c r="J176" s="3070"/>
      <c r="K176" s="3060"/>
      <c r="L176" s="3060"/>
      <c r="M176" s="3050"/>
      <c r="N176" s="3050"/>
      <c r="O176" s="3050"/>
      <c r="P176" s="3050"/>
      <c r="Q176" s="3050"/>
      <c r="R176" s="3050"/>
      <c r="S176" s="3050"/>
      <c r="T176" s="3050"/>
      <c r="U176" s="3050"/>
      <c r="V176" s="3050"/>
      <c r="W176" s="3050"/>
      <c r="X176" s="3050"/>
      <c r="Y176" s="3050"/>
      <c r="Z176" s="3050"/>
      <c r="AA176" s="3050"/>
    </row>
    <row r="177" spans="1:27" s="1103" customFormat="1" ht="24.95" customHeight="1" thickBot="1">
      <c r="A177" s="3128"/>
      <c r="B177" s="3128"/>
      <c r="C177" s="3060"/>
      <c r="D177" s="3060"/>
      <c r="E177" s="3060"/>
      <c r="F177" s="3060"/>
      <c r="G177" s="3060"/>
      <c r="H177" s="3060"/>
      <c r="I177" s="3060"/>
      <c r="J177" s="3060"/>
      <c r="K177" s="3060"/>
      <c r="L177" s="3060"/>
      <c r="M177" s="3050"/>
      <c r="N177" s="3050"/>
      <c r="O177" s="3050"/>
      <c r="P177" s="3050"/>
      <c r="Q177" s="3050"/>
      <c r="R177" s="3050"/>
      <c r="S177" s="3050"/>
      <c r="T177" s="3050"/>
      <c r="U177" s="3050"/>
      <c r="V177" s="3050"/>
      <c r="W177" s="3050"/>
      <c r="X177" s="3050"/>
      <c r="Y177" s="3050"/>
      <c r="Z177" s="3050"/>
      <c r="AA177" s="3050"/>
    </row>
    <row r="178" spans="1:27" s="1103" customFormat="1" ht="24.95" customHeight="1">
      <c r="A178" s="3128"/>
      <c r="B178" s="3051"/>
      <c r="C178" s="3052"/>
      <c r="D178" s="3052"/>
      <c r="E178" s="3052"/>
      <c r="F178" s="3052"/>
      <c r="G178" s="3052"/>
      <c r="H178" s="3052"/>
      <c r="I178" s="3052"/>
      <c r="J178" s="3052"/>
      <c r="K178" s="3052"/>
      <c r="L178" s="3052"/>
      <c r="M178" s="3075"/>
      <c r="N178" s="3079"/>
      <c r="O178" s="3050"/>
      <c r="P178" s="3050"/>
      <c r="Q178" s="3050"/>
      <c r="R178" s="3050"/>
      <c r="S178" s="3050"/>
      <c r="T178" s="3050"/>
      <c r="U178" s="3050"/>
      <c r="V178" s="3050"/>
      <c r="W178" s="3050"/>
      <c r="X178" s="3050"/>
      <c r="Y178" s="3050"/>
      <c r="Z178" s="3050"/>
      <c r="AA178" s="3050"/>
    </row>
    <row r="179" spans="1:27" s="1103" customFormat="1" ht="24.95" customHeight="1">
      <c r="A179" s="3128"/>
      <c r="B179" s="3056" t="s">
        <v>3189</v>
      </c>
      <c r="C179" s="3080" t="s">
        <v>3205</v>
      </c>
      <c r="D179" s="3050"/>
      <c r="E179" s="3050"/>
      <c r="F179" s="3050"/>
      <c r="G179" s="3050"/>
      <c r="H179" s="3050"/>
      <c r="I179" s="3050"/>
      <c r="J179" s="3050"/>
      <c r="K179" s="3050"/>
      <c r="L179" s="3060"/>
      <c r="M179" s="3050"/>
      <c r="N179" s="3147"/>
      <c r="O179" s="3027"/>
      <c r="P179" s="3027"/>
      <c r="Q179" s="3027"/>
      <c r="R179" s="3027"/>
      <c r="S179" s="3027"/>
      <c r="T179" s="3027"/>
      <c r="U179" s="1148"/>
      <c r="V179" s="3027"/>
      <c r="W179" s="3050"/>
      <c r="X179" s="3050"/>
      <c r="Y179" s="3050"/>
      <c r="Z179" s="3050"/>
      <c r="AA179" s="3050"/>
    </row>
    <row r="180" spans="1:27" s="1103" customFormat="1" ht="24.95" customHeight="1">
      <c r="A180" s="3040"/>
      <c r="B180" s="3056">
        <f>ROW()</f>
        <v>180</v>
      </c>
      <c r="C180" s="3288">
        <v>44190</v>
      </c>
      <c r="D180" s="3288"/>
      <c r="E180" s="3071"/>
      <c r="F180" s="3072"/>
      <c r="G180" s="3072"/>
      <c r="H180" s="3072"/>
      <c r="I180" s="3072"/>
      <c r="J180" s="3073"/>
      <c r="K180" s="3050"/>
      <c r="L180" s="3050"/>
      <c r="M180" s="3050"/>
      <c r="N180" s="3123"/>
      <c r="O180" s="3050"/>
      <c r="P180" s="3050"/>
      <c r="Q180" s="3050"/>
      <c r="R180" s="3050"/>
      <c r="S180" s="3050"/>
      <c r="T180" s="3050"/>
      <c r="U180" s="3050"/>
      <c r="V180" s="3050"/>
      <c r="W180" s="3050"/>
      <c r="X180" s="3050"/>
      <c r="Y180" s="3050"/>
      <c r="Z180" s="3050"/>
      <c r="AA180" s="3050"/>
    </row>
    <row r="181" spans="1:27" s="1103" customFormat="1" ht="24.95" customHeight="1">
      <c r="A181" s="3040"/>
      <c r="B181" s="3056">
        <f>ROW()</f>
        <v>181</v>
      </c>
      <c r="C181" s="4985">
        <f>DATE(YEAR(C180),MONTH(C180)+1,1)-MOD(DATE(YEAR(C180),MONTH(C180)+1,1)+5,7)-3</f>
        <v>44190</v>
      </c>
      <c r="D181" s="4985"/>
      <c r="E181" s="3071"/>
      <c r="F181" s="3072"/>
      <c r="G181" s="4908" t="str">
        <f t="shared" ref="G181:G182" ca="1" si="2">_xlfn.FORMULATEXT(C181)</f>
        <v>=DATE(ANNEE(C180);MOIS(C180)+1;1)-MOD(DATE(ANNEE(C180);MOIS(C180)+1;1)+5;7)-3</v>
      </c>
      <c r="H181" s="3072"/>
      <c r="I181" s="3072"/>
      <c r="J181" s="3073"/>
      <c r="K181" s="3050"/>
      <c r="L181" s="3050"/>
      <c r="M181" s="3050"/>
      <c r="N181" s="3123"/>
      <c r="O181" s="3050"/>
      <c r="P181" s="3050"/>
      <c r="Q181" s="3050"/>
      <c r="R181" s="3050"/>
      <c r="S181" s="3050"/>
      <c r="T181" s="3050"/>
      <c r="U181" s="3050"/>
      <c r="V181" s="3050"/>
      <c r="W181" s="3050"/>
      <c r="X181" s="3050"/>
      <c r="Y181" s="3050"/>
      <c r="Z181" s="3050"/>
      <c r="AA181" s="3050"/>
    </row>
    <row r="182" spans="1:27" s="1103" customFormat="1" ht="24.95" customHeight="1">
      <c r="A182" s="3040"/>
      <c r="B182" s="3056">
        <f>ROW()</f>
        <v>182</v>
      </c>
      <c r="C182" s="4986">
        <f>DATE(YEAR(C180),MONTH(C180)+1,1)-MOD(DATE(YEAR(C180),MONTH(C180)+1,1)+5,7)-3</f>
        <v>44190</v>
      </c>
      <c r="D182" s="4986"/>
      <c r="E182" s="4986"/>
      <c r="F182" s="3072"/>
      <c r="G182" s="4908" t="str">
        <f t="shared" ca="1" si="2"/>
        <v>=DATE(ANNEE(C180);MOIS(C180)+1;1)-MOD(DATE(ANNEE(C180);MOIS(C180)+1;1)+5;7)-3</v>
      </c>
      <c r="H182" s="3072"/>
      <c r="I182" s="3072"/>
      <c r="J182" s="3073"/>
      <c r="K182" s="3050"/>
      <c r="L182" s="3050"/>
      <c r="M182" s="3050"/>
      <c r="N182" s="3123"/>
      <c r="O182" s="3050"/>
      <c r="P182" s="3050"/>
      <c r="Q182" s="3050"/>
      <c r="R182" s="3050"/>
      <c r="S182" s="3050"/>
      <c r="T182" s="3050"/>
      <c r="U182" s="3050"/>
      <c r="V182" s="3050"/>
      <c r="W182" s="3050"/>
      <c r="X182" s="3050"/>
      <c r="Y182" s="3050"/>
      <c r="Z182" s="3050"/>
      <c r="AA182" s="3050"/>
    </row>
    <row r="183" spans="1:27" s="1103" customFormat="1" ht="24.95" customHeight="1" thickBot="1">
      <c r="A183" s="3040"/>
      <c r="B183" s="3081"/>
      <c r="C183" s="4987" t="s">
        <v>3195</v>
      </c>
      <c r="D183" s="3093"/>
      <c r="E183" s="3093"/>
      <c r="F183" s="3094"/>
      <c r="G183" s="3094"/>
      <c r="H183" s="3094"/>
      <c r="I183" s="3094"/>
      <c r="J183" s="3105"/>
      <c r="K183" s="3092"/>
      <c r="L183" s="3092"/>
      <c r="M183" s="3092"/>
      <c r="N183" s="3106"/>
      <c r="O183" s="3050"/>
      <c r="P183" s="3050"/>
      <c r="Q183" s="3050"/>
      <c r="R183" s="3050"/>
      <c r="S183" s="3050"/>
      <c r="T183" s="3050"/>
      <c r="U183" s="3050"/>
      <c r="V183" s="3050"/>
      <c r="W183" s="3050"/>
      <c r="X183" s="3050"/>
      <c r="Y183" s="3050"/>
      <c r="Z183" s="3050"/>
      <c r="AA183" s="3050"/>
    </row>
    <row r="184" spans="1:27" s="1103" customFormat="1" ht="24.95" customHeight="1">
      <c r="A184" s="3040"/>
      <c r="B184" s="3041"/>
      <c r="C184" s="3050"/>
      <c r="D184" s="3071"/>
      <c r="E184" s="3071"/>
      <c r="F184" s="3072"/>
      <c r="G184" s="3072"/>
      <c r="H184" s="3072"/>
      <c r="I184" s="3072"/>
      <c r="J184" s="3073"/>
      <c r="K184" s="3050"/>
      <c r="L184" s="3050"/>
      <c r="M184" s="3050"/>
      <c r="N184" s="3050"/>
      <c r="O184" s="3050"/>
      <c r="P184" s="3050"/>
      <c r="Q184" s="3050"/>
      <c r="R184" s="3050"/>
      <c r="S184" s="3050"/>
      <c r="T184" s="3050"/>
      <c r="U184" s="3050"/>
      <c r="V184" s="3050"/>
      <c r="W184" s="3050"/>
      <c r="X184" s="3050"/>
      <c r="Y184" s="3050"/>
      <c r="Z184" s="3050"/>
      <c r="AA184" s="3050"/>
    </row>
    <row r="185" spans="1:27" s="1103" customFormat="1" ht="24.95" customHeight="1">
      <c r="A185" s="3040"/>
      <c r="B185" s="3041"/>
      <c r="C185" s="3050"/>
      <c r="D185" s="3071"/>
      <c r="E185" s="3071"/>
      <c r="F185" s="3072"/>
      <c r="G185" s="3072"/>
      <c r="H185" s="3072"/>
      <c r="I185" s="3072"/>
      <c r="J185" s="3073"/>
      <c r="K185" s="3050"/>
      <c r="L185" s="3050"/>
      <c r="M185" s="3050"/>
      <c r="N185" s="3050"/>
      <c r="O185" s="3050"/>
      <c r="P185" s="3050"/>
      <c r="Q185" s="3050"/>
      <c r="R185" s="3050"/>
      <c r="S185" s="3050"/>
      <c r="T185" s="3050"/>
      <c r="U185" s="3050"/>
      <c r="V185" s="3050"/>
      <c r="W185" s="3050"/>
      <c r="X185" s="3050"/>
      <c r="Y185" s="3050"/>
      <c r="Z185" s="3050"/>
      <c r="AA185" s="3050"/>
    </row>
    <row r="186" spans="1:27" s="1103" customFormat="1" ht="24.95" customHeight="1">
      <c r="A186" s="3040"/>
      <c r="B186" s="3041"/>
      <c r="C186" s="3050"/>
      <c r="D186" s="3071"/>
      <c r="E186" s="3071"/>
      <c r="F186" s="3072"/>
      <c r="G186" s="3072"/>
      <c r="H186" s="3072"/>
      <c r="I186" s="3072"/>
      <c r="J186" s="3073"/>
      <c r="K186" s="3050"/>
      <c r="L186" s="3050"/>
      <c r="M186" s="3050"/>
      <c r="N186" s="3050"/>
      <c r="O186" s="3050"/>
      <c r="P186" s="3050"/>
      <c r="Q186" s="3050"/>
      <c r="R186" s="3050"/>
      <c r="S186" s="3050"/>
      <c r="T186" s="3050"/>
      <c r="U186" s="3050"/>
      <c r="V186" s="3050"/>
      <c r="W186" s="3050"/>
      <c r="X186" s="3050"/>
      <c r="Y186" s="3050"/>
      <c r="Z186" s="3050"/>
      <c r="AA186" s="3050"/>
    </row>
    <row r="187" spans="1:27" s="1103" customFormat="1" ht="24.95" customHeight="1">
      <c r="A187" s="3033"/>
      <c r="B187" s="3034"/>
      <c r="C187" s="3035"/>
      <c r="D187" s="3036"/>
      <c r="E187" s="3036"/>
      <c r="F187" s="3037"/>
      <c r="G187" s="3037"/>
      <c r="H187" s="3037"/>
      <c r="I187" s="3037"/>
      <c r="J187" s="3038"/>
      <c r="K187" s="3035"/>
      <c r="L187" s="3035"/>
      <c r="M187" s="3035"/>
      <c r="N187" s="3035"/>
      <c r="O187" s="3035"/>
      <c r="P187" s="3035"/>
      <c r="Q187" s="3035"/>
      <c r="R187" s="3035"/>
      <c r="S187" s="3035"/>
      <c r="T187" s="3035"/>
      <c r="U187" s="3035"/>
      <c r="V187" s="3035"/>
      <c r="W187" s="3035"/>
      <c r="X187" s="3035"/>
      <c r="Y187" s="3035"/>
      <c r="Z187" s="3035"/>
      <c r="AA187" s="3035"/>
    </row>
    <row r="188" spans="1:27" s="1103" customFormat="1" ht="24.95" customHeight="1">
      <c r="A188" s="3040"/>
      <c r="B188" s="3041"/>
      <c r="C188" s="3050"/>
      <c r="D188" s="3071"/>
      <c r="E188" s="3071"/>
      <c r="F188" s="3072"/>
      <c r="G188" s="3072"/>
      <c r="H188" s="3072"/>
      <c r="I188" s="3072"/>
      <c r="J188" s="3073"/>
      <c r="K188" s="3050"/>
      <c r="L188" s="3050"/>
      <c r="M188" s="3050"/>
      <c r="N188" s="3050"/>
      <c r="O188" s="3050"/>
      <c r="P188" s="3050"/>
      <c r="Q188" s="3050"/>
      <c r="R188" s="3027"/>
      <c r="S188" s="3027"/>
      <c r="T188" s="3027"/>
      <c r="U188" s="3027"/>
      <c r="V188" s="3027"/>
      <c r="W188" s="3027"/>
      <c r="X188" s="3027"/>
      <c r="Y188" s="1148"/>
      <c r="Z188" s="3027"/>
      <c r="AA188" s="1148"/>
    </row>
    <row r="189" spans="1:27" s="3028" customFormat="1" ht="24.95" customHeight="1">
      <c r="A189" s="3024"/>
      <c r="B189" s="3025"/>
      <c r="C189" s="3026"/>
      <c r="D189" s="3024"/>
      <c r="E189" s="3026"/>
      <c r="F189" s="3024"/>
      <c r="G189" s="3024"/>
      <c r="H189" s="4893"/>
      <c r="I189" s="4893"/>
      <c r="J189" s="4893"/>
      <c r="K189" s="4893"/>
      <c r="L189" s="4893"/>
      <c r="M189" s="4893"/>
      <c r="N189" s="3027"/>
      <c r="O189" s="3027"/>
      <c r="P189" s="3027"/>
      <c r="Q189" s="3027"/>
      <c r="R189" s="3027"/>
      <c r="S189" s="3027"/>
      <c r="T189" s="3027"/>
      <c r="U189" s="3027"/>
      <c r="V189" s="3027"/>
      <c r="W189" s="3027"/>
      <c r="X189" s="3027"/>
      <c r="Y189" s="1148"/>
      <c r="Z189" s="3027"/>
      <c r="AA189" s="1148"/>
    </row>
    <row r="190" spans="1:27" s="3028" customFormat="1" ht="24.95" customHeight="1">
      <c r="A190" s="3024"/>
      <c r="B190" s="3025"/>
      <c r="C190" s="3026"/>
      <c r="D190" s="3024"/>
      <c r="E190" s="3026"/>
      <c r="F190" s="3024"/>
      <c r="G190" s="3024"/>
      <c r="H190" s="4893"/>
      <c r="I190" s="4893"/>
      <c r="J190" s="4893"/>
      <c r="K190" s="4893"/>
      <c r="L190" s="4893"/>
      <c r="M190" s="4893"/>
      <c r="N190" s="3027"/>
      <c r="O190" s="3027"/>
      <c r="P190" s="3027"/>
      <c r="Q190" s="3027"/>
      <c r="R190" s="3027"/>
      <c r="S190" s="3027"/>
      <c r="T190" s="3027"/>
      <c r="U190" s="3027"/>
      <c r="V190" s="3027"/>
      <c r="W190" s="3027"/>
      <c r="X190" s="3027"/>
      <c r="Y190" s="1148"/>
      <c r="Z190" s="3027"/>
      <c r="AA190" s="1148"/>
    </row>
    <row r="191" spans="1:27" s="3028" customFormat="1" ht="24.95" customHeight="1">
      <c r="A191" s="3024"/>
      <c r="B191" s="3025"/>
      <c r="C191" s="3026"/>
      <c r="D191" s="3024"/>
      <c r="E191" s="3026"/>
      <c r="F191" s="3024"/>
      <c r="G191" s="3024"/>
      <c r="H191" s="4893"/>
      <c r="I191" s="4893"/>
      <c r="J191" s="4893"/>
      <c r="K191" s="4893"/>
      <c r="L191" s="4893"/>
      <c r="M191" s="4893"/>
      <c r="N191" s="3027"/>
      <c r="O191" s="3027"/>
      <c r="P191" s="3027"/>
      <c r="Q191" s="3027"/>
      <c r="R191" s="3027"/>
      <c r="S191" s="3027"/>
      <c r="T191" s="3027"/>
      <c r="U191" s="3027"/>
      <c r="V191" s="3027"/>
      <c r="W191" s="3027"/>
      <c r="X191" s="3027"/>
      <c r="Y191" s="1148"/>
      <c r="Z191" s="3027"/>
      <c r="AA191" s="1148"/>
    </row>
    <row r="192" spans="1:27" s="3028" customFormat="1" ht="24.95" customHeight="1">
      <c r="A192" s="3024"/>
      <c r="B192" s="3025"/>
      <c r="C192" s="3026"/>
      <c r="D192" s="3024"/>
      <c r="E192" s="3026"/>
      <c r="F192" s="3024"/>
      <c r="G192" s="3024"/>
      <c r="H192" s="4893"/>
      <c r="I192" s="4893"/>
      <c r="J192" s="4893"/>
      <c r="K192" s="4893"/>
      <c r="L192" s="4893"/>
      <c r="M192" s="4893"/>
      <c r="N192" s="3027"/>
      <c r="O192" s="3027"/>
      <c r="P192" s="3027"/>
      <c r="Q192" s="3027"/>
      <c r="R192" s="3027"/>
      <c r="S192" s="3027"/>
      <c r="T192" s="3027"/>
      <c r="U192" s="3027"/>
      <c r="V192" s="3027"/>
      <c r="W192" s="3027"/>
      <c r="X192" s="3027"/>
      <c r="Y192" s="1148"/>
      <c r="Z192" s="3027"/>
      <c r="AA192" s="1148"/>
    </row>
    <row r="193" spans="1:27" s="3028" customFormat="1" ht="24.95" customHeight="1">
      <c r="A193" s="3024"/>
      <c r="B193" s="3025"/>
      <c r="C193" s="3026"/>
      <c r="D193" s="3024"/>
      <c r="E193" s="3026"/>
      <c r="F193" s="3024"/>
      <c r="G193" s="3024"/>
      <c r="H193" s="4893"/>
      <c r="I193" s="4893"/>
      <c r="J193" s="4893"/>
      <c r="K193" s="4893"/>
      <c r="L193" s="4893"/>
      <c r="M193" s="4893"/>
      <c r="N193" s="3027"/>
      <c r="O193" s="3027"/>
      <c r="P193" s="3027"/>
      <c r="Q193" s="3027"/>
      <c r="R193" s="3027"/>
      <c r="S193" s="3027"/>
      <c r="T193" s="3027"/>
      <c r="U193" s="3027"/>
      <c r="V193" s="3027"/>
      <c r="W193" s="3027"/>
      <c r="X193" s="3027"/>
      <c r="Y193" s="1148"/>
      <c r="Z193" s="3027"/>
      <c r="AA193" s="1148"/>
    </row>
    <row r="194" spans="1:27" s="3028" customFormat="1" ht="24.95" customHeight="1">
      <c r="A194" s="3024"/>
      <c r="B194" s="3025"/>
      <c r="C194" s="3026"/>
      <c r="D194" s="3024"/>
      <c r="E194" s="3026"/>
      <c r="F194" s="3024"/>
      <c r="G194" s="3024"/>
      <c r="H194" s="4893"/>
      <c r="I194" s="4893"/>
      <c r="J194" s="4893"/>
      <c r="K194" s="4893"/>
      <c r="L194" s="4893"/>
      <c r="M194" s="4893"/>
      <c r="N194" s="3027"/>
      <c r="O194" s="3027"/>
      <c r="P194" s="3027"/>
      <c r="Q194" s="3027"/>
      <c r="R194" s="3027"/>
      <c r="S194" s="3027"/>
      <c r="T194" s="3027"/>
      <c r="U194" s="3027"/>
      <c r="V194" s="3027"/>
      <c r="W194" s="3027"/>
      <c r="X194" s="3027"/>
      <c r="Y194" s="1148"/>
      <c r="Z194" s="3027"/>
      <c r="AA194" s="1148"/>
    </row>
    <row r="195" spans="1:27" s="3028" customFormat="1" ht="24.95" customHeight="1">
      <c r="A195" s="3024"/>
      <c r="B195" s="3025"/>
      <c r="C195" s="3026" t="s">
        <v>3206</v>
      </c>
      <c r="D195" s="3024"/>
      <c r="E195" s="3026"/>
      <c r="F195" s="3024"/>
      <c r="G195" s="3024"/>
      <c r="H195" s="4893"/>
      <c r="I195" s="4893"/>
      <c r="J195" s="4893"/>
      <c r="K195" s="4893"/>
      <c r="L195" s="4893"/>
      <c r="M195" s="4893"/>
      <c r="N195" s="3027"/>
      <c r="O195" s="3027"/>
      <c r="P195" s="3027"/>
      <c r="Q195" s="3027"/>
      <c r="R195" s="3027"/>
      <c r="S195" s="3027"/>
      <c r="T195" s="3027"/>
      <c r="U195" s="3027"/>
      <c r="V195" s="3027"/>
      <c r="W195" s="3027"/>
      <c r="X195" s="3027"/>
      <c r="Y195" s="1148"/>
      <c r="Z195" s="3027"/>
      <c r="AA195" s="1148"/>
    </row>
    <row r="196" spans="1:27" s="3028" customFormat="1" ht="24.95" customHeight="1">
      <c r="A196" s="3024"/>
      <c r="B196" s="3025"/>
      <c r="C196" s="3026" t="s">
        <v>3207</v>
      </c>
      <c r="D196" s="3024"/>
      <c r="E196" s="3026"/>
      <c r="F196" s="3024"/>
      <c r="G196" s="3024"/>
      <c r="H196" s="4893"/>
      <c r="I196" s="4893"/>
      <c r="J196" s="4893"/>
      <c r="K196" s="4893"/>
      <c r="L196" s="4893"/>
      <c r="M196" s="4893"/>
      <c r="N196" s="3027"/>
      <c r="O196" s="3027"/>
      <c r="P196" s="3027"/>
      <c r="Q196" s="3027"/>
      <c r="R196" s="3027"/>
      <c r="S196" s="3027"/>
      <c r="T196" s="3027"/>
      <c r="U196" s="3027"/>
      <c r="V196" s="3027"/>
      <c r="W196" s="3027"/>
      <c r="X196" s="3027"/>
      <c r="Y196" s="1148"/>
      <c r="Z196" s="3027"/>
      <c r="AA196" s="1148"/>
    </row>
    <row r="197" spans="1:27" s="3028" customFormat="1" ht="24.95" customHeight="1">
      <c r="A197" s="3024"/>
      <c r="B197" s="3025"/>
      <c r="C197" s="3026" t="s">
        <v>3208</v>
      </c>
      <c r="D197" s="3024"/>
      <c r="E197" s="3026"/>
      <c r="F197" s="3024"/>
      <c r="G197" s="3024"/>
      <c r="H197" s="4893"/>
      <c r="I197" s="4893"/>
      <c r="J197" s="4893"/>
      <c r="K197" s="4893"/>
      <c r="L197" s="4893"/>
      <c r="M197" s="4893"/>
      <c r="N197" s="3027"/>
      <c r="O197" s="3027"/>
      <c r="P197" s="3027"/>
      <c r="Q197" s="3027"/>
      <c r="R197" s="3027"/>
      <c r="S197" s="3027"/>
      <c r="T197" s="3027"/>
      <c r="U197" s="3027"/>
      <c r="V197" s="3027"/>
      <c r="W197" s="3027"/>
      <c r="X197" s="3027"/>
      <c r="Y197" s="1148"/>
      <c r="Z197" s="3027"/>
      <c r="AA197" s="1148"/>
    </row>
    <row r="198" spans="1:27" s="3028" customFormat="1" ht="24.95" customHeight="1">
      <c r="A198" s="3024"/>
      <c r="B198" s="3025"/>
      <c r="C198" s="3026" t="s">
        <v>3209</v>
      </c>
      <c r="D198" s="3024"/>
      <c r="E198" s="3026"/>
      <c r="F198" s="3024"/>
      <c r="G198" s="3024"/>
      <c r="H198" s="4893"/>
      <c r="I198" s="4893"/>
      <c r="J198" s="4893"/>
      <c r="K198" s="4893"/>
      <c r="L198" s="4893"/>
      <c r="M198" s="4893"/>
      <c r="N198" s="3027"/>
      <c r="O198" s="3027"/>
      <c r="P198" s="3027"/>
      <c r="Q198" s="3027"/>
      <c r="R198" s="3027"/>
      <c r="S198" s="3027"/>
      <c r="T198" s="3027"/>
      <c r="U198" s="3027"/>
      <c r="V198" s="3027"/>
      <c r="W198" s="3027"/>
      <c r="X198" s="3027"/>
      <c r="Y198" s="1148"/>
      <c r="Z198" s="3027"/>
      <c r="AA198" s="1148"/>
    </row>
    <row r="199" spans="1:27" s="1103" customFormat="1" ht="24.95" customHeight="1">
      <c r="A199" s="3040"/>
      <c r="B199" s="3041"/>
      <c r="C199" s="3148"/>
      <c r="D199" s="4988"/>
      <c r="E199" s="3149"/>
      <c r="F199" s="3150"/>
      <c r="G199" s="3151"/>
      <c r="H199" s="3151"/>
      <c r="I199" s="3151"/>
      <c r="J199" s="3152"/>
      <c r="K199" s="3153"/>
      <c r="L199" s="3102"/>
      <c r="M199" s="3102"/>
      <c r="N199" s="3102"/>
      <c r="O199" s="3102"/>
      <c r="P199" s="3102"/>
      <c r="Q199" s="3154"/>
      <c r="R199" s="3155"/>
      <c r="S199" s="4989"/>
      <c r="T199" s="3156"/>
      <c r="U199" s="3155"/>
      <c r="V199" s="4893"/>
      <c r="W199" s="4893"/>
      <c r="X199" s="3040"/>
      <c r="Y199" s="3040"/>
      <c r="Z199" s="3040"/>
      <c r="AA199" s="3040"/>
    </row>
    <row r="200" spans="1:27" s="1103" customFormat="1" ht="24.95" customHeight="1">
      <c r="A200" s="3040"/>
      <c r="B200" s="3041"/>
      <c r="C200" s="3148"/>
      <c r="D200" s="4988"/>
      <c r="E200" s="3149"/>
      <c r="F200" s="3150"/>
      <c r="G200" s="3151"/>
      <c r="H200" s="3151"/>
      <c r="I200" s="3151"/>
      <c r="J200" s="3152"/>
      <c r="K200" s="3153"/>
      <c r="L200" s="3102"/>
      <c r="M200" s="3102"/>
      <c r="N200" s="3102"/>
      <c r="O200" s="3102"/>
      <c r="P200" s="3102"/>
      <c r="Q200" s="3154"/>
      <c r="R200" s="3155"/>
      <c r="S200" s="4989"/>
      <c r="T200" s="3156"/>
      <c r="U200" s="3155"/>
      <c r="V200" s="4893"/>
      <c r="W200" s="4893"/>
      <c r="X200" s="3040"/>
      <c r="Y200" s="3040"/>
      <c r="Z200" s="3040"/>
      <c r="AA200" s="3040"/>
    </row>
    <row r="201" spans="1:27" s="1103" customFormat="1" ht="24.95" customHeight="1">
      <c r="A201" s="3040"/>
      <c r="B201" s="3041"/>
      <c r="C201" s="3148"/>
      <c r="D201" s="4988"/>
      <c r="E201" s="3149"/>
      <c r="F201" s="3150"/>
      <c r="G201" s="3151"/>
      <c r="H201" s="3151"/>
      <c r="I201" s="3151"/>
      <c r="J201" s="3152"/>
      <c r="K201" s="3153"/>
      <c r="L201" s="3102"/>
      <c r="M201" s="3102"/>
      <c r="N201" s="3102"/>
      <c r="O201" s="3102"/>
      <c r="P201" s="3102"/>
      <c r="Q201" s="3154"/>
      <c r="R201" s="3155"/>
      <c r="S201" s="4989"/>
      <c r="T201" s="3156"/>
      <c r="U201" s="3155"/>
      <c r="V201" s="4893"/>
      <c r="W201" s="4893"/>
      <c r="X201" s="3040"/>
      <c r="Y201" s="3040"/>
      <c r="Z201" s="3040"/>
      <c r="AA201" s="3040"/>
    </row>
    <row r="202" spans="1:27" s="1103" customFormat="1" ht="24.95" customHeight="1">
      <c r="A202" s="3040"/>
      <c r="B202" s="3041"/>
      <c r="C202" s="3148"/>
      <c r="D202" s="4988"/>
      <c r="E202" s="3149"/>
      <c r="F202" s="3150"/>
      <c r="G202" s="3151"/>
      <c r="H202" s="3151"/>
      <c r="I202" s="3151"/>
      <c r="J202" s="3152"/>
      <c r="K202" s="3153"/>
      <c r="L202" s="3102"/>
      <c r="M202" s="3102"/>
      <c r="N202" s="3102"/>
      <c r="O202" s="3102"/>
      <c r="P202" s="3102"/>
      <c r="Q202" s="3154"/>
      <c r="R202" s="3155"/>
      <c r="S202" s="4989"/>
      <c r="T202" s="3156"/>
      <c r="U202" s="3155"/>
      <c r="V202" s="4893"/>
      <c r="W202" s="4893"/>
      <c r="X202" s="3040"/>
      <c r="Y202" s="3040"/>
      <c r="Z202" s="3040"/>
      <c r="AA202" s="3040"/>
    </row>
    <row r="203" spans="1:27" s="1103" customFormat="1" ht="24.95" customHeight="1">
      <c r="A203" s="3040"/>
      <c r="B203" s="3041"/>
      <c r="C203" s="3148"/>
      <c r="D203" s="4988"/>
      <c r="E203" s="3149"/>
      <c r="F203" s="3150"/>
      <c r="G203" s="3151"/>
      <c r="H203" s="3151"/>
      <c r="I203" s="3151"/>
      <c r="J203" s="3152"/>
      <c r="K203" s="3153"/>
      <c r="L203" s="3102"/>
      <c r="M203" s="3102"/>
      <c r="N203" s="3102"/>
      <c r="O203" s="3102"/>
      <c r="P203" s="3102"/>
      <c r="Q203" s="3154"/>
      <c r="R203" s="3155"/>
      <c r="S203" s="4989"/>
      <c r="T203" s="3156"/>
      <c r="U203" s="3155"/>
      <c r="V203" s="4893"/>
      <c r="W203" s="4893"/>
      <c r="X203" s="3040"/>
      <c r="Y203" s="3040"/>
      <c r="Z203" s="3040"/>
      <c r="AA203" s="3040"/>
    </row>
    <row r="204" spans="1:27" s="1103" customFormat="1" ht="24.95" customHeight="1">
      <c r="A204" s="3040"/>
      <c r="B204" s="3041"/>
      <c r="C204" s="3148"/>
      <c r="D204" s="4988"/>
      <c r="E204" s="3149"/>
      <c r="F204" s="3150"/>
      <c r="G204" s="3151"/>
      <c r="H204" s="3151"/>
      <c r="I204" s="3151"/>
      <c r="J204" s="3152"/>
      <c r="K204" s="3153"/>
      <c r="L204" s="3102"/>
      <c r="M204" s="3102"/>
      <c r="N204" s="3102"/>
      <c r="O204" s="3102"/>
      <c r="P204" s="3102"/>
      <c r="Q204" s="3154"/>
      <c r="R204" s="3155"/>
      <c r="S204" s="4989"/>
      <c r="T204" s="3156"/>
      <c r="U204" s="3155"/>
      <c r="V204" s="4893"/>
      <c r="W204" s="4893"/>
      <c r="X204" s="3040"/>
      <c r="Y204" s="3040"/>
      <c r="Z204" s="3040"/>
      <c r="AA204" s="3040"/>
    </row>
    <row r="205" spans="1:27" s="1103" customFormat="1" ht="24.95" customHeight="1">
      <c r="A205" s="3040"/>
      <c r="B205" s="3041"/>
      <c r="C205" s="3148"/>
      <c r="D205" s="4988"/>
      <c r="E205" s="3149"/>
      <c r="F205" s="3150"/>
      <c r="G205" s="3151"/>
      <c r="H205" s="3151"/>
      <c r="I205" s="3151"/>
      <c r="J205" s="3152"/>
      <c r="K205" s="3153"/>
      <c r="L205" s="3102"/>
      <c r="M205" s="3102"/>
      <c r="N205" s="3102"/>
      <c r="O205" s="3102"/>
      <c r="P205" s="3102"/>
      <c r="Q205" s="3154"/>
      <c r="R205" s="3155"/>
      <c r="S205" s="4989"/>
      <c r="T205" s="3156"/>
      <c r="U205" s="3155"/>
      <c r="V205" s="4893"/>
      <c r="W205" s="4893"/>
      <c r="X205" s="3040"/>
      <c r="Y205" s="3040"/>
      <c r="Z205" s="3040"/>
      <c r="AA205" s="3040"/>
    </row>
    <row r="206" spans="1:27" s="1103" customFormat="1" ht="24.95" customHeight="1">
      <c r="A206" s="3040"/>
      <c r="B206" s="3041"/>
      <c r="C206" s="3148"/>
      <c r="D206" s="4988"/>
      <c r="E206" s="3149"/>
      <c r="F206" s="3150"/>
      <c r="G206" s="3151"/>
      <c r="H206" s="3151"/>
      <c r="I206" s="3151"/>
      <c r="J206" s="3152"/>
      <c r="K206" s="3157" t="s">
        <v>3210</v>
      </c>
      <c r="L206" s="3158"/>
      <c r="M206" s="3159"/>
      <c r="N206" s="3102"/>
      <c r="O206" s="3102"/>
      <c r="P206" s="3102"/>
      <c r="Q206" s="3154"/>
      <c r="R206" s="3155"/>
      <c r="S206" s="4989"/>
      <c r="T206" s="3156"/>
      <c r="U206" s="3155"/>
      <c r="V206" s="4893"/>
      <c r="W206" s="4893"/>
      <c r="X206" s="3040"/>
      <c r="Y206" s="3040"/>
      <c r="Z206" s="3040"/>
      <c r="AA206" s="3040"/>
    </row>
    <row r="207" spans="1:27" s="1103" customFormat="1" ht="24.95" customHeight="1">
      <c r="A207" s="3040"/>
      <c r="B207" s="3041"/>
      <c r="C207" s="3148"/>
      <c r="D207" s="4988"/>
      <c r="E207" s="3149"/>
      <c r="F207" s="3150"/>
      <c r="G207" s="3151"/>
      <c r="H207" s="3151"/>
      <c r="I207" s="3151"/>
      <c r="J207" s="3152"/>
      <c r="K207" s="3102"/>
      <c r="L207" s="3102"/>
      <c r="M207" s="3102"/>
      <c r="N207" s="3102"/>
      <c r="O207" s="3102"/>
      <c r="P207" s="3102"/>
      <c r="Q207" s="3154"/>
      <c r="R207" s="3155"/>
      <c r="S207" s="4989"/>
      <c r="T207" s="3156"/>
      <c r="U207" s="3155"/>
      <c r="V207" s="4893"/>
      <c r="W207" s="4893"/>
      <c r="X207" s="3040"/>
      <c r="Y207" s="3040"/>
      <c r="Z207" s="3040"/>
      <c r="AA207" s="3040"/>
    </row>
    <row r="208" spans="1:27" s="1103" customFormat="1" ht="24.95" customHeight="1">
      <c r="A208" s="3040"/>
      <c r="B208" s="3041"/>
      <c r="C208" s="3148"/>
      <c r="D208" s="4988"/>
      <c r="E208" s="3149"/>
      <c r="F208" s="3150"/>
      <c r="G208" s="3151"/>
      <c r="H208" s="3151"/>
      <c r="I208" s="3151"/>
      <c r="J208" s="3152"/>
      <c r="K208" s="3160" t="s">
        <v>732</v>
      </c>
      <c r="L208" s="3161" t="s">
        <v>3211</v>
      </c>
      <c r="M208" s="3159"/>
      <c r="N208" s="3159"/>
      <c r="O208" s="3159"/>
      <c r="P208" s="3159"/>
      <c r="Q208" s="3162"/>
      <c r="R208" s="3155"/>
      <c r="S208" s="4989"/>
      <c r="T208" s="3156"/>
      <c r="U208" s="3155"/>
      <c r="V208" s="4893"/>
      <c r="W208" s="4893"/>
      <c r="X208" s="3040"/>
      <c r="Y208" s="3040"/>
      <c r="Z208" s="3040"/>
      <c r="AA208" s="3040"/>
    </row>
    <row r="209" spans="1:27" s="1103" customFormat="1" ht="24.95" customHeight="1">
      <c r="A209" s="3040"/>
      <c r="B209" s="3041"/>
      <c r="C209" s="3148"/>
      <c r="D209" s="4988"/>
      <c r="E209" s="3149"/>
      <c r="F209" s="3150"/>
      <c r="G209" s="3151"/>
      <c r="H209" s="3151"/>
      <c r="I209" s="3151"/>
      <c r="J209" s="3152"/>
      <c r="K209" s="3153"/>
      <c r="L209" s="3102"/>
      <c r="M209" s="3155"/>
      <c r="N209" s="3155"/>
      <c r="O209" s="3155"/>
      <c r="P209" s="3155"/>
      <c r="Q209" s="3155"/>
      <c r="R209" s="3155"/>
      <c r="S209" s="3155"/>
      <c r="T209" s="3155"/>
      <c r="U209" s="3155"/>
      <c r="V209" s="4893"/>
      <c r="W209" s="4893"/>
      <c r="X209" s="3040"/>
      <c r="Y209" s="3040"/>
      <c r="Z209" s="3040"/>
      <c r="AA209" s="3040"/>
    </row>
    <row r="210" spans="1:27" s="1103" customFormat="1" ht="24.95" customHeight="1">
      <c r="A210" s="3040"/>
      <c r="B210" s="3041"/>
      <c r="C210" s="3148"/>
      <c r="D210" s="4988"/>
      <c r="E210" s="3149"/>
      <c r="F210" s="3150"/>
      <c r="G210" s="3151"/>
      <c r="H210" s="3151"/>
      <c r="I210" s="3151"/>
      <c r="J210" s="3152"/>
      <c r="K210" s="3153"/>
      <c r="L210" s="3102"/>
      <c r="M210" s="3155"/>
      <c r="N210" s="3155"/>
      <c r="O210" s="3155"/>
      <c r="P210" s="3155"/>
      <c r="Q210" s="3155"/>
      <c r="R210" s="3155"/>
      <c r="S210" s="3155"/>
      <c r="T210" s="3155"/>
      <c r="U210" s="3155"/>
      <c r="V210" s="4893"/>
      <c r="W210" s="4893"/>
      <c r="X210" s="3040"/>
      <c r="Y210" s="3040"/>
      <c r="Z210" s="3040"/>
      <c r="AA210" s="3040"/>
    </row>
    <row r="211" spans="1:27" s="1103" customFormat="1" ht="24.95" customHeight="1">
      <c r="A211" s="3040"/>
      <c r="B211" s="3041"/>
      <c r="C211" s="3148"/>
      <c r="D211" s="4988"/>
      <c r="E211" s="3149"/>
      <c r="F211" s="3150"/>
      <c r="G211" s="3151"/>
      <c r="H211" s="3151"/>
      <c r="I211" s="3151"/>
      <c r="J211" s="3152"/>
      <c r="K211" s="3153"/>
      <c r="L211" s="3102"/>
      <c r="M211" s="3155"/>
      <c r="N211" s="3155"/>
      <c r="O211" s="3155"/>
      <c r="P211" s="3155"/>
      <c r="Q211" s="3155"/>
      <c r="R211" s="3155"/>
      <c r="S211" s="3155"/>
      <c r="T211" s="3155"/>
      <c r="U211" s="3155"/>
      <c r="V211" s="4893"/>
      <c r="W211" s="4893"/>
      <c r="X211" s="3040"/>
      <c r="Y211" s="3040"/>
      <c r="Z211" s="3040"/>
      <c r="AA211" s="3040"/>
    </row>
    <row r="212" spans="1:27" s="1103" customFormat="1" ht="24.95" customHeight="1">
      <c r="A212" s="3040"/>
      <c r="B212" s="3041"/>
      <c r="C212" s="3148"/>
      <c r="D212" s="4988"/>
      <c r="E212" s="3149"/>
      <c r="F212" s="3150"/>
      <c r="G212" s="3151"/>
      <c r="H212" s="3151"/>
      <c r="I212" s="3151"/>
      <c r="J212" s="3152"/>
      <c r="K212" s="3153"/>
      <c r="L212" s="3102"/>
      <c r="M212" s="3155"/>
      <c r="N212" s="3155"/>
      <c r="O212" s="3155"/>
      <c r="P212" s="3155"/>
      <c r="Q212" s="3155"/>
      <c r="R212" s="3155"/>
      <c r="S212" s="3155"/>
      <c r="T212" s="3155"/>
      <c r="U212" s="3155"/>
      <c r="V212" s="4893"/>
      <c r="W212" s="4893"/>
      <c r="X212" s="3040"/>
      <c r="Y212" s="3040"/>
      <c r="Z212" s="3040"/>
      <c r="AA212" s="3040"/>
    </row>
    <row r="213" spans="1:27" s="1103" customFormat="1" ht="24.95" customHeight="1">
      <c r="A213" s="3040"/>
      <c r="B213" s="3041"/>
      <c r="C213" s="3148"/>
      <c r="D213" s="4988"/>
      <c r="E213" s="3149"/>
      <c r="F213" s="3150"/>
      <c r="G213" s="3151"/>
      <c r="H213" s="3151"/>
      <c r="I213" s="3151"/>
      <c r="J213" s="3152"/>
      <c r="K213" s="3153"/>
      <c r="L213" s="3102"/>
      <c r="M213" s="3155"/>
      <c r="N213" s="3155"/>
      <c r="O213" s="3155"/>
      <c r="P213" s="3155"/>
      <c r="Q213" s="3155"/>
      <c r="R213" s="3155"/>
      <c r="S213" s="3155"/>
      <c r="T213" s="3155"/>
      <c r="U213" s="3155"/>
      <c r="V213" s="4893"/>
      <c r="W213" s="4893"/>
      <c r="X213" s="3040"/>
      <c r="Y213" s="3040"/>
      <c r="Z213" s="3040"/>
      <c r="AA213" s="3040"/>
    </row>
    <row r="214" spans="1:27" s="1103" customFormat="1" ht="24.95" customHeight="1">
      <c r="A214" s="3040"/>
      <c r="B214" s="3041"/>
      <c r="C214" s="3148"/>
      <c r="D214" s="4988"/>
      <c r="E214" s="3149"/>
      <c r="F214" s="3150"/>
      <c r="G214" s="3151"/>
      <c r="H214" s="3151"/>
      <c r="I214" s="3151"/>
      <c r="J214" s="3152"/>
      <c r="K214" s="3153"/>
      <c r="L214" s="3102"/>
      <c r="M214" s="3102"/>
      <c r="N214" s="3102"/>
      <c r="O214" s="3102"/>
      <c r="P214" s="3102"/>
      <c r="Q214" s="3154"/>
      <c r="R214" s="3155"/>
      <c r="S214" s="4989"/>
      <c r="T214" s="3156"/>
      <c r="U214" s="3155"/>
      <c r="V214" s="4893"/>
      <c r="W214" s="4893"/>
      <c r="X214" s="3040"/>
      <c r="Y214" s="3040"/>
      <c r="Z214" s="3040"/>
      <c r="AA214" s="3040"/>
    </row>
    <row r="215" spans="1:27" s="1103" customFormat="1" ht="24.95" customHeight="1">
      <c r="A215" s="3040"/>
      <c r="B215" s="3041"/>
      <c r="C215" s="3148"/>
      <c r="D215" s="4988"/>
      <c r="E215" s="3149"/>
      <c r="F215" s="3150"/>
      <c r="G215" s="3151"/>
      <c r="H215" s="3151"/>
      <c r="I215" s="3151"/>
      <c r="J215" s="3152"/>
      <c r="K215" s="3153"/>
      <c r="L215" s="3102"/>
      <c r="M215" s="3102"/>
      <c r="N215" s="3102"/>
      <c r="O215" s="3102"/>
      <c r="P215" s="3102"/>
      <c r="Q215" s="3154"/>
      <c r="R215" s="3155"/>
      <c r="S215" s="4989"/>
      <c r="T215" s="3156"/>
      <c r="U215" s="3155"/>
      <c r="V215" s="4893"/>
      <c r="W215" s="4893"/>
      <c r="X215" s="3040"/>
      <c r="Y215" s="3040"/>
      <c r="Z215" s="3040"/>
      <c r="AA215" s="3040"/>
    </row>
    <row r="216" spans="1:27" s="1103" customFormat="1" ht="24.95" customHeight="1">
      <c r="A216" s="3040"/>
      <c r="B216" s="3041"/>
      <c r="C216" s="3148"/>
      <c r="D216" s="4988"/>
      <c r="E216" s="3149"/>
      <c r="F216" s="3150"/>
      <c r="G216" s="3151"/>
      <c r="H216" s="3151"/>
      <c r="I216" s="3151"/>
      <c r="J216" s="3152"/>
      <c r="K216" s="3153"/>
      <c r="L216" s="3102"/>
      <c r="M216" s="3102"/>
      <c r="N216" s="3102"/>
      <c r="O216" s="3102"/>
      <c r="P216" s="3102"/>
      <c r="Q216" s="3154"/>
      <c r="R216" s="3155"/>
      <c r="S216" s="4989"/>
      <c r="T216" s="3156"/>
      <c r="U216" s="3155"/>
      <c r="V216" s="4893"/>
      <c r="W216" s="4893"/>
      <c r="X216" s="3040"/>
      <c r="Y216" s="3040"/>
      <c r="Z216" s="3040"/>
      <c r="AA216" s="3040"/>
    </row>
    <row r="217" spans="1:27" s="1103" customFormat="1" ht="24.95" customHeight="1">
      <c r="A217" s="3040"/>
      <c r="B217" s="3041"/>
      <c r="C217" s="3148"/>
      <c r="D217" s="4988"/>
      <c r="E217" s="3149"/>
      <c r="F217" s="3150"/>
      <c r="G217" s="3151"/>
      <c r="H217" s="3151"/>
      <c r="I217" s="3151"/>
      <c r="J217" s="3152"/>
      <c r="K217" s="3153"/>
      <c r="L217" s="3102"/>
      <c r="M217" s="3102"/>
      <c r="N217" s="3102"/>
      <c r="O217" s="3102"/>
      <c r="P217" s="3102"/>
      <c r="Q217" s="3154"/>
      <c r="R217" s="3155"/>
      <c r="S217" s="4989"/>
      <c r="T217" s="3156"/>
      <c r="U217" s="3155"/>
      <c r="V217" s="4893"/>
      <c r="W217" s="4893"/>
      <c r="X217" s="3040"/>
      <c r="Y217" s="3040"/>
      <c r="Z217" s="3040"/>
      <c r="AA217" s="3040"/>
    </row>
    <row r="218" spans="1:27" s="1103" customFormat="1" ht="24.95" customHeight="1">
      <c r="A218" s="3040"/>
      <c r="B218" s="3041"/>
      <c r="C218" s="3148"/>
      <c r="D218" s="4988"/>
      <c r="E218" s="3149"/>
      <c r="F218" s="3150"/>
      <c r="G218" s="3151"/>
      <c r="H218" s="3151"/>
      <c r="I218" s="3151"/>
      <c r="J218" s="3152"/>
      <c r="K218" s="3153"/>
      <c r="L218" s="3102"/>
      <c r="M218" s="3102"/>
      <c r="N218" s="3102"/>
      <c r="O218" s="3102"/>
      <c r="P218" s="3102"/>
      <c r="Q218" s="3154"/>
      <c r="R218" s="3155"/>
      <c r="S218" s="4989"/>
      <c r="T218" s="3156"/>
      <c r="U218" s="3155"/>
      <c r="V218" s="4893"/>
      <c r="W218" s="4893"/>
      <c r="X218" s="3040"/>
      <c r="Y218" s="3040"/>
      <c r="Z218" s="3040"/>
      <c r="AA218" s="3040"/>
    </row>
    <row r="219" spans="1:27" s="1103" customFormat="1" ht="24.95" customHeight="1">
      <c r="A219" s="3040"/>
      <c r="B219" s="3041"/>
      <c r="C219" s="3148"/>
      <c r="D219" s="4988"/>
      <c r="E219" s="3149"/>
      <c r="F219" s="3150"/>
      <c r="G219" s="3151"/>
      <c r="H219" s="3151"/>
      <c r="I219" s="3151"/>
      <c r="J219" s="3152"/>
      <c r="K219" s="3153"/>
      <c r="L219" s="3102"/>
      <c r="M219" s="3102"/>
      <c r="N219" s="3102"/>
      <c r="O219" s="3102"/>
      <c r="P219" s="3102"/>
      <c r="Q219" s="3154"/>
      <c r="R219" s="3155"/>
      <c r="S219" s="4989"/>
      <c r="T219" s="3156"/>
      <c r="U219" s="3155"/>
      <c r="V219" s="4893"/>
      <c r="W219" s="4893"/>
      <c r="X219" s="3040"/>
      <c r="Y219" s="3040"/>
      <c r="Z219" s="3040"/>
      <c r="AA219" s="3040"/>
    </row>
    <row r="220" spans="1:27" s="1103" customFormat="1" ht="24.95" customHeight="1">
      <c r="A220" s="3040"/>
      <c r="B220" s="3041"/>
      <c r="C220" s="3148"/>
      <c r="D220" s="4988"/>
      <c r="E220" s="3149"/>
      <c r="F220" s="3150"/>
      <c r="G220" s="3151"/>
      <c r="H220" s="3151"/>
      <c r="I220" s="3151"/>
      <c r="J220" s="3152"/>
      <c r="K220" s="3153"/>
      <c r="L220" s="3102"/>
      <c r="M220" s="3102"/>
      <c r="N220" s="3102"/>
      <c r="O220" s="3102"/>
      <c r="P220" s="3102"/>
      <c r="Q220" s="3154"/>
      <c r="R220" s="3155"/>
      <c r="S220" s="4989"/>
      <c r="T220" s="3156"/>
      <c r="U220" s="3155"/>
      <c r="V220" s="4893"/>
      <c r="W220" s="4893"/>
      <c r="X220" s="3040"/>
      <c r="Y220" s="3040"/>
      <c r="Z220" s="3040"/>
      <c r="AA220" s="3040"/>
    </row>
    <row r="221" spans="1:27" s="1103" customFormat="1" ht="24.95" customHeight="1">
      <c r="A221" s="3040"/>
      <c r="B221" s="3041"/>
      <c r="C221" s="3148"/>
      <c r="D221" s="4988"/>
      <c r="E221" s="3149"/>
      <c r="F221" s="3150"/>
      <c r="G221" s="3151"/>
      <c r="H221" s="3151"/>
      <c r="I221" s="3151"/>
      <c r="J221" s="3152"/>
      <c r="K221" s="3153"/>
      <c r="L221" s="3102"/>
      <c r="M221" s="3102"/>
      <c r="N221" s="3102"/>
      <c r="O221" s="3102"/>
      <c r="P221" s="3102"/>
      <c r="Q221" s="3154"/>
      <c r="R221" s="3155"/>
      <c r="S221" s="4989"/>
      <c r="T221" s="3156"/>
      <c r="U221" s="3155"/>
      <c r="V221" s="4893"/>
      <c r="W221" s="4893"/>
      <c r="X221" s="3040"/>
      <c r="Y221" s="3040"/>
      <c r="Z221" s="3040"/>
      <c r="AA221" s="3040"/>
    </row>
    <row r="222" spans="1:27" s="1104" customFormat="1" ht="24.95" customHeight="1">
      <c r="A222" s="1101"/>
      <c r="B222" s="3163"/>
      <c r="C222" s="1150"/>
      <c r="D222" s="1152"/>
      <c r="E222" s="1152"/>
      <c r="F222" s="1152"/>
      <c r="G222" s="1152"/>
      <c r="H222" s="1152"/>
      <c r="I222" s="1152"/>
      <c r="J222" s="1152"/>
      <c r="K222" s="1152"/>
      <c r="L222" s="4893"/>
      <c r="M222" s="4893"/>
      <c r="N222" s="4893"/>
      <c r="O222" s="4893"/>
      <c r="P222" s="4893"/>
      <c r="Q222" s="1102"/>
      <c r="R222" s="1102"/>
      <c r="S222" s="1102"/>
      <c r="T222" s="1102"/>
      <c r="U222" s="1102"/>
      <c r="V222" s="1102"/>
      <c r="W222" s="1102"/>
      <c r="X222" s="1102"/>
      <c r="Y222" s="1102"/>
      <c r="Z222" s="1102"/>
      <c r="AA222" s="1102"/>
    </row>
    <row r="223" spans="1:27" s="1103" customFormat="1" ht="24.95" customHeight="1">
      <c r="A223" s="1101"/>
      <c r="B223" s="3164" t="s">
        <v>5</v>
      </c>
      <c r="C223" s="1101"/>
      <c r="D223" s="1101"/>
      <c r="E223" s="1101"/>
      <c r="F223" s="1101"/>
      <c r="G223" s="1101"/>
      <c r="H223" s="1101"/>
      <c r="I223" s="1101"/>
      <c r="J223" s="1101"/>
      <c r="K223" s="1101"/>
      <c r="L223" s="1101"/>
      <c r="M223" s="1101"/>
      <c r="N223" s="1101"/>
      <c r="O223" s="1101"/>
      <c r="P223" s="1101"/>
      <c r="Q223" s="1101"/>
      <c r="R223" s="1101"/>
      <c r="S223" s="1102"/>
      <c r="T223" s="1102"/>
      <c r="U223" s="1102"/>
      <c r="V223" s="1102"/>
      <c r="W223" s="1102"/>
      <c r="X223" s="1102"/>
      <c r="Y223" s="1102"/>
      <c r="Z223" s="1102"/>
      <c r="AA223" s="1102"/>
    </row>
    <row r="224" spans="1:27" s="1103" customFormat="1" ht="24.95" customHeight="1">
      <c r="A224" s="1101"/>
      <c r="B224" s="3165" t="s">
        <v>6</v>
      </c>
      <c r="C224" s="1101"/>
      <c r="D224" s="1101"/>
      <c r="E224" s="1101"/>
      <c r="F224" s="1101"/>
      <c r="G224" s="1101"/>
      <c r="H224" s="1101"/>
      <c r="I224" s="1101"/>
      <c r="J224" s="1101"/>
      <c r="K224" s="1101"/>
      <c r="L224" s="1101"/>
      <c r="M224" s="1101"/>
      <c r="N224" s="1101"/>
      <c r="O224" s="1101"/>
      <c r="P224" s="1101"/>
      <c r="Q224" s="1101"/>
      <c r="R224" s="1101"/>
      <c r="S224" s="1102"/>
      <c r="T224" s="1102"/>
      <c r="U224" s="1102"/>
      <c r="V224" s="1102"/>
      <c r="W224" s="1102"/>
      <c r="X224" s="1102"/>
      <c r="Y224" s="1102"/>
      <c r="Z224" s="1102"/>
      <c r="AA224" s="1102"/>
    </row>
    <row r="225" spans="1:44" s="1103" customFormat="1" ht="24.95" customHeight="1">
      <c r="A225" s="1101"/>
      <c r="B225" s="3165"/>
      <c r="C225" s="1101"/>
      <c r="D225" s="1101"/>
      <c r="E225" s="1101"/>
      <c r="F225" s="1101"/>
      <c r="G225" s="1101"/>
      <c r="H225" s="1101"/>
      <c r="I225" s="1101"/>
      <c r="J225" s="1101"/>
      <c r="K225" s="1101"/>
      <c r="L225" s="1101"/>
      <c r="M225" s="1101"/>
      <c r="N225" s="1101"/>
      <c r="O225" s="1101"/>
      <c r="P225" s="1101"/>
      <c r="Q225" s="1101"/>
      <c r="R225" s="1101"/>
      <c r="S225" s="1102"/>
      <c r="T225" s="1102"/>
      <c r="U225" s="1102"/>
      <c r="V225" s="1102"/>
      <c r="W225" s="1102"/>
      <c r="X225" s="1102"/>
      <c r="Y225" s="1102"/>
      <c r="Z225" s="1102"/>
      <c r="AA225" s="1102"/>
    </row>
    <row r="226" spans="1:44" s="1104" customFormat="1" ht="24.95" customHeight="1">
      <c r="A226" s="1101"/>
      <c r="B226" s="3166" t="s">
        <v>2755</v>
      </c>
      <c r="C226" s="3167"/>
      <c r="D226" s="1101"/>
      <c r="E226" s="1101"/>
      <c r="F226" s="1101"/>
      <c r="G226" s="1101"/>
      <c r="H226" s="1101"/>
      <c r="I226" s="4893"/>
      <c r="J226" s="1101"/>
      <c r="K226" s="1101"/>
      <c r="L226" s="4893"/>
      <c r="M226" s="4893"/>
      <c r="N226" s="4893"/>
      <c r="O226" s="4893"/>
      <c r="P226" s="4893"/>
      <c r="Q226" s="1102"/>
      <c r="R226" s="1102"/>
      <c r="S226" s="1102"/>
      <c r="T226" s="1102"/>
      <c r="U226" s="1102"/>
      <c r="V226" s="1102"/>
      <c r="W226" s="3073"/>
      <c r="X226" s="1102"/>
      <c r="Y226" s="3168"/>
      <c r="Z226" s="1102"/>
      <c r="AA226" s="1102"/>
      <c r="AB226" s="1103"/>
      <c r="AC226" s="1103"/>
      <c r="AD226" s="1103"/>
      <c r="AE226" s="1103"/>
      <c r="AF226" s="1103"/>
      <c r="AG226" s="1103"/>
      <c r="AH226" s="1103"/>
      <c r="AI226" s="1103"/>
      <c r="AJ226" s="1103"/>
      <c r="AK226" s="1103"/>
      <c r="AL226" s="1103"/>
      <c r="AM226" s="1103"/>
      <c r="AN226" s="1103"/>
      <c r="AO226" s="1103"/>
      <c r="AP226" s="1103"/>
      <c r="AQ226" s="1103"/>
      <c r="AR226" s="1103"/>
    </row>
    <row r="227" spans="1:44" s="1104" customFormat="1" ht="24.95" customHeight="1">
      <c r="A227" s="1101"/>
      <c r="B227" s="1105"/>
      <c r="C227" s="1101"/>
      <c r="D227" s="1101"/>
      <c r="E227" s="1101"/>
      <c r="F227" s="1101"/>
      <c r="G227" s="1101"/>
      <c r="H227" s="1101"/>
      <c r="I227" s="4893"/>
      <c r="J227" s="1101"/>
      <c r="K227" s="1101"/>
      <c r="L227" s="4893"/>
      <c r="M227" s="4893"/>
      <c r="N227" s="4893"/>
      <c r="O227" s="4893"/>
      <c r="P227" s="4893"/>
      <c r="Q227" s="1102"/>
      <c r="R227" s="1102"/>
      <c r="S227" s="1102"/>
      <c r="T227" s="1102"/>
      <c r="U227" s="1102"/>
      <c r="V227" s="1102"/>
      <c r="W227" s="1102"/>
      <c r="X227" s="1102"/>
      <c r="Y227" s="1102"/>
      <c r="Z227" s="1102"/>
      <c r="AA227" s="1102"/>
      <c r="AB227" s="1103"/>
      <c r="AC227" s="1103"/>
      <c r="AD227" s="1103"/>
      <c r="AE227" s="1103"/>
      <c r="AF227" s="1103"/>
      <c r="AG227" s="1103"/>
      <c r="AH227" s="1103"/>
      <c r="AI227" s="1103"/>
      <c r="AJ227" s="1103"/>
      <c r="AK227" s="1103"/>
      <c r="AL227" s="1103"/>
      <c r="AM227" s="1103"/>
      <c r="AN227" s="1103"/>
      <c r="AO227" s="1103"/>
      <c r="AP227" s="1103"/>
      <c r="AQ227" s="1103"/>
      <c r="AR227" s="1103"/>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185D6807-67A6-474B-8BB1-872964B784BF}"/>
    <hyperlink ref="L208" r:id="rId2" xr:uid="{5918A92E-9245-40B5-8C9A-161B9A480571}"/>
    <hyperlink ref="R45" r:id="rId3" xr:uid="{C3F40ACB-3C76-40FF-AD15-822E8D4D2CB6}"/>
  </hyperlinks>
  <pageMargins left="0.7" right="0.7" top="0.75" bottom="0.75" header="0.3" footer="0.3"/>
  <pageSetup paperSize="9"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D0954-23A6-4782-B96D-000E152FC080}">
  <dimension ref="A1:AXJ894"/>
  <sheetViews>
    <sheetView topLeftCell="A16" zoomScaleNormal="100" workbookViewId="0">
      <selection activeCell="L13" sqref="L13"/>
    </sheetView>
  </sheetViews>
  <sheetFormatPr baseColWidth="10" defaultRowHeight="15"/>
  <cols>
    <col min="1" max="1" width="3.7109375" style="4991" customWidth="1"/>
    <col min="2" max="14" width="15.7109375" style="4991" customWidth="1"/>
    <col min="15" max="15" width="11.42578125" style="4991"/>
    <col min="16" max="16" width="16.5703125" style="4991" customWidth="1"/>
    <col min="17" max="16384" width="11.42578125" style="4991"/>
  </cols>
  <sheetData>
    <row r="1" spans="1:17" ht="15.75" thickBot="1">
      <c r="A1" s="4990">
        <f t="shared" ref="A1:Q1" ca="1" si="0">CELL("largeur",A1)</f>
        <v>3</v>
      </c>
      <c r="B1" s="4990">
        <f t="shared" ca="1" si="0"/>
        <v>15</v>
      </c>
      <c r="C1" s="4990">
        <f t="shared" ca="1" si="0"/>
        <v>15</v>
      </c>
      <c r="D1" s="4990">
        <f t="shared" ca="1" si="0"/>
        <v>15</v>
      </c>
      <c r="E1" s="4990">
        <f t="shared" ca="1" si="0"/>
        <v>15</v>
      </c>
      <c r="F1" s="4990">
        <f t="shared" ca="1" si="0"/>
        <v>15</v>
      </c>
      <c r="G1" s="4990">
        <f t="shared" ca="1" si="0"/>
        <v>15</v>
      </c>
      <c r="H1" s="4990">
        <f t="shared" ca="1" si="0"/>
        <v>15</v>
      </c>
      <c r="I1" s="4990">
        <f t="shared" ca="1" si="0"/>
        <v>15</v>
      </c>
      <c r="J1" s="4990">
        <f t="shared" ca="1" si="0"/>
        <v>15</v>
      </c>
      <c r="K1" s="4990">
        <f t="shared" ca="1" si="0"/>
        <v>15</v>
      </c>
      <c r="L1" s="4990">
        <f t="shared" ca="1" si="0"/>
        <v>15</v>
      </c>
      <c r="M1" s="4990">
        <f t="shared" ca="1" si="0"/>
        <v>15</v>
      </c>
      <c r="N1" s="4990">
        <f t="shared" ca="1" si="0"/>
        <v>15</v>
      </c>
      <c r="O1" s="4990">
        <f t="shared" ca="1" si="0"/>
        <v>11</v>
      </c>
      <c r="P1" s="4990">
        <f t="shared" ca="1" si="0"/>
        <v>16</v>
      </c>
      <c r="Q1" s="4990">
        <f t="shared" ca="1" si="0"/>
        <v>11</v>
      </c>
    </row>
    <row r="2" spans="1:17" ht="26.25">
      <c r="A2" s="4992"/>
      <c r="B2" s="4993" t="s">
        <v>728</v>
      </c>
      <c r="C2" s="4994"/>
      <c r="D2" s="4994"/>
      <c r="E2" s="4994"/>
      <c r="F2" s="4994"/>
      <c r="G2" s="4994"/>
      <c r="H2" s="4994"/>
      <c r="I2" s="4994"/>
      <c r="J2" s="4994"/>
      <c r="K2" s="4994"/>
      <c r="L2" s="4994"/>
      <c r="M2" s="4994"/>
      <c r="N2" s="4994"/>
      <c r="O2" s="4994"/>
      <c r="P2" s="4994"/>
      <c r="Q2" s="4995"/>
    </row>
    <row r="3" spans="1:17" ht="20.100000000000001" customHeight="1">
      <c r="A3" s="4992"/>
      <c r="B3" s="4996" t="s">
        <v>729</v>
      </c>
      <c r="C3" s="4997"/>
      <c r="D3" s="4997"/>
      <c r="E3" s="4997"/>
      <c r="F3" s="4997"/>
      <c r="G3" s="4997"/>
      <c r="H3" s="4997"/>
      <c r="I3" s="4997"/>
      <c r="J3" s="4997"/>
      <c r="K3" s="4997"/>
      <c r="L3" s="4997"/>
      <c r="M3" s="4997"/>
      <c r="N3" s="4997"/>
      <c r="O3" s="4997"/>
      <c r="P3" s="4997"/>
      <c r="Q3" s="4998"/>
    </row>
    <row r="4" spans="1:17" ht="20.100000000000001" customHeight="1">
      <c r="A4" s="4992"/>
      <c r="B4" s="4996" t="s">
        <v>730</v>
      </c>
      <c r="C4" s="4997"/>
      <c r="D4" s="4997"/>
      <c r="E4" s="4997"/>
      <c r="F4" s="4997"/>
      <c r="G4" s="4997"/>
      <c r="H4" s="4997"/>
      <c r="I4" s="4997"/>
      <c r="J4" s="4997"/>
      <c r="K4" s="4997"/>
      <c r="L4" s="4997"/>
      <c r="M4" s="4997"/>
      <c r="N4" s="4997"/>
      <c r="O4" s="4997"/>
      <c r="P4" s="4997"/>
      <c r="Q4" s="4998"/>
    </row>
    <row r="5" spans="1:17" ht="20.100000000000001" customHeight="1">
      <c r="A5" s="4992"/>
      <c r="B5" s="4996" t="s">
        <v>731</v>
      </c>
      <c r="C5" s="4997"/>
      <c r="D5" s="4997"/>
      <c r="E5" s="4997"/>
      <c r="F5" s="4997"/>
      <c r="G5" s="4997"/>
      <c r="H5" s="4997"/>
      <c r="I5" s="4997"/>
      <c r="J5" s="4997"/>
      <c r="K5" s="4997"/>
      <c r="L5" s="4997"/>
      <c r="M5" s="4997"/>
      <c r="N5" s="4997"/>
      <c r="O5" s="4997"/>
      <c r="P5" s="4997"/>
      <c r="Q5" s="4998"/>
    </row>
    <row r="6" spans="1:17" ht="27" thickBot="1">
      <c r="A6" s="4992"/>
      <c r="B6" s="4999" t="s">
        <v>732</v>
      </c>
      <c r="C6" s="5000" t="s">
        <v>733</v>
      </c>
      <c r="D6" s="5000"/>
      <c r="E6" s="5000"/>
      <c r="F6" s="5000"/>
      <c r="G6" s="5000"/>
      <c r="H6" s="5000"/>
      <c r="I6" s="5000"/>
      <c r="J6" s="5000"/>
      <c r="K6" s="5000"/>
      <c r="L6" s="5000"/>
      <c r="M6" s="5000"/>
      <c r="N6" s="5000"/>
      <c r="O6" s="5000"/>
      <c r="P6" s="5000"/>
      <c r="Q6" s="5001"/>
    </row>
    <row r="7" spans="1:17" ht="15.75">
      <c r="A7" s="5002"/>
      <c r="B7" s="4992"/>
      <c r="C7" s="5003"/>
      <c r="D7" s="4992"/>
      <c r="E7" s="4992"/>
      <c r="F7" s="4992"/>
      <c r="G7" s="4992"/>
      <c r="H7" s="4992"/>
      <c r="I7" s="4992"/>
      <c r="J7" s="4992"/>
      <c r="K7" s="4992"/>
      <c r="L7" s="4992"/>
      <c r="M7" s="5002"/>
      <c r="N7" s="5002"/>
      <c r="O7" s="5002"/>
      <c r="P7" s="5002"/>
      <c r="Q7" s="5002"/>
    </row>
    <row r="8" spans="1:17" ht="15.75" customHeight="1">
      <c r="A8" s="5002"/>
      <c r="B8" s="5004" t="s">
        <v>734</v>
      </c>
      <c r="C8" s="5004"/>
      <c r="D8" s="5004"/>
      <c r="E8" s="5004"/>
      <c r="F8" s="5004"/>
      <c r="G8" s="5004"/>
      <c r="H8" s="5004"/>
      <c r="I8" s="5004"/>
      <c r="J8" s="5004"/>
      <c r="K8" s="5004"/>
      <c r="L8" s="5004"/>
      <c r="M8" s="5004"/>
      <c r="N8" s="5004"/>
      <c r="O8" s="5004"/>
      <c r="P8" s="5004"/>
      <c r="Q8" s="5004"/>
    </row>
    <row r="9" spans="1:17" ht="15.75" customHeight="1">
      <c r="A9" s="5002"/>
      <c r="B9" s="5004"/>
      <c r="C9" s="5004"/>
      <c r="D9" s="5004"/>
      <c r="E9" s="5004"/>
      <c r="F9" s="5004"/>
      <c r="G9" s="5004"/>
      <c r="H9" s="5004"/>
      <c r="I9" s="5004"/>
      <c r="J9" s="5004"/>
      <c r="K9" s="5004"/>
      <c r="L9" s="5004"/>
      <c r="M9" s="5004"/>
      <c r="N9" s="5004"/>
      <c r="O9" s="5004"/>
      <c r="P9" s="5004"/>
      <c r="Q9" s="5004"/>
    </row>
    <row r="10" spans="1:17" ht="30.75" customHeight="1">
      <c r="A10" s="5002"/>
      <c r="B10" s="5004"/>
      <c r="C10" s="5004"/>
      <c r="D10" s="5004"/>
      <c r="E10" s="5004"/>
      <c r="F10" s="5004"/>
      <c r="G10" s="5004"/>
      <c r="H10" s="5004"/>
      <c r="I10" s="5004"/>
      <c r="J10" s="5004"/>
      <c r="K10" s="5004"/>
      <c r="L10" s="5004"/>
      <c r="M10" s="5004"/>
      <c r="N10" s="5004"/>
      <c r="O10" s="5004"/>
      <c r="P10" s="5004"/>
      <c r="Q10" s="5004"/>
    </row>
    <row r="11" spans="1:17" ht="15.75" thickBot="1">
      <c r="A11" s="5002"/>
      <c r="B11" s="4992"/>
      <c r="C11" s="5005"/>
      <c r="D11" s="4992"/>
      <c r="E11" s="4992"/>
      <c r="F11" s="4992"/>
      <c r="G11" s="4992"/>
      <c r="H11" s="4992"/>
      <c r="I11" s="4992"/>
      <c r="J11" s="4992"/>
      <c r="K11" s="4992"/>
      <c r="L11" s="4992"/>
      <c r="M11" s="5002"/>
      <c r="N11" s="5002"/>
      <c r="O11" s="5002"/>
      <c r="P11" s="5002"/>
      <c r="Q11" s="5002"/>
    </row>
    <row r="12" spans="1:17" ht="31.5" customHeight="1" thickBot="1">
      <c r="A12" s="5002"/>
      <c r="B12" s="5006" t="s">
        <v>735</v>
      </c>
      <c r="C12" s="5007"/>
      <c r="D12" s="5007"/>
      <c r="E12" s="5007"/>
      <c r="F12" s="5007"/>
      <c r="G12" s="5007"/>
      <c r="H12" s="5007"/>
      <c r="I12" s="5007"/>
      <c r="J12" s="5007"/>
      <c r="K12" s="5007"/>
      <c r="L12" s="5007"/>
      <c r="M12" s="5007"/>
      <c r="N12" s="5007"/>
      <c r="O12" s="5007"/>
      <c r="P12" s="5007"/>
      <c r="Q12" s="5008"/>
    </row>
    <row r="13" spans="1:17">
      <c r="A13" s="5002"/>
      <c r="B13" s="5009"/>
      <c r="C13" s="4992"/>
      <c r="D13" s="4992"/>
      <c r="E13" s="4992"/>
      <c r="F13" s="4992"/>
      <c r="G13" s="4992"/>
      <c r="H13" s="4992"/>
      <c r="I13" s="4992"/>
      <c r="J13" s="4992"/>
      <c r="K13" s="4992"/>
      <c r="L13" s="4992"/>
      <c r="M13" s="5002"/>
      <c r="N13" s="5002"/>
      <c r="O13" s="5002"/>
      <c r="P13" s="5002"/>
      <c r="Q13" s="5002"/>
    </row>
    <row r="14" spans="1:17">
      <c r="A14" s="5002"/>
      <c r="B14" s="5009"/>
      <c r="C14" s="5010" t="s">
        <v>3277</v>
      </c>
      <c r="D14" s="4992"/>
      <c r="E14" s="4992"/>
      <c r="F14" s="4992"/>
      <c r="G14" s="4992"/>
      <c r="H14" s="4992"/>
      <c r="I14" s="4992"/>
      <c r="J14" s="4992"/>
      <c r="K14" s="4992"/>
      <c r="L14" s="4992"/>
      <c r="M14" s="5002"/>
      <c r="N14" s="5002"/>
      <c r="O14" s="5002"/>
      <c r="P14" s="5002"/>
      <c r="Q14" s="5002"/>
    </row>
    <row r="15" spans="1:17">
      <c r="A15" s="5002"/>
      <c r="B15" s="5009"/>
      <c r="C15" s="4992"/>
      <c r="D15" s="4992"/>
      <c r="E15" s="4992"/>
      <c r="F15" s="4992"/>
      <c r="G15" s="4992"/>
      <c r="H15" s="4992"/>
      <c r="I15" s="4992"/>
      <c r="J15" s="4992"/>
      <c r="K15" s="4992"/>
      <c r="L15" s="4992"/>
      <c r="M15" s="5002"/>
      <c r="N15" s="5002"/>
      <c r="O15" s="5002"/>
      <c r="P15" s="5002"/>
      <c r="Q15" s="5002"/>
    </row>
    <row r="16" spans="1:17">
      <c r="A16" s="5002"/>
      <c r="B16" s="5009"/>
      <c r="C16" s="5011" t="s">
        <v>2330</v>
      </c>
      <c r="D16" s="5012" t="s">
        <v>2331</v>
      </c>
      <c r="E16" s="5013" t="s">
        <v>2336</v>
      </c>
      <c r="F16" s="5013" t="s">
        <v>3278</v>
      </c>
      <c r="G16" s="4992"/>
      <c r="H16" s="4992"/>
      <c r="I16" s="4992"/>
      <c r="J16" s="4992"/>
      <c r="K16" s="4992"/>
      <c r="L16" s="4992"/>
      <c r="M16" s="5002"/>
      <c r="N16" s="5014" t="s">
        <v>738</v>
      </c>
      <c r="O16" s="5002"/>
      <c r="P16" s="5002"/>
      <c r="Q16" s="5002"/>
    </row>
    <row r="17" spans="1:17">
      <c r="A17" s="5002"/>
      <c r="B17" s="5009"/>
      <c r="C17" s="4992"/>
      <c r="D17" s="4992"/>
      <c r="E17" s="4992"/>
      <c r="F17" s="4992"/>
      <c r="G17" s="4992"/>
      <c r="H17" s="4992"/>
      <c r="I17" s="4992"/>
      <c r="J17" s="4992"/>
      <c r="K17" s="4992"/>
      <c r="L17" s="4992"/>
      <c r="M17" s="5002"/>
      <c r="N17" s="5002"/>
      <c r="O17" s="5002"/>
      <c r="P17" s="5002"/>
      <c r="Q17" s="5002"/>
    </row>
    <row r="18" spans="1:17" ht="15.75">
      <c r="A18" s="5002"/>
      <c r="B18" s="4992"/>
      <c r="C18" s="5015" t="s">
        <v>3279</v>
      </c>
      <c r="D18" s="5016"/>
      <c r="E18" s="5016"/>
      <c r="F18" s="4992"/>
      <c r="G18" s="4992"/>
      <c r="H18" s="4992"/>
      <c r="I18" s="4992"/>
      <c r="J18" s="4992"/>
      <c r="K18" s="4992"/>
      <c r="L18" s="4992"/>
      <c r="M18" s="5002"/>
      <c r="N18" s="5017" t="s">
        <v>150</v>
      </c>
      <c r="O18" s="5002"/>
      <c r="P18" s="5002"/>
      <c r="Q18" s="5002"/>
    </row>
    <row r="19" spans="1:17" ht="15.75">
      <c r="A19" s="5002"/>
      <c r="B19" s="4992"/>
      <c r="C19" s="5018"/>
      <c r="D19" s="5019"/>
      <c r="E19" s="5020">
        <v>1050</v>
      </c>
      <c r="F19" s="5021" t="s">
        <v>3280</v>
      </c>
      <c r="G19" s="5002"/>
      <c r="H19" s="4992"/>
      <c r="I19" s="4992"/>
      <c r="J19" s="4992"/>
      <c r="K19" s="4992"/>
      <c r="L19" s="4992"/>
      <c r="M19" s="5002"/>
      <c r="N19" s="5017" t="s">
        <v>152</v>
      </c>
      <c r="O19" s="5022" t="s">
        <v>746</v>
      </c>
      <c r="P19" s="5002"/>
      <c r="Q19" s="5002"/>
    </row>
    <row r="20" spans="1:17" ht="15.75">
      <c r="A20" s="5002"/>
      <c r="B20" s="4992"/>
      <c r="C20" s="5018"/>
      <c r="D20" s="5019"/>
      <c r="E20" s="5020">
        <v>400</v>
      </c>
      <c r="F20" s="5021" t="s">
        <v>3281</v>
      </c>
      <c r="G20" s="5002"/>
      <c r="H20" s="4992"/>
      <c r="I20" s="4992"/>
      <c r="J20" s="4992"/>
      <c r="K20" s="4992"/>
      <c r="L20" s="4992"/>
      <c r="M20" s="5002"/>
      <c r="N20" s="5017" t="s">
        <v>154</v>
      </c>
      <c r="O20" s="5002"/>
      <c r="P20" s="5002"/>
      <c r="Q20" s="5002"/>
    </row>
    <row r="21" spans="1:17" ht="15.75">
      <c r="A21" s="5002"/>
      <c r="B21" s="4992"/>
      <c r="C21" s="5023"/>
      <c r="D21" s="5023"/>
      <c r="E21" s="5023"/>
      <c r="F21" s="4992"/>
      <c r="G21" s="4992"/>
      <c r="H21" s="4992"/>
      <c r="I21" s="4992"/>
      <c r="J21" s="4992"/>
      <c r="K21" s="4992"/>
      <c r="L21" s="4992"/>
      <c r="M21" s="5002"/>
      <c r="N21" s="5017" t="s">
        <v>155</v>
      </c>
      <c r="O21" s="5002"/>
      <c r="P21" s="5002"/>
      <c r="Q21" s="5002"/>
    </row>
    <row r="22" spans="1:17" ht="20.25">
      <c r="A22" s="5002"/>
      <c r="B22" s="4992"/>
      <c r="C22" s="5024" t="s">
        <v>3282</v>
      </c>
      <c r="D22" s="5025"/>
      <c r="E22" s="5025"/>
      <c r="F22" s="5026"/>
      <c r="G22" s="5026"/>
      <c r="H22" s="5026"/>
      <c r="I22" s="5026"/>
      <c r="J22" s="4992"/>
      <c r="K22" s="4992"/>
      <c r="L22" s="4992"/>
      <c r="M22" s="5002"/>
      <c r="N22" s="5017" t="s">
        <v>156</v>
      </c>
      <c r="O22" s="5002"/>
      <c r="P22" s="5002"/>
      <c r="Q22" s="5002"/>
    </row>
    <row r="23" spans="1:17" ht="15.75">
      <c r="A23" s="5002"/>
      <c r="B23" s="4992"/>
      <c r="C23" s="5025" t="s">
        <v>3283</v>
      </c>
      <c r="D23" s="5016"/>
      <c r="E23" s="5016"/>
      <c r="F23" s="4992"/>
      <c r="G23" s="4992"/>
      <c r="H23" s="4992"/>
      <c r="I23" s="4992"/>
      <c r="J23" s="4992"/>
      <c r="K23" s="4992"/>
      <c r="L23" s="4992"/>
      <c r="M23" s="5002"/>
      <c r="N23" s="5017" t="s">
        <v>157</v>
      </c>
      <c r="O23" s="5002"/>
      <c r="P23" s="5002"/>
      <c r="Q23" s="5002"/>
    </row>
    <row r="24" spans="1:17" ht="15.75">
      <c r="A24" s="5002"/>
      <c r="B24" s="4992"/>
      <c r="C24" s="5025"/>
      <c r="D24" s="5016"/>
      <c r="E24" s="5016"/>
      <c r="F24" s="4992"/>
      <c r="G24" s="4992"/>
      <c r="H24" s="5025"/>
      <c r="I24" s="4992"/>
      <c r="J24" s="4992"/>
      <c r="K24" s="4992"/>
      <c r="L24" s="4992"/>
      <c r="M24" s="5002"/>
      <c r="N24" s="5017" t="s">
        <v>158</v>
      </c>
      <c r="O24" s="5002"/>
      <c r="P24" s="5002"/>
      <c r="Q24" s="5002"/>
    </row>
    <row r="25" spans="1:17" ht="15.75">
      <c r="A25" s="5002"/>
      <c r="B25" s="4992"/>
      <c r="C25" s="5011" t="s">
        <v>2330</v>
      </c>
      <c r="D25" s="5012" t="s">
        <v>2331</v>
      </c>
      <c r="E25" s="5013" t="s">
        <v>2336</v>
      </c>
      <c r="F25" s="5013" t="s">
        <v>3278</v>
      </c>
      <c r="G25" s="4992"/>
      <c r="H25" s="4992"/>
      <c r="I25" s="4992"/>
      <c r="J25" s="4992"/>
      <c r="K25" s="4992"/>
      <c r="L25" s="4992"/>
      <c r="M25" s="5002"/>
      <c r="N25" s="5017" t="s">
        <v>159</v>
      </c>
      <c r="O25" s="5002"/>
      <c r="P25" s="5002"/>
      <c r="Q25" s="5002"/>
    </row>
    <row r="26" spans="1:17" ht="15.75">
      <c r="A26" s="5002"/>
      <c r="B26" s="4992"/>
      <c r="C26" s="5018">
        <v>2</v>
      </c>
      <c r="D26" s="5027" t="s">
        <v>1723</v>
      </c>
      <c r="E26" s="5020">
        <v>50</v>
      </c>
      <c r="F26" s="5028" t="s">
        <v>3284</v>
      </c>
      <c r="G26" s="4992"/>
      <c r="H26" s="4992"/>
      <c r="I26" s="4992"/>
      <c r="J26" s="4992"/>
      <c r="K26" s="4992"/>
      <c r="L26" s="4992"/>
      <c r="M26" s="5002"/>
      <c r="N26" s="5017" t="s">
        <v>160</v>
      </c>
      <c r="O26" s="5002"/>
      <c r="P26" s="5002"/>
      <c r="Q26" s="5002"/>
    </row>
    <row r="27" spans="1:17" ht="15.75">
      <c r="A27" s="5002"/>
      <c r="B27" s="4992"/>
      <c r="C27" s="5029" t="s">
        <v>3285</v>
      </c>
      <c r="D27" s="5025"/>
      <c r="E27" s="5028"/>
      <c r="F27" s="5028"/>
      <c r="G27" s="4992"/>
      <c r="H27" s="4992"/>
      <c r="I27" s="4992"/>
      <c r="J27" s="4992"/>
      <c r="K27" s="4992"/>
      <c r="L27" s="4992"/>
      <c r="M27" s="5002"/>
      <c r="N27" s="5017" t="s">
        <v>161</v>
      </c>
      <c r="O27" s="5002"/>
      <c r="P27" s="5002"/>
      <c r="Q27" s="5002"/>
    </row>
    <row r="28" spans="1:17" ht="15.75">
      <c r="A28" s="5002"/>
      <c r="B28" s="4992"/>
      <c r="C28" s="5025" t="s">
        <v>3286</v>
      </c>
      <c r="D28" s="5002"/>
      <c r="E28" s="5021"/>
      <c r="F28" s="5028"/>
      <c r="G28" s="4992"/>
      <c r="H28" s="4992"/>
      <c r="I28" s="4992"/>
      <c r="J28" s="4992"/>
      <c r="K28" s="4992"/>
      <c r="L28" s="4992"/>
      <c r="M28" s="5002"/>
      <c r="N28" s="5017" t="s">
        <v>163</v>
      </c>
      <c r="O28" s="5002"/>
      <c r="P28" s="5002"/>
      <c r="Q28" s="5002"/>
    </row>
    <row r="29" spans="1:17" ht="15.75">
      <c r="A29" s="5002"/>
      <c r="B29" s="4992"/>
      <c r="C29" s="5025"/>
      <c r="D29" s="5028"/>
      <c r="E29" s="5028"/>
      <c r="F29" s="5028"/>
      <c r="G29" s="4992"/>
      <c r="H29" s="4992"/>
      <c r="I29" s="4992"/>
      <c r="J29" s="4992"/>
      <c r="K29" s="4992"/>
      <c r="L29" s="4992"/>
      <c r="M29" s="5002"/>
      <c r="N29" s="5017" t="s">
        <v>164</v>
      </c>
      <c r="O29" s="5002"/>
      <c r="P29" s="5002"/>
      <c r="Q29" s="5002"/>
    </row>
    <row r="30" spans="1:17" ht="20.25">
      <c r="A30" s="5002"/>
      <c r="B30" s="4992"/>
      <c r="C30" s="5024" t="s">
        <v>3287</v>
      </c>
      <c r="E30" s="5028"/>
      <c r="F30" s="5028"/>
      <c r="G30" s="4992"/>
      <c r="H30" s="4992"/>
      <c r="I30" s="4992"/>
      <c r="J30" s="4992"/>
      <c r="K30" s="4992"/>
      <c r="L30" s="4992"/>
      <c r="M30" s="5002"/>
      <c r="N30" s="5017" t="s">
        <v>167</v>
      </c>
      <c r="O30" s="5002"/>
      <c r="P30" s="5002"/>
      <c r="Q30" s="5002"/>
    </row>
    <row r="31" spans="1:17" ht="15.75">
      <c r="A31" s="5002"/>
      <c r="B31" s="4992"/>
      <c r="C31" s="5025" t="s">
        <v>3288</v>
      </c>
      <c r="D31" s="5002"/>
      <c r="E31" s="5021"/>
      <c r="F31" s="5028"/>
      <c r="G31" s="4992"/>
      <c r="H31" s="4992"/>
      <c r="I31" s="4992"/>
      <c r="J31" s="4992"/>
      <c r="K31" s="4992"/>
      <c r="L31" s="4992"/>
      <c r="M31" s="5002"/>
      <c r="N31" s="5017" t="s">
        <v>168</v>
      </c>
      <c r="O31" s="5002"/>
      <c r="P31" s="5002"/>
      <c r="Q31" s="5002"/>
    </row>
    <row r="32" spans="1:17" ht="15.75">
      <c r="A32" s="5002"/>
      <c r="B32" s="4992"/>
      <c r="C32" s="5025" t="s">
        <v>3289</v>
      </c>
      <c r="D32" s="5002"/>
      <c r="E32" s="5021"/>
      <c r="F32" s="5028"/>
      <c r="G32" s="4992"/>
      <c r="H32" s="4992"/>
      <c r="I32" s="4992"/>
      <c r="J32" s="4992"/>
      <c r="K32" s="4992"/>
      <c r="L32" s="4992"/>
      <c r="M32" s="5002"/>
      <c r="N32" s="5017" t="s">
        <v>169</v>
      </c>
      <c r="O32" s="5002"/>
      <c r="P32" s="5002"/>
      <c r="Q32" s="5002"/>
    </row>
    <row r="33" spans="1:17" ht="15.75">
      <c r="A33" s="5002"/>
      <c r="B33" s="4992"/>
      <c r="C33" s="5016" t="s">
        <v>3290</v>
      </c>
      <c r="D33" s="5002"/>
      <c r="E33" s="5021"/>
      <c r="F33" s="5028"/>
      <c r="G33" s="4992"/>
      <c r="H33" s="4992"/>
      <c r="I33" s="4992"/>
      <c r="J33" s="4992"/>
      <c r="K33" s="4992"/>
      <c r="L33" s="4992"/>
      <c r="M33" s="5002"/>
      <c r="N33" s="5017" t="s">
        <v>170</v>
      </c>
      <c r="O33" s="5002"/>
      <c r="P33" s="5002"/>
      <c r="Q33" s="5002"/>
    </row>
    <row r="34" spans="1:17" ht="15.75">
      <c r="A34" s="5002"/>
      <c r="B34" s="4992"/>
      <c r="C34" s="5016" t="s">
        <v>3291</v>
      </c>
      <c r="D34" s="5002"/>
      <c r="E34" s="5021"/>
      <c r="F34" s="5028"/>
      <c r="G34" s="4992"/>
      <c r="H34" s="5002"/>
      <c r="I34" s="5002"/>
      <c r="J34" s="5002"/>
      <c r="K34" s="4992"/>
      <c r="L34" s="4992"/>
      <c r="M34" s="5002"/>
      <c r="N34" s="5017" t="s">
        <v>171</v>
      </c>
      <c r="O34" s="5002"/>
      <c r="P34" s="5002"/>
      <c r="Q34" s="5002"/>
    </row>
    <row r="35" spans="1:17" ht="15.75">
      <c r="A35" s="5002"/>
      <c r="B35" s="4992"/>
      <c r="C35" s="5025"/>
      <c r="E35" s="5028"/>
      <c r="F35" s="5028"/>
      <c r="G35" s="4992"/>
      <c r="H35" s="4992"/>
      <c r="I35" s="4992"/>
      <c r="J35" s="4992"/>
      <c r="K35" s="4992"/>
      <c r="L35" s="4992"/>
      <c r="M35" s="5002"/>
      <c r="N35" s="5017" t="s">
        <v>172</v>
      </c>
      <c r="O35" s="5002"/>
      <c r="P35" s="5002"/>
      <c r="Q35" s="5002"/>
    </row>
    <row r="36" spans="1:17" ht="18.75">
      <c r="A36" s="5002"/>
      <c r="B36" s="4992"/>
      <c r="C36" s="5011" t="s">
        <v>2330</v>
      </c>
      <c r="D36" s="5012" t="s">
        <v>2331</v>
      </c>
      <c r="E36" s="5013" t="s">
        <v>2336</v>
      </c>
      <c r="F36" s="5013" t="s">
        <v>3278</v>
      </c>
      <c r="G36" s="4992"/>
      <c r="H36" s="5030" t="s">
        <v>3292</v>
      </c>
      <c r="I36" s="4992"/>
      <c r="J36" s="4992"/>
      <c r="K36" s="5010" t="s">
        <v>3293</v>
      </c>
      <c r="L36" s="4992"/>
      <c r="M36" s="5002"/>
      <c r="N36" s="5017" t="s">
        <v>173</v>
      </c>
      <c r="O36" s="5002"/>
      <c r="P36" s="5002"/>
      <c r="Q36" s="5002"/>
    </row>
    <row r="37" spans="1:17" ht="15.75">
      <c r="A37" s="5002"/>
      <c r="B37" s="4992"/>
      <c r="C37" s="5018">
        <v>2</v>
      </c>
      <c r="D37" s="5027" t="s">
        <v>1723</v>
      </c>
      <c r="E37" s="5020"/>
      <c r="F37" s="5028" t="s">
        <v>3284</v>
      </c>
      <c r="G37" s="5031">
        <v>2</v>
      </c>
      <c r="H37" s="5032" t="s">
        <v>1723</v>
      </c>
      <c r="I37" s="5033">
        <v>0.05</v>
      </c>
      <c r="J37" s="5034">
        <v>2</v>
      </c>
      <c r="K37" s="5035" t="s">
        <v>1723</v>
      </c>
      <c r="L37" s="5036">
        <v>0.05</v>
      </c>
      <c r="M37" s="5037" t="s">
        <v>3284</v>
      </c>
      <c r="N37" s="5017" t="s">
        <v>174</v>
      </c>
      <c r="O37" s="5002"/>
      <c r="P37" s="5002"/>
      <c r="Q37" s="5002"/>
    </row>
    <row r="38" spans="1:17" ht="15.75">
      <c r="A38" s="5002"/>
      <c r="B38" s="4992"/>
      <c r="C38" s="5018">
        <v>5</v>
      </c>
      <c r="D38" s="5019" t="s">
        <v>3294</v>
      </c>
      <c r="E38" s="5020"/>
      <c r="F38" s="5028" t="s">
        <v>3295</v>
      </c>
      <c r="G38" s="5031">
        <v>5</v>
      </c>
      <c r="H38" s="5032" t="s">
        <v>3294</v>
      </c>
      <c r="I38" s="5033"/>
      <c r="J38" s="5034">
        <v>5</v>
      </c>
      <c r="K38" s="5035" t="s">
        <v>3294</v>
      </c>
      <c r="L38" s="5036"/>
      <c r="M38" s="5037" t="s">
        <v>3295</v>
      </c>
      <c r="N38" s="5002"/>
      <c r="O38" s="5002"/>
      <c r="P38" s="5002"/>
      <c r="Q38" s="5002"/>
    </row>
    <row r="39" spans="1:17" ht="18.75">
      <c r="A39" s="5002"/>
      <c r="B39" s="4992"/>
      <c r="C39" s="5038">
        <v>1</v>
      </c>
      <c r="D39" s="5039" t="s">
        <v>3296</v>
      </c>
      <c r="E39" s="5040"/>
      <c r="F39" s="5028" t="s">
        <v>2130</v>
      </c>
      <c r="G39" s="5031">
        <v>1</v>
      </c>
      <c r="H39" s="5032" t="s">
        <v>3296</v>
      </c>
      <c r="I39" s="5033"/>
      <c r="J39" s="5034">
        <v>1</v>
      </c>
      <c r="K39" s="5035" t="s">
        <v>3296</v>
      </c>
      <c r="L39" s="5036"/>
      <c r="M39" s="5037" t="s">
        <v>2130</v>
      </c>
      <c r="N39" s="5002"/>
      <c r="O39" s="5041" t="s">
        <v>737</v>
      </c>
      <c r="P39" s="5002"/>
      <c r="Q39" s="5002"/>
    </row>
    <row r="40" spans="1:17" ht="18.75">
      <c r="A40" s="5002"/>
      <c r="B40" s="4992"/>
      <c r="C40" s="5018">
        <v>1</v>
      </c>
      <c r="D40" s="5019" t="s">
        <v>3297</v>
      </c>
      <c r="E40" s="5020"/>
      <c r="F40" s="5028" t="s">
        <v>2174</v>
      </c>
      <c r="G40" s="5031">
        <v>1</v>
      </c>
      <c r="H40" s="5032" t="s">
        <v>3297</v>
      </c>
      <c r="I40" s="5033"/>
      <c r="J40" s="5034">
        <v>1</v>
      </c>
      <c r="K40" s="5035" t="s">
        <v>3297</v>
      </c>
      <c r="L40" s="5036"/>
      <c r="M40" s="5037" t="s">
        <v>2174</v>
      </c>
      <c r="O40" s="5042" t="s">
        <v>740</v>
      </c>
      <c r="P40" s="5002"/>
      <c r="Q40" s="5002"/>
    </row>
    <row r="41" spans="1:17" ht="18.75">
      <c r="A41" s="5002"/>
      <c r="B41" s="4992"/>
      <c r="C41" s="5018">
        <v>1</v>
      </c>
      <c r="D41" s="5019" t="s">
        <v>3298</v>
      </c>
      <c r="E41" s="5020"/>
      <c r="F41" s="5028" t="s">
        <v>3299</v>
      </c>
      <c r="G41" s="5031">
        <v>1</v>
      </c>
      <c r="H41" s="5032" t="s">
        <v>3298</v>
      </c>
      <c r="I41" s="5033"/>
      <c r="J41" s="5034">
        <v>1</v>
      </c>
      <c r="K41" s="5035" t="s">
        <v>3298</v>
      </c>
      <c r="L41" s="5036"/>
      <c r="M41" s="5037" t="s">
        <v>3299</v>
      </c>
      <c r="N41" s="4992"/>
      <c r="O41" s="5043" t="s">
        <v>742</v>
      </c>
      <c r="P41" s="5002"/>
      <c r="Q41" s="5002"/>
    </row>
    <row r="42" spans="1:17" ht="18.75">
      <c r="A42" s="5002"/>
      <c r="B42" s="4992"/>
      <c r="C42" s="5016"/>
      <c r="D42" s="5028"/>
      <c r="E42" s="5028"/>
      <c r="F42" s="5028"/>
      <c r="G42" s="4992"/>
      <c r="H42" s="4992"/>
      <c r="I42" s="4992"/>
      <c r="J42" s="4992"/>
      <c r="K42" s="4992"/>
      <c r="L42" s="4992"/>
      <c r="M42" s="5002"/>
      <c r="N42" s="5044" t="s">
        <v>744</v>
      </c>
      <c r="O42" s="5044" t="s">
        <v>745</v>
      </c>
      <c r="P42" s="5002"/>
      <c r="Q42" s="5002"/>
    </row>
    <row r="43" spans="1:17">
      <c r="A43" s="5002"/>
      <c r="B43" s="4992"/>
      <c r="C43" s="5010" t="s">
        <v>3300</v>
      </c>
      <c r="D43" s="5028"/>
      <c r="E43" s="5028"/>
      <c r="F43" s="5028"/>
      <c r="G43" s="4992"/>
      <c r="H43" s="4992"/>
      <c r="I43" s="4992"/>
      <c r="J43" s="4992"/>
      <c r="K43" s="4992"/>
      <c r="L43" s="4992"/>
      <c r="M43" s="4992"/>
      <c r="N43" s="4992"/>
      <c r="O43" s="5002"/>
      <c r="P43" s="5002"/>
      <c r="Q43" s="5002"/>
    </row>
    <row r="44" spans="1:17">
      <c r="A44" s="5002"/>
      <c r="B44" s="4992"/>
      <c r="C44" s="5016" t="s">
        <v>3301</v>
      </c>
      <c r="D44" s="5028"/>
      <c r="E44" s="5028"/>
      <c r="F44" s="5028"/>
      <c r="G44" s="4992"/>
      <c r="H44" s="4992"/>
      <c r="I44" s="4992"/>
      <c r="J44" s="4992"/>
      <c r="K44" s="4992"/>
      <c r="L44" s="4992"/>
      <c r="M44" s="5045" t="s">
        <v>750</v>
      </c>
      <c r="N44" s="5046"/>
      <c r="O44" s="5046"/>
      <c r="P44" s="5047"/>
      <c r="Q44" s="5002"/>
    </row>
    <row r="45" spans="1:17" ht="15.75">
      <c r="A45" s="5002"/>
      <c r="B45" s="4992"/>
      <c r="C45" s="5018">
        <v>0.5</v>
      </c>
      <c r="D45" s="5019" t="s">
        <v>1168</v>
      </c>
      <c r="E45" s="5020"/>
      <c r="F45" s="5028" t="s">
        <v>219</v>
      </c>
      <c r="G45" s="4992"/>
      <c r="H45" s="5019" t="s">
        <v>3294</v>
      </c>
      <c r="I45" s="5028" t="s">
        <v>3302</v>
      </c>
      <c r="J45" s="4992"/>
      <c r="K45" s="4992"/>
      <c r="L45" s="4992"/>
      <c r="M45" s="5048"/>
      <c r="N45" s="5049"/>
      <c r="O45" s="5049"/>
      <c r="P45" s="5050"/>
      <c r="Q45" s="5002"/>
    </row>
    <row r="46" spans="1:17" ht="15.75">
      <c r="A46" s="5002"/>
      <c r="B46" s="4992"/>
      <c r="C46" s="5018">
        <v>0.25</v>
      </c>
      <c r="D46" s="5019" t="s">
        <v>2394</v>
      </c>
      <c r="E46" s="5020"/>
      <c r="F46" s="5028" t="s">
        <v>3303</v>
      </c>
      <c r="G46" s="4992"/>
      <c r="H46" s="5019" t="s">
        <v>3304</v>
      </c>
      <c r="I46" s="5028" t="s">
        <v>3305</v>
      </c>
      <c r="J46" s="4992"/>
      <c r="K46" s="4992"/>
      <c r="L46" s="4992"/>
      <c r="M46" s="5048"/>
      <c r="N46" s="5049"/>
      <c r="O46" s="5049"/>
      <c r="P46" s="5050"/>
      <c r="Q46" s="5002"/>
    </row>
    <row r="47" spans="1:17" ht="15" customHeight="1">
      <c r="A47" s="5002"/>
      <c r="B47" s="4992"/>
      <c r="C47" s="5016"/>
      <c r="D47" s="5016"/>
      <c r="E47" s="5016"/>
      <c r="F47" s="4992"/>
      <c r="G47" s="4992"/>
      <c r="H47" s="4992"/>
      <c r="I47" s="4992"/>
      <c r="J47" s="4992"/>
      <c r="K47" s="4992"/>
      <c r="L47" s="4992"/>
      <c r="M47" s="5048"/>
      <c r="N47" s="5049"/>
      <c r="O47" s="5049"/>
      <c r="P47" s="5050"/>
      <c r="Q47" s="5002"/>
    </row>
    <row r="48" spans="1:17" ht="15" customHeight="1">
      <c r="A48" s="5002"/>
      <c r="B48" s="4992"/>
      <c r="C48" s="5010" t="s">
        <v>736</v>
      </c>
      <c r="D48" s="5016"/>
      <c r="E48" s="5016"/>
      <c r="F48" s="4992"/>
      <c r="G48" s="4992"/>
      <c r="H48" s="4992"/>
      <c r="I48" s="4992"/>
      <c r="J48" s="4992"/>
      <c r="K48" s="4992"/>
      <c r="L48" s="4992"/>
      <c r="M48" s="5048"/>
      <c r="N48" s="5049"/>
      <c r="O48" s="5049"/>
      <c r="P48" s="5050"/>
      <c r="Q48" s="5002"/>
    </row>
    <row r="49" spans="1:17" ht="15" customHeight="1">
      <c r="A49" s="5002"/>
      <c r="B49" s="4992"/>
      <c r="C49" s="5010" t="s">
        <v>739</v>
      </c>
      <c r="D49" s="5016"/>
      <c r="E49" s="5016"/>
      <c r="F49" s="4992"/>
      <c r="G49" s="4992"/>
      <c r="H49" s="4992"/>
      <c r="I49" s="4992"/>
      <c r="J49" s="4992"/>
      <c r="K49" s="4992"/>
      <c r="L49" s="4992"/>
      <c r="M49" s="5051"/>
      <c r="N49" s="5052"/>
      <c r="O49" s="5052"/>
      <c r="P49" s="5053"/>
      <c r="Q49" s="5002"/>
    </row>
    <row r="50" spans="1:17" ht="15" customHeight="1">
      <c r="A50" s="5002"/>
      <c r="B50" s="4992"/>
      <c r="C50" s="5025" t="s">
        <v>741</v>
      </c>
      <c r="D50" s="5025"/>
      <c r="E50" s="5025"/>
      <c r="F50" s="5025"/>
      <c r="G50" s="5025"/>
      <c r="H50" s="5025"/>
      <c r="I50" s="5025"/>
      <c r="J50" s="4992"/>
      <c r="K50" s="4992"/>
      <c r="L50" s="4992"/>
      <c r="M50" s="5002"/>
      <c r="N50" s="5002"/>
      <c r="O50" s="5002"/>
      <c r="P50" s="5002"/>
      <c r="Q50" s="5002"/>
    </row>
    <row r="51" spans="1:17" ht="15" customHeight="1">
      <c r="A51" s="5002"/>
      <c r="B51" s="4992"/>
      <c r="C51" s="5025"/>
      <c r="D51" s="5025" t="s">
        <v>743</v>
      </c>
      <c r="E51" s="5025"/>
      <c r="F51" s="5025"/>
      <c r="G51" s="5025"/>
      <c r="H51" s="5025"/>
      <c r="I51" s="5025"/>
      <c r="J51" s="4992"/>
      <c r="K51" s="4992"/>
      <c r="L51" s="4992"/>
      <c r="M51" s="5054" t="s">
        <v>751</v>
      </c>
      <c r="N51" s="5055"/>
      <c r="O51" s="5055"/>
      <c r="P51" s="5056"/>
      <c r="Q51" s="5002"/>
    </row>
    <row r="52" spans="1:17" ht="15" customHeight="1">
      <c r="A52" s="5002"/>
      <c r="B52" s="4992"/>
      <c r="C52" s="5025"/>
      <c r="D52" s="5025" t="s">
        <v>747</v>
      </c>
      <c r="E52" s="5025"/>
      <c r="F52" s="5025"/>
      <c r="G52" s="5025"/>
      <c r="H52" s="5025"/>
      <c r="I52" s="5025"/>
      <c r="J52" s="4992"/>
      <c r="K52" s="4992"/>
      <c r="L52" s="4992"/>
      <c r="M52" s="5057"/>
      <c r="N52" s="5058"/>
      <c r="O52" s="5058"/>
      <c r="P52" s="5059"/>
      <c r="Q52" s="5002"/>
    </row>
    <row r="53" spans="1:17" ht="15" customHeight="1">
      <c r="A53" s="5002"/>
      <c r="B53" s="4992"/>
      <c r="C53" s="5025"/>
      <c r="D53" s="5025" t="s">
        <v>748</v>
      </c>
      <c r="E53" s="5025"/>
      <c r="F53" s="5025"/>
      <c r="G53" s="5025"/>
      <c r="H53" s="5025"/>
      <c r="I53" s="5025"/>
      <c r="J53" s="4992"/>
      <c r="K53" s="4992"/>
      <c r="L53" s="5002"/>
      <c r="M53" s="5057"/>
      <c r="N53" s="5058"/>
      <c r="O53" s="5058"/>
      <c r="P53" s="5059"/>
      <c r="Q53" s="5002"/>
    </row>
    <row r="54" spans="1:17" ht="15" customHeight="1">
      <c r="A54" s="5002"/>
      <c r="B54" s="4992"/>
      <c r="C54" s="5025"/>
      <c r="D54" s="5025" t="s">
        <v>749</v>
      </c>
      <c r="E54" s="5025"/>
      <c r="F54" s="5025"/>
      <c r="G54" s="5025"/>
      <c r="H54" s="5025"/>
      <c r="I54" s="5025"/>
      <c r="J54" s="4992"/>
      <c r="K54" s="4992"/>
      <c r="L54" s="5002"/>
      <c r="M54" s="5060"/>
      <c r="N54" s="5061"/>
      <c r="O54" s="5061"/>
      <c r="P54" s="5062"/>
      <c r="Q54" s="5002"/>
    </row>
    <row r="55" spans="1:17" ht="15" customHeight="1">
      <c r="A55" s="5002"/>
      <c r="B55" s="4992"/>
      <c r="C55" s="5025"/>
      <c r="D55" s="5025"/>
      <c r="E55" s="5025"/>
      <c r="F55" s="5025"/>
      <c r="G55" s="5025"/>
      <c r="H55" s="5025"/>
      <c r="I55" s="5025"/>
      <c r="J55" s="4992"/>
      <c r="K55" s="4992"/>
      <c r="L55" s="5002"/>
      <c r="M55" s="5002"/>
      <c r="N55" s="5002"/>
      <c r="O55" s="5002"/>
      <c r="P55" s="5002"/>
      <c r="Q55" s="5002"/>
    </row>
    <row r="56" spans="1:17">
      <c r="A56" s="5063"/>
      <c r="B56" s="5064"/>
      <c r="C56" s="5065"/>
      <c r="D56" s="5065"/>
      <c r="E56" s="5065"/>
      <c r="F56" s="5065"/>
      <c r="G56" s="5065"/>
      <c r="H56" s="5065"/>
      <c r="I56" s="5065"/>
      <c r="J56" s="5064"/>
      <c r="K56" s="5064"/>
      <c r="L56" s="5064"/>
      <c r="M56" s="5063"/>
      <c r="N56" s="5063"/>
      <c r="O56" s="5063"/>
      <c r="P56" s="5063"/>
      <c r="Q56" s="5063"/>
    </row>
    <row r="57" spans="1:17" ht="15" customHeight="1">
      <c r="B57" s="5002"/>
      <c r="C57" s="5002"/>
      <c r="D57" s="5002"/>
      <c r="E57" s="63"/>
      <c r="F57" s="63"/>
      <c r="G57" s="5002"/>
      <c r="H57" s="5002"/>
      <c r="I57" s="5002"/>
      <c r="J57" s="5002"/>
      <c r="K57" s="5002"/>
      <c r="L57" s="5002"/>
      <c r="M57" s="5002"/>
      <c r="N57" s="5002"/>
      <c r="O57" s="5002"/>
      <c r="P57" s="5002"/>
      <c r="Q57" s="5002"/>
    </row>
    <row r="58" spans="1:17" ht="15" customHeight="1">
      <c r="A58" s="5002"/>
      <c r="B58" s="63"/>
      <c r="C58" s="64" t="s">
        <v>752</v>
      </c>
      <c r="D58" s="5002"/>
      <c r="E58" s="63"/>
      <c r="F58" s="63"/>
      <c r="G58" s="5002"/>
      <c r="H58" s="5002"/>
      <c r="I58" s="5002"/>
      <c r="J58" s="5002"/>
      <c r="K58" s="5002"/>
      <c r="L58" s="5002"/>
      <c r="M58" s="5002"/>
      <c r="N58" s="5002"/>
      <c r="O58" s="5002"/>
      <c r="P58" s="5002"/>
      <c r="Q58" s="5002"/>
    </row>
    <row r="59" spans="1:17" ht="15" customHeight="1">
      <c r="A59" s="5002"/>
      <c r="B59" s="65" t="s">
        <v>732</v>
      </c>
      <c r="C59" s="66" t="s">
        <v>753</v>
      </c>
      <c r="D59" s="5002"/>
      <c r="E59" s="66"/>
      <c r="F59" s="66"/>
      <c r="G59" s="5025"/>
      <c r="H59" s="5002"/>
      <c r="I59" s="5002"/>
      <c r="J59" s="5002"/>
      <c r="K59" s="5002"/>
      <c r="L59" s="5002"/>
      <c r="M59" s="5066" t="s">
        <v>754</v>
      </c>
      <c r="N59" s="5067"/>
      <c r="O59" s="5067"/>
      <c r="P59" s="5068"/>
      <c r="Q59" s="5002"/>
    </row>
    <row r="60" spans="1:17" ht="21">
      <c r="A60" s="5002"/>
      <c r="B60" s="67"/>
      <c r="C60" s="67"/>
      <c r="D60" s="5002"/>
      <c r="E60" s="66"/>
      <c r="F60" s="66"/>
      <c r="G60" s="5025"/>
      <c r="H60" s="5002"/>
      <c r="I60" s="5002"/>
      <c r="J60" s="5002"/>
      <c r="K60" s="5002"/>
      <c r="L60" s="5002"/>
      <c r="M60" s="5069"/>
      <c r="N60" s="5070"/>
      <c r="O60" s="5070"/>
      <c r="P60" s="5071"/>
      <c r="Q60" s="5002"/>
    </row>
    <row r="61" spans="1:17" ht="15" customHeight="1">
      <c r="A61" s="5002"/>
      <c r="B61" s="65" t="s">
        <v>732</v>
      </c>
      <c r="C61" s="4568" t="s">
        <v>755</v>
      </c>
      <c r="D61" s="4568"/>
      <c r="E61" s="4568"/>
      <c r="F61" s="4568"/>
      <c r="G61" s="4568"/>
      <c r="H61" s="4568"/>
      <c r="I61" s="5025"/>
      <c r="J61" s="4992"/>
      <c r="K61" s="5002"/>
      <c r="L61" s="5002"/>
      <c r="M61" s="5069"/>
      <c r="N61" s="5070"/>
      <c r="O61" s="5070"/>
      <c r="P61" s="5071"/>
      <c r="Q61" s="5002"/>
    </row>
    <row r="62" spans="1:17" ht="21">
      <c r="A62" s="5002"/>
      <c r="B62" s="67"/>
      <c r="C62" s="63"/>
      <c r="D62" s="5002"/>
      <c r="E62" s="63"/>
      <c r="F62" s="63"/>
      <c r="G62" s="5025"/>
      <c r="H62" s="5025"/>
      <c r="I62" s="5025"/>
      <c r="J62" s="4992"/>
      <c r="K62" s="5002"/>
      <c r="L62" s="5002"/>
      <c r="M62" s="5069"/>
      <c r="N62" s="5070"/>
      <c r="O62" s="5070"/>
      <c r="P62" s="5071"/>
      <c r="Q62" s="5002"/>
    </row>
    <row r="63" spans="1:17" ht="21">
      <c r="A63" s="5002"/>
      <c r="B63" s="63"/>
      <c r="C63" s="64" t="s">
        <v>756</v>
      </c>
      <c r="D63" s="5002"/>
      <c r="E63" s="63"/>
      <c r="F63" s="63"/>
      <c r="G63" s="5025"/>
      <c r="H63" s="5025"/>
      <c r="I63" s="5025"/>
      <c r="J63" s="4992"/>
      <c r="K63" s="5002"/>
      <c r="L63" s="4992"/>
      <c r="M63" s="5072" t="s">
        <v>757</v>
      </c>
      <c r="N63" s="5073"/>
      <c r="O63" s="5073"/>
      <c r="P63" s="5074"/>
      <c r="Q63" s="5002"/>
    </row>
    <row r="64" spans="1:17" ht="21">
      <c r="A64" s="5002"/>
      <c r="B64" s="65" t="s">
        <v>732</v>
      </c>
      <c r="C64" s="4575" t="s">
        <v>758</v>
      </c>
      <c r="D64" s="4575"/>
      <c r="E64" s="4575"/>
      <c r="F64" s="4575"/>
      <c r="G64" s="4575"/>
      <c r="H64" s="4575"/>
      <c r="I64" s="4575"/>
      <c r="J64" s="4575"/>
      <c r="K64" s="5002"/>
      <c r="L64" s="4992"/>
      <c r="M64" s="5072"/>
      <c r="N64" s="5073"/>
      <c r="O64" s="5073"/>
      <c r="P64" s="5074"/>
      <c r="Q64" s="5002"/>
    </row>
    <row r="65" spans="1:17" ht="21">
      <c r="A65" s="5002"/>
      <c r="B65" s="66"/>
      <c r="C65" s="66"/>
      <c r="D65" s="5002"/>
      <c r="E65" s="66"/>
      <c r="F65" s="66"/>
      <c r="G65" s="5025"/>
      <c r="H65" s="68"/>
      <c r="I65" s="5025"/>
      <c r="J65" s="4992"/>
      <c r="K65" s="4992"/>
      <c r="L65" s="4992"/>
      <c r="M65" s="5075"/>
      <c r="N65" s="5076"/>
      <c r="O65" s="5076"/>
      <c r="P65" s="5077"/>
      <c r="Q65" s="5002"/>
    </row>
    <row r="66" spans="1:17" ht="21">
      <c r="A66" s="5002"/>
      <c r="B66" s="65" t="s">
        <v>732</v>
      </c>
      <c r="C66" s="4585" t="s">
        <v>759</v>
      </c>
      <c r="D66" s="4585"/>
      <c r="E66" s="4585"/>
      <c r="F66" s="4585"/>
      <c r="G66" s="5025"/>
      <c r="H66" s="68"/>
      <c r="I66" s="5025"/>
      <c r="J66" s="4992"/>
      <c r="K66" s="4992"/>
      <c r="L66" s="4992"/>
      <c r="M66" s="5002"/>
      <c r="N66" s="5002"/>
      <c r="O66" s="5002"/>
      <c r="P66" s="5002"/>
      <c r="Q66" s="5002"/>
    </row>
    <row r="67" spans="1:17" ht="21" customHeight="1">
      <c r="A67" s="5002"/>
      <c r="B67" s="68"/>
      <c r="C67" s="68"/>
      <c r="D67" s="5002"/>
      <c r="E67" s="66"/>
      <c r="F67" s="66"/>
      <c r="G67" s="5025"/>
      <c r="H67" s="68"/>
      <c r="I67" s="5025"/>
      <c r="J67" s="4992"/>
      <c r="K67" s="4992"/>
      <c r="L67" s="4992"/>
      <c r="M67" s="4992"/>
      <c r="N67" s="4992"/>
      <c r="O67" s="4992"/>
      <c r="P67" s="4992"/>
      <c r="Q67" s="5002"/>
    </row>
    <row r="68" spans="1:17" ht="21">
      <c r="A68" s="5002"/>
      <c r="B68" s="65" t="s">
        <v>732</v>
      </c>
      <c r="C68" s="4541" t="s">
        <v>760</v>
      </c>
      <c r="D68" s="4541"/>
      <c r="E68" s="68"/>
      <c r="F68" s="68"/>
      <c r="G68" s="5025"/>
      <c r="H68" s="68"/>
      <c r="I68" s="5025"/>
      <c r="J68" s="4992"/>
      <c r="K68" s="4992"/>
      <c r="L68" s="4992"/>
      <c r="M68" s="5078" t="s">
        <v>761</v>
      </c>
      <c r="N68" s="5079"/>
      <c r="O68" s="5079"/>
      <c r="P68" s="5080"/>
      <c r="Q68" s="5002"/>
    </row>
    <row r="69" spans="1:17" ht="21">
      <c r="A69" s="5002"/>
      <c r="B69" s="66"/>
      <c r="C69" s="5081"/>
      <c r="D69" s="66"/>
      <c r="E69" s="68"/>
      <c r="F69" s="5025"/>
      <c r="G69" s="5025"/>
      <c r="H69" s="68"/>
      <c r="I69" s="5025"/>
      <c r="J69" s="4992"/>
      <c r="K69" s="4992"/>
      <c r="L69" s="4992"/>
      <c r="M69" s="5082" t="s">
        <v>762</v>
      </c>
      <c r="N69" s="5083"/>
      <c r="O69" s="5083"/>
      <c r="P69" s="5084"/>
      <c r="Q69" s="5002"/>
    </row>
    <row r="70" spans="1:17" ht="21">
      <c r="A70" s="5002"/>
      <c r="B70" s="65" t="s">
        <v>732</v>
      </c>
      <c r="C70" s="4541" t="s">
        <v>763</v>
      </c>
      <c r="D70" s="4541"/>
      <c r="E70" s="4541"/>
      <c r="F70" s="5025"/>
      <c r="I70" s="5025"/>
      <c r="J70" s="4992"/>
      <c r="K70" s="5002"/>
      <c r="L70" s="5002"/>
      <c r="M70" s="5082"/>
      <c r="N70" s="5083"/>
      <c r="O70" s="5083"/>
      <c r="P70" s="5084"/>
      <c r="Q70" s="5002"/>
    </row>
    <row r="71" spans="1:17">
      <c r="A71" s="5002"/>
      <c r="B71" s="68"/>
      <c r="C71" s="68"/>
      <c r="D71" s="68"/>
      <c r="E71" s="68"/>
      <c r="F71" s="5025"/>
      <c r="G71" s="5025"/>
      <c r="H71" s="68"/>
      <c r="I71" s="5025"/>
      <c r="J71" s="4992"/>
      <c r="K71" s="5002"/>
      <c r="L71" s="5002"/>
      <c r="M71" s="5082"/>
      <c r="N71" s="5083"/>
      <c r="O71" s="5083"/>
      <c r="P71" s="5084"/>
      <c r="Q71" s="5002"/>
    </row>
    <row r="72" spans="1:17" ht="21">
      <c r="A72" s="5002"/>
      <c r="B72" s="65" t="s">
        <v>732</v>
      </c>
      <c r="C72" s="4541" t="s">
        <v>764</v>
      </c>
      <c r="D72" s="4541"/>
      <c r="E72" s="4541"/>
      <c r="F72" s="68"/>
      <c r="G72" s="5025"/>
      <c r="H72" s="68"/>
      <c r="I72" s="5025"/>
      <c r="J72" s="4992"/>
      <c r="K72" s="5002"/>
      <c r="L72" s="5002"/>
      <c r="M72" s="5082"/>
      <c r="N72" s="5083"/>
      <c r="O72" s="5083"/>
      <c r="P72" s="5084"/>
      <c r="Q72" s="5002"/>
    </row>
    <row r="73" spans="1:17" ht="21">
      <c r="A73" s="5002"/>
      <c r="B73" s="66"/>
      <c r="C73" s="66"/>
      <c r="D73" s="68"/>
      <c r="E73" s="68"/>
      <c r="F73" s="68"/>
      <c r="G73" s="5025"/>
      <c r="H73" s="68"/>
      <c r="I73" s="5025"/>
      <c r="J73" s="4992"/>
      <c r="K73" s="5002"/>
      <c r="L73" s="5002"/>
      <c r="M73" s="5085" t="s">
        <v>765</v>
      </c>
      <c r="N73" s="5086"/>
      <c r="O73" s="5086"/>
      <c r="P73" s="5087"/>
      <c r="Q73" s="5002"/>
    </row>
    <row r="74" spans="1:17" ht="21">
      <c r="A74" s="5002"/>
      <c r="B74" s="65" t="s">
        <v>732</v>
      </c>
      <c r="C74" s="4525" t="s">
        <v>766</v>
      </c>
      <c r="D74" s="4525"/>
      <c r="E74" s="4525"/>
      <c r="G74" s="5025"/>
      <c r="H74" s="68"/>
      <c r="I74" s="5025"/>
      <c r="J74" s="4992"/>
      <c r="K74" s="5002"/>
      <c r="L74" s="5002"/>
      <c r="M74" s="5085"/>
      <c r="N74" s="5086"/>
      <c r="O74" s="5086"/>
      <c r="P74" s="5087"/>
      <c r="Q74" s="5002"/>
    </row>
    <row r="75" spans="1:17" ht="15" customHeight="1">
      <c r="A75" s="5002"/>
      <c r="B75" s="4992"/>
      <c r="C75" s="5025"/>
      <c r="D75" s="5025"/>
      <c r="E75" s="5025"/>
      <c r="F75" s="5025"/>
      <c r="G75" s="5025"/>
      <c r="H75" s="5025"/>
      <c r="I75" s="5025"/>
      <c r="J75" s="4992"/>
      <c r="K75" s="5002"/>
      <c r="L75" s="5002"/>
      <c r="M75" s="5085"/>
      <c r="N75" s="5086"/>
      <c r="O75" s="5086"/>
      <c r="P75" s="5087"/>
      <c r="Q75" s="5002"/>
    </row>
    <row r="76" spans="1:17" ht="21">
      <c r="A76" s="5002"/>
      <c r="B76" s="65" t="s">
        <v>732</v>
      </c>
      <c r="C76" s="4526" t="s">
        <v>767</v>
      </c>
      <c r="D76" s="4526"/>
      <c r="E76" s="4526"/>
      <c r="F76" s="4526"/>
      <c r="G76" s="5025"/>
      <c r="H76" s="5025"/>
      <c r="I76" s="5025"/>
      <c r="J76" s="4992"/>
      <c r="K76" s="5002"/>
      <c r="L76" s="5002"/>
      <c r="M76" s="5088" t="s">
        <v>768</v>
      </c>
      <c r="N76" s="5089"/>
      <c r="O76" s="5089"/>
      <c r="P76" s="5090"/>
      <c r="Q76" s="5002"/>
    </row>
    <row r="77" spans="1:17">
      <c r="A77" s="5002"/>
      <c r="B77" s="5002"/>
      <c r="C77" s="5002"/>
      <c r="D77" s="5002"/>
      <c r="E77" s="5002"/>
      <c r="F77" s="5002"/>
      <c r="G77" s="5002"/>
      <c r="H77" s="5002"/>
      <c r="I77" s="5002"/>
      <c r="J77" s="5002"/>
      <c r="K77" s="4992"/>
      <c r="L77" s="4992"/>
      <c r="M77" s="5088"/>
      <c r="N77" s="5089"/>
      <c r="O77" s="5089"/>
      <c r="P77" s="5090"/>
      <c r="Q77" s="5002"/>
    </row>
    <row r="78" spans="1:17">
      <c r="A78" s="5002"/>
      <c r="B78" s="5002"/>
      <c r="C78" s="5002"/>
      <c r="D78" s="5002"/>
      <c r="E78" s="5002"/>
      <c r="F78" s="5002"/>
      <c r="G78" s="5002"/>
      <c r="H78" s="5002"/>
      <c r="I78" s="5002"/>
      <c r="J78" s="5002"/>
      <c r="K78" s="4992"/>
      <c r="L78" s="4992"/>
      <c r="M78" s="5091"/>
      <c r="N78" s="5092"/>
      <c r="O78" s="5092"/>
      <c r="P78" s="5093"/>
      <c r="Q78" s="5002"/>
    </row>
    <row r="79" spans="1:17">
      <c r="A79" s="5002"/>
      <c r="B79" s="4992"/>
      <c r="C79" s="5025"/>
      <c r="D79" s="5025"/>
      <c r="E79" s="5025"/>
      <c r="F79" s="5025"/>
      <c r="G79" s="5025"/>
      <c r="H79" s="5025"/>
      <c r="I79" s="5025"/>
      <c r="J79" s="4992"/>
      <c r="K79" s="4992"/>
      <c r="L79" s="4992"/>
      <c r="M79" s="5002"/>
      <c r="N79" s="5002"/>
      <c r="O79" s="5002"/>
      <c r="P79" s="5002"/>
      <c r="Q79" s="5002"/>
    </row>
    <row r="80" spans="1:17">
      <c r="A80" s="5063"/>
      <c r="B80" s="5064"/>
      <c r="C80" s="5065"/>
      <c r="D80" s="5065"/>
      <c r="E80" s="5065"/>
      <c r="F80" s="5065"/>
      <c r="G80" s="5065"/>
      <c r="H80" s="5065"/>
      <c r="I80" s="5065"/>
      <c r="J80" s="5064"/>
      <c r="K80" s="5064"/>
      <c r="L80" s="5064"/>
      <c r="M80" s="5063"/>
      <c r="N80" s="5063"/>
      <c r="O80" s="5063"/>
      <c r="P80" s="5063"/>
      <c r="Q80" s="5063"/>
    </row>
    <row r="81" spans="2:17" ht="15" customHeight="1">
      <c r="B81" s="5002"/>
      <c r="C81" s="5002"/>
      <c r="D81" s="5002"/>
      <c r="E81" s="63"/>
      <c r="F81" s="63"/>
      <c r="G81" s="5002"/>
      <c r="H81" s="5002"/>
      <c r="I81" s="5002"/>
      <c r="J81" s="5002"/>
      <c r="K81" s="5002"/>
      <c r="L81" s="5002"/>
      <c r="M81" s="5002"/>
      <c r="N81" s="5002"/>
      <c r="O81" s="5002"/>
      <c r="P81" s="5002"/>
      <c r="Q81" s="5002"/>
    </row>
    <row r="82" spans="2:17" ht="15" customHeight="1">
      <c r="B82" s="5002"/>
      <c r="C82" s="5094" t="s">
        <v>769</v>
      </c>
      <c r="D82" s="5095"/>
      <c r="E82" s="5095"/>
      <c r="F82" s="5095"/>
      <c r="G82" s="5095"/>
      <c r="H82" s="5095"/>
      <c r="I82" s="5095"/>
      <c r="J82" s="5095"/>
      <c r="K82" s="5095"/>
      <c r="L82" s="5095"/>
      <c r="M82" s="5096"/>
      <c r="N82" s="5002"/>
      <c r="O82" s="5002"/>
      <c r="P82" s="5002"/>
      <c r="Q82" s="5002"/>
    </row>
    <row r="83" spans="2:17" ht="45" customHeight="1">
      <c r="B83" s="5002"/>
      <c r="C83" s="72"/>
      <c r="D83" s="72"/>
      <c r="E83" s="72"/>
      <c r="F83" s="72"/>
      <c r="G83" s="72"/>
      <c r="H83" s="72"/>
      <c r="I83" s="72"/>
      <c r="J83" s="72"/>
      <c r="K83" s="72"/>
      <c r="L83" s="5002"/>
      <c r="M83" s="5002"/>
      <c r="N83" s="5002"/>
      <c r="O83" s="5002"/>
      <c r="P83" s="5002"/>
      <c r="Q83" s="5002"/>
    </row>
    <row r="84" spans="2:17" ht="15" customHeight="1">
      <c r="B84" s="5002"/>
      <c r="C84" s="5002"/>
      <c r="D84" s="5002"/>
      <c r="E84" s="63"/>
      <c r="F84" s="63"/>
      <c r="G84" s="5002"/>
      <c r="H84" s="5002"/>
      <c r="I84" s="5002"/>
      <c r="J84" s="5002"/>
      <c r="K84" s="5002"/>
      <c r="L84" s="5002"/>
      <c r="M84" s="5002"/>
      <c r="N84" s="5002"/>
      <c r="O84" s="5002"/>
      <c r="P84" s="5002"/>
      <c r="Q84" s="5002"/>
    </row>
    <row r="85" spans="2:17" ht="15" customHeight="1" thickBot="1">
      <c r="B85" s="5002"/>
      <c r="C85" s="5002"/>
      <c r="D85" s="5002"/>
      <c r="E85" s="63"/>
      <c r="F85" s="63"/>
      <c r="G85" s="5002"/>
      <c r="H85" s="5002"/>
      <c r="I85" s="5002"/>
      <c r="J85" s="5002"/>
      <c r="K85" s="5002"/>
      <c r="L85" s="5002"/>
      <c r="M85" s="5002"/>
      <c r="N85" s="5002"/>
      <c r="O85" s="5002"/>
      <c r="P85" s="5002"/>
      <c r="Q85" s="5002"/>
    </row>
    <row r="86" spans="2:17" ht="20.100000000000001" customHeight="1">
      <c r="B86" s="5097" t="s">
        <v>770</v>
      </c>
      <c r="C86" s="5098"/>
      <c r="D86" s="5098"/>
      <c r="E86" s="5098"/>
      <c r="F86" s="5098"/>
      <c r="G86" s="5098"/>
      <c r="H86" s="5098"/>
      <c r="I86" s="5098"/>
      <c r="J86" s="5098"/>
      <c r="K86" s="5098"/>
      <c r="L86" s="5099"/>
      <c r="M86" s="5002"/>
      <c r="N86" s="5002"/>
      <c r="O86" s="5002"/>
      <c r="P86" s="5002"/>
      <c r="Q86" s="5002"/>
    </row>
    <row r="87" spans="2:17" ht="20.100000000000001" customHeight="1">
      <c r="B87" s="5100"/>
      <c r="C87" s="5101"/>
      <c r="D87" s="5101"/>
      <c r="E87" s="5101"/>
      <c r="F87" s="5101"/>
      <c r="G87" s="5101"/>
      <c r="H87" s="5101"/>
      <c r="I87" s="5101"/>
      <c r="J87" s="5101"/>
      <c r="K87" s="5101"/>
      <c r="L87" s="5102"/>
      <c r="M87" s="5002"/>
      <c r="N87" s="5002"/>
      <c r="O87" s="5002"/>
      <c r="P87" s="5002"/>
      <c r="Q87" s="5002"/>
    </row>
    <row r="88" spans="2:17" ht="20.100000000000001" customHeight="1">
      <c r="B88" s="5103" t="s">
        <v>771</v>
      </c>
      <c r="C88" s="5104">
        <v>3</v>
      </c>
      <c r="D88" s="5105"/>
      <c r="E88" s="5106" t="s">
        <v>772</v>
      </c>
      <c r="F88" s="5106"/>
      <c r="G88" s="5106"/>
      <c r="H88" s="5106"/>
      <c r="I88" s="5106"/>
      <c r="J88" s="5106"/>
      <c r="K88" s="5106"/>
      <c r="L88" s="4537"/>
      <c r="M88" s="5002"/>
      <c r="N88" s="5002"/>
      <c r="O88" s="5002"/>
      <c r="P88" s="5002"/>
      <c r="Q88" s="5002"/>
    </row>
    <row r="89" spans="2:17" ht="20.100000000000001" customHeight="1">
      <c r="B89" s="5103"/>
      <c r="C89" s="5107"/>
      <c r="D89" s="5105"/>
      <c r="E89" s="5106"/>
      <c r="F89" s="5106"/>
      <c r="G89" s="5106"/>
      <c r="H89" s="5106"/>
      <c r="I89" s="5106"/>
      <c r="J89" s="5106"/>
      <c r="K89" s="5106"/>
      <c r="L89" s="4537"/>
      <c r="M89" s="5002"/>
      <c r="N89" s="5002"/>
      <c r="O89" s="5002"/>
      <c r="P89" s="5002"/>
      <c r="Q89" s="5002"/>
    </row>
    <row r="90" spans="2:17" ht="20.100000000000001" customHeight="1">
      <c r="B90" s="5103" t="s">
        <v>773</v>
      </c>
      <c r="C90" s="5108"/>
      <c r="D90" s="5105"/>
      <c r="E90" s="5106"/>
      <c r="F90" s="5106"/>
      <c r="G90" s="5106"/>
      <c r="H90" s="5106"/>
      <c r="I90" s="5106"/>
      <c r="J90" s="5106"/>
      <c r="K90" s="5106"/>
      <c r="L90" s="4537"/>
      <c r="M90" s="5002"/>
      <c r="N90" s="5002"/>
      <c r="O90" s="5002"/>
      <c r="P90" s="5002"/>
      <c r="Q90" s="5002"/>
    </row>
    <row r="91" spans="2:17" ht="20.100000000000001" customHeight="1">
      <c r="B91" s="5103"/>
      <c r="C91" s="5108"/>
      <c r="D91" s="5105"/>
      <c r="E91" s="5106"/>
      <c r="F91" s="5106"/>
      <c r="G91" s="5106"/>
      <c r="H91" s="5106"/>
      <c r="I91" s="5106"/>
      <c r="J91" s="5106"/>
      <c r="K91" s="5106"/>
      <c r="L91" s="4537"/>
      <c r="M91" s="5002"/>
      <c r="N91" s="5002"/>
      <c r="O91" s="5002"/>
      <c r="P91" s="5002"/>
      <c r="Q91" s="5002"/>
    </row>
    <row r="92" spans="2:17" ht="20.100000000000001" customHeight="1">
      <c r="B92" s="5103" t="s">
        <v>774</v>
      </c>
      <c r="C92" s="5108"/>
      <c r="D92" s="5105"/>
      <c r="E92" s="5106"/>
      <c r="F92" s="5106"/>
      <c r="G92" s="5106"/>
      <c r="H92" s="5106"/>
      <c r="I92" s="5106"/>
      <c r="J92" s="5106"/>
      <c r="K92" s="5106"/>
      <c r="L92" s="4537"/>
      <c r="M92" s="5002"/>
      <c r="N92" s="5002"/>
      <c r="O92" s="5002"/>
      <c r="P92" s="5002"/>
      <c r="Q92" s="5002"/>
    </row>
    <row r="93" spans="2:17" ht="20.100000000000001" customHeight="1">
      <c r="B93" s="5103"/>
      <c r="C93" s="5108"/>
      <c r="D93" s="5105"/>
      <c r="E93" s="5109"/>
      <c r="F93" s="5109"/>
      <c r="G93" s="5109"/>
      <c r="H93" s="5109"/>
      <c r="I93" s="5109"/>
      <c r="J93" s="5109"/>
      <c r="K93" s="5109"/>
      <c r="L93" s="3282"/>
      <c r="M93" s="5002"/>
      <c r="N93" s="5002"/>
      <c r="O93" s="5002"/>
      <c r="P93" s="5002"/>
      <c r="Q93" s="5002"/>
    </row>
    <row r="94" spans="2:17" ht="20.100000000000001" customHeight="1">
      <c r="B94" s="5110"/>
      <c r="C94" s="5105"/>
      <c r="D94" s="5105"/>
      <c r="E94" s="5111"/>
      <c r="F94" s="5112" t="s">
        <v>775</v>
      </c>
      <c r="G94" s="5113" t="s">
        <v>776</v>
      </c>
      <c r="H94" s="5113" t="s">
        <v>777</v>
      </c>
      <c r="I94" s="5113" t="s">
        <v>778</v>
      </c>
      <c r="J94" s="5113" t="s">
        <v>779</v>
      </c>
      <c r="K94" s="5113" t="s">
        <v>780</v>
      </c>
      <c r="L94" s="76" t="s">
        <v>781</v>
      </c>
      <c r="M94" s="5002"/>
      <c r="N94" s="5002"/>
      <c r="O94" s="5002"/>
      <c r="P94" s="5002"/>
      <c r="Q94" s="5002"/>
    </row>
    <row r="95" spans="2:17" ht="20.100000000000001" customHeight="1">
      <c r="B95" s="5110"/>
      <c r="C95" s="5105"/>
      <c r="D95" s="5105"/>
      <c r="E95" s="5111"/>
      <c r="F95" s="5112"/>
      <c r="G95" s="5113"/>
      <c r="H95" s="5113"/>
      <c r="I95" s="5113"/>
      <c r="J95" s="5113"/>
      <c r="K95" s="5113"/>
      <c r="L95" s="76"/>
      <c r="M95" s="5002"/>
      <c r="N95" s="5002"/>
      <c r="O95" s="5002"/>
      <c r="P95" s="5002"/>
      <c r="Q95" s="5002"/>
    </row>
    <row r="96" spans="2:17" ht="20.100000000000001" customHeight="1">
      <c r="B96" s="5110" t="s">
        <v>782</v>
      </c>
      <c r="C96" s="5105"/>
      <c r="D96" s="5105"/>
      <c r="E96" s="95"/>
      <c r="F96" s="5114" t="s">
        <v>150</v>
      </c>
      <c r="G96" s="5114" t="s">
        <v>152</v>
      </c>
      <c r="H96" s="5114" t="s">
        <v>154</v>
      </c>
      <c r="I96" s="5114" t="s">
        <v>155</v>
      </c>
      <c r="J96" s="5114" t="s">
        <v>156</v>
      </c>
      <c r="K96" s="5115" t="s">
        <v>783</v>
      </c>
      <c r="L96" s="5116" t="s">
        <v>784</v>
      </c>
      <c r="M96" s="5002"/>
      <c r="N96" s="5002"/>
      <c r="O96" s="5002"/>
      <c r="P96" s="5002"/>
      <c r="Q96" s="5002"/>
    </row>
    <row r="97" spans="2:17" ht="20.100000000000001" customHeight="1">
      <c r="B97" s="5110"/>
      <c r="C97" s="5105"/>
      <c r="D97" s="5105"/>
      <c r="E97" s="5105"/>
      <c r="F97" s="5117"/>
      <c r="G97" s="5117"/>
      <c r="H97" s="5117"/>
      <c r="I97" s="5117"/>
      <c r="J97" s="5117"/>
      <c r="K97" s="5118"/>
      <c r="L97" s="5119"/>
      <c r="M97" s="5002"/>
      <c r="N97" s="5002"/>
      <c r="O97" s="5002"/>
      <c r="P97" s="5002"/>
      <c r="Q97" s="5002"/>
    </row>
    <row r="98" spans="2:17" ht="20.100000000000001" customHeight="1">
      <c r="B98" s="5120" t="s">
        <v>157</v>
      </c>
      <c r="C98" s="5114" t="s">
        <v>158</v>
      </c>
      <c r="D98" s="5114" t="s">
        <v>159</v>
      </c>
      <c r="E98" s="5114" t="s">
        <v>160</v>
      </c>
      <c r="F98" s="5114" t="s">
        <v>161</v>
      </c>
      <c r="G98" s="5114" t="s">
        <v>163</v>
      </c>
      <c r="H98" s="5114" t="s">
        <v>164</v>
      </c>
      <c r="I98" s="5114" t="s">
        <v>167</v>
      </c>
      <c r="J98" s="5114" t="s">
        <v>168</v>
      </c>
      <c r="K98" s="5115" t="s">
        <v>688</v>
      </c>
      <c r="L98" s="5116" t="s">
        <v>785</v>
      </c>
      <c r="M98" s="5002"/>
      <c r="N98" s="5002"/>
      <c r="O98" s="5002"/>
      <c r="P98" s="5002"/>
      <c r="Q98" s="5002"/>
    </row>
    <row r="99" spans="2:17" ht="20.100000000000001" customHeight="1">
      <c r="B99" s="5121"/>
      <c r="C99" s="5117"/>
      <c r="D99" s="5117"/>
      <c r="E99" s="5117"/>
      <c r="F99" s="5117"/>
      <c r="G99" s="5117"/>
      <c r="H99" s="5117"/>
      <c r="I99" s="5117"/>
      <c r="J99" s="5117"/>
      <c r="K99" s="5118"/>
      <c r="L99" s="5119"/>
      <c r="M99" s="5002"/>
      <c r="N99" s="5002"/>
      <c r="O99" s="5002"/>
      <c r="P99" s="5002"/>
      <c r="Q99" s="5002"/>
    </row>
    <row r="100" spans="2:17" ht="20.100000000000001" customHeight="1">
      <c r="B100" s="692"/>
      <c r="C100" s="5122"/>
      <c r="D100" s="5123" t="s">
        <v>786</v>
      </c>
      <c r="E100" s="5124">
        <f>COLUMN()</f>
        <v>5</v>
      </c>
      <c r="F100" s="5122"/>
      <c r="G100" s="5123" t="s">
        <v>787</v>
      </c>
      <c r="H100" s="5125" t="str">
        <f>ADDRESS(ROW(),COLUMN(),4)</f>
        <v>H100</v>
      </c>
      <c r="I100" s="5122"/>
      <c r="J100" s="5122"/>
      <c r="K100" s="5126" t="s">
        <v>22</v>
      </c>
      <c r="L100" s="5116" t="s">
        <v>788</v>
      </c>
      <c r="M100" s="5002"/>
      <c r="N100" s="5002"/>
      <c r="O100" s="5002"/>
      <c r="P100" s="5002"/>
      <c r="Q100" s="5002"/>
    </row>
    <row r="101" spans="2:17" ht="20.100000000000001" customHeight="1">
      <c r="B101" s="692"/>
      <c r="C101" s="5122"/>
      <c r="D101" s="5123"/>
      <c r="E101" s="5127"/>
      <c r="F101" s="5122"/>
      <c r="G101" s="5122"/>
      <c r="H101" s="5122"/>
      <c r="I101" s="5122"/>
      <c r="J101" s="5122"/>
      <c r="K101" s="5128"/>
      <c r="L101" s="5119"/>
      <c r="M101" s="5002"/>
      <c r="N101" s="5002"/>
      <c r="O101" s="5002"/>
      <c r="P101" s="5002"/>
      <c r="Q101" s="5002"/>
    </row>
    <row r="102" spans="2:17" ht="20.100000000000001" customHeight="1">
      <c r="B102" s="692"/>
      <c r="C102" s="5122"/>
      <c r="D102" s="5123" t="s">
        <v>789</v>
      </c>
      <c r="E102" s="5129" t="str">
        <f>LEFT(ADDRESS(1,COLUMN(),4),LEN(ADDRESS(1,COLUMN(),4))-1)</f>
        <v>E</v>
      </c>
      <c r="F102" s="5122"/>
      <c r="G102" s="5123" t="s">
        <v>790</v>
      </c>
      <c r="H102" s="5130">
        <f>ROW()</f>
        <v>102</v>
      </c>
      <c r="I102" s="5122"/>
      <c r="J102" s="5131" t="s">
        <v>773</v>
      </c>
      <c r="K102" s="5122"/>
      <c r="L102" s="5132"/>
      <c r="M102" s="5002"/>
      <c r="N102" s="5002"/>
      <c r="O102" s="5002"/>
      <c r="P102" s="5002"/>
      <c r="Q102" s="5002"/>
    </row>
    <row r="103" spans="2:17" ht="20.100000000000001" customHeight="1">
      <c r="B103" s="692"/>
      <c r="C103" s="5122"/>
      <c r="D103" s="5123"/>
      <c r="E103" s="5123"/>
      <c r="F103" s="5123"/>
      <c r="G103" s="5123"/>
      <c r="H103" s="5123"/>
      <c r="I103" s="5123"/>
      <c r="J103" s="5131"/>
      <c r="K103" s="5122"/>
      <c r="L103" s="5132"/>
      <c r="M103" s="5002"/>
      <c r="N103" s="5002"/>
      <c r="O103" s="5002"/>
      <c r="P103" s="5002"/>
      <c r="Q103" s="5002"/>
    </row>
    <row r="104" spans="2:17" ht="20.100000000000001" customHeight="1">
      <c r="B104" s="692"/>
      <c r="C104" s="5133" t="s">
        <v>358</v>
      </c>
      <c r="D104" s="5134" t="str">
        <f ca="1">CELL("nomfichier")</f>
        <v>E:\0-UPRT\1-UPRT.FR-SITE-WEB\ff-fiches-fabrications\ff-fiches-fabrication-maj-08-2020\[ff-8-restauration-Christian.Frechede.xlsx]Formats-Formules-Fonctions</v>
      </c>
      <c r="E104" s="4992"/>
      <c r="F104" s="5123"/>
      <c r="G104" s="5123"/>
      <c r="H104" s="5123"/>
      <c r="I104" s="5123"/>
      <c r="J104" s="5131"/>
      <c r="K104" s="5122"/>
      <c r="L104" s="5132"/>
      <c r="M104" s="5002"/>
      <c r="N104" s="5002"/>
      <c r="O104" s="5002"/>
      <c r="P104" s="5002"/>
      <c r="Q104" s="5002"/>
    </row>
    <row r="105" spans="2:17" ht="20.100000000000001" customHeight="1" thickBot="1">
      <c r="B105" s="695"/>
      <c r="C105" s="696"/>
      <c r="D105" s="696"/>
      <c r="E105" s="696"/>
      <c r="F105" s="696"/>
      <c r="G105" s="696"/>
      <c r="H105" s="696"/>
      <c r="I105" s="696"/>
      <c r="J105" s="696"/>
      <c r="K105" s="696"/>
      <c r="L105" s="5135"/>
      <c r="M105" s="5002"/>
      <c r="N105" s="5002"/>
      <c r="O105" s="5002"/>
      <c r="P105" s="5002"/>
      <c r="Q105" s="5002"/>
    </row>
    <row r="106" spans="2:17" ht="15" customHeight="1" thickBot="1">
      <c r="B106" s="5002"/>
      <c r="C106" s="5002"/>
      <c r="D106" s="5002"/>
      <c r="E106" s="63"/>
      <c r="F106" s="63"/>
      <c r="G106" s="5002"/>
      <c r="H106" s="5002"/>
      <c r="I106" s="5002"/>
      <c r="J106" s="5002"/>
      <c r="K106" s="5002"/>
      <c r="L106" s="5002"/>
      <c r="M106" s="5002"/>
      <c r="N106" s="5002"/>
      <c r="O106" s="5002"/>
      <c r="P106" s="5002"/>
      <c r="Q106" s="5002"/>
    </row>
    <row r="107" spans="2:17" ht="24.95" customHeight="1">
      <c r="B107" s="5136" t="s">
        <v>99</v>
      </c>
      <c r="C107" s="5137" t="s">
        <v>791</v>
      </c>
      <c r="D107" s="5137"/>
      <c r="E107" s="5137"/>
      <c r="F107" s="5137"/>
      <c r="G107" s="5137"/>
      <c r="H107" s="5137"/>
      <c r="I107" s="5137"/>
      <c r="J107" s="5137"/>
      <c r="K107" s="5138"/>
      <c r="L107" s="5002"/>
      <c r="M107" s="5002"/>
      <c r="N107" s="5002"/>
      <c r="O107" s="5002"/>
      <c r="P107" s="5002"/>
      <c r="Q107" s="5002"/>
    </row>
    <row r="108" spans="2:17" ht="24.95" customHeight="1">
      <c r="B108" s="5139" t="s">
        <v>100</v>
      </c>
      <c r="C108" s="5140" t="s">
        <v>792</v>
      </c>
      <c r="D108" s="5140"/>
      <c r="E108" s="5140"/>
      <c r="F108" s="5140"/>
      <c r="G108" s="5140"/>
      <c r="H108" s="5140"/>
      <c r="I108" s="5140"/>
      <c r="J108" s="5140"/>
      <c r="K108" s="4514"/>
      <c r="L108" s="5002"/>
      <c r="M108" s="5002"/>
      <c r="N108" s="5002"/>
      <c r="O108" s="5002"/>
      <c r="P108" s="5002"/>
      <c r="Q108" s="5002"/>
    </row>
    <row r="109" spans="2:17" ht="24.95" customHeight="1">
      <c r="B109" s="5141" t="s">
        <v>101</v>
      </c>
      <c r="C109" s="5142" t="s">
        <v>793</v>
      </c>
      <c r="D109" s="5142"/>
      <c r="E109" s="5142"/>
      <c r="F109" s="5142"/>
      <c r="G109" s="5142"/>
      <c r="H109" s="5142"/>
      <c r="I109" s="5142"/>
      <c r="J109" s="5142"/>
      <c r="K109" s="5143"/>
      <c r="L109" s="5002"/>
      <c r="M109" s="5002"/>
      <c r="N109" s="5002"/>
      <c r="O109" s="5002"/>
      <c r="P109" s="5002"/>
      <c r="Q109" s="5002"/>
    </row>
    <row r="110" spans="2:17" ht="24.95" customHeight="1">
      <c r="B110" s="5144"/>
      <c r="C110" s="5145" t="s">
        <v>794</v>
      </c>
      <c r="D110" s="5145"/>
      <c r="E110" s="5145"/>
      <c r="F110" s="5145"/>
      <c r="G110" s="5145"/>
      <c r="H110" s="5145"/>
      <c r="I110" s="5145"/>
      <c r="J110" s="5145"/>
      <c r="K110" s="4518"/>
      <c r="L110" s="5002"/>
      <c r="M110" s="5002"/>
      <c r="N110" s="5002"/>
      <c r="O110" s="5002"/>
      <c r="P110" s="5002"/>
      <c r="Q110" s="5002"/>
    </row>
    <row r="111" spans="2:17" ht="24.95" customHeight="1">
      <c r="B111" s="5146" t="s">
        <v>101</v>
      </c>
      <c r="C111" s="5147" t="str">
        <f>C109</f>
        <v>Saisir ICI</v>
      </c>
      <c r="D111" s="5147"/>
      <c r="E111" s="5147"/>
      <c r="F111" s="5147"/>
      <c r="G111" s="5147"/>
      <c r="H111" s="5147"/>
      <c r="I111" s="5147"/>
      <c r="J111" s="5147"/>
      <c r="K111" s="5148"/>
      <c r="L111" s="5002"/>
      <c r="M111" s="5002"/>
      <c r="N111" s="5002"/>
      <c r="O111" s="5002"/>
      <c r="P111" s="5002"/>
      <c r="Q111" s="5002"/>
    </row>
    <row r="112" spans="2:17" ht="24.95" customHeight="1">
      <c r="B112" s="5146"/>
      <c r="C112" s="5147"/>
      <c r="D112" s="5147"/>
      <c r="E112" s="5147"/>
      <c r="F112" s="5147"/>
      <c r="G112" s="5147"/>
      <c r="H112" s="5147"/>
      <c r="I112" s="5147"/>
      <c r="J112" s="5147"/>
      <c r="K112" s="5148"/>
      <c r="L112" s="5002"/>
      <c r="M112" s="5002"/>
      <c r="N112" s="5002"/>
      <c r="O112" s="5002"/>
      <c r="P112" s="5002"/>
      <c r="Q112" s="5002"/>
    </row>
    <row r="113" spans="2:17" ht="24.95" customHeight="1">
      <c r="B113" s="5146"/>
      <c r="C113" s="5147"/>
      <c r="D113" s="5147"/>
      <c r="E113" s="5147"/>
      <c r="F113" s="5147"/>
      <c r="G113" s="5147"/>
      <c r="H113" s="5147"/>
      <c r="I113" s="5147"/>
      <c r="J113" s="5147"/>
      <c r="K113" s="5148"/>
      <c r="L113" s="5002"/>
      <c r="M113" s="5002"/>
      <c r="N113" s="5002"/>
      <c r="O113" s="5002"/>
      <c r="P113" s="5002"/>
      <c r="Q113" s="5002"/>
    </row>
    <row r="114" spans="2:17" ht="24.95" customHeight="1">
      <c r="B114" s="5149" t="s">
        <v>99</v>
      </c>
      <c r="C114" s="5150" t="str">
        <f>+C107</f>
        <v>TEST POLICE DE CARACTERES</v>
      </c>
      <c r="D114" s="5150"/>
      <c r="E114" s="5150"/>
      <c r="F114" s="5150"/>
      <c r="G114" s="5150"/>
      <c r="H114" s="5150"/>
      <c r="I114" s="5150"/>
      <c r="J114" s="5150"/>
      <c r="K114" s="5151"/>
      <c r="L114" s="5002"/>
      <c r="M114" s="5002"/>
      <c r="N114" s="5002"/>
      <c r="O114" s="5002"/>
      <c r="P114" s="5002"/>
      <c r="Q114" s="5002"/>
    </row>
    <row r="115" spans="2:17" ht="24.95" customHeight="1">
      <c r="B115" s="5152"/>
      <c r="C115" s="5153"/>
      <c r="D115" s="5153"/>
      <c r="E115" s="5153"/>
      <c r="F115" s="5153"/>
      <c r="G115" s="5153"/>
      <c r="H115" s="5153"/>
      <c r="I115" s="5153"/>
      <c r="J115" s="5153"/>
      <c r="K115" s="5154"/>
      <c r="L115" s="5002"/>
      <c r="M115" s="5002"/>
      <c r="N115" s="5002"/>
      <c r="O115" s="5002"/>
      <c r="P115" s="5002"/>
      <c r="Q115" s="5002"/>
    </row>
    <row r="116" spans="2:17" ht="24.95" customHeight="1">
      <c r="B116" s="5155"/>
      <c r="C116" s="5156"/>
      <c r="D116" s="5156"/>
      <c r="E116" s="5156"/>
      <c r="F116" s="5156"/>
      <c r="G116" s="5156"/>
      <c r="H116" s="5156"/>
      <c r="I116" s="5156"/>
      <c r="J116" s="5156"/>
      <c r="K116" s="5157"/>
      <c r="L116" s="5002"/>
      <c r="M116" s="5002"/>
      <c r="N116" s="5002"/>
      <c r="O116" s="5002"/>
      <c r="P116" s="5002"/>
      <c r="Q116" s="5002"/>
    </row>
    <row r="117" spans="2:17" ht="24.95" customHeight="1">
      <c r="B117" s="5152" t="s">
        <v>100</v>
      </c>
      <c r="C117" s="5158" t="str">
        <f>+C108</f>
        <v>Saisir une ou des lettres / nombres ou une phrase cellule C jaune</v>
      </c>
      <c r="D117" s="5158"/>
      <c r="E117" s="5158"/>
      <c r="F117" s="5158"/>
      <c r="G117" s="5158"/>
      <c r="H117" s="5158"/>
      <c r="I117" s="5158"/>
      <c r="J117" s="5158"/>
      <c r="K117" s="5159"/>
      <c r="L117" s="5002"/>
      <c r="M117" s="5002"/>
      <c r="N117" s="5002"/>
      <c r="O117" s="5002"/>
      <c r="P117" s="5002"/>
      <c r="Q117" s="5002"/>
    </row>
    <row r="118" spans="2:17" ht="24.95" customHeight="1">
      <c r="B118" s="5152"/>
      <c r="C118" s="5158"/>
      <c r="D118" s="5158"/>
      <c r="E118" s="5158"/>
      <c r="F118" s="5158"/>
      <c r="G118" s="5158"/>
      <c r="H118" s="5158"/>
      <c r="I118" s="5158"/>
      <c r="J118" s="5158"/>
      <c r="K118" s="5159"/>
      <c r="L118" s="5002"/>
      <c r="M118" s="5002"/>
      <c r="N118" s="5002"/>
      <c r="O118" s="5002"/>
      <c r="P118" s="5002"/>
      <c r="Q118" s="5002"/>
    </row>
    <row r="119" spans="2:17" ht="24.95" customHeight="1">
      <c r="B119" s="5152"/>
      <c r="C119" s="5158"/>
      <c r="D119" s="5158"/>
      <c r="E119" s="5158"/>
      <c r="F119" s="5158"/>
      <c r="G119" s="5158"/>
      <c r="H119" s="5158"/>
      <c r="I119" s="5158"/>
      <c r="J119" s="5158"/>
      <c r="K119" s="5159"/>
      <c r="L119" s="5002"/>
      <c r="M119" s="5002"/>
      <c r="N119" s="5002"/>
      <c r="O119" s="5002"/>
      <c r="P119" s="5002"/>
      <c r="Q119" s="5002"/>
    </row>
    <row r="120" spans="2:17" ht="24.95" customHeight="1">
      <c r="B120" s="5152"/>
      <c r="C120" s="5158"/>
      <c r="D120" s="5158"/>
      <c r="E120" s="5158"/>
      <c r="F120" s="5158"/>
      <c r="G120" s="5158"/>
      <c r="H120" s="5158"/>
      <c r="I120" s="5158"/>
      <c r="J120" s="5158"/>
      <c r="K120" s="5159"/>
      <c r="L120" s="5002"/>
      <c r="M120" s="5002"/>
      <c r="N120" s="5002"/>
      <c r="O120" s="5002"/>
      <c r="P120" s="5002"/>
      <c r="Q120" s="5002"/>
    </row>
    <row r="121" spans="2:17" ht="24.95" customHeight="1" thickBot="1">
      <c r="B121" s="5160"/>
      <c r="C121" s="5161"/>
      <c r="D121" s="5161"/>
      <c r="E121" s="5161"/>
      <c r="F121" s="5161"/>
      <c r="G121" s="5161"/>
      <c r="H121" s="5161"/>
      <c r="I121" s="5161"/>
      <c r="J121" s="5161"/>
      <c r="K121" s="5162"/>
      <c r="L121" s="5002"/>
      <c r="M121" s="5002"/>
      <c r="N121" s="5002"/>
      <c r="O121" s="5002"/>
      <c r="P121" s="5002"/>
      <c r="Q121" s="5002"/>
    </row>
    <row r="122" spans="2:17" ht="15" customHeight="1">
      <c r="B122" s="5002"/>
      <c r="C122" s="5002"/>
      <c r="D122" s="5002"/>
      <c r="E122" s="5002"/>
      <c r="F122" s="5002"/>
      <c r="G122" s="5002"/>
      <c r="H122" s="5002"/>
      <c r="I122" s="5002"/>
      <c r="J122" s="5002"/>
      <c r="K122" s="5002"/>
      <c r="L122" s="5002"/>
      <c r="M122" s="5002"/>
      <c r="N122" s="5002"/>
      <c r="O122" s="5002"/>
      <c r="P122" s="5002"/>
      <c r="Q122" s="5002"/>
    </row>
    <row r="123" spans="2:17" ht="15" customHeight="1">
      <c r="B123" s="5002"/>
      <c r="C123" s="5002"/>
      <c r="D123" s="5002"/>
      <c r="E123" s="63"/>
      <c r="F123" s="63"/>
      <c r="G123" s="5002"/>
      <c r="H123" s="5002"/>
      <c r="I123" s="5002"/>
      <c r="J123" s="5002"/>
      <c r="K123" s="5002"/>
      <c r="L123" s="5002"/>
      <c r="M123" s="5002"/>
      <c r="N123" s="5002"/>
      <c r="O123" s="5002"/>
      <c r="P123" s="5002"/>
      <c r="Q123" s="5002"/>
    </row>
    <row r="124" spans="2:17" ht="20.100000000000001" customHeight="1">
      <c r="B124" s="5002"/>
      <c r="C124" s="5108" t="s">
        <v>795</v>
      </c>
      <c r="D124" s="5163"/>
      <c r="E124" s="5163"/>
      <c r="F124" s="5163"/>
      <c r="G124" s="5002"/>
      <c r="H124" s="5002"/>
      <c r="I124" s="5002"/>
      <c r="J124" s="5002"/>
      <c r="K124" s="5002"/>
      <c r="L124" s="5002"/>
      <c r="M124" s="5002"/>
      <c r="N124" s="5002"/>
      <c r="O124" s="5002"/>
      <c r="P124" s="5002"/>
      <c r="Q124" s="5002"/>
    </row>
    <row r="125" spans="2:17" ht="20.100000000000001" customHeight="1">
      <c r="B125" s="65" t="s">
        <v>732</v>
      </c>
      <c r="C125" s="4491" t="s">
        <v>796</v>
      </c>
      <c r="D125" s="4491"/>
      <c r="E125" s="4491"/>
      <c r="F125" s="4491"/>
      <c r="G125" s="4491"/>
      <c r="H125" s="4491"/>
      <c r="I125" s="5002"/>
      <c r="J125" s="5002"/>
      <c r="K125" s="5002"/>
      <c r="L125" s="5002"/>
      <c r="M125" s="5002"/>
      <c r="N125" s="5002"/>
      <c r="O125" s="5002"/>
      <c r="P125" s="5002"/>
      <c r="Q125" s="5002"/>
    </row>
    <row r="126" spans="2:17" ht="20.100000000000001" customHeight="1">
      <c r="B126" s="5002"/>
      <c r="C126" s="5108"/>
      <c r="D126" s="5163"/>
      <c r="E126" s="5163"/>
      <c r="F126" s="5163"/>
      <c r="G126" s="5002"/>
      <c r="H126" s="5002"/>
      <c r="I126" s="5002"/>
      <c r="J126" s="5002"/>
      <c r="K126" s="5002"/>
      <c r="L126" s="5002"/>
      <c r="M126" s="5002"/>
      <c r="N126" s="5002"/>
      <c r="O126" s="5002"/>
      <c r="P126" s="5002"/>
      <c r="Q126" s="5002"/>
    </row>
    <row r="127" spans="2:17" ht="20.100000000000001" customHeight="1">
      <c r="B127" s="65" t="s">
        <v>732</v>
      </c>
      <c r="C127" s="4491" t="s">
        <v>797</v>
      </c>
      <c r="D127" s="5164"/>
      <c r="E127" s="5164"/>
      <c r="F127" s="5164"/>
      <c r="G127" s="5002"/>
      <c r="H127" s="5002"/>
      <c r="I127" s="5002"/>
      <c r="J127" s="5002"/>
      <c r="K127" s="5002"/>
      <c r="L127" s="5002"/>
      <c r="M127" s="5002"/>
      <c r="N127" s="5002"/>
      <c r="O127" s="5002"/>
      <c r="P127" s="5002"/>
      <c r="Q127" s="5002"/>
    </row>
    <row r="128" spans="2:17" ht="20.100000000000001" customHeight="1">
      <c r="B128" s="5002"/>
      <c r="C128" s="5163"/>
      <c r="D128" s="5163"/>
      <c r="E128" s="5163"/>
      <c r="F128" s="5163"/>
      <c r="G128" s="5002"/>
      <c r="H128" s="5002"/>
      <c r="I128" s="5002"/>
      <c r="J128" s="5002"/>
      <c r="K128" s="5002"/>
      <c r="L128" s="5002"/>
      <c r="M128" s="5002"/>
      <c r="N128" s="5002"/>
      <c r="O128" s="5002"/>
      <c r="P128" s="5002"/>
      <c r="Q128" s="5002"/>
    </row>
    <row r="129" spans="2:17" ht="20.100000000000001" customHeight="1">
      <c r="B129" s="65" t="s">
        <v>732</v>
      </c>
      <c r="C129" s="4496" t="s">
        <v>798</v>
      </c>
      <c r="D129" s="4496"/>
      <c r="E129" s="4496"/>
      <c r="F129" s="4496"/>
      <c r="G129" s="5002"/>
      <c r="H129" s="5002"/>
      <c r="I129" s="5002"/>
      <c r="J129" s="5002"/>
      <c r="K129" s="5002"/>
      <c r="L129" s="5002"/>
      <c r="M129" s="5002"/>
      <c r="N129" s="5002"/>
      <c r="O129" s="5002"/>
      <c r="P129" s="5002"/>
      <c r="Q129" s="5002"/>
    </row>
    <row r="130" spans="2:17" ht="20.100000000000001" customHeight="1">
      <c r="B130" s="5002"/>
      <c r="C130" s="5163"/>
      <c r="D130" s="5163"/>
      <c r="E130" s="5163"/>
      <c r="F130" s="5163"/>
      <c r="G130" s="5002"/>
      <c r="H130" s="5002"/>
      <c r="I130" s="5002"/>
      <c r="J130" s="5002"/>
      <c r="K130" s="5002"/>
      <c r="L130" s="5002"/>
      <c r="M130" s="5002"/>
      <c r="N130" s="5002"/>
      <c r="O130" s="5002"/>
      <c r="P130" s="5002"/>
      <c r="Q130" s="5002"/>
    </row>
    <row r="131" spans="2:17" ht="20.100000000000001" customHeight="1">
      <c r="B131" s="5002"/>
      <c r="C131" s="86" t="s">
        <v>799</v>
      </c>
      <c r="D131" s="5163"/>
      <c r="E131" s="5163"/>
      <c r="F131" s="5165"/>
      <c r="G131" s="5002"/>
      <c r="H131" s="5002"/>
      <c r="I131" s="5002"/>
      <c r="J131" s="5002"/>
      <c r="K131" s="5002"/>
      <c r="L131" s="5002"/>
      <c r="M131" s="5002"/>
      <c r="N131" s="5002"/>
      <c r="O131" s="5002"/>
      <c r="P131" s="5002"/>
      <c r="Q131" s="5002"/>
    </row>
    <row r="132" spans="2:17" ht="20.100000000000001" customHeight="1">
      <c r="B132" s="65" t="s">
        <v>732</v>
      </c>
      <c r="C132" s="5166" t="s">
        <v>800</v>
      </c>
      <c r="D132" s="5166"/>
      <c r="E132" s="5166"/>
      <c r="F132" s="5166"/>
      <c r="G132" s="5166"/>
      <c r="H132" s="5166"/>
      <c r="I132" s="5166"/>
      <c r="J132" s="5002"/>
      <c r="K132" s="5002"/>
      <c r="L132" s="5002"/>
      <c r="M132" s="5002"/>
      <c r="N132" s="5002"/>
      <c r="O132" s="5002"/>
      <c r="P132" s="5002"/>
      <c r="Q132" s="5002"/>
    </row>
    <row r="133" spans="2:17" ht="20.100000000000001" customHeight="1">
      <c r="B133" s="5167"/>
      <c r="C133" s="5167"/>
      <c r="D133" s="5167"/>
      <c r="E133" s="5167"/>
      <c r="F133" s="5167"/>
      <c r="G133" s="5167"/>
      <c r="H133" s="5167"/>
      <c r="I133" s="5167"/>
      <c r="J133" s="5002"/>
      <c r="K133" s="5002"/>
      <c r="L133" s="5002"/>
      <c r="M133" s="5002"/>
      <c r="N133" s="5002"/>
      <c r="O133" s="5002"/>
      <c r="P133" s="5002"/>
      <c r="Q133" s="5002"/>
    </row>
    <row r="134" spans="2:17" ht="20.100000000000001" customHeight="1">
      <c r="B134" s="65" t="s">
        <v>732</v>
      </c>
      <c r="C134" s="5166" t="s">
        <v>801</v>
      </c>
      <c r="D134" s="5166"/>
      <c r="E134" s="5163"/>
      <c r="F134" s="5163"/>
      <c r="G134" s="5002"/>
      <c r="H134" s="5002"/>
      <c r="I134" s="5002"/>
      <c r="J134" s="5002"/>
      <c r="K134" s="5002"/>
      <c r="L134" s="5002"/>
      <c r="M134" s="5002"/>
      <c r="N134" s="5002"/>
      <c r="O134" s="5002"/>
      <c r="P134" s="5002"/>
      <c r="Q134" s="5002"/>
    </row>
    <row r="135" spans="2:17" ht="20.100000000000001" customHeight="1">
      <c r="B135" s="5002"/>
      <c r="C135" s="5163"/>
      <c r="D135" s="5163"/>
      <c r="E135" s="5163"/>
      <c r="F135" s="5165"/>
      <c r="G135" s="5002"/>
      <c r="H135" s="5002"/>
      <c r="I135" s="5002"/>
      <c r="J135" s="5002"/>
      <c r="K135" s="5002"/>
      <c r="L135" s="5002"/>
      <c r="M135" s="5002"/>
      <c r="N135" s="5002"/>
      <c r="O135" s="5002"/>
      <c r="P135" s="5002"/>
      <c r="Q135" s="5002"/>
    </row>
    <row r="136" spans="2:17" ht="20.100000000000001" customHeight="1">
      <c r="B136" s="5002"/>
      <c r="C136" s="86" t="s">
        <v>802</v>
      </c>
      <c r="D136" s="5163"/>
      <c r="E136" s="5163"/>
      <c r="F136" s="5163"/>
      <c r="G136" s="5002"/>
      <c r="H136" s="5002"/>
      <c r="I136" s="5002"/>
      <c r="J136" s="5002"/>
      <c r="K136" s="5002"/>
      <c r="L136" s="5002"/>
      <c r="M136" s="5002"/>
      <c r="N136" s="5002"/>
      <c r="O136" s="5002"/>
      <c r="P136" s="5002"/>
      <c r="Q136" s="5002"/>
    </row>
    <row r="137" spans="2:17" ht="20.100000000000001" customHeight="1">
      <c r="B137" s="65" t="s">
        <v>732</v>
      </c>
      <c r="C137" s="5166" t="s">
        <v>803</v>
      </c>
      <c r="D137" s="5166"/>
      <c r="E137" s="5166"/>
      <c r="F137" s="5166"/>
      <c r="G137" s="5002"/>
      <c r="H137" s="5002"/>
      <c r="I137" s="5002"/>
      <c r="J137" s="5002"/>
      <c r="K137" s="5002"/>
      <c r="L137" s="5002"/>
      <c r="M137" s="5002"/>
      <c r="N137" s="5002"/>
      <c r="O137" s="5002"/>
      <c r="P137" s="5002"/>
      <c r="Q137" s="5002"/>
    </row>
    <row r="138" spans="2:17" ht="20.100000000000001" customHeight="1">
      <c r="B138" s="5002"/>
      <c r="C138" s="5163"/>
      <c r="D138" s="5163"/>
      <c r="E138" s="5163"/>
      <c r="F138" s="5163"/>
      <c r="G138" s="5002"/>
      <c r="H138" s="5002"/>
      <c r="I138" s="5002"/>
      <c r="J138" s="5002"/>
      <c r="K138" s="5002"/>
      <c r="L138" s="5002"/>
      <c r="M138" s="5002"/>
      <c r="N138" s="5002"/>
      <c r="O138" s="5002"/>
      <c r="P138" s="5002"/>
      <c r="Q138" s="5002"/>
    </row>
    <row r="139" spans="2:17" ht="20.100000000000001" customHeight="1">
      <c r="B139" s="5002"/>
      <c r="C139" s="86" t="s">
        <v>804</v>
      </c>
      <c r="D139" s="5163"/>
      <c r="E139" s="5163"/>
      <c r="F139" s="5163"/>
      <c r="G139" s="5002"/>
      <c r="H139" s="5002"/>
      <c r="I139" s="5002"/>
      <c r="J139" s="5002"/>
      <c r="K139" s="5002"/>
      <c r="L139" s="5002"/>
      <c r="M139" s="5002"/>
      <c r="N139" s="5002"/>
      <c r="O139" s="5002"/>
      <c r="P139" s="5002"/>
      <c r="Q139" s="5002"/>
    </row>
    <row r="140" spans="2:17" ht="20.100000000000001" customHeight="1">
      <c r="B140" s="65" t="s">
        <v>732</v>
      </c>
      <c r="C140" s="5166" t="s">
        <v>805</v>
      </c>
      <c r="D140" s="5166"/>
      <c r="E140" s="5166"/>
      <c r="F140" s="5166"/>
      <c r="G140" s="5002"/>
      <c r="H140" s="5002"/>
      <c r="I140" s="5002"/>
      <c r="J140" s="5002"/>
      <c r="K140" s="5002"/>
      <c r="L140" s="5002"/>
      <c r="M140" s="5002"/>
      <c r="N140" s="5002"/>
      <c r="O140" s="5002"/>
      <c r="P140" s="5002"/>
      <c r="Q140" s="5002"/>
    </row>
    <row r="141" spans="2:17" ht="20.100000000000001" customHeight="1">
      <c r="B141" s="5002"/>
      <c r="C141" s="5163"/>
      <c r="D141" s="5163"/>
      <c r="E141" s="5163"/>
      <c r="F141" s="5163"/>
      <c r="G141" s="5002"/>
      <c r="H141" s="5002"/>
      <c r="I141" s="5002"/>
      <c r="J141" s="5002"/>
      <c r="K141" s="5002"/>
      <c r="L141" s="5002"/>
      <c r="M141" s="5002"/>
      <c r="N141" s="5002"/>
      <c r="O141" s="5002"/>
      <c r="P141" s="5002"/>
      <c r="Q141" s="5002"/>
    </row>
    <row r="142" spans="2:17" ht="20.100000000000001" customHeight="1">
      <c r="B142" s="5002"/>
      <c r="C142" s="86" t="s">
        <v>806</v>
      </c>
      <c r="D142" s="5163"/>
      <c r="E142" s="5163"/>
      <c r="F142" s="5163"/>
      <c r="G142" s="5002"/>
      <c r="H142" s="5002"/>
      <c r="I142" s="5002"/>
      <c r="J142" s="5002"/>
      <c r="K142" s="5002"/>
      <c r="L142" s="5002"/>
      <c r="M142" s="5002"/>
      <c r="N142" s="5002"/>
      <c r="O142" s="5002"/>
      <c r="P142" s="5002"/>
      <c r="Q142" s="5002"/>
    </row>
    <row r="143" spans="2:17" ht="20.100000000000001" customHeight="1">
      <c r="B143" s="65" t="s">
        <v>732</v>
      </c>
      <c r="C143" s="5166" t="s">
        <v>807</v>
      </c>
      <c r="D143" s="5166"/>
      <c r="E143" s="5163"/>
      <c r="F143" s="5163"/>
      <c r="G143" s="5002"/>
      <c r="H143" s="5002"/>
      <c r="I143" s="5002"/>
      <c r="J143" s="5002"/>
      <c r="K143" s="5002"/>
      <c r="L143" s="5002"/>
      <c r="M143" s="5002"/>
      <c r="N143" s="5002"/>
      <c r="O143" s="5002"/>
      <c r="P143" s="5002"/>
      <c r="Q143" s="5002"/>
    </row>
    <row r="144" spans="2:17" ht="20.100000000000001" customHeight="1">
      <c r="B144" s="5167"/>
      <c r="C144" s="5167"/>
      <c r="D144" s="5167"/>
      <c r="E144" s="5163"/>
      <c r="F144" s="5163"/>
      <c r="G144" s="5002"/>
      <c r="H144" s="5002"/>
      <c r="I144" s="5002"/>
      <c r="J144" s="5002"/>
      <c r="K144" s="5002"/>
      <c r="L144" s="5002"/>
      <c r="M144" s="5002"/>
      <c r="N144" s="5002"/>
      <c r="O144" s="5002"/>
      <c r="P144" s="5002"/>
      <c r="Q144" s="5002"/>
    </row>
    <row r="145" spans="1:17" ht="20.100000000000001" customHeight="1">
      <c r="B145" s="87" t="s">
        <v>732</v>
      </c>
      <c r="C145" s="4491" t="s">
        <v>808</v>
      </c>
      <c r="D145" s="5164"/>
      <c r="E145" s="5164"/>
      <c r="F145" s="5164"/>
      <c r="G145" s="5002"/>
      <c r="H145" s="5002"/>
      <c r="I145" s="5002"/>
      <c r="J145" s="5002"/>
      <c r="K145" s="5002"/>
      <c r="L145" s="5002"/>
      <c r="M145" s="5002"/>
      <c r="N145" s="5002"/>
      <c r="O145" s="5002"/>
      <c r="P145" s="5002"/>
      <c r="Q145" s="5002"/>
    </row>
    <row r="146" spans="1:17" ht="20.100000000000001" customHeight="1">
      <c r="B146" s="5002"/>
      <c r="C146" s="5163"/>
      <c r="D146" s="5168"/>
      <c r="E146" s="5163"/>
      <c r="F146" s="3267"/>
      <c r="G146" s="5002"/>
      <c r="H146" s="5002"/>
      <c r="I146" s="5002"/>
      <c r="J146" s="5002"/>
      <c r="K146" s="5002"/>
      <c r="L146" s="5002"/>
      <c r="M146" s="5002"/>
      <c r="N146" s="5002"/>
      <c r="O146" s="5002"/>
      <c r="P146" s="5002"/>
      <c r="Q146" s="5002"/>
    </row>
    <row r="147" spans="1:17" ht="20.100000000000001" customHeight="1">
      <c r="B147" s="5002"/>
      <c r="C147" s="86" t="s">
        <v>809</v>
      </c>
      <c r="D147" s="5168"/>
      <c r="E147" s="5163"/>
      <c r="F147" s="3267"/>
      <c r="G147" s="5002"/>
      <c r="H147" s="5002"/>
      <c r="I147" s="5002"/>
      <c r="J147" s="5002"/>
      <c r="K147" s="5002"/>
      <c r="L147" s="5002"/>
      <c r="M147" s="5002"/>
      <c r="N147" s="5002"/>
      <c r="O147" s="5002"/>
      <c r="P147" s="5002"/>
      <c r="Q147" s="5002"/>
    </row>
    <row r="148" spans="1:17" ht="20.100000000000001" customHeight="1">
      <c r="B148" s="65" t="s">
        <v>732</v>
      </c>
      <c r="C148" s="5166" t="s">
        <v>810</v>
      </c>
      <c r="D148" s="5166"/>
      <c r="E148" s="5166"/>
      <c r="F148" s="5166"/>
      <c r="G148" s="5166"/>
      <c r="H148" s="5002"/>
      <c r="I148" s="5002"/>
      <c r="J148" s="5002"/>
      <c r="K148" s="5002"/>
      <c r="L148" s="5002"/>
      <c r="M148" s="5002"/>
      <c r="N148" s="5002"/>
      <c r="O148" s="5002"/>
      <c r="P148" s="5002"/>
      <c r="Q148" s="5002"/>
    </row>
    <row r="149" spans="1:17" ht="20.100000000000001" customHeight="1">
      <c r="B149" s="5002"/>
      <c r="C149" s="5002"/>
      <c r="D149" s="5002"/>
      <c r="E149" s="63"/>
      <c r="F149" s="63"/>
      <c r="G149" s="5002"/>
      <c r="H149" s="5002"/>
      <c r="I149" s="5002"/>
      <c r="J149" s="5002"/>
      <c r="K149" s="5002"/>
      <c r="L149" s="5002"/>
      <c r="M149" s="5002"/>
      <c r="N149" s="5002"/>
      <c r="O149" s="5002"/>
      <c r="P149" s="5002"/>
      <c r="Q149" s="5002"/>
    </row>
    <row r="150" spans="1:17">
      <c r="A150" s="5063"/>
      <c r="B150" s="5064"/>
      <c r="C150" s="5065"/>
      <c r="D150" s="5065"/>
      <c r="E150" s="5065"/>
      <c r="F150" s="5065"/>
      <c r="G150" s="5065"/>
      <c r="H150" s="5065"/>
      <c r="I150" s="5065"/>
      <c r="J150" s="5064"/>
      <c r="K150" s="5064"/>
      <c r="L150" s="5064"/>
      <c r="M150" s="5063"/>
      <c r="N150" s="5063"/>
      <c r="O150" s="5063"/>
      <c r="P150" s="5063"/>
      <c r="Q150" s="5063"/>
    </row>
    <row r="151" spans="1:17" ht="18.75">
      <c r="A151" s="5002"/>
      <c r="B151" s="5169" t="s">
        <v>811</v>
      </c>
      <c r="C151" s="5002"/>
      <c r="D151" s="5002"/>
      <c r="E151" s="5002"/>
      <c r="F151" s="5170"/>
      <c r="G151" s="5170"/>
      <c r="H151" s="4992"/>
      <c r="I151" s="5171"/>
      <c r="J151" s="5172"/>
      <c r="K151" s="5172"/>
      <c r="L151" s="5173"/>
      <c r="M151" s="5171"/>
      <c r="N151" s="5171"/>
      <c r="O151" s="5002"/>
      <c r="P151" s="5002"/>
      <c r="Q151" s="4992"/>
    </row>
    <row r="152" spans="1:17" ht="18.75">
      <c r="A152" s="5002"/>
      <c r="B152" s="5169"/>
      <c r="C152" s="4494" t="s">
        <v>812</v>
      </c>
      <c r="D152" s="4494"/>
      <c r="E152" s="4494"/>
      <c r="F152" s="4494"/>
      <c r="G152" s="4494"/>
      <c r="H152" s="4494"/>
      <c r="I152" s="5171"/>
      <c r="J152" s="5171"/>
      <c r="K152" s="5173"/>
      <c r="L152" s="5173"/>
      <c r="M152" s="5171"/>
      <c r="N152" s="5171"/>
      <c r="O152" s="5002"/>
      <c r="P152" s="5002"/>
      <c r="Q152" s="4992"/>
    </row>
    <row r="153" spans="1:17" ht="18.75">
      <c r="A153" s="5002"/>
      <c r="B153" s="5169"/>
      <c r="C153" s="89"/>
      <c r="D153" s="5170"/>
      <c r="E153" s="5170"/>
      <c r="F153" s="5170"/>
      <c r="G153" s="5170"/>
      <c r="H153" s="4992"/>
      <c r="I153" s="5171"/>
      <c r="J153" s="5171"/>
      <c r="K153" s="5173"/>
      <c r="L153" s="5173"/>
      <c r="M153" s="5171"/>
      <c r="N153" s="5171"/>
      <c r="O153" s="5002"/>
      <c r="P153" s="5002"/>
      <c r="Q153" s="4992"/>
    </row>
    <row r="154" spans="1:17" ht="18.75">
      <c r="A154" s="5002"/>
      <c r="B154" s="5174"/>
      <c r="C154" s="4495" t="s">
        <v>813</v>
      </c>
      <c r="D154" s="4495"/>
      <c r="E154" s="4495"/>
      <c r="F154" s="4495"/>
      <c r="G154" s="4992"/>
      <c r="H154" s="4992"/>
      <c r="I154" s="4992"/>
      <c r="J154" s="4992"/>
      <c r="K154" s="4992"/>
      <c r="L154" s="5173"/>
      <c r="M154" s="5171"/>
      <c r="N154" s="5171"/>
      <c r="O154" s="5002"/>
      <c r="P154" s="5002"/>
      <c r="Q154" s="4992"/>
    </row>
    <row r="155" spans="1:17" ht="18.75">
      <c r="A155" s="5002"/>
      <c r="B155" s="5174"/>
      <c r="C155" s="3283"/>
      <c r="D155" s="5170"/>
      <c r="E155" s="5170"/>
      <c r="F155" s="5170"/>
      <c r="G155" s="4992"/>
      <c r="H155" s="4992"/>
      <c r="I155" s="4992"/>
      <c r="J155" s="4992"/>
      <c r="K155" s="5173"/>
      <c r="L155" s="5173"/>
      <c r="M155" s="5171"/>
      <c r="N155" s="5171"/>
      <c r="O155" s="5002"/>
      <c r="P155" s="5002"/>
      <c r="Q155" s="4992"/>
    </row>
    <row r="156" spans="1:17" ht="18.75">
      <c r="A156" s="5002"/>
      <c r="B156" s="5169"/>
      <c r="C156" s="4494" t="s">
        <v>814</v>
      </c>
      <c r="D156" s="4494"/>
      <c r="E156" s="4494"/>
      <c r="F156" s="4494"/>
      <c r="G156" s="4992"/>
      <c r="H156" s="4992"/>
      <c r="I156" s="4992"/>
      <c r="J156" s="4992"/>
      <c r="K156" s="4992"/>
      <c r="L156" s="5173"/>
      <c r="M156" s="5171"/>
      <c r="N156" s="5171"/>
      <c r="O156" s="5002"/>
      <c r="P156" s="5002"/>
      <c r="Q156" s="4992"/>
    </row>
    <row r="157" spans="1:17" ht="18.75">
      <c r="A157" s="5002"/>
      <c r="B157" s="5169"/>
      <c r="C157" s="5169"/>
      <c r="D157" s="5169"/>
      <c r="E157" s="5169"/>
      <c r="F157" s="5169"/>
      <c r="G157" s="4992"/>
      <c r="H157" s="4992"/>
      <c r="I157" s="4992"/>
      <c r="J157" s="4992"/>
      <c r="K157" s="4992"/>
      <c r="L157" s="5173"/>
      <c r="M157" s="5171"/>
      <c r="N157" s="5171"/>
      <c r="O157" s="5002"/>
      <c r="P157" s="5002"/>
      <c r="Q157" s="4992"/>
    </row>
    <row r="158" spans="1:17" ht="18.75">
      <c r="A158" s="5002"/>
      <c r="B158" s="5169"/>
      <c r="C158" s="4494" t="s">
        <v>815</v>
      </c>
      <c r="D158" s="4494"/>
      <c r="E158" s="4494"/>
      <c r="F158" s="4494"/>
      <c r="G158" s="4992"/>
      <c r="H158" s="4992"/>
      <c r="I158" s="4992"/>
      <c r="J158" s="4992"/>
      <c r="K158" s="4992"/>
      <c r="L158" s="5173"/>
      <c r="M158" s="5171"/>
      <c r="N158" s="5171"/>
      <c r="O158" s="5002"/>
      <c r="P158" s="5002"/>
      <c r="Q158" s="4992"/>
    </row>
    <row r="159" spans="1:17" ht="18.75">
      <c r="A159" s="5002"/>
      <c r="B159" s="5169"/>
      <c r="C159" s="89"/>
      <c r="D159" s="5170"/>
      <c r="E159" s="5170"/>
      <c r="F159" s="5170"/>
      <c r="G159" s="4992"/>
      <c r="H159" s="4992"/>
      <c r="I159" s="4992"/>
      <c r="J159" s="4992"/>
      <c r="K159" s="4992"/>
      <c r="L159" s="5173"/>
      <c r="M159" s="5171"/>
      <c r="N159" s="5171"/>
      <c r="O159" s="5002"/>
      <c r="P159" s="5002"/>
      <c r="Q159" s="4992"/>
    </row>
    <row r="160" spans="1:17" ht="16.5" customHeight="1">
      <c r="A160" s="5002"/>
      <c r="B160" s="5175" t="s">
        <v>816</v>
      </c>
      <c r="C160" s="5176"/>
      <c r="D160" s="5177"/>
      <c r="E160" s="5176"/>
      <c r="F160" s="5176"/>
      <c r="G160" s="5176"/>
      <c r="H160" s="5176"/>
      <c r="I160" s="5176"/>
      <c r="J160" s="5176"/>
      <c r="K160" s="5176"/>
      <c r="L160" s="5002"/>
      <c r="M160" s="5002"/>
      <c r="N160" s="5002"/>
      <c r="O160" s="5002"/>
      <c r="P160" s="5002"/>
      <c r="Q160" s="5002"/>
    </row>
    <row r="161" spans="1:17" ht="16.5" customHeight="1">
      <c r="A161" s="5002"/>
      <c r="B161" s="5178"/>
      <c r="C161" s="5176"/>
      <c r="D161" s="5179" t="s">
        <v>817</v>
      </c>
      <c r="E161" s="5180"/>
      <c r="F161" s="5180"/>
      <c r="G161" s="5176"/>
      <c r="H161" s="5176"/>
      <c r="I161" s="5176"/>
      <c r="J161" s="5176"/>
      <c r="K161" s="5176"/>
      <c r="L161" s="5002"/>
      <c r="M161" s="5002"/>
      <c r="N161" s="5002"/>
      <c r="O161" s="5002"/>
      <c r="P161" s="5002"/>
      <c r="Q161" s="5002"/>
    </row>
    <row r="162" spans="1:17" ht="20.100000000000001" customHeight="1">
      <c r="A162" s="5002"/>
      <c r="B162" s="5181"/>
      <c r="C162" s="5176"/>
      <c r="D162" s="5180" t="s">
        <v>818</v>
      </c>
      <c r="E162" s="5176"/>
      <c r="F162" s="5176"/>
      <c r="G162" s="5176"/>
      <c r="H162" s="5176"/>
      <c r="I162" s="5176"/>
      <c r="J162" s="5176"/>
      <c r="K162" s="5176"/>
      <c r="L162" s="5002"/>
      <c r="M162" s="5002"/>
      <c r="N162" s="5002"/>
      <c r="O162" s="5002"/>
      <c r="P162" s="5002"/>
      <c r="Q162" s="5002"/>
    </row>
    <row r="163" spans="1:17" ht="20.100000000000001" customHeight="1">
      <c r="A163" s="5002"/>
      <c r="B163" s="5181"/>
      <c r="C163" s="5176"/>
      <c r="D163" s="5180" t="s">
        <v>819</v>
      </c>
      <c r="E163" s="5176"/>
      <c r="F163" s="5176"/>
      <c r="G163" s="5176"/>
      <c r="H163" s="5176"/>
      <c r="I163" s="5179" t="s">
        <v>820</v>
      </c>
      <c r="J163" s="5176"/>
      <c r="K163" s="5176"/>
      <c r="L163" s="5002"/>
      <c r="M163" s="5002"/>
      <c r="N163" s="5002"/>
      <c r="O163" s="5002"/>
      <c r="P163" s="5002"/>
      <c r="Q163" s="5002"/>
    </row>
    <row r="164" spans="1:17" ht="20.100000000000001" customHeight="1" thickBot="1">
      <c r="A164" s="5002"/>
      <c r="B164" s="5182" t="s">
        <v>821</v>
      </c>
      <c r="C164" s="5183"/>
      <c r="D164" s="5184"/>
      <c r="E164" s="5183"/>
      <c r="F164" s="5185"/>
      <c r="G164" s="5183"/>
      <c r="H164" s="5183"/>
      <c r="I164" s="5183"/>
      <c r="J164" s="5183"/>
      <c r="K164" s="5183"/>
      <c r="L164" s="5002"/>
      <c r="M164" s="5002"/>
      <c r="N164" s="5002"/>
      <c r="O164" s="5002"/>
      <c r="P164" s="5002"/>
      <c r="Q164" s="5002"/>
    </row>
    <row r="165" spans="1:17" ht="20.100000000000001" customHeight="1" thickTop="1" thickBot="1">
      <c r="A165" s="5002"/>
      <c r="B165" s="5182"/>
      <c r="C165" s="5186"/>
      <c r="D165" s="5187">
        <f>LEN(F165)</f>
        <v>58</v>
      </c>
      <c r="E165" s="5188" t="s">
        <v>822</v>
      </c>
      <c r="F165" s="5189" t="s">
        <v>816</v>
      </c>
      <c r="G165" s="5183"/>
      <c r="H165" s="5183"/>
      <c r="I165" s="5183"/>
      <c r="J165" s="5183"/>
      <c r="K165" s="5183"/>
      <c r="L165" s="5002"/>
      <c r="M165" s="5002"/>
      <c r="N165" s="5002"/>
      <c r="O165" s="5002"/>
      <c r="P165" s="5002"/>
      <c r="Q165" s="5002"/>
    </row>
    <row r="166" spans="1:17" ht="20.100000000000001" customHeight="1" thickTop="1">
      <c r="A166" s="5002"/>
      <c r="B166" s="5182"/>
      <c r="C166" s="5183"/>
      <c r="D166" s="5183"/>
      <c r="E166" s="5183"/>
      <c r="F166" s="5190"/>
      <c r="G166" s="5183"/>
      <c r="H166" s="5183"/>
      <c r="I166" s="5183"/>
      <c r="J166" s="5183"/>
      <c r="K166" s="5183"/>
      <c r="L166" s="5002"/>
      <c r="M166" s="5002"/>
      <c r="N166" s="5002"/>
      <c r="O166" s="5002"/>
      <c r="P166" s="5002"/>
      <c r="Q166" s="5002"/>
    </row>
    <row r="167" spans="1:17" ht="20.100000000000001" customHeight="1">
      <c r="A167" s="5002"/>
      <c r="B167" s="5182" t="s">
        <v>823</v>
      </c>
      <c r="C167" s="5191"/>
      <c r="D167" s="5191"/>
      <c r="E167" s="5191"/>
      <c r="F167" s="5191"/>
      <c r="G167" s="5191"/>
      <c r="H167" s="5191"/>
      <c r="I167" s="5191"/>
      <c r="J167" s="5191"/>
      <c r="K167" s="5191"/>
      <c r="L167" s="5002"/>
      <c r="M167" s="5002"/>
      <c r="N167" s="5002"/>
      <c r="O167" s="5002"/>
      <c r="P167" s="5002"/>
      <c r="Q167" s="5002"/>
    </row>
    <row r="168" spans="1:17" ht="20.100000000000001" customHeight="1">
      <c r="A168" s="5002"/>
      <c r="B168" s="5182"/>
      <c r="C168" s="5186"/>
      <c r="D168" s="5187">
        <f>LEN(F168)</f>
        <v>50</v>
      </c>
      <c r="E168" s="5188" t="s">
        <v>822</v>
      </c>
      <c r="F168" s="5192" t="str">
        <f>SUBSTITUTE(F165," ","")</f>
        <v>Utilitairepoursupprimerlesespacevidesdansunephrase</v>
      </c>
      <c r="G168" s="5183"/>
      <c r="H168" s="5183"/>
      <c r="I168" s="5183"/>
      <c r="J168" s="5183"/>
      <c r="K168" s="5183"/>
      <c r="L168" s="5002"/>
      <c r="M168" s="5002"/>
      <c r="N168" s="5002"/>
      <c r="O168" s="5002"/>
      <c r="P168" s="5002"/>
      <c r="Q168" s="5002"/>
    </row>
    <row r="169" spans="1:17" ht="18">
      <c r="A169" s="5002"/>
      <c r="B169" s="5182"/>
      <c r="C169" s="5182" t="s">
        <v>824</v>
      </c>
      <c r="D169" s="5191"/>
      <c r="E169" s="5191"/>
      <c r="F169" s="5191"/>
      <c r="G169" s="5191"/>
      <c r="H169" s="5191"/>
      <c r="I169" s="5191"/>
      <c r="J169" s="5191"/>
      <c r="K169" s="5191"/>
      <c r="L169" s="5002"/>
      <c r="M169" s="5002"/>
      <c r="N169" s="5002"/>
      <c r="O169" s="5002"/>
      <c r="P169" s="5002"/>
      <c r="Q169" s="5002"/>
    </row>
    <row r="170" spans="1:17" ht="18">
      <c r="A170" s="5002"/>
      <c r="B170" s="5193"/>
      <c r="C170" s="5182" t="s">
        <v>825</v>
      </c>
      <c r="D170" s="5182"/>
      <c r="E170" s="5193"/>
      <c r="F170" s="5193"/>
      <c r="G170" s="5193"/>
      <c r="H170" s="5193"/>
      <c r="I170" s="5193"/>
      <c r="J170" s="5193"/>
      <c r="K170" s="5193"/>
      <c r="L170" s="5002"/>
      <c r="M170" s="5002"/>
      <c r="N170" s="5002"/>
      <c r="O170" s="5002"/>
      <c r="P170" s="5002"/>
      <c r="Q170" s="5002"/>
    </row>
    <row r="171" spans="1:17" ht="18">
      <c r="A171" s="5002"/>
      <c r="B171" s="5193"/>
      <c r="C171" s="5182" t="s">
        <v>826</v>
      </c>
      <c r="D171" s="5182"/>
      <c r="E171" s="5193"/>
      <c r="F171" s="5193"/>
      <c r="G171" s="5193"/>
      <c r="H171" s="5193"/>
      <c r="I171" s="5193"/>
      <c r="J171" s="5193"/>
      <c r="K171" s="5193"/>
      <c r="L171" s="5002"/>
      <c r="M171" s="5002"/>
      <c r="N171" s="5002"/>
      <c r="O171" s="5002"/>
      <c r="P171" s="5002"/>
      <c r="Q171" s="5002"/>
    </row>
    <row r="172" spans="1:17" ht="18">
      <c r="A172" s="5002"/>
      <c r="B172" s="5193"/>
      <c r="C172" s="5182"/>
      <c r="D172" s="5182"/>
      <c r="E172" s="5193"/>
      <c r="F172" s="5193"/>
      <c r="G172" s="5193"/>
      <c r="H172" s="5193"/>
      <c r="I172" s="5193"/>
      <c r="J172" s="5193"/>
      <c r="K172" s="5193"/>
      <c r="L172" s="5002"/>
      <c r="M172" s="5002"/>
      <c r="N172" s="5002"/>
      <c r="O172" s="5002"/>
      <c r="P172" s="5002"/>
      <c r="Q172" s="5002"/>
    </row>
    <row r="173" spans="1:17" ht="15.75">
      <c r="A173" s="5002"/>
      <c r="B173" s="5193"/>
      <c r="C173" s="5194" t="s">
        <v>827</v>
      </c>
      <c r="D173" s="5195" t="s">
        <v>828</v>
      </c>
      <c r="E173" s="5193"/>
      <c r="F173" s="5193"/>
      <c r="G173" s="5193"/>
      <c r="H173" s="5193"/>
      <c r="I173" s="5193"/>
      <c r="J173" s="5193"/>
      <c r="K173" s="5193"/>
      <c r="L173" s="5002"/>
      <c r="M173" s="5002"/>
      <c r="N173" s="5002"/>
      <c r="O173" s="5002"/>
      <c r="P173" s="5002"/>
      <c r="Q173" s="5002"/>
    </row>
    <row r="174" spans="1:17" ht="15" customHeight="1">
      <c r="B174" s="5193"/>
      <c r="C174" s="5193"/>
      <c r="D174" s="5193"/>
      <c r="E174" s="5193"/>
      <c r="F174" s="5193"/>
      <c r="G174" s="5193"/>
      <c r="H174" s="5193"/>
      <c r="I174" s="5193"/>
      <c r="J174" s="5193"/>
      <c r="K174" s="5193"/>
      <c r="L174" s="5002"/>
      <c r="M174" s="5002"/>
      <c r="N174" s="5002"/>
      <c r="O174" s="5002"/>
      <c r="P174" s="5002"/>
      <c r="Q174" s="5002"/>
    </row>
    <row r="175" spans="1:17">
      <c r="A175" s="5002"/>
      <c r="B175" s="4992"/>
      <c r="C175" s="4992"/>
      <c r="D175" s="4992"/>
      <c r="E175" s="4992"/>
      <c r="F175" s="4992"/>
      <c r="G175" s="4992"/>
      <c r="H175" s="4992"/>
      <c r="I175" s="4992"/>
      <c r="J175" s="4992"/>
      <c r="K175" s="4992"/>
      <c r="L175" s="4992"/>
      <c r="M175" s="5002"/>
      <c r="N175" s="5002"/>
      <c r="O175" s="5002"/>
      <c r="P175" s="5002"/>
      <c r="Q175" s="5002"/>
    </row>
    <row r="176" spans="1:17" ht="18.75">
      <c r="A176" s="5002"/>
      <c r="B176" s="4992"/>
      <c r="C176" s="5196"/>
      <c r="D176" s="89" t="s">
        <v>814</v>
      </c>
      <c r="E176" s="5169"/>
      <c r="F176" s="5169"/>
      <c r="G176" s="5002"/>
      <c r="H176" s="5002"/>
      <c r="I176" s="5002"/>
      <c r="J176" s="5002"/>
      <c r="K176" s="5002"/>
      <c r="L176" s="5002"/>
      <c r="M176" s="5002"/>
      <c r="N176" s="5002"/>
      <c r="O176" s="5002"/>
      <c r="P176" s="5002"/>
      <c r="Q176" s="5002"/>
    </row>
    <row r="177" spans="1:17">
      <c r="A177" s="5002"/>
      <c r="B177" s="4992"/>
      <c r="C177" s="5002"/>
      <c r="D177" s="5197"/>
      <c r="E177" s="5002"/>
      <c r="F177" s="5002"/>
      <c r="G177" s="5002"/>
      <c r="H177" s="5002"/>
      <c r="I177" s="5002"/>
      <c r="J177" s="5002"/>
      <c r="K177" s="5002"/>
      <c r="L177" s="5002"/>
      <c r="M177" s="5002"/>
      <c r="N177" s="5002"/>
      <c r="O177" s="5002"/>
      <c r="P177" s="5002"/>
      <c r="Q177" s="5002"/>
    </row>
    <row r="178" spans="1:17">
      <c r="A178" s="5002"/>
      <c r="B178" s="4992"/>
      <c r="C178" s="5198" t="s">
        <v>829</v>
      </c>
      <c r="D178" s="5002"/>
      <c r="E178" s="5002"/>
      <c r="F178" s="5002"/>
      <c r="G178" s="5002"/>
      <c r="H178" s="5002"/>
      <c r="I178" s="5199" t="s">
        <v>830</v>
      </c>
      <c r="J178" s="5199" t="s">
        <v>831</v>
      </c>
      <c r="K178" s="5002"/>
      <c r="L178" s="5002"/>
      <c r="M178" s="5002"/>
      <c r="N178" s="5002"/>
      <c r="O178" s="5002"/>
      <c r="P178" s="5002"/>
      <c r="Q178" s="5002"/>
    </row>
    <row r="179" spans="1:17">
      <c r="A179" s="5002"/>
      <c r="B179" s="4992"/>
      <c r="C179" s="5200" t="s">
        <v>832</v>
      </c>
      <c r="D179" s="5002"/>
      <c r="E179" s="5002"/>
      <c r="F179" s="5002"/>
      <c r="G179" s="5002"/>
      <c r="H179" s="5002"/>
      <c r="I179" s="5201">
        <v>41422</v>
      </c>
      <c r="J179" s="5202">
        <v>4416</v>
      </c>
      <c r="K179" s="5002"/>
      <c r="L179" s="5002"/>
      <c r="M179" s="5002"/>
      <c r="N179" s="5002"/>
      <c r="O179" s="5002"/>
      <c r="P179" s="5002"/>
      <c r="Q179" s="5002"/>
    </row>
    <row r="180" spans="1:17">
      <c r="A180" s="5002"/>
      <c r="B180" s="4992"/>
      <c r="C180" s="5200" t="s">
        <v>833</v>
      </c>
      <c r="D180" s="5002"/>
      <c r="E180" s="5002"/>
      <c r="F180" s="5002"/>
      <c r="G180" s="5002"/>
      <c r="H180" s="5002"/>
      <c r="I180" s="5201">
        <v>41092</v>
      </c>
      <c r="J180" s="5202">
        <v>14900</v>
      </c>
      <c r="K180" s="5002"/>
      <c r="L180" s="5002"/>
      <c r="M180" s="5002"/>
      <c r="N180" s="5002"/>
      <c r="O180" s="5002"/>
      <c r="P180" s="5002"/>
      <c r="Q180" s="5002"/>
    </row>
    <row r="181" spans="1:17">
      <c r="A181" s="5002"/>
      <c r="B181" s="4992"/>
      <c r="C181" s="5200" t="s">
        <v>834</v>
      </c>
      <c r="D181" s="5002"/>
      <c r="E181" s="5002"/>
      <c r="F181" s="5002"/>
      <c r="G181" s="5002"/>
      <c r="H181" s="5002"/>
      <c r="I181" s="5201">
        <v>41062</v>
      </c>
      <c r="J181" s="5202">
        <v>36257</v>
      </c>
      <c r="K181" s="5002"/>
      <c r="L181" s="5002"/>
      <c r="M181" s="5002"/>
      <c r="N181" s="5002"/>
      <c r="O181" s="5002"/>
      <c r="P181" s="5002"/>
      <c r="Q181" s="5002"/>
    </row>
    <row r="182" spans="1:17">
      <c r="A182" s="5002"/>
      <c r="B182" s="4992"/>
      <c r="C182" s="5200" t="s">
        <v>835</v>
      </c>
      <c r="D182" s="5002"/>
      <c r="E182" s="5002"/>
      <c r="F182" s="5002"/>
      <c r="G182" s="5002"/>
      <c r="H182" s="5002"/>
      <c r="I182" s="5201">
        <v>41062</v>
      </c>
      <c r="J182" s="5202">
        <v>14390</v>
      </c>
      <c r="K182" s="5002"/>
      <c r="L182" s="5002"/>
      <c r="M182" s="5002"/>
      <c r="N182" s="5002"/>
      <c r="O182" s="5002"/>
      <c r="P182" s="5002"/>
      <c r="Q182" s="5002"/>
    </row>
    <row r="183" spans="1:17">
      <c r="A183" s="5002"/>
      <c r="B183" s="4992"/>
      <c r="C183" s="5203" t="s">
        <v>836</v>
      </c>
      <c r="D183" s="5002"/>
      <c r="E183" s="5002"/>
      <c r="F183" s="5002"/>
      <c r="G183" s="5002"/>
      <c r="H183" s="5002"/>
      <c r="I183" s="5201">
        <v>41052</v>
      </c>
      <c r="J183" s="5202">
        <v>48910</v>
      </c>
      <c r="K183" s="5002"/>
      <c r="L183" s="5002"/>
      <c r="M183" s="5002"/>
      <c r="N183" s="5002"/>
      <c r="O183" s="5002"/>
      <c r="P183" s="5002"/>
      <c r="Q183" s="5002"/>
    </row>
    <row r="184" spans="1:17">
      <c r="A184" s="5002"/>
      <c r="B184" s="4992"/>
      <c r="C184" s="5200" t="s">
        <v>837</v>
      </c>
      <c r="D184" s="5002"/>
      <c r="E184" s="5002"/>
      <c r="F184" s="5002"/>
      <c r="G184" s="5002"/>
      <c r="H184" s="5002"/>
      <c r="I184" s="5201">
        <v>41025</v>
      </c>
      <c r="J184" s="5202">
        <v>14751</v>
      </c>
      <c r="K184" s="5002"/>
      <c r="L184" s="5002"/>
      <c r="M184" s="5002"/>
      <c r="N184" s="5002"/>
      <c r="O184" s="5002"/>
      <c r="P184" s="5002"/>
      <c r="Q184" s="5002"/>
    </row>
    <row r="185" spans="1:17">
      <c r="A185" s="5002"/>
      <c r="B185" s="4992"/>
      <c r="C185" s="5200" t="s">
        <v>838</v>
      </c>
      <c r="D185" s="5002"/>
      <c r="E185" s="5002"/>
      <c r="F185" s="5002"/>
      <c r="G185" s="5002"/>
      <c r="H185" s="5002"/>
      <c r="I185" s="5201">
        <v>40848</v>
      </c>
      <c r="J185" s="5202">
        <v>10084</v>
      </c>
      <c r="K185" s="5002"/>
      <c r="L185" s="5002"/>
      <c r="M185" s="5002"/>
      <c r="N185" s="5002"/>
      <c r="O185" s="5002"/>
      <c r="P185" s="5002"/>
      <c r="Q185" s="5002"/>
    </row>
    <row r="186" spans="1:17">
      <c r="A186" s="5002"/>
      <c r="B186" s="4992"/>
      <c r="C186" s="5200" t="s">
        <v>839</v>
      </c>
      <c r="D186" s="5002"/>
      <c r="E186" s="5002"/>
      <c r="F186" s="5002"/>
      <c r="G186" s="5002"/>
      <c r="H186" s="5002"/>
      <c r="I186" s="5201">
        <v>40454</v>
      </c>
      <c r="J186" s="5202">
        <v>45222</v>
      </c>
      <c r="K186" s="5002"/>
      <c r="L186" s="5002"/>
      <c r="M186" s="5002"/>
      <c r="N186" s="5002"/>
      <c r="O186" s="5002"/>
      <c r="P186" s="5002"/>
      <c r="Q186" s="5002"/>
    </row>
    <row r="187" spans="1:17">
      <c r="A187" s="5002"/>
      <c r="B187" s="4992"/>
      <c r="C187" s="5200" t="s">
        <v>840</v>
      </c>
      <c r="D187" s="5002"/>
      <c r="E187" s="5002"/>
      <c r="F187" s="5002"/>
      <c r="G187" s="5002"/>
      <c r="H187" s="5002"/>
      <c r="I187" s="5201">
        <v>40294</v>
      </c>
      <c r="J187" s="5202">
        <v>65784</v>
      </c>
      <c r="K187" s="5002"/>
      <c r="L187" s="5002"/>
      <c r="M187" s="5002"/>
      <c r="N187" s="5002"/>
      <c r="O187" s="5002"/>
      <c r="P187" s="5002"/>
      <c r="Q187" s="5002"/>
    </row>
    <row r="188" spans="1:17">
      <c r="A188" s="5002"/>
      <c r="B188" s="4992"/>
      <c r="C188" s="5200" t="s">
        <v>841</v>
      </c>
      <c r="D188" s="5002"/>
      <c r="E188" s="5002"/>
      <c r="F188" s="5002"/>
      <c r="G188" s="5002"/>
      <c r="H188" s="5002"/>
      <c r="I188" s="5201">
        <v>40273</v>
      </c>
      <c r="J188" s="5202">
        <v>96965</v>
      </c>
      <c r="K188" s="5002"/>
      <c r="L188" s="5002"/>
      <c r="M188" s="5002"/>
      <c r="N188" s="5002"/>
      <c r="O188" s="5002"/>
      <c r="P188" s="5002"/>
      <c r="Q188" s="5002"/>
    </row>
    <row r="189" spans="1:17">
      <c r="A189" s="5002"/>
      <c r="B189" s="4992"/>
      <c r="C189" s="5200" t="s">
        <v>842</v>
      </c>
      <c r="D189" s="5002"/>
      <c r="E189" s="5002"/>
      <c r="F189" s="5002"/>
      <c r="G189" s="5002"/>
      <c r="H189" s="5002"/>
      <c r="I189" s="5201">
        <v>40273</v>
      </c>
      <c r="J189" s="5202">
        <v>45902</v>
      </c>
      <c r="K189" s="5002"/>
      <c r="L189" s="5002"/>
      <c r="M189" s="5002"/>
      <c r="N189" s="5002"/>
      <c r="O189" s="5002"/>
      <c r="P189" s="5002"/>
      <c r="Q189" s="5002"/>
    </row>
    <row r="190" spans="1:17">
      <c r="A190" s="5002"/>
      <c r="B190" s="4992"/>
      <c r="C190" s="5200" t="s">
        <v>843</v>
      </c>
      <c r="D190" s="5002"/>
      <c r="E190" s="5002"/>
      <c r="F190" s="5002"/>
      <c r="G190" s="5002"/>
      <c r="H190" s="5002"/>
      <c r="I190" s="5201">
        <v>40250</v>
      </c>
      <c r="J190" s="5202">
        <v>122444</v>
      </c>
      <c r="K190" s="5002"/>
      <c r="L190" s="5002"/>
      <c r="M190" s="5002"/>
      <c r="N190" s="5002"/>
      <c r="O190" s="5002"/>
      <c r="P190" s="5002"/>
      <c r="Q190" s="5002"/>
    </row>
    <row r="191" spans="1:17">
      <c r="A191" s="5002"/>
      <c r="B191" s="4992"/>
      <c r="C191" s="5200" t="s">
        <v>844</v>
      </c>
      <c r="D191" s="5002"/>
      <c r="E191" s="5002"/>
      <c r="F191" s="5002"/>
      <c r="G191" s="5002"/>
      <c r="H191" s="5002"/>
      <c r="I191" s="5201">
        <v>40182</v>
      </c>
      <c r="J191" s="5202">
        <v>100241</v>
      </c>
      <c r="K191" s="5002"/>
      <c r="L191" s="5002"/>
      <c r="M191" s="5002"/>
      <c r="N191" s="5002"/>
      <c r="O191" s="5002"/>
      <c r="P191" s="5002"/>
      <c r="Q191" s="5002"/>
    </row>
    <row r="192" spans="1:17">
      <c r="A192" s="5002"/>
      <c r="B192" s="4992"/>
      <c r="C192" s="5200" t="s">
        <v>845</v>
      </c>
      <c r="D192" s="5002"/>
      <c r="E192" s="5002"/>
      <c r="F192" s="5002"/>
      <c r="G192" s="5002"/>
      <c r="H192" s="5002"/>
      <c r="I192" s="5201">
        <v>40138</v>
      </c>
      <c r="J192" s="5202">
        <v>23956</v>
      </c>
      <c r="K192" s="5002"/>
      <c r="L192" s="5002"/>
      <c r="M192" s="5002"/>
      <c r="N192" s="5002"/>
      <c r="O192" s="5002"/>
      <c r="P192" s="5002"/>
      <c r="Q192" s="5002"/>
    </row>
    <row r="193" spans="1:17">
      <c r="A193" s="5002"/>
      <c r="B193" s="4992"/>
      <c r="C193" s="5200" t="s">
        <v>846</v>
      </c>
      <c r="D193" s="5002"/>
      <c r="E193" s="5002"/>
      <c r="F193" s="5002"/>
      <c r="G193" s="5002"/>
      <c r="H193" s="5002"/>
      <c r="I193" s="5201">
        <v>40125</v>
      </c>
      <c r="J193" s="5202">
        <v>113684</v>
      </c>
      <c r="K193" s="5002"/>
      <c r="L193" s="5002"/>
      <c r="M193" s="5002"/>
      <c r="N193" s="5002"/>
      <c r="O193" s="5002"/>
      <c r="P193" s="5002"/>
      <c r="Q193" s="5002"/>
    </row>
    <row r="194" spans="1:17">
      <c r="A194" s="5002"/>
      <c r="B194" s="4992"/>
      <c r="C194" s="5200" t="s">
        <v>847</v>
      </c>
      <c r="D194" s="5002"/>
      <c r="E194" s="5002"/>
      <c r="F194" s="5002"/>
      <c r="G194" s="5002"/>
      <c r="H194" s="5002"/>
      <c r="I194" s="5201">
        <v>40111</v>
      </c>
      <c r="J194" s="5202">
        <v>27154</v>
      </c>
      <c r="K194" s="5002"/>
      <c r="L194" s="5002"/>
      <c r="M194" s="5002"/>
      <c r="N194" s="5002"/>
      <c r="O194" s="5002"/>
      <c r="P194" s="5002"/>
      <c r="Q194" s="5002"/>
    </row>
    <row r="195" spans="1:17">
      <c r="A195" s="5002"/>
      <c r="B195" s="4992"/>
      <c r="C195" s="5200" t="s">
        <v>848</v>
      </c>
      <c r="D195" s="5002"/>
      <c r="E195" s="5002"/>
      <c r="F195" s="5002"/>
      <c r="G195" s="5002"/>
      <c r="H195" s="5002"/>
      <c r="I195" s="5201">
        <v>40096</v>
      </c>
      <c r="J195" s="5202">
        <v>25774</v>
      </c>
      <c r="K195" s="5002"/>
      <c r="L195" s="5002"/>
      <c r="M195" s="5002"/>
      <c r="N195" s="5002"/>
      <c r="O195" s="5002"/>
      <c r="P195" s="5002"/>
      <c r="Q195" s="5002"/>
    </row>
    <row r="196" spans="1:17">
      <c r="A196" s="5002"/>
      <c r="B196" s="4992"/>
      <c r="C196" s="5200" t="s">
        <v>849</v>
      </c>
      <c r="D196" s="5002"/>
      <c r="E196" s="5002"/>
      <c r="F196" s="5002"/>
      <c r="G196" s="5002"/>
      <c r="H196" s="5002"/>
      <c r="I196" s="5201">
        <v>40085</v>
      </c>
      <c r="J196" s="5202">
        <v>79344</v>
      </c>
      <c r="K196" s="5002"/>
      <c r="L196" s="5002"/>
      <c r="M196" s="5002"/>
      <c r="N196" s="5002"/>
      <c r="O196" s="5002"/>
      <c r="P196" s="5002"/>
      <c r="Q196" s="5002"/>
    </row>
    <row r="197" spans="1:17">
      <c r="A197" s="5002"/>
      <c r="B197" s="4992"/>
      <c r="C197" s="5200" t="s">
        <v>850</v>
      </c>
      <c r="D197" s="5002"/>
      <c r="E197" s="5002"/>
      <c r="F197" s="5002"/>
      <c r="G197" s="5002"/>
      <c r="H197" s="5002"/>
      <c r="I197" s="5201">
        <v>40068</v>
      </c>
      <c r="J197" s="5202">
        <v>145176</v>
      </c>
      <c r="K197" s="5002"/>
      <c r="L197" s="5002"/>
      <c r="M197" s="5002"/>
      <c r="N197" s="5002"/>
      <c r="O197" s="5002"/>
      <c r="P197" s="5002"/>
      <c r="Q197" s="5002"/>
    </row>
    <row r="198" spans="1:17">
      <c r="A198" s="5002"/>
      <c r="B198" s="4992"/>
      <c r="C198" s="5200" t="s">
        <v>851</v>
      </c>
      <c r="D198" s="5002"/>
      <c r="E198" s="5002"/>
      <c r="F198" s="5002"/>
      <c r="G198" s="5002"/>
      <c r="H198" s="5002"/>
      <c r="I198" s="5201">
        <v>40048</v>
      </c>
      <c r="J198" s="5202">
        <v>7657</v>
      </c>
      <c r="K198" s="5002"/>
      <c r="L198" s="5002"/>
      <c r="M198" s="5002"/>
      <c r="N198" s="5002"/>
      <c r="O198" s="5002"/>
      <c r="P198" s="5002"/>
      <c r="Q198" s="5002"/>
    </row>
    <row r="199" spans="1:17">
      <c r="A199" s="5002"/>
      <c r="B199" s="4992"/>
      <c r="C199" s="5200" t="s">
        <v>852</v>
      </c>
      <c r="D199" s="5002"/>
      <c r="E199" s="5002"/>
      <c r="F199" s="5002"/>
      <c r="G199" s="5002"/>
      <c r="H199" s="5002"/>
      <c r="I199" s="5201">
        <v>40044</v>
      </c>
      <c r="J199" s="5202">
        <v>45164</v>
      </c>
      <c r="K199" s="5002"/>
      <c r="L199" s="5002"/>
      <c r="M199" s="5002"/>
      <c r="N199" s="5002"/>
      <c r="O199" s="5002"/>
      <c r="P199" s="5002"/>
      <c r="Q199" s="5002"/>
    </row>
    <row r="200" spans="1:17">
      <c r="A200" s="5002"/>
      <c r="B200" s="4992"/>
      <c r="C200" s="5200" t="s">
        <v>853</v>
      </c>
      <c r="D200" s="5002"/>
      <c r="E200" s="5002"/>
      <c r="F200" s="5002"/>
      <c r="G200" s="5002"/>
      <c r="H200" s="5002"/>
      <c r="I200" s="5201">
        <v>40020</v>
      </c>
      <c r="J200" s="5202">
        <v>105218</v>
      </c>
      <c r="K200" s="5002"/>
      <c r="L200" s="5002"/>
      <c r="M200" s="5002"/>
      <c r="N200" s="5002"/>
      <c r="O200" s="5002"/>
      <c r="P200" s="5002"/>
      <c r="Q200" s="5002"/>
    </row>
    <row r="201" spans="1:17">
      <c r="A201" s="5002"/>
      <c r="B201" s="4992"/>
      <c r="C201" s="5200" t="s">
        <v>854</v>
      </c>
      <c r="D201" s="5002"/>
      <c r="E201" s="5002"/>
      <c r="F201" s="5002"/>
      <c r="G201" s="5002"/>
      <c r="H201" s="5002"/>
      <c r="I201" s="5201">
        <v>39788</v>
      </c>
      <c r="J201" s="5202">
        <v>59780</v>
      </c>
      <c r="K201" s="5002"/>
      <c r="L201" s="5002"/>
      <c r="M201" s="5002"/>
      <c r="N201" s="5002"/>
      <c r="O201" s="5002"/>
      <c r="P201" s="5002"/>
      <c r="Q201" s="5002"/>
    </row>
    <row r="202" spans="1:17">
      <c r="A202" s="5002"/>
      <c r="B202" s="4992"/>
      <c r="C202" s="5200" t="s">
        <v>855</v>
      </c>
      <c r="D202" s="5002"/>
      <c r="E202" s="5002"/>
      <c r="F202" s="5002"/>
      <c r="G202" s="5002"/>
      <c r="H202" s="5002"/>
      <c r="I202" s="5201">
        <v>39787</v>
      </c>
      <c r="J202" s="5202">
        <v>75563</v>
      </c>
      <c r="K202" s="5002"/>
      <c r="L202" s="5002"/>
      <c r="M202" s="5002"/>
      <c r="N202" s="5002"/>
      <c r="O202" s="5002"/>
      <c r="P202" s="5002"/>
      <c r="Q202" s="5002"/>
    </row>
    <row r="203" spans="1:17">
      <c r="A203" s="5002"/>
      <c r="B203" s="4992"/>
      <c r="C203" s="5200" t="s">
        <v>856</v>
      </c>
      <c r="D203" s="5002"/>
      <c r="E203" s="5002"/>
      <c r="F203" s="5002"/>
      <c r="G203" s="5002"/>
      <c r="H203" s="5002"/>
      <c r="I203" s="5201">
        <v>39787</v>
      </c>
      <c r="J203" s="5202">
        <v>15781</v>
      </c>
      <c r="K203" s="5002"/>
      <c r="L203" s="5002"/>
      <c r="M203" s="5002"/>
      <c r="N203" s="5002"/>
      <c r="O203" s="5002"/>
      <c r="P203" s="5002"/>
      <c r="Q203" s="5002"/>
    </row>
    <row r="204" spans="1:17">
      <c r="A204" s="5002"/>
      <c r="B204" s="4992"/>
      <c r="C204" s="5200" t="s">
        <v>857</v>
      </c>
      <c r="D204" s="5002"/>
      <c r="E204" s="5002"/>
      <c r="F204" s="5002"/>
      <c r="G204" s="5002"/>
      <c r="H204" s="5002"/>
      <c r="I204" s="5002"/>
      <c r="J204" s="5002"/>
      <c r="K204" s="5002"/>
      <c r="L204" s="5002"/>
      <c r="M204" s="5002"/>
      <c r="N204" s="5002"/>
      <c r="O204" s="5002"/>
      <c r="P204" s="5002"/>
      <c r="Q204" s="5002"/>
    </row>
    <row r="205" spans="1:17" ht="20.100000000000001" customHeight="1">
      <c r="B205" s="5002"/>
      <c r="C205" s="5002"/>
      <c r="D205" s="5002"/>
      <c r="E205" s="63"/>
      <c r="F205" s="63"/>
      <c r="G205" s="5002"/>
      <c r="H205" s="5002"/>
      <c r="I205" s="5002"/>
      <c r="J205" s="5002"/>
      <c r="K205" s="5002"/>
      <c r="L205" s="5002"/>
      <c r="M205" s="5002"/>
      <c r="N205" s="5002"/>
      <c r="O205" s="5002"/>
      <c r="P205" s="5002"/>
      <c r="Q205" s="5002"/>
    </row>
    <row r="206" spans="1:17" ht="20.100000000000001" customHeight="1">
      <c r="B206" s="5002"/>
      <c r="C206" s="5204" t="s">
        <v>858</v>
      </c>
      <c r="D206" s="5002"/>
      <c r="E206" s="63"/>
      <c r="F206" s="63"/>
      <c r="G206" s="5002"/>
      <c r="H206" s="5002"/>
      <c r="I206" s="5002"/>
      <c r="J206" s="5002"/>
      <c r="K206" s="5002"/>
      <c r="L206" s="5002"/>
      <c r="M206" s="5002"/>
      <c r="N206" s="5002"/>
      <c r="O206" s="5002"/>
      <c r="P206" s="5002"/>
      <c r="Q206" s="5002"/>
    </row>
    <row r="207" spans="1:17" ht="20.100000000000001" customHeight="1">
      <c r="B207" s="5002"/>
      <c r="C207" s="5002"/>
      <c r="D207" s="5002"/>
      <c r="E207" s="63"/>
      <c r="F207" s="63"/>
      <c r="G207" s="5002"/>
      <c r="H207" s="5002"/>
      <c r="I207" s="5002"/>
      <c r="J207" s="5002"/>
      <c r="K207" s="5002"/>
      <c r="L207" s="5002"/>
      <c r="M207" s="5002"/>
      <c r="N207" s="5002"/>
      <c r="O207" s="5002"/>
      <c r="P207" s="5002"/>
      <c r="Q207" s="5002"/>
    </row>
    <row r="208" spans="1:17" ht="20.100000000000001" customHeight="1">
      <c r="B208" s="5002"/>
      <c r="C208" s="5002"/>
      <c r="D208" s="5002"/>
      <c r="E208" s="63"/>
      <c r="F208" s="63"/>
      <c r="G208" s="5002"/>
      <c r="H208" s="5002"/>
      <c r="I208" s="5002"/>
      <c r="J208" s="5002"/>
      <c r="K208" s="5002"/>
      <c r="L208" s="5002"/>
      <c r="M208" s="5002"/>
      <c r="N208" s="5002"/>
      <c r="O208" s="5002"/>
      <c r="P208" s="5002"/>
      <c r="Q208" s="5002"/>
    </row>
    <row r="209" spans="1:1310" ht="20.100000000000001" customHeight="1">
      <c r="B209" s="5002"/>
      <c r="C209" s="5002"/>
      <c r="D209" s="5002"/>
      <c r="E209" s="63"/>
      <c r="F209" s="63"/>
      <c r="G209" s="5002"/>
      <c r="H209" s="5002"/>
      <c r="I209" s="5002"/>
      <c r="J209" s="5002"/>
      <c r="K209" s="5002"/>
      <c r="L209" s="5002"/>
      <c r="M209" s="5002"/>
      <c r="N209" s="5002"/>
      <c r="O209" s="5002"/>
      <c r="P209" s="5002"/>
      <c r="Q209" s="5002"/>
    </row>
    <row r="210" spans="1:1310" ht="20.100000000000001" customHeight="1">
      <c r="B210" s="5002"/>
      <c r="C210" s="5002"/>
      <c r="D210" s="5002"/>
      <c r="E210" s="63"/>
      <c r="F210" s="63"/>
      <c r="G210" s="5002"/>
      <c r="H210" s="5002"/>
      <c r="I210" s="5002"/>
      <c r="J210" s="5002"/>
      <c r="K210" s="5002"/>
      <c r="L210" s="5002"/>
      <c r="M210" s="5002"/>
      <c r="N210" s="5002"/>
      <c r="O210" s="5002"/>
      <c r="P210" s="5002"/>
      <c r="Q210" s="5002"/>
    </row>
    <row r="211" spans="1:1310" ht="20.100000000000001" customHeight="1">
      <c r="B211" s="5002"/>
      <c r="C211" s="5002"/>
      <c r="D211" s="5002"/>
      <c r="E211" s="63"/>
      <c r="F211" s="63"/>
      <c r="G211" s="5002"/>
      <c r="H211" s="5002"/>
      <c r="I211" s="5002"/>
      <c r="J211" s="5002"/>
      <c r="K211" s="5002"/>
      <c r="L211" s="5002"/>
      <c r="M211" s="5002"/>
      <c r="N211" s="5002"/>
      <c r="O211" s="5002"/>
      <c r="P211" s="5002"/>
      <c r="Q211" s="5002"/>
    </row>
    <row r="212" spans="1:1310" ht="20.100000000000001" customHeight="1">
      <c r="B212" s="5002"/>
      <c r="C212" s="5002"/>
      <c r="D212" s="5002"/>
      <c r="E212" s="63"/>
      <c r="F212" s="63"/>
      <c r="G212" s="5002"/>
      <c r="H212" s="5002"/>
      <c r="I212" s="5002"/>
      <c r="J212" s="5002"/>
      <c r="K212" s="5002"/>
      <c r="L212" s="5002"/>
      <c r="M212" s="5002"/>
      <c r="N212" s="5002"/>
      <c r="O212" s="5002"/>
      <c r="P212" s="5002"/>
      <c r="Q212" s="5002"/>
    </row>
    <row r="213" spans="1:1310" ht="20.100000000000001" customHeight="1">
      <c r="B213" s="5002"/>
      <c r="C213" s="5002"/>
      <c r="D213" s="5002"/>
      <c r="E213" s="63"/>
      <c r="F213" s="63"/>
      <c r="G213" s="5002"/>
      <c r="H213" s="5002"/>
      <c r="I213" s="5002"/>
      <c r="J213" s="5002"/>
      <c r="K213" s="5002"/>
      <c r="L213" s="5002"/>
      <c r="M213" s="5002"/>
      <c r="N213" s="5002"/>
      <c r="O213" s="5002"/>
      <c r="P213" s="5002"/>
      <c r="Q213" s="5002"/>
    </row>
    <row r="214" spans="1:1310" ht="20.100000000000001" customHeight="1">
      <c r="B214" s="5002"/>
      <c r="C214" s="5002"/>
      <c r="D214" s="5002"/>
      <c r="E214" s="63"/>
      <c r="F214" s="63"/>
      <c r="G214" s="5002"/>
      <c r="H214" s="5002"/>
      <c r="I214" s="5002"/>
      <c r="J214" s="5002"/>
      <c r="K214" s="5002"/>
      <c r="L214" s="5002"/>
      <c r="M214" s="5002"/>
      <c r="N214" s="5002"/>
      <c r="O214" s="5002"/>
      <c r="P214" s="5002"/>
      <c r="Q214" s="5002"/>
    </row>
    <row r="215" spans="1:1310" ht="20.100000000000001" customHeight="1">
      <c r="B215" s="5002"/>
      <c r="C215" s="5002"/>
      <c r="D215" s="5002"/>
      <c r="E215" s="63"/>
      <c r="F215" s="63"/>
      <c r="G215" s="5002"/>
      <c r="H215" s="5002"/>
      <c r="I215" s="5002"/>
      <c r="J215" s="5002"/>
      <c r="K215" s="5002"/>
      <c r="L215" s="5002"/>
      <c r="M215" s="5002"/>
      <c r="N215" s="5002"/>
      <c r="O215" s="5002"/>
      <c r="P215" s="5002"/>
      <c r="Q215" s="5002"/>
    </row>
    <row r="216" spans="1:1310" ht="20.100000000000001" customHeight="1">
      <c r="B216" s="5002"/>
      <c r="C216" s="5002"/>
      <c r="D216" s="5002"/>
      <c r="E216" s="63"/>
      <c r="F216" s="63"/>
      <c r="G216" s="5002"/>
      <c r="H216" s="5002"/>
      <c r="I216" s="5002"/>
      <c r="J216" s="5002"/>
      <c r="K216" s="5002"/>
      <c r="L216" s="5002"/>
      <c r="M216" s="5002"/>
      <c r="N216" s="5002"/>
      <c r="O216" s="5002"/>
      <c r="P216" s="5002"/>
      <c r="Q216" s="5002"/>
    </row>
    <row r="217" spans="1:1310" ht="20.100000000000001" customHeight="1">
      <c r="B217" s="5002"/>
      <c r="C217" s="5002"/>
      <c r="D217" s="5002"/>
      <c r="E217" s="63"/>
      <c r="F217" s="63"/>
      <c r="G217" s="5002"/>
      <c r="H217" s="5002"/>
      <c r="I217" s="5002"/>
      <c r="J217" s="5002"/>
      <c r="K217" s="5002"/>
      <c r="L217" s="5002"/>
      <c r="M217" s="5002"/>
      <c r="N217" s="5002"/>
      <c r="O217" s="5002"/>
      <c r="P217" s="5002"/>
      <c r="Q217" s="5002"/>
    </row>
    <row r="218" spans="1:1310" ht="20.100000000000001" customHeight="1">
      <c r="B218" s="5002"/>
      <c r="C218" s="5002"/>
      <c r="D218" s="5002"/>
      <c r="E218" s="63"/>
      <c r="F218" s="63"/>
      <c r="G218" s="5002"/>
      <c r="H218" s="5002"/>
      <c r="I218" s="5002"/>
      <c r="J218" s="5002"/>
      <c r="K218" s="5002"/>
      <c r="L218" s="5002"/>
      <c r="M218" s="5002"/>
      <c r="N218" s="5002"/>
      <c r="O218" s="5002"/>
      <c r="P218" s="5002"/>
      <c r="Q218" s="5002"/>
    </row>
    <row r="219" spans="1:1310" s="5208" customFormat="1" ht="23.25" customHeight="1">
      <c r="A219" s="5205">
        <v>1</v>
      </c>
      <c r="B219" s="5206" t="s">
        <v>859</v>
      </c>
      <c r="C219" s="5206"/>
      <c r="D219" s="5206"/>
      <c r="E219" s="5206"/>
      <c r="F219" s="5206"/>
      <c r="G219" s="5206"/>
      <c r="H219" s="5206"/>
      <c r="I219" s="5206"/>
      <c r="J219" s="5206"/>
      <c r="K219" s="5206"/>
      <c r="L219" s="5206"/>
      <c r="M219" s="5206"/>
      <c r="N219" s="5206"/>
      <c r="O219" s="5206"/>
      <c r="P219" s="5206"/>
      <c r="Q219" s="5206"/>
      <c r="R219" s="95"/>
      <c r="S219" s="95"/>
      <c r="T219" s="95"/>
      <c r="U219" s="95"/>
      <c r="V219" s="95"/>
      <c r="W219" s="95"/>
      <c r="X219" s="95"/>
      <c r="Y219" s="95"/>
      <c r="Z219" s="95"/>
      <c r="AA219" s="95"/>
      <c r="AB219" s="95"/>
      <c r="AC219" s="95"/>
      <c r="AD219" s="5207"/>
      <c r="AE219" s="5207"/>
      <c r="AF219" s="5207"/>
      <c r="AG219" s="5207"/>
      <c r="AH219" s="5207"/>
      <c r="AI219" s="5207"/>
      <c r="AJ219" s="5207"/>
      <c r="AK219" s="5207"/>
      <c r="AL219" s="5207"/>
      <c r="AM219" s="5207"/>
      <c r="AN219" s="5207"/>
      <c r="AO219" s="5207"/>
      <c r="AP219" s="5207"/>
      <c r="AQ219" s="5207"/>
      <c r="AR219" s="5207"/>
      <c r="AS219" s="5207"/>
      <c r="AT219" s="5207"/>
      <c r="AU219" s="5207"/>
      <c r="AV219" s="5207"/>
      <c r="AW219" s="5207"/>
      <c r="AX219" s="5207"/>
      <c r="AY219" s="5207"/>
      <c r="AZ219" s="5207"/>
      <c r="BA219" s="5207"/>
      <c r="BB219" s="5207"/>
      <c r="BC219" s="5207"/>
      <c r="BD219" s="5207"/>
      <c r="BE219" s="5207"/>
      <c r="BF219" s="5207"/>
      <c r="BG219" s="5207"/>
      <c r="BH219" s="5207"/>
      <c r="BI219" s="5207"/>
      <c r="BJ219" s="5207"/>
      <c r="BK219" s="5207"/>
      <c r="BL219" s="5207"/>
      <c r="BM219" s="5207"/>
      <c r="BN219" s="5207"/>
      <c r="BO219" s="5207"/>
      <c r="BP219" s="5207"/>
      <c r="BQ219" s="5207"/>
      <c r="BR219" s="5207"/>
      <c r="BS219" s="5207"/>
      <c r="BT219" s="5207"/>
      <c r="BU219" s="5207"/>
      <c r="BV219" s="5207"/>
      <c r="BW219" s="5207"/>
      <c r="BX219" s="5207"/>
      <c r="BY219" s="5207"/>
      <c r="BZ219" s="5207"/>
      <c r="CA219" s="5207"/>
      <c r="CB219" s="5207"/>
      <c r="CC219" s="5207"/>
      <c r="CD219" s="5207"/>
      <c r="CE219" s="5207"/>
      <c r="CF219" s="5207"/>
      <c r="CG219" s="5207"/>
      <c r="CH219" s="5207"/>
      <c r="CI219" s="5207"/>
      <c r="CJ219" s="5207"/>
      <c r="CK219" s="5207"/>
      <c r="CL219" s="5207"/>
      <c r="CM219" s="5207"/>
      <c r="CN219" s="5207"/>
      <c r="CO219" s="5207"/>
      <c r="CP219" s="5207"/>
      <c r="CQ219" s="5207"/>
      <c r="CR219" s="5207"/>
      <c r="CS219" s="5207"/>
      <c r="CT219" s="5207"/>
      <c r="CU219" s="5207"/>
      <c r="CV219" s="5207"/>
      <c r="CW219" s="5207"/>
      <c r="CX219" s="5207"/>
      <c r="CY219" s="5207"/>
      <c r="CZ219" s="5207"/>
      <c r="DA219" s="5207"/>
      <c r="DB219" s="5207"/>
      <c r="DC219" s="5207"/>
      <c r="DD219" s="5207"/>
      <c r="DE219" s="5207"/>
      <c r="DF219" s="5207"/>
      <c r="DG219" s="5207"/>
      <c r="DH219" s="5207"/>
      <c r="DI219" s="5207"/>
      <c r="DJ219" s="5207"/>
      <c r="DK219" s="5207"/>
      <c r="DL219" s="5207"/>
      <c r="DM219" s="5207"/>
      <c r="DN219" s="5207"/>
      <c r="DO219" s="5207"/>
      <c r="DP219" s="5207"/>
      <c r="DQ219" s="5207"/>
      <c r="DR219" s="5207"/>
      <c r="DS219" s="5207"/>
      <c r="DT219" s="5207"/>
      <c r="DU219" s="5207"/>
      <c r="DV219" s="5207"/>
      <c r="DW219" s="5207"/>
      <c r="DX219" s="5207"/>
      <c r="DY219" s="5207"/>
      <c r="DZ219" s="5207"/>
      <c r="EA219" s="5207"/>
      <c r="EB219" s="5207"/>
      <c r="EC219" s="5207"/>
      <c r="ED219" s="5207"/>
      <c r="EE219" s="5207"/>
      <c r="EF219" s="5207"/>
      <c r="EG219" s="5207"/>
      <c r="EH219" s="5207"/>
      <c r="EI219" s="5207"/>
      <c r="EJ219" s="5207"/>
      <c r="EK219" s="5207"/>
      <c r="EL219" s="5207"/>
      <c r="EM219" s="5207"/>
      <c r="EN219" s="5207"/>
      <c r="EO219" s="5207"/>
      <c r="EP219" s="5207"/>
      <c r="EQ219" s="5207"/>
      <c r="ER219" s="5207"/>
      <c r="ES219" s="5207"/>
      <c r="ET219" s="5207"/>
      <c r="EU219" s="5207"/>
      <c r="EV219" s="5207"/>
      <c r="EW219" s="5207"/>
      <c r="EX219" s="5207"/>
      <c r="EY219" s="5207"/>
      <c r="EZ219" s="5207"/>
      <c r="FA219" s="5207"/>
      <c r="FB219" s="5207"/>
      <c r="FC219" s="5207"/>
      <c r="FD219" s="5207"/>
      <c r="FE219" s="5207"/>
      <c r="FF219" s="5207"/>
      <c r="FG219" s="5207"/>
      <c r="FH219" s="5207"/>
      <c r="FI219" s="5207"/>
      <c r="FJ219" s="5207"/>
      <c r="FK219" s="5207"/>
      <c r="FL219" s="5207"/>
      <c r="FM219" s="5207"/>
      <c r="FN219" s="5207"/>
      <c r="FO219" s="5207"/>
      <c r="FP219" s="5207"/>
      <c r="FQ219" s="5207"/>
      <c r="FR219" s="5207"/>
      <c r="FS219" s="5207"/>
      <c r="FT219" s="5207"/>
      <c r="FU219" s="5207"/>
      <c r="FV219" s="5207"/>
      <c r="FW219" s="5207"/>
      <c r="FX219" s="5207"/>
      <c r="FY219" s="5207"/>
      <c r="FZ219" s="5207"/>
      <c r="GA219" s="5207"/>
      <c r="GB219" s="5207"/>
      <c r="GC219" s="5207"/>
      <c r="GD219" s="5207"/>
      <c r="GE219" s="5207"/>
      <c r="GF219" s="5207"/>
      <c r="GG219" s="5207"/>
      <c r="GH219" s="5207"/>
      <c r="GI219" s="5207"/>
      <c r="GJ219" s="5207"/>
      <c r="GK219" s="5207"/>
      <c r="GL219" s="5207"/>
      <c r="GM219" s="5207"/>
      <c r="GN219" s="5207"/>
      <c r="GO219" s="5207"/>
      <c r="GP219" s="5207"/>
      <c r="GQ219" s="5207"/>
      <c r="GR219" s="5207"/>
      <c r="GS219" s="5207"/>
      <c r="GT219" s="5207"/>
      <c r="GU219" s="5207"/>
      <c r="GV219" s="5207"/>
      <c r="GW219" s="5207"/>
      <c r="GX219" s="5207"/>
      <c r="GY219" s="5207"/>
      <c r="GZ219" s="5207"/>
      <c r="HA219" s="5207"/>
      <c r="HB219" s="5207"/>
      <c r="HC219" s="5207"/>
      <c r="HD219" s="5207"/>
      <c r="HE219" s="5207"/>
      <c r="HF219" s="5207"/>
      <c r="HG219" s="5207"/>
      <c r="HH219" s="5207"/>
      <c r="HI219" s="5207"/>
      <c r="HJ219" s="5207"/>
      <c r="HK219" s="5207"/>
      <c r="HL219" s="5207"/>
      <c r="HM219" s="5207"/>
      <c r="HN219" s="5207"/>
      <c r="HO219" s="5207"/>
      <c r="HP219" s="5207"/>
      <c r="HQ219" s="5207"/>
      <c r="HR219" s="5207"/>
      <c r="HS219" s="5207"/>
      <c r="HT219" s="5207"/>
      <c r="HU219" s="5207"/>
      <c r="HV219" s="5207"/>
      <c r="HW219" s="5207"/>
      <c r="HX219" s="5207"/>
      <c r="HY219" s="5207"/>
      <c r="HZ219" s="5207"/>
      <c r="IA219" s="5207"/>
      <c r="IB219" s="5207"/>
      <c r="IC219" s="5207"/>
      <c r="ID219" s="5207"/>
      <c r="IE219" s="5207"/>
      <c r="IF219" s="5207"/>
      <c r="IG219" s="5207"/>
      <c r="IH219" s="5207"/>
      <c r="II219" s="5207"/>
      <c r="IJ219" s="5207"/>
      <c r="IK219" s="5207"/>
      <c r="IL219" s="5207"/>
      <c r="IM219" s="5207"/>
      <c r="IN219" s="5207"/>
      <c r="IO219" s="5207"/>
      <c r="IP219" s="5207"/>
      <c r="IQ219" s="5207"/>
      <c r="IR219" s="5207"/>
      <c r="IS219" s="5207"/>
      <c r="IT219" s="5207"/>
      <c r="IU219" s="5207"/>
      <c r="IV219" s="5207"/>
      <c r="IW219" s="5207"/>
      <c r="IX219" s="5207"/>
      <c r="IY219" s="5207"/>
      <c r="IZ219" s="5207"/>
      <c r="JA219" s="5207"/>
      <c r="JB219" s="5207"/>
      <c r="JC219" s="5207"/>
      <c r="JD219" s="5207"/>
      <c r="JE219" s="5207"/>
      <c r="JF219" s="5207"/>
      <c r="JG219" s="5207"/>
      <c r="JH219" s="5207"/>
      <c r="JI219" s="5207"/>
      <c r="JJ219" s="5207"/>
      <c r="JK219" s="5207"/>
      <c r="JL219" s="5207"/>
      <c r="JM219" s="5207"/>
      <c r="JN219" s="5207"/>
      <c r="JO219" s="5207"/>
      <c r="JP219" s="5207"/>
      <c r="JQ219" s="5207"/>
      <c r="JR219" s="5207"/>
      <c r="JS219" s="5207"/>
      <c r="JT219" s="5207"/>
      <c r="JU219" s="5207"/>
      <c r="JV219" s="5207"/>
      <c r="JW219" s="5207"/>
      <c r="JX219" s="5207"/>
      <c r="JY219" s="5207"/>
      <c r="JZ219" s="5207"/>
      <c r="KA219" s="5207"/>
      <c r="KB219" s="5207"/>
      <c r="KC219" s="5207"/>
      <c r="KD219" s="5207"/>
      <c r="KE219" s="5207"/>
      <c r="KF219" s="5207"/>
      <c r="KG219" s="5207"/>
      <c r="KH219" s="5207"/>
      <c r="KI219" s="5207"/>
      <c r="KJ219" s="5207"/>
      <c r="KK219" s="5207"/>
      <c r="KL219" s="5207"/>
      <c r="KM219" s="5207"/>
      <c r="KN219" s="5207"/>
      <c r="KO219" s="5207"/>
      <c r="KP219" s="5207"/>
      <c r="KQ219" s="5207"/>
      <c r="KR219" s="5207"/>
      <c r="KS219" s="5207"/>
      <c r="KT219" s="5207"/>
      <c r="KU219" s="5207"/>
      <c r="KV219" s="5207"/>
      <c r="KW219" s="5207"/>
      <c r="KX219" s="5207"/>
      <c r="KY219" s="5207"/>
      <c r="KZ219" s="5207"/>
      <c r="LA219" s="5207"/>
      <c r="LB219" s="5207"/>
      <c r="LC219" s="5207"/>
      <c r="LD219" s="5207"/>
      <c r="LE219" s="5207"/>
      <c r="LF219" s="5207"/>
      <c r="LG219" s="5207"/>
      <c r="LH219" s="5207"/>
      <c r="LI219" s="5207"/>
      <c r="LJ219" s="5207"/>
      <c r="LK219" s="5207"/>
      <c r="LL219" s="5207"/>
      <c r="LM219" s="5207"/>
      <c r="LN219" s="5207"/>
      <c r="LO219" s="5207"/>
      <c r="LP219" s="5207"/>
      <c r="LQ219" s="5207"/>
      <c r="LR219" s="5207"/>
      <c r="LS219" s="5207"/>
      <c r="LT219" s="5207"/>
      <c r="LU219" s="5207"/>
      <c r="LV219" s="5207"/>
      <c r="LW219" s="5207"/>
      <c r="LX219" s="5207"/>
      <c r="LY219" s="5207"/>
      <c r="LZ219" s="5207"/>
      <c r="MA219" s="5207"/>
      <c r="MB219" s="5207"/>
      <c r="MC219" s="5207"/>
      <c r="MD219" s="5207"/>
      <c r="ME219" s="5207"/>
      <c r="MF219" s="5207"/>
      <c r="MG219" s="5207"/>
      <c r="MH219" s="5207"/>
      <c r="MI219" s="5207"/>
      <c r="MJ219" s="5207"/>
      <c r="MK219" s="5207"/>
      <c r="ML219" s="5207"/>
      <c r="MM219" s="5207"/>
      <c r="MN219" s="5207"/>
      <c r="MO219" s="5207"/>
      <c r="MP219" s="5207"/>
      <c r="MQ219" s="5207"/>
      <c r="MR219" s="5207"/>
      <c r="MS219" s="5207"/>
      <c r="MT219" s="5207"/>
      <c r="MU219" s="5207"/>
      <c r="MV219" s="5207"/>
      <c r="MW219" s="5207"/>
      <c r="MX219" s="5207"/>
      <c r="MY219" s="5207"/>
      <c r="MZ219" s="5207"/>
      <c r="NA219" s="5207"/>
      <c r="NB219" s="5207"/>
      <c r="NC219" s="5207"/>
      <c r="ND219" s="5207"/>
      <c r="NE219" s="5207"/>
      <c r="NF219" s="5207"/>
      <c r="NG219" s="5207"/>
      <c r="NH219" s="5207"/>
      <c r="NI219" s="5207"/>
      <c r="NJ219" s="5207"/>
      <c r="NK219" s="5207"/>
      <c r="NL219" s="5207"/>
      <c r="NM219" s="5207"/>
      <c r="NN219" s="5207"/>
      <c r="NO219" s="5207"/>
      <c r="NP219" s="5207"/>
      <c r="NQ219" s="5207"/>
      <c r="NR219" s="5207"/>
      <c r="NS219" s="5207"/>
      <c r="NT219" s="5207"/>
      <c r="NU219" s="5207"/>
      <c r="NV219" s="5207"/>
      <c r="NW219" s="5207"/>
      <c r="NX219" s="5207"/>
      <c r="NY219" s="5207"/>
      <c r="NZ219" s="5207"/>
      <c r="OA219" s="5207"/>
      <c r="OB219" s="5207"/>
      <c r="OC219" s="5207"/>
      <c r="OD219" s="5207"/>
      <c r="OE219" s="5207"/>
      <c r="OF219" s="5207"/>
      <c r="OG219" s="5207"/>
      <c r="OH219" s="5207"/>
      <c r="OI219" s="5207"/>
      <c r="OJ219" s="5207"/>
      <c r="OK219" s="5207"/>
      <c r="OL219" s="5207"/>
      <c r="OM219" s="5207"/>
      <c r="ON219" s="5207"/>
      <c r="OO219" s="5207"/>
      <c r="OP219" s="5207"/>
      <c r="OQ219" s="5207"/>
      <c r="OR219" s="5207"/>
      <c r="OS219" s="5207"/>
      <c r="OT219" s="5207"/>
      <c r="OU219" s="5207"/>
      <c r="OV219" s="5207"/>
      <c r="OW219" s="5207"/>
      <c r="OX219" s="5207"/>
      <c r="OY219" s="5207"/>
      <c r="OZ219" s="5207"/>
      <c r="PA219" s="5207"/>
      <c r="PB219" s="5207"/>
      <c r="PC219" s="5207"/>
      <c r="PD219" s="5207"/>
      <c r="PE219" s="5207"/>
      <c r="PF219" s="5207"/>
      <c r="PG219" s="5207"/>
      <c r="PH219" s="5207"/>
      <c r="PI219" s="5207"/>
      <c r="PJ219" s="5207"/>
      <c r="PK219" s="5207"/>
      <c r="PL219" s="5207"/>
      <c r="PM219" s="5207"/>
      <c r="PN219" s="5207"/>
      <c r="PO219" s="5207"/>
      <c r="PP219" s="5207"/>
      <c r="PQ219" s="5207"/>
      <c r="PR219" s="5207"/>
      <c r="PS219" s="5207"/>
      <c r="PT219" s="5207"/>
      <c r="PU219" s="5207"/>
      <c r="PV219" s="5207"/>
      <c r="PW219" s="5207"/>
      <c r="PX219" s="5207"/>
      <c r="PY219" s="5207"/>
      <c r="PZ219" s="5207"/>
      <c r="QA219" s="5207"/>
      <c r="QB219" s="5207"/>
      <c r="QC219" s="5207"/>
      <c r="QD219" s="5207"/>
      <c r="QE219" s="5207"/>
      <c r="QF219" s="5207"/>
      <c r="QG219" s="5207"/>
      <c r="QH219" s="5207"/>
      <c r="QI219" s="5207"/>
      <c r="QJ219" s="5207"/>
      <c r="QK219" s="5207"/>
      <c r="QL219" s="5207"/>
      <c r="QM219" s="5207"/>
      <c r="QN219" s="5207"/>
      <c r="QO219" s="5207"/>
      <c r="QP219" s="5207"/>
      <c r="QQ219" s="5207"/>
      <c r="QR219" s="5207"/>
      <c r="QS219" s="5207"/>
      <c r="QT219" s="5207"/>
      <c r="QU219" s="5207"/>
      <c r="QV219" s="5207"/>
      <c r="QW219" s="5207"/>
      <c r="QX219" s="5207"/>
      <c r="QY219" s="5207"/>
      <c r="QZ219" s="5207"/>
      <c r="RA219" s="5207"/>
      <c r="RB219" s="5207"/>
      <c r="RC219" s="5207"/>
      <c r="RD219" s="5207"/>
      <c r="RE219" s="5207"/>
      <c r="RF219" s="5207"/>
      <c r="RG219" s="5207"/>
      <c r="RH219" s="5207"/>
      <c r="RI219" s="5207"/>
      <c r="RJ219" s="5207"/>
      <c r="RK219" s="5207"/>
      <c r="RL219" s="5207"/>
      <c r="RM219" s="5207"/>
      <c r="RN219" s="5207"/>
      <c r="RO219" s="5207"/>
      <c r="RP219" s="5207"/>
      <c r="RQ219" s="5207"/>
      <c r="RR219" s="5207"/>
      <c r="RS219" s="5207"/>
      <c r="RT219" s="5207"/>
      <c r="RU219" s="5207"/>
      <c r="RV219" s="5207"/>
      <c r="RW219" s="5207"/>
      <c r="RX219" s="5207"/>
      <c r="RY219" s="5207"/>
      <c r="RZ219" s="5207"/>
      <c r="SA219" s="5207"/>
      <c r="SB219" s="5207"/>
      <c r="SC219" s="5207"/>
      <c r="SD219" s="5207"/>
      <c r="SE219" s="5207"/>
      <c r="SF219" s="5207"/>
      <c r="SG219" s="5207"/>
      <c r="SH219" s="5207"/>
      <c r="SI219" s="5207"/>
      <c r="SJ219" s="5207"/>
      <c r="SK219" s="5207"/>
      <c r="SL219" s="5207"/>
      <c r="SM219" s="5207"/>
      <c r="SN219" s="5207"/>
      <c r="SO219" s="5207"/>
      <c r="SP219" s="5207"/>
      <c r="SQ219" s="5207"/>
      <c r="SR219" s="5207"/>
      <c r="SS219" s="5207"/>
      <c r="ST219" s="5207"/>
      <c r="SU219" s="5207"/>
      <c r="SV219" s="5207"/>
      <c r="SW219" s="5207"/>
      <c r="SX219" s="5207"/>
      <c r="SY219" s="5207"/>
      <c r="SZ219" s="5207"/>
      <c r="TA219" s="5207"/>
      <c r="TB219" s="5207"/>
      <c r="TC219" s="5207"/>
      <c r="TD219" s="5207"/>
      <c r="TE219" s="5207"/>
      <c r="TF219" s="5207"/>
      <c r="TG219" s="5207"/>
      <c r="TH219" s="5207"/>
      <c r="TI219" s="5207"/>
      <c r="TJ219" s="5207"/>
      <c r="TK219" s="5207"/>
      <c r="TL219" s="5207"/>
      <c r="TM219" s="5207"/>
      <c r="TN219" s="5207"/>
      <c r="TO219" s="5207"/>
      <c r="TP219" s="5207"/>
      <c r="TQ219" s="5207"/>
      <c r="TR219" s="5207"/>
      <c r="TS219" s="5207"/>
      <c r="TT219" s="5207"/>
      <c r="TU219" s="5207"/>
      <c r="TV219" s="5207"/>
      <c r="TW219" s="5207"/>
      <c r="TX219" s="5207"/>
      <c r="TY219" s="5207"/>
      <c r="TZ219" s="5207"/>
      <c r="UA219" s="5207"/>
      <c r="UB219" s="5207"/>
      <c r="UC219" s="5207"/>
      <c r="UD219" s="5207"/>
      <c r="UE219" s="5207"/>
      <c r="UF219" s="5207"/>
      <c r="UG219" s="5207"/>
      <c r="UH219" s="5207"/>
      <c r="UI219" s="5207"/>
      <c r="UJ219" s="5207"/>
      <c r="UK219" s="5207"/>
      <c r="UL219" s="5207"/>
      <c r="UM219" s="5207"/>
      <c r="UN219" s="5207"/>
      <c r="UO219" s="5207"/>
      <c r="UP219" s="5207"/>
      <c r="UQ219" s="5207"/>
      <c r="UR219" s="5207"/>
      <c r="US219" s="5207"/>
      <c r="UT219" s="5207"/>
      <c r="UU219" s="5207"/>
      <c r="UV219" s="5207"/>
      <c r="UW219" s="5207"/>
      <c r="UX219" s="5207"/>
      <c r="UY219" s="5207"/>
      <c r="UZ219" s="5207"/>
      <c r="VA219" s="5207"/>
      <c r="VB219" s="5207"/>
      <c r="VC219" s="5207"/>
      <c r="VD219" s="5207"/>
      <c r="VE219" s="5207"/>
      <c r="VF219" s="5207"/>
      <c r="VG219" s="5207"/>
      <c r="VH219" s="5207"/>
      <c r="VI219" s="5207"/>
      <c r="VJ219" s="5207"/>
      <c r="VK219" s="5207"/>
      <c r="VL219" s="5207"/>
      <c r="VM219" s="5207"/>
      <c r="VN219" s="5207"/>
      <c r="VO219" s="5207"/>
      <c r="VP219" s="5207"/>
      <c r="VQ219" s="5207"/>
      <c r="VR219" s="5207"/>
      <c r="VS219" s="5207"/>
      <c r="VT219" s="5207"/>
      <c r="VU219" s="5207"/>
      <c r="VV219" s="5207"/>
      <c r="VW219" s="5207"/>
      <c r="VX219" s="5207"/>
      <c r="VY219" s="5207"/>
      <c r="VZ219" s="5207"/>
      <c r="WA219" s="5207"/>
      <c r="WB219" s="5207"/>
      <c r="WC219" s="5207"/>
      <c r="WD219" s="5207"/>
      <c r="WE219" s="5207"/>
      <c r="WF219" s="5207"/>
      <c r="WG219" s="5207"/>
      <c r="WH219" s="5207"/>
      <c r="WI219" s="5207"/>
      <c r="WJ219" s="5207"/>
      <c r="WK219" s="5207"/>
      <c r="WL219" s="5207"/>
      <c r="WM219" s="5207"/>
      <c r="WN219" s="5207"/>
      <c r="WO219" s="5207"/>
      <c r="WP219" s="5207"/>
      <c r="WQ219" s="5207"/>
      <c r="WR219" s="5207"/>
      <c r="WS219" s="5207"/>
      <c r="WT219" s="5207"/>
      <c r="WU219" s="5207"/>
      <c r="WV219" s="5207"/>
      <c r="WW219" s="5207"/>
      <c r="WX219" s="5207"/>
      <c r="WY219" s="5207"/>
      <c r="WZ219" s="5207"/>
      <c r="XA219" s="5207"/>
      <c r="XB219" s="5207"/>
      <c r="XC219" s="5207"/>
      <c r="XD219" s="5207"/>
      <c r="XE219" s="5207"/>
      <c r="XF219" s="5207"/>
      <c r="XG219" s="5207"/>
      <c r="XH219" s="5207"/>
      <c r="XI219" s="5207"/>
      <c r="XJ219" s="5207"/>
      <c r="XK219" s="5207"/>
      <c r="XL219" s="5207"/>
      <c r="XM219" s="5207"/>
      <c r="XN219" s="5207"/>
      <c r="XO219" s="5207"/>
      <c r="XP219" s="5207"/>
      <c r="XQ219" s="5207"/>
      <c r="XR219" s="5207"/>
      <c r="XS219" s="5207"/>
      <c r="XT219" s="5207"/>
      <c r="XU219" s="5207"/>
      <c r="XV219" s="5207"/>
      <c r="XW219" s="5207"/>
      <c r="XX219" s="5207"/>
      <c r="XY219" s="5207"/>
      <c r="XZ219" s="5207"/>
      <c r="YA219" s="5207"/>
      <c r="YB219" s="5207"/>
      <c r="YC219" s="5207"/>
      <c r="YD219" s="5207"/>
      <c r="YE219" s="5207"/>
      <c r="YF219" s="5207"/>
      <c r="YG219" s="5207"/>
      <c r="YH219" s="5207"/>
      <c r="YI219" s="5207"/>
      <c r="YJ219" s="5207"/>
      <c r="YK219" s="5207"/>
      <c r="YL219" s="5207"/>
      <c r="YM219" s="5207"/>
      <c r="YN219" s="5207"/>
      <c r="YO219" s="5207"/>
      <c r="YP219" s="5207"/>
      <c r="YQ219" s="5207"/>
      <c r="YR219" s="5207"/>
      <c r="YS219" s="5207"/>
      <c r="YT219" s="5207"/>
      <c r="YU219" s="5207"/>
      <c r="YV219" s="5207"/>
      <c r="YW219" s="5207"/>
      <c r="YX219" s="5207"/>
      <c r="YY219" s="5207"/>
      <c r="YZ219" s="5207"/>
      <c r="ZA219" s="5207"/>
      <c r="ZB219" s="5207"/>
      <c r="ZC219" s="5207"/>
      <c r="ZD219" s="5207"/>
      <c r="ZE219" s="5207"/>
      <c r="ZF219" s="5207"/>
      <c r="ZG219" s="5207"/>
      <c r="ZH219" s="5207"/>
      <c r="ZI219" s="5207"/>
      <c r="ZJ219" s="5207"/>
      <c r="ZK219" s="5207"/>
      <c r="ZL219" s="5207"/>
      <c r="ZM219" s="5207"/>
      <c r="ZN219" s="5207"/>
      <c r="ZO219" s="5207"/>
      <c r="ZP219" s="5207"/>
      <c r="ZQ219" s="5207"/>
      <c r="ZR219" s="5207"/>
      <c r="ZS219" s="5207"/>
      <c r="ZT219" s="5207"/>
      <c r="ZU219" s="5207"/>
      <c r="ZV219" s="5207"/>
      <c r="ZW219" s="5207"/>
      <c r="ZX219" s="5207"/>
      <c r="ZY219" s="5207"/>
      <c r="ZZ219" s="5207"/>
      <c r="AAA219" s="5207"/>
      <c r="AAB219" s="5207"/>
      <c r="AAC219" s="5207"/>
      <c r="AAD219" s="5207"/>
      <c r="AAE219" s="5207"/>
      <c r="AAF219" s="5207"/>
      <c r="AAG219" s="5207"/>
      <c r="AAH219" s="5207"/>
      <c r="AAI219" s="5207"/>
      <c r="AAJ219" s="5207"/>
      <c r="AAK219" s="5207"/>
      <c r="AAL219" s="5207"/>
      <c r="AAM219" s="5207"/>
      <c r="AAN219" s="5207"/>
      <c r="AAO219" s="5207"/>
      <c r="AAP219" s="5207"/>
      <c r="AAQ219" s="5207"/>
      <c r="AAR219" s="5207"/>
      <c r="AAS219" s="5207"/>
      <c r="AAT219" s="5207"/>
      <c r="AAU219" s="5207"/>
      <c r="AAV219" s="5207"/>
      <c r="AAW219" s="5207"/>
      <c r="AAX219" s="5207"/>
      <c r="AAY219" s="5207"/>
      <c r="AAZ219" s="5207"/>
      <c r="ABA219" s="5207"/>
      <c r="ABB219" s="5207"/>
      <c r="ABC219" s="5207"/>
      <c r="ABD219" s="5207"/>
      <c r="ABE219" s="5207"/>
      <c r="ABF219" s="5207"/>
      <c r="ABG219" s="5207"/>
      <c r="ABH219" s="5207"/>
      <c r="ABI219" s="5207"/>
      <c r="ABJ219" s="5207"/>
      <c r="ABK219" s="5207"/>
      <c r="ABL219" s="5207"/>
      <c r="ABM219" s="5207"/>
      <c r="ABN219" s="5207"/>
      <c r="ABO219" s="5207"/>
      <c r="ABP219" s="5207"/>
      <c r="ABQ219" s="5207"/>
      <c r="ABR219" s="5207"/>
      <c r="ABS219" s="5207"/>
      <c r="ABT219" s="5207"/>
      <c r="ABU219" s="5207"/>
      <c r="ABV219" s="5207"/>
      <c r="ABW219" s="5207"/>
      <c r="ABX219" s="5207"/>
      <c r="ABY219" s="5207"/>
      <c r="ABZ219" s="5207"/>
      <c r="ACA219" s="5207"/>
      <c r="ACB219" s="5207"/>
      <c r="ACC219" s="5207"/>
      <c r="ACD219" s="5207"/>
      <c r="ACE219" s="5207"/>
      <c r="ACF219" s="5207"/>
      <c r="ACG219" s="5207"/>
      <c r="ACH219" s="5207"/>
      <c r="ACI219" s="5207"/>
      <c r="ACJ219" s="5207"/>
      <c r="ACK219" s="5207"/>
      <c r="ACL219" s="5207"/>
      <c r="ACM219" s="5207"/>
      <c r="ACN219" s="5207"/>
      <c r="ACO219" s="5207"/>
      <c r="ACP219" s="5207"/>
      <c r="ACQ219" s="5207"/>
      <c r="ACR219" s="5207"/>
      <c r="ACS219" s="5207"/>
      <c r="ACT219" s="5207"/>
      <c r="ACU219" s="5207"/>
      <c r="ACV219" s="5207"/>
      <c r="ACW219" s="5207"/>
      <c r="ACX219" s="5207"/>
      <c r="ACY219" s="5207"/>
      <c r="ACZ219" s="5207"/>
      <c r="ADA219" s="5207"/>
      <c r="ADB219" s="5207"/>
      <c r="ADC219" s="5207"/>
      <c r="ADD219" s="5207"/>
      <c r="ADE219" s="5207"/>
      <c r="ADF219" s="5207"/>
      <c r="ADG219" s="5207"/>
      <c r="ADH219" s="5207"/>
      <c r="ADI219" s="5207"/>
      <c r="ADJ219" s="5207"/>
      <c r="ADK219" s="5207"/>
      <c r="ADL219" s="5207"/>
      <c r="ADM219" s="5207"/>
      <c r="ADN219" s="5207"/>
      <c r="ADO219" s="5207"/>
      <c r="ADP219" s="5207"/>
      <c r="ADQ219" s="5207"/>
      <c r="ADR219" s="5207"/>
      <c r="ADS219" s="5207"/>
      <c r="ADT219" s="5207"/>
      <c r="ADU219" s="5207"/>
      <c r="ADV219" s="5207"/>
      <c r="ADW219" s="5207"/>
      <c r="ADX219" s="5207"/>
      <c r="ADY219" s="5207"/>
      <c r="ADZ219" s="5207"/>
      <c r="AEA219" s="5207"/>
      <c r="AEB219" s="5207"/>
      <c r="AEC219" s="5207"/>
      <c r="AED219" s="5207"/>
      <c r="AEE219" s="5207"/>
      <c r="AEF219" s="5207"/>
      <c r="AEG219" s="5207"/>
      <c r="AEH219" s="5207"/>
      <c r="AEI219" s="5207"/>
      <c r="AEJ219" s="5207"/>
      <c r="AEK219" s="5207"/>
      <c r="AEL219" s="5207"/>
      <c r="AEM219" s="5207"/>
      <c r="AEN219" s="5207"/>
      <c r="AEO219" s="5207"/>
      <c r="AEP219" s="5207"/>
      <c r="AEQ219" s="5207"/>
      <c r="AER219" s="5207"/>
      <c r="AES219" s="5207"/>
      <c r="AET219" s="5207"/>
      <c r="AEU219" s="5207"/>
      <c r="AEV219" s="5207"/>
      <c r="AEW219" s="5207"/>
      <c r="AEX219" s="5207"/>
      <c r="AEY219" s="5207"/>
      <c r="AEZ219" s="5207"/>
      <c r="AFA219" s="5207"/>
      <c r="AFB219" s="5207"/>
      <c r="AFC219" s="5207"/>
      <c r="AFD219" s="5207"/>
      <c r="AFE219" s="5207"/>
      <c r="AFF219" s="5207"/>
      <c r="AFG219" s="5207"/>
      <c r="AFH219" s="5207"/>
      <c r="AFI219" s="5207"/>
      <c r="AFJ219" s="5207"/>
      <c r="AFK219" s="5207"/>
      <c r="AFL219" s="5207"/>
      <c r="AFM219" s="5207"/>
      <c r="AFN219" s="5207"/>
      <c r="AFO219" s="5207"/>
      <c r="AFP219" s="5207"/>
      <c r="AFQ219" s="5207"/>
      <c r="AFR219" s="5207"/>
      <c r="AFS219" s="5207"/>
      <c r="AFT219" s="5207"/>
      <c r="AFU219" s="5207"/>
      <c r="AFV219" s="5207"/>
      <c r="AFW219" s="5207"/>
      <c r="AFX219" s="5207"/>
      <c r="AFY219" s="5207"/>
      <c r="AFZ219" s="5207"/>
      <c r="AGA219" s="5207"/>
      <c r="AGB219" s="5207"/>
      <c r="AGC219" s="5207"/>
      <c r="AGD219" s="5207"/>
      <c r="AGE219" s="5207"/>
      <c r="AGF219" s="5207"/>
      <c r="AGG219" s="5207"/>
      <c r="AGH219" s="5207"/>
      <c r="AGI219" s="5207"/>
      <c r="AGJ219" s="5207"/>
      <c r="AGK219" s="5207"/>
      <c r="AGL219" s="5207"/>
      <c r="AGM219" s="5207"/>
      <c r="AGN219" s="5207"/>
      <c r="AGO219" s="5207"/>
      <c r="AGP219" s="5207"/>
      <c r="AGQ219" s="5207"/>
      <c r="AGR219" s="5207"/>
      <c r="AGS219" s="5207"/>
      <c r="AGT219" s="5207"/>
      <c r="AGU219" s="5207"/>
      <c r="AGV219" s="5207"/>
      <c r="AGW219" s="5207"/>
      <c r="AGX219" s="5207"/>
      <c r="AGY219" s="5207"/>
      <c r="AGZ219" s="5207"/>
      <c r="AHA219" s="5207"/>
      <c r="AHB219" s="5207"/>
      <c r="AHC219" s="5207"/>
      <c r="AHD219" s="5207"/>
      <c r="AHE219" s="5207"/>
      <c r="AHF219" s="5207"/>
      <c r="AHG219" s="5207"/>
      <c r="AHH219" s="5207"/>
      <c r="AHI219" s="5207"/>
      <c r="AHJ219" s="5207"/>
      <c r="AHK219" s="5207"/>
      <c r="AHL219" s="5207"/>
      <c r="AHM219" s="5207"/>
      <c r="AHN219" s="5207"/>
      <c r="AHO219" s="5207"/>
      <c r="AHP219" s="5207"/>
      <c r="AHQ219" s="5207"/>
      <c r="AHR219" s="5207"/>
      <c r="AHS219" s="5207"/>
      <c r="AHT219" s="5207"/>
      <c r="AHU219" s="5207"/>
      <c r="AHV219" s="5207"/>
      <c r="AHW219" s="5207"/>
      <c r="AHX219" s="5207"/>
      <c r="AHY219" s="5207"/>
      <c r="AHZ219" s="5207"/>
      <c r="AIA219" s="5207"/>
      <c r="AIB219" s="5207"/>
      <c r="AIC219" s="5207"/>
      <c r="AID219" s="5207"/>
      <c r="AIE219" s="5207"/>
      <c r="AIF219" s="5207"/>
      <c r="AIG219" s="5207"/>
      <c r="AIH219" s="5207"/>
      <c r="AII219" s="5207"/>
      <c r="AIJ219" s="5207"/>
      <c r="AIK219" s="5207"/>
      <c r="AIL219" s="5207"/>
      <c r="AIM219" s="5207"/>
      <c r="AIN219" s="5207"/>
      <c r="AIO219" s="5207"/>
      <c r="AIP219" s="5207"/>
      <c r="AIQ219" s="5207"/>
      <c r="AIR219" s="5207"/>
      <c r="AIS219" s="5207"/>
      <c r="AIT219" s="5207"/>
      <c r="AIU219" s="5207"/>
      <c r="AIV219" s="5207"/>
      <c r="AIW219" s="5207"/>
      <c r="AIX219" s="5207"/>
      <c r="AIY219" s="5207"/>
      <c r="AIZ219" s="5207"/>
      <c r="AJA219" s="5207"/>
      <c r="AJB219" s="5207"/>
      <c r="AJC219" s="5207"/>
      <c r="AJD219" s="5207"/>
      <c r="AJE219" s="5207"/>
      <c r="AJF219" s="5207"/>
      <c r="AJG219" s="5207"/>
      <c r="AJH219" s="5207"/>
      <c r="AJI219" s="5207"/>
      <c r="AJJ219" s="5207"/>
      <c r="AJK219" s="5207"/>
      <c r="AJL219" s="5207"/>
      <c r="AJM219" s="5207"/>
      <c r="AJN219" s="5207"/>
      <c r="AJO219" s="5207"/>
      <c r="AJP219" s="5207"/>
      <c r="AJQ219" s="5207"/>
      <c r="AJR219" s="5207"/>
      <c r="AJS219" s="5207"/>
      <c r="AJT219" s="5207"/>
      <c r="AJU219" s="5207"/>
      <c r="AJV219" s="5207"/>
      <c r="AJW219" s="5207"/>
      <c r="AJX219" s="5207"/>
      <c r="AJY219" s="5207"/>
      <c r="AJZ219" s="5207"/>
      <c r="AKA219" s="5207"/>
      <c r="AKB219" s="5207"/>
      <c r="AKC219" s="5207"/>
      <c r="AKD219" s="5207"/>
      <c r="AKE219" s="5207"/>
      <c r="AKF219" s="5207"/>
      <c r="AKG219" s="5207"/>
      <c r="AKH219" s="5207"/>
      <c r="AKI219" s="5207"/>
      <c r="AKJ219" s="5207"/>
      <c r="AKK219" s="5207"/>
      <c r="AKL219" s="5207"/>
      <c r="AKM219" s="5207"/>
      <c r="AKN219" s="5207"/>
      <c r="AKO219" s="5207"/>
      <c r="AKP219" s="5207"/>
      <c r="AKQ219" s="5207"/>
      <c r="AKR219" s="5207"/>
      <c r="AKS219" s="5207"/>
      <c r="AKT219" s="5207"/>
      <c r="AKU219" s="5207"/>
      <c r="AKV219" s="5207"/>
      <c r="AKW219" s="5207"/>
      <c r="AKX219" s="5207"/>
      <c r="AKY219" s="5207"/>
      <c r="AKZ219" s="5207"/>
      <c r="ALA219" s="5207"/>
      <c r="ALB219" s="5207"/>
      <c r="ALC219" s="5207"/>
      <c r="ALD219" s="5207"/>
      <c r="ALE219" s="5207"/>
      <c r="ALF219" s="5207"/>
      <c r="ALG219" s="5207"/>
      <c r="ALH219" s="5207"/>
      <c r="ALI219" s="5207"/>
      <c r="ALJ219" s="5207"/>
      <c r="ALK219" s="5207"/>
      <c r="ALL219" s="5207"/>
      <c r="ALM219" s="5207"/>
      <c r="ALN219" s="5207"/>
      <c r="ALO219" s="5207"/>
      <c r="ALP219" s="5207"/>
      <c r="ALQ219" s="5207"/>
      <c r="ALR219" s="5207"/>
      <c r="ALS219" s="5207"/>
      <c r="ALT219" s="5207"/>
      <c r="ALU219" s="5207"/>
      <c r="ALV219" s="5207"/>
      <c r="ALW219" s="5207"/>
      <c r="ALX219" s="5207"/>
      <c r="ALY219" s="5207"/>
      <c r="ALZ219" s="5207"/>
      <c r="AMA219" s="5207"/>
      <c r="AMB219" s="5207"/>
      <c r="AMC219" s="5207"/>
      <c r="AMD219" s="5207"/>
      <c r="AME219" s="5207"/>
      <c r="AMF219" s="5207"/>
      <c r="AMG219" s="5207"/>
      <c r="AMH219" s="5207"/>
      <c r="AMI219" s="5207"/>
      <c r="AMJ219" s="5207"/>
      <c r="AMK219" s="5207"/>
      <c r="AML219" s="5207"/>
      <c r="AMM219" s="5207"/>
      <c r="AMN219" s="5207"/>
      <c r="AMO219" s="5207"/>
      <c r="AMP219" s="5207"/>
      <c r="AMQ219" s="5207"/>
      <c r="AMR219" s="5207"/>
      <c r="AMS219" s="5207"/>
      <c r="AMT219" s="5207"/>
      <c r="AMU219" s="5207"/>
      <c r="AMV219" s="5207"/>
      <c r="AMW219" s="5207"/>
      <c r="AMX219" s="5207"/>
      <c r="AMY219" s="5207"/>
      <c r="AMZ219" s="5207"/>
      <c r="ANA219" s="5207"/>
      <c r="ANB219" s="5207"/>
      <c r="ANC219" s="5207"/>
      <c r="AND219" s="5207"/>
      <c r="ANE219" s="5207"/>
      <c r="ANF219" s="5207"/>
      <c r="ANG219" s="5207"/>
      <c r="ANH219" s="5207"/>
      <c r="ANI219" s="5207"/>
      <c r="ANJ219" s="5207"/>
      <c r="ANK219" s="5207"/>
      <c r="ANL219" s="5207"/>
      <c r="ANM219" s="5207"/>
      <c r="ANN219" s="5207"/>
      <c r="ANO219" s="5207"/>
      <c r="ANP219" s="5207"/>
      <c r="ANQ219" s="5207"/>
      <c r="ANR219" s="5207"/>
      <c r="ANS219" s="5207"/>
      <c r="ANT219" s="5207"/>
      <c r="ANU219" s="5207"/>
      <c r="ANV219" s="5207"/>
      <c r="ANW219" s="5207"/>
      <c r="ANX219" s="5207"/>
      <c r="ANY219" s="5207"/>
      <c r="ANZ219" s="5207"/>
      <c r="AOA219" s="5207"/>
      <c r="AOB219" s="5207"/>
      <c r="AOC219" s="5207"/>
      <c r="AOD219" s="5207"/>
      <c r="AOE219" s="5207"/>
      <c r="AOF219" s="5207"/>
      <c r="AOG219" s="5207"/>
      <c r="AOH219" s="5207"/>
      <c r="AOI219" s="5207"/>
      <c r="AOJ219" s="5207"/>
      <c r="AOK219" s="5207"/>
      <c r="AOL219" s="5207"/>
      <c r="AOM219" s="5207"/>
      <c r="AON219" s="5207"/>
      <c r="AOO219" s="5207"/>
      <c r="AOP219" s="5207"/>
      <c r="AOQ219" s="5207"/>
      <c r="AOR219" s="5207"/>
      <c r="AOS219" s="5207"/>
      <c r="AOT219" s="5207"/>
      <c r="AOU219" s="5207"/>
      <c r="AOV219" s="5207"/>
      <c r="AOW219" s="5207"/>
      <c r="AOX219" s="5207"/>
      <c r="AOY219" s="5207"/>
      <c r="AOZ219" s="5207"/>
      <c r="APA219" s="5207"/>
      <c r="APB219" s="5207"/>
      <c r="APC219" s="5207"/>
      <c r="APD219" s="5207"/>
      <c r="APE219" s="5207"/>
      <c r="APF219" s="5207"/>
      <c r="APG219" s="5207"/>
      <c r="APH219" s="5207"/>
      <c r="API219" s="5207"/>
      <c r="APJ219" s="5207"/>
      <c r="APK219" s="5207"/>
      <c r="APL219" s="5207"/>
      <c r="APM219" s="5207"/>
      <c r="APN219" s="5207"/>
      <c r="APO219" s="5207"/>
      <c r="APP219" s="5207"/>
      <c r="APQ219" s="5207"/>
      <c r="APR219" s="5207"/>
      <c r="APS219" s="5207"/>
      <c r="APT219" s="5207"/>
      <c r="APU219" s="5207"/>
      <c r="APV219" s="5207"/>
      <c r="APW219" s="5207"/>
      <c r="APX219" s="5207"/>
      <c r="APY219" s="5207"/>
      <c r="APZ219" s="5207"/>
      <c r="AQA219" s="5207"/>
      <c r="AQB219" s="5207"/>
      <c r="AQC219" s="5207"/>
      <c r="AQD219" s="5207"/>
      <c r="AQE219" s="5207"/>
      <c r="AQF219" s="5207"/>
      <c r="AQG219" s="5207"/>
      <c r="AQH219" s="5207"/>
      <c r="AQI219" s="5207"/>
      <c r="AQJ219" s="5207"/>
      <c r="AQK219" s="5207"/>
      <c r="AQL219" s="5207"/>
      <c r="AQM219" s="5207"/>
      <c r="AQN219" s="5207"/>
      <c r="AQO219" s="5207"/>
      <c r="AQP219" s="5207"/>
      <c r="AQQ219" s="5207"/>
      <c r="AQR219" s="5207"/>
      <c r="AQS219" s="5207"/>
      <c r="AQT219" s="5207"/>
      <c r="AQU219" s="5207"/>
      <c r="AQV219" s="5207"/>
      <c r="AQW219" s="5207"/>
      <c r="AQX219" s="5207"/>
      <c r="AQY219" s="5207"/>
      <c r="AQZ219" s="5207"/>
      <c r="ARA219" s="5207"/>
      <c r="ARB219" s="5207"/>
      <c r="ARC219" s="5207"/>
      <c r="ARD219" s="5207"/>
      <c r="ARE219" s="5207"/>
      <c r="ARF219" s="5207"/>
      <c r="ARG219" s="5207"/>
      <c r="ARH219" s="5207"/>
      <c r="ARI219" s="5207"/>
      <c r="ARJ219" s="5207"/>
      <c r="ARK219" s="5207"/>
      <c r="ARL219" s="5207"/>
      <c r="ARM219" s="5207"/>
      <c r="ARN219" s="5207"/>
      <c r="ARO219" s="5207"/>
      <c r="ARP219" s="5207"/>
      <c r="ARQ219" s="5207"/>
      <c r="ARR219" s="5207"/>
      <c r="ARS219" s="5207"/>
      <c r="ART219" s="5207"/>
      <c r="ARU219" s="5207"/>
      <c r="ARV219" s="5207"/>
      <c r="ARW219" s="5207"/>
      <c r="ARX219" s="5207"/>
      <c r="ARY219" s="5207"/>
      <c r="ARZ219" s="5207"/>
      <c r="ASA219" s="5207"/>
      <c r="ASB219" s="5207"/>
      <c r="ASC219" s="5207"/>
      <c r="ASD219" s="5207"/>
      <c r="ASE219" s="5207"/>
      <c r="ASF219" s="5207"/>
      <c r="ASG219" s="5207"/>
      <c r="ASH219" s="5207"/>
      <c r="ASI219" s="5207"/>
      <c r="ASJ219" s="5207"/>
      <c r="ASK219" s="5207"/>
      <c r="ASL219" s="5207"/>
      <c r="ASM219" s="5207"/>
      <c r="ASN219" s="5207"/>
      <c r="ASO219" s="5207"/>
      <c r="ASP219" s="5207"/>
      <c r="ASQ219" s="5207"/>
      <c r="ASR219" s="5207"/>
      <c r="ASS219" s="5207"/>
      <c r="AST219" s="5207"/>
      <c r="ASU219" s="5207"/>
      <c r="ASV219" s="5207"/>
      <c r="ASW219" s="5207"/>
      <c r="ASX219" s="5207"/>
      <c r="ASY219" s="5207"/>
      <c r="ASZ219" s="5207"/>
      <c r="ATA219" s="5207"/>
      <c r="ATB219" s="5207"/>
      <c r="ATC219" s="5207"/>
      <c r="ATD219" s="5207"/>
      <c r="ATE219" s="5207"/>
      <c r="ATF219" s="5207"/>
      <c r="ATG219" s="5207"/>
      <c r="ATH219" s="5207"/>
      <c r="ATI219" s="5207"/>
      <c r="ATJ219" s="5207"/>
      <c r="ATK219" s="5207"/>
      <c r="ATL219" s="5207"/>
      <c r="ATM219" s="5207"/>
      <c r="ATN219" s="5207"/>
      <c r="ATO219" s="5207"/>
      <c r="ATP219" s="5207"/>
      <c r="ATQ219" s="5207"/>
      <c r="ATR219" s="5207"/>
      <c r="ATS219" s="5207"/>
      <c r="ATT219" s="5207"/>
      <c r="ATU219" s="5207"/>
      <c r="ATV219" s="5207"/>
      <c r="ATW219" s="5207"/>
      <c r="ATX219" s="5207"/>
      <c r="ATY219" s="5207"/>
      <c r="ATZ219" s="5207"/>
      <c r="AUA219" s="5207"/>
      <c r="AUB219" s="5207"/>
      <c r="AUC219" s="5207"/>
      <c r="AUD219" s="5207"/>
      <c r="AUE219" s="5207"/>
      <c r="AUF219" s="5207"/>
      <c r="AUG219" s="5207"/>
      <c r="AUH219" s="5207"/>
      <c r="AUI219" s="5207"/>
      <c r="AUJ219" s="5207"/>
      <c r="AUK219" s="5207"/>
      <c r="AUL219" s="5207"/>
      <c r="AUM219" s="5207"/>
      <c r="AUN219" s="5207"/>
      <c r="AUO219" s="5207"/>
      <c r="AUP219" s="5207"/>
      <c r="AUQ219" s="5207"/>
      <c r="AUR219" s="5207"/>
      <c r="AUS219" s="5207"/>
      <c r="AUT219" s="5207"/>
      <c r="AUU219" s="5207"/>
      <c r="AUV219" s="5207"/>
      <c r="AUW219" s="5207"/>
      <c r="AUX219" s="5207"/>
      <c r="AUY219" s="5207"/>
      <c r="AUZ219" s="5207"/>
      <c r="AVA219" s="5207"/>
      <c r="AVB219" s="5207"/>
      <c r="AVC219" s="5207"/>
      <c r="AVD219" s="5207"/>
      <c r="AVE219" s="5207"/>
      <c r="AVF219" s="5207"/>
      <c r="AVG219" s="5207"/>
      <c r="AVH219" s="5207"/>
      <c r="AVI219" s="5207"/>
      <c r="AVJ219" s="5207"/>
      <c r="AVK219" s="5207"/>
      <c r="AVL219" s="5207"/>
      <c r="AVM219" s="5207"/>
      <c r="AVN219" s="5207"/>
      <c r="AVO219" s="5207"/>
      <c r="AVP219" s="5207"/>
      <c r="AVQ219" s="5207"/>
      <c r="AVR219" s="5207"/>
      <c r="AVS219" s="5207"/>
      <c r="AVT219" s="5207"/>
      <c r="AVU219" s="5207"/>
      <c r="AVV219" s="5207"/>
      <c r="AVW219" s="5207"/>
      <c r="AVX219" s="5207"/>
      <c r="AVY219" s="5207"/>
      <c r="AVZ219" s="5207"/>
      <c r="AWA219" s="5207"/>
      <c r="AWB219" s="5207"/>
      <c r="AWC219" s="5207"/>
      <c r="AWD219" s="5207"/>
      <c r="AWE219" s="5207"/>
      <c r="AWF219" s="5207"/>
      <c r="AWG219" s="5207"/>
      <c r="AWH219" s="5207"/>
      <c r="AWI219" s="5207"/>
      <c r="AWJ219" s="5207"/>
      <c r="AWK219" s="5207"/>
      <c r="AWL219" s="5207"/>
      <c r="AWM219" s="5207"/>
      <c r="AWN219" s="5207"/>
      <c r="AWO219" s="5207"/>
      <c r="AWP219" s="5207"/>
      <c r="AWQ219" s="5207"/>
      <c r="AWR219" s="5207"/>
      <c r="AWS219" s="5207"/>
      <c r="AWT219" s="5207"/>
      <c r="AWU219" s="5207"/>
      <c r="AWV219" s="5207"/>
      <c r="AWW219" s="5207"/>
      <c r="AWX219" s="5207"/>
      <c r="AWY219" s="5207"/>
      <c r="AWZ219" s="5207"/>
      <c r="AXA219" s="5207"/>
      <c r="AXB219" s="5207"/>
      <c r="AXC219" s="5207"/>
      <c r="AXD219" s="5207"/>
      <c r="AXE219" s="5207"/>
      <c r="AXF219" s="5207"/>
      <c r="AXG219" s="5207"/>
      <c r="AXH219" s="5207"/>
      <c r="AXI219" s="5207"/>
      <c r="AXJ219" s="5207"/>
    </row>
    <row r="220" spans="1:1310" s="5208" customFormat="1" ht="23.25" customHeight="1">
      <c r="A220" s="5209"/>
      <c r="B220" s="5210" t="s">
        <v>860</v>
      </c>
      <c r="C220" s="5210"/>
      <c r="D220" s="5210"/>
      <c r="E220" s="5210"/>
      <c r="F220" s="5210"/>
      <c r="G220" s="5210"/>
      <c r="H220" s="5210"/>
      <c r="I220" s="5210"/>
      <c r="J220" s="5210"/>
      <c r="K220" s="5210"/>
      <c r="L220" s="5210"/>
      <c r="M220" s="5210"/>
      <c r="N220" s="5210"/>
      <c r="O220" s="5210"/>
      <c r="P220" s="5210"/>
      <c r="Q220" s="5210"/>
      <c r="R220" s="95"/>
      <c r="S220" s="95"/>
      <c r="T220" s="95"/>
      <c r="U220" s="95"/>
      <c r="V220" s="95"/>
      <c r="W220" s="95"/>
      <c r="X220" s="95"/>
      <c r="Y220" s="95"/>
      <c r="Z220" s="95"/>
      <c r="AA220" s="95"/>
      <c r="AB220" s="95"/>
      <c r="AC220" s="95"/>
      <c r="AD220" s="5207"/>
      <c r="AE220" s="5207"/>
      <c r="AF220" s="5207"/>
      <c r="AG220" s="5207"/>
      <c r="AH220" s="5207"/>
      <c r="AI220" s="5207"/>
      <c r="AJ220" s="5207"/>
      <c r="AK220" s="5207"/>
      <c r="AL220" s="5207"/>
      <c r="AM220" s="5207"/>
      <c r="AN220" s="5207"/>
      <c r="AO220" s="5207"/>
      <c r="AP220" s="5207"/>
      <c r="AQ220" s="5207"/>
      <c r="AR220" s="5207"/>
      <c r="AS220" s="5207"/>
      <c r="AT220" s="5207"/>
      <c r="AU220" s="5207"/>
      <c r="AV220" s="5207"/>
      <c r="AW220" s="5207"/>
      <c r="AX220" s="5207"/>
      <c r="AY220" s="5207"/>
      <c r="AZ220" s="5207"/>
      <c r="BA220" s="5207"/>
      <c r="BB220" s="5207"/>
      <c r="BC220" s="5207"/>
      <c r="BD220" s="5207"/>
      <c r="BE220" s="5207"/>
      <c r="BF220" s="5207"/>
      <c r="BG220" s="5207"/>
      <c r="BH220" s="5207"/>
      <c r="BI220" s="5207"/>
      <c r="BJ220" s="5207"/>
      <c r="BK220" s="5207"/>
      <c r="BL220" s="5207"/>
      <c r="BM220" s="5207"/>
      <c r="BN220" s="5207"/>
      <c r="BO220" s="5207"/>
      <c r="BP220" s="5207"/>
      <c r="BQ220" s="5207"/>
      <c r="BR220" s="5207"/>
      <c r="BS220" s="5207"/>
      <c r="BT220" s="5207"/>
      <c r="BU220" s="5207"/>
      <c r="BV220" s="5207"/>
      <c r="BW220" s="5207"/>
      <c r="BX220" s="5207"/>
      <c r="BY220" s="5207"/>
      <c r="BZ220" s="5207"/>
      <c r="CA220" s="5207"/>
      <c r="CB220" s="5207"/>
      <c r="CC220" s="5207"/>
      <c r="CD220" s="5207"/>
      <c r="CE220" s="5207"/>
      <c r="CF220" s="5207"/>
      <c r="CG220" s="5207"/>
      <c r="CH220" s="5207"/>
      <c r="CI220" s="5207"/>
      <c r="CJ220" s="5207"/>
      <c r="CK220" s="5207"/>
      <c r="CL220" s="5207"/>
      <c r="CM220" s="5207"/>
      <c r="CN220" s="5207"/>
      <c r="CO220" s="5207"/>
      <c r="CP220" s="5207"/>
      <c r="CQ220" s="5207"/>
      <c r="CR220" s="5207"/>
      <c r="CS220" s="5207"/>
      <c r="CT220" s="5207"/>
      <c r="CU220" s="5207"/>
      <c r="CV220" s="5207"/>
      <c r="CW220" s="5207"/>
      <c r="CX220" s="5207"/>
      <c r="CY220" s="5207"/>
      <c r="CZ220" s="5207"/>
      <c r="DA220" s="5207"/>
      <c r="DB220" s="5207"/>
      <c r="DC220" s="5207"/>
      <c r="DD220" s="5207"/>
      <c r="DE220" s="5207"/>
      <c r="DF220" s="5207"/>
      <c r="DG220" s="5207"/>
      <c r="DH220" s="5207"/>
      <c r="DI220" s="5207"/>
      <c r="DJ220" s="5207"/>
      <c r="DK220" s="5207"/>
      <c r="DL220" s="5207"/>
      <c r="DM220" s="5207"/>
      <c r="DN220" s="5207"/>
      <c r="DO220" s="5207"/>
      <c r="DP220" s="5207"/>
      <c r="DQ220" s="5207"/>
      <c r="DR220" s="5207"/>
      <c r="DS220" s="5207"/>
      <c r="DT220" s="5207"/>
      <c r="DU220" s="5207"/>
      <c r="DV220" s="5207"/>
      <c r="DW220" s="5207"/>
      <c r="DX220" s="5207"/>
      <c r="DY220" s="5207"/>
      <c r="DZ220" s="5207"/>
      <c r="EA220" s="5207"/>
      <c r="EB220" s="5207"/>
      <c r="EC220" s="5207"/>
      <c r="ED220" s="5207"/>
      <c r="EE220" s="5207"/>
      <c r="EF220" s="5207"/>
      <c r="EG220" s="5207"/>
      <c r="EH220" s="5207"/>
      <c r="EI220" s="5207"/>
      <c r="EJ220" s="5207"/>
      <c r="EK220" s="5207"/>
      <c r="EL220" s="5207"/>
      <c r="EM220" s="5207"/>
      <c r="EN220" s="5207"/>
      <c r="EO220" s="5207"/>
      <c r="EP220" s="5207"/>
      <c r="EQ220" s="5207"/>
      <c r="ER220" s="5207"/>
      <c r="ES220" s="5207"/>
      <c r="ET220" s="5207"/>
      <c r="EU220" s="5207"/>
      <c r="EV220" s="5207"/>
      <c r="EW220" s="5207"/>
      <c r="EX220" s="5207"/>
      <c r="EY220" s="5207"/>
      <c r="EZ220" s="5207"/>
      <c r="FA220" s="5207"/>
      <c r="FB220" s="5207"/>
      <c r="FC220" s="5207"/>
      <c r="FD220" s="5207"/>
      <c r="FE220" s="5207"/>
      <c r="FF220" s="5207"/>
      <c r="FG220" s="5207"/>
      <c r="FH220" s="5207"/>
      <c r="FI220" s="5207"/>
      <c r="FJ220" s="5207"/>
      <c r="FK220" s="5207"/>
      <c r="FL220" s="5207"/>
      <c r="FM220" s="5207"/>
      <c r="FN220" s="5207"/>
      <c r="FO220" s="5207"/>
      <c r="FP220" s="5207"/>
      <c r="FQ220" s="5207"/>
      <c r="FR220" s="5207"/>
      <c r="FS220" s="5207"/>
      <c r="FT220" s="5207"/>
      <c r="FU220" s="5207"/>
      <c r="FV220" s="5207"/>
      <c r="FW220" s="5207"/>
      <c r="FX220" s="5207"/>
      <c r="FY220" s="5207"/>
      <c r="FZ220" s="5207"/>
      <c r="GA220" s="5207"/>
      <c r="GB220" s="5207"/>
      <c r="GC220" s="5207"/>
      <c r="GD220" s="5207"/>
      <c r="GE220" s="5207"/>
      <c r="GF220" s="5207"/>
      <c r="GG220" s="5207"/>
      <c r="GH220" s="5207"/>
      <c r="GI220" s="5207"/>
      <c r="GJ220" s="5207"/>
      <c r="GK220" s="5207"/>
      <c r="GL220" s="5207"/>
      <c r="GM220" s="5207"/>
      <c r="GN220" s="5207"/>
      <c r="GO220" s="5207"/>
      <c r="GP220" s="5207"/>
      <c r="GQ220" s="5207"/>
      <c r="GR220" s="5207"/>
      <c r="GS220" s="5207"/>
      <c r="GT220" s="5207"/>
      <c r="GU220" s="5207"/>
      <c r="GV220" s="5207"/>
      <c r="GW220" s="5207"/>
      <c r="GX220" s="5207"/>
      <c r="GY220" s="5207"/>
      <c r="GZ220" s="5207"/>
      <c r="HA220" s="5207"/>
      <c r="HB220" s="5207"/>
      <c r="HC220" s="5207"/>
      <c r="HD220" s="5207"/>
      <c r="HE220" s="5207"/>
      <c r="HF220" s="5207"/>
      <c r="HG220" s="5207"/>
      <c r="HH220" s="5207"/>
      <c r="HI220" s="5207"/>
      <c r="HJ220" s="5207"/>
      <c r="HK220" s="5207"/>
      <c r="HL220" s="5207"/>
      <c r="HM220" s="5207"/>
      <c r="HN220" s="5207"/>
      <c r="HO220" s="5207"/>
      <c r="HP220" s="5207"/>
      <c r="HQ220" s="5207"/>
      <c r="HR220" s="5207"/>
      <c r="HS220" s="5207"/>
      <c r="HT220" s="5207"/>
      <c r="HU220" s="5207"/>
      <c r="HV220" s="5207"/>
      <c r="HW220" s="5207"/>
      <c r="HX220" s="5207"/>
      <c r="HY220" s="5207"/>
      <c r="HZ220" s="5207"/>
      <c r="IA220" s="5207"/>
      <c r="IB220" s="5207"/>
      <c r="IC220" s="5207"/>
      <c r="ID220" s="5207"/>
      <c r="IE220" s="5207"/>
      <c r="IF220" s="5207"/>
      <c r="IG220" s="5207"/>
      <c r="IH220" s="5207"/>
      <c r="II220" s="5207"/>
      <c r="IJ220" s="5207"/>
      <c r="IK220" s="5207"/>
      <c r="IL220" s="5207"/>
      <c r="IM220" s="5207"/>
      <c r="IN220" s="5207"/>
      <c r="IO220" s="5207"/>
      <c r="IP220" s="5207"/>
      <c r="IQ220" s="5207"/>
      <c r="IR220" s="5207"/>
      <c r="IS220" s="5207"/>
      <c r="IT220" s="5207"/>
      <c r="IU220" s="5207"/>
      <c r="IV220" s="5207"/>
      <c r="IW220" s="5207"/>
      <c r="IX220" s="5207"/>
      <c r="IY220" s="5207"/>
      <c r="IZ220" s="5207"/>
      <c r="JA220" s="5207"/>
      <c r="JB220" s="5207"/>
      <c r="JC220" s="5207"/>
      <c r="JD220" s="5207"/>
      <c r="JE220" s="5207"/>
      <c r="JF220" s="5207"/>
      <c r="JG220" s="5207"/>
      <c r="JH220" s="5207"/>
      <c r="JI220" s="5207"/>
      <c r="JJ220" s="5207"/>
      <c r="JK220" s="5207"/>
      <c r="JL220" s="5207"/>
      <c r="JM220" s="5207"/>
      <c r="JN220" s="5207"/>
      <c r="JO220" s="5207"/>
      <c r="JP220" s="5207"/>
      <c r="JQ220" s="5207"/>
      <c r="JR220" s="5207"/>
      <c r="JS220" s="5207"/>
      <c r="JT220" s="5207"/>
      <c r="JU220" s="5207"/>
      <c r="JV220" s="5207"/>
      <c r="JW220" s="5207"/>
      <c r="JX220" s="5207"/>
      <c r="JY220" s="5207"/>
      <c r="JZ220" s="5207"/>
      <c r="KA220" s="5207"/>
      <c r="KB220" s="5207"/>
      <c r="KC220" s="5207"/>
      <c r="KD220" s="5207"/>
      <c r="KE220" s="5207"/>
      <c r="KF220" s="5207"/>
      <c r="KG220" s="5207"/>
      <c r="KH220" s="5207"/>
      <c r="KI220" s="5207"/>
      <c r="KJ220" s="5207"/>
      <c r="KK220" s="5207"/>
      <c r="KL220" s="5207"/>
      <c r="KM220" s="5207"/>
      <c r="KN220" s="5207"/>
      <c r="KO220" s="5207"/>
      <c r="KP220" s="5207"/>
      <c r="KQ220" s="5207"/>
      <c r="KR220" s="5207"/>
      <c r="KS220" s="5207"/>
      <c r="KT220" s="5207"/>
      <c r="KU220" s="5207"/>
      <c r="KV220" s="5207"/>
      <c r="KW220" s="5207"/>
      <c r="KX220" s="5207"/>
      <c r="KY220" s="5207"/>
      <c r="KZ220" s="5207"/>
      <c r="LA220" s="5207"/>
      <c r="LB220" s="5207"/>
      <c r="LC220" s="5207"/>
      <c r="LD220" s="5207"/>
      <c r="LE220" s="5207"/>
      <c r="LF220" s="5207"/>
      <c r="LG220" s="5207"/>
      <c r="LH220" s="5207"/>
      <c r="LI220" s="5207"/>
      <c r="LJ220" s="5207"/>
      <c r="LK220" s="5207"/>
      <c r="LL220" s="5207"/>
      <c r="LM220" s="5207"/>
      <c r="LN220" s="5207"/>
      <c r="LO220" s="5207"/>
      <c r="LP220" s="5207"/>
      <c r="LQ220" s="5207"/>
      <c r="LR220" s="5207"/>
      <c r="LS220" s="5207"/>
      <c r="LT220" s="5207"/>
      <c r="LU220" s="5207"/>
      <c r="LV220" s="5207"/>
      <c r="LW220" s="5207"/>
      <c r="LX220" s="5207"/>
      <c r="LY220" s="5207"/>
      <c r="LZ220" s="5207"/>
      <c r="MA220" s="5207"/>
      <c r="MB220" s="5207"/>
      <c r="MC220" s="5207"/>
      <c r="MD220" s="5207"/>
      <c r="ME220" s="5207"/>
      <c r="MF220" s="5207"/>
      <c r="MG220" s="5207"/>
      <c r="MH220" s="5207"/>
      <c r="MI220" s="5207"/>
      <c r="MJ220" s="5207"/>
      <c r="MK220" s="5207"/>
      <c r="ML220" s="5207"/>
      <c r="MM220" s="5207"/>
      <c r="MN220" s="5207"/>
      <c r="MO220" s="5207"/>
      <c r="MP220" s="5207"/>
      <c r="MQ220" s="5207"/>
      <c r="MR220" s="5207"/>
      <c r="MS220" s="5207"/>
      <c r="MT220" s="5207"/>
      <c r="MU220" s="5207"/>
      <c r="MV220" s="5207"/>
      <c r="MW220" s="5207"/>
      <c r="MX220" s="5207"/>
      <c r="MY220" s="5207"/>
      <c r="MZ220" s="5207"/>
      <c r="NA220" s="5207"/>
      <c r="NB220" s="5207"/>
      <c r="NC220" s="5207"/>
      <c r="ND220" s="5207"/>
      <c r="NE220" s="5207"/>
      <c r="NF220" s="5207"/>
      <c r="NG220" s="5207"/>
      <c r="NH220" s="5207"/>
      <c r="NI220" s="5207"/>
      <c r="NJ220" s="5207"/>
      <c r="NK220" s="5207"/>
      <c r="NL220" s="5207"/>
      <c r="NM220" s="5207"/>
      <c r="NN220" s="5207"/>
      <c r="NO220" s="5207"/>
      <c r="NP220" s="5207"/>
      <c r="NQ220" s="5207"/>
      <c r="NR220" s="5207"/>
      <c r="NS220" s="5207"/>
      <c r="NT220" s="5207"/>
      <c r="NU220" s="5207"/>
      <c r="NV220" s="5207"/>
      <c r="NW220" s="5207"/>
      <c r="NX220" s="5207"/>
      <c r="NY220" s="5207"/>
      <c r="NZ220" s="5207"/>
      <c r="OA220" s="5207"/>
      <c r="OB220" s="5207"/>
      <c r="OC220" s="5207"/>
      <c r="OD220" s="5207"/>
      <c r="OE220" s="5207"/>
      <c r="OF220" s="5207"/>
      <c r="OG220" s="5207"/>
      <c r="OH220" s="5207"/>
      <c r="OI220" s="5207"/>
      <c r="OJ220" s="5207"/>
      <c r="OK220" s="5207"/>
      <c r="OL220" s="5207"/>
      <c r="OM220" s="5207"/>
      <c r="ON220" s="5207"/>
      <c r="OO220" s="5207"/>
      <c r="OP220" s="5207"/>
      <c r="OQ220" s="5207"/>
      <c r="OR220" s="5207"/>
      <c r="OS220" s="5207"/>
      <c r="OT220" s="5207"/>
      <c r="OU220" s="5207"/>
      <c r="OV220" s="5207"/>
      <c r="OW220" s="5207"/>
      <c r="OX220" s="5207"/>
      <c r="OY220" s="5207"/>
      <c r="OZ220" s="5207"/>
      <c r="PA220" s="5207"/>
      <c r="PB220" s="5207"/>
      <c r="PC220" s="5207"/>
      <c r="PD220" s="5207"/>
      <c r="PE220" s="5207"/>
      <c r="PF220" s="5207"/>
      <c r="PG220" s="5207"/>
      <c r="PH220" s="5207"/>
      <c r="PI220" s="5207"/>
      <c r="PJ220" s="5207"/>
      <c r="PK220" s="5207"/>
      <c r="PL220" s="5207"/>
      <c r="PM220" s="5207"/>
      <c r="PN220" s="5207"/>
      <c r="PO220" s="5207"/>
      <c r="PP220" s="5207"/>
      <c r="PQ220" s="5207"/>
      <c r="PR220" s="5207"/>
      <c r="PS220" s="5207"/>
      <c r="PT220" s="5207"/>
      <c r="PU220" s="5207"/>
      <c r="PV220" s="5207"/>
      <c r="PW220" s="5207"/>
      <c r="PX220" s="5207"/>
      <c r="PY220" s="5207"/>
      <c r="PZ220" s="5207"/>
      <c r="QA220" s="5207"/>
      <c r="QB220" s="5207"/>
      <c r="QC220" s="5207"/>
      <c r="QD220" s="5207"/>
      <c r="QE220" s="5207"/>
      <c r="QF220" s="5207"/>
      <c r="QG220" s="5207"/>
      <c r="QH220" s="5207"/>
      <c r="QI220" s="5207"/>
      <c r="QJ220" s="5207"/>
      <c r="QK220" s="5207"/>
      <c r="QL220" s="5207"/>
      <c r="QM220" s="5207"/>
      <c r="QN220" s="5207"/>
      <c r="QO220" s="5207"/>
      <c r="QP220" s="5207"/>
      <c r="QQ220" s="5207"/>
      <c r="QR220" s="5207"/>
      <c r="QS220" s="5207"/>
      <c r="QT220" s="5207"/>
      <c r="QU220" s="5207"/>
      <c r="QV220" s="5207"/>
      <c r="QW220" s="5207"/>
      <c r="QX220" s="5207"/>
      <c r="QY220" s="5207"/>
      <c r="QZ220" s="5207"/>
      <c r="RA220" s="5207"/>
      <c r="RB220" s="5207"/>
      <c r="RC220" s="5207"/>
      <c r="RD220" s="5207"/>
      <c r="RE220" s="5207"/>
      <c r="RF220" s="5207"/>
      <c r="RG220" s="5207"/>
      <c r="RH220" s="5207"/>
      <c r="RI220" s="5207"/>
      <c r="RJ220" s="5207"/>
      <c r="RK220" s="5207"/>
      <c r="RL220" s="5207"/>
      <c r="RM220" s="5207"/>
      <c r="RN220" s="5207"/>
      <c r="RO220" s="5207"/>
      <c r="RP220" s="5207"/>
      <c r="RQ220" s="5207"/>
      <c r="RR220" s="5207"/>
      <c r="RS220" s="5207"/>
      <c r="RT220" s="5207"/>
      <c r="RU220" s="5207"/>
      <c r="RV220" s="5207"/>
      <c r="RW220" s="5207"/>
      <c r="RX220" s="5207"/>
      <c r="RY220" s="5207"/>
      <c r="RZ220" s="5207"/>
      <c r="SA220" s="5207"/>
      <c r="SB220" s="5207"/>
      <c r="SC220" s="5207"/>
      <c r="SD220" s="5207"/>
      <c r="SE220" s="5207"/>
      <c r="SF220" s="5207"/>
      <c r="SG220" s="5207"/>
      <c r="SH220" s="5207"/>
      <c r="SI220" s="5207"/>
      <c r="SJ220" s="5207"/>
      <c r="SK220" s="5207"/>
      <c r="SL220" s="5207"/>
      <c r="SM220" s="5207"/>
      <c r="SN220" s="5207"/>
      <c r="SO220" s="5207"/>
      <c r="SP220" s="5207"/>
      <c r="SQ220" s="5207"/>
      <c r="SR220" s="5207"/>
      <c r="SS220" s="5207"/>
      <c r="ST220" s="5207"/>
      <c r="SU220" s="5207"/>
      <c r="SV220" s="5207"/>
      <c r="SW220" s="5207"/>
      <c r="SX220" s="5207"/>
      <c r="SY220" s="5207"/>
      <c r="SZ220" s="5207"/>
      <c r="TA220" s="5207"/>
      <c r="TB220" s="5207"/>
      <c r="TC220" s="5207"/>
      <c r="TD220" s="5207"/>
      <c r="TE220" s="5207"/>
      <c r="TF220" s="5207"/>
      <c r="TG220" s="5207"/>
      <c r="TH220" s="5207"/>
      <c r="TI220" s="5207"/>
      <c r="TJ220" s="5207"/>
      <c r="TK220" s="5207"/>
      <c r="TL220" s="5207"/>
      <c r="TM220" s="5207"/>
      <c r="TN220" s="5207"/>
      <c r="TO220" s="5207"/>
      <c r="TP220" s="5207"/>
      <c r="TQ220" s="5207"/>
      <c r="TR220" s="5207"/>
      <c r="TS220" s="5207"/>
      <c r="TT220" s="5207"/>
      <c r="TU220" s="5207"/>
      <c r="TV220" s="5207"/>
      <c r="TW220" s="5207"/>
      <c r="TX220" s="5207"/>
      <c r="TY220" s="5207"/>
      <c r="TZ220" s="5207"/>
      <c r="UA220" s="5207"/>
      <c r="UB220" s="5207"/>
      <c r="UC220" s="5207"/>
      <c r="UD220" s="5207"/>
      <c r="UE220" s="5207"/>
      <c r="UF220" s="5207"/>
      <c r="UG220" s="5207"/>
      <c r="UH220" s="5207"/>
      <c r="UI220" s="5207"/>
      <c r="UJ220" s="5207"/>
      <c r="UK220" s="5207"/>
      <c r="UL220" s="5207"/>
      <c r="UM220" s="5207"/>
      <c r="UN220" s="5207"/>
      <c r="UO220" s="5207"/>
      <c r="UP220" s="5207"/>
      <c r="UQ220" s="5207"/>
      <c r="UR220" s="5207"/>
      <c r="US220" s="5207"/>
      <c r="UT220" s="5207"/>
      <c r="UU220" s="5207"/>
      <c r="UV220" s="5207"/>
      <c r="UW220" s="5207"/>
      <c r="UX220" s="5207"/>
      <c r="UY220" s="5207"/>
      <c r="UZ220" s="5207"/>
      <c r="VA220" s="5207"/>
      <c r="VB220" s="5207"/>
      <c r="VC220" s="5207"/>
      <c r="VD220" s="5207"/>
      <c r="VE220" s="5207"/>
      <c r="VF220" s="5207"/>
      <c r="VG220" s="5207"/>
      <c r="VH220" s="5207"/>
      <c r="VI220" s="5207"/>
      <c r="VJ220" s="5207"/>
      <c r="VK220" s="5207"/>
      <c r="VL220" s="5207"/>
      <c r="VM220" s="5207"/>
      <c r="VN220" s="5207"/>
      <c r="VO220" s="5207"/>
      <c r="VP220" s="5207"/>
      <c r="VQ220" s="5207"/>
      <c r="VR220" s="5207"/>
      <c r="VS220" s="5207"/>
      <c r="VT220" s="5207"/>
      <c r="VU220" s="5207"/>
      <c r="VV220" s="5207"/>
      <c r="VW220" s="5207"/>
      <c r="VX220" s="5207"/>
      <c r="VY220" s="5207"/>
      <c r="VZ220" s="5207"/>
      <c r="WA220" s="5207"/>
      <c r="WB220" s="5207"/>
      <c r="WC220" s="5207"/>
      <c r="WD220" s="5207"/>
      <c r="WE220" s="5207"/>
      <c r="WF220" s="5207"/>
      <c r="WG220" s="5207"/>
      <c r="WH220" s="5207"/>
      <c r="WI220" s="5207"/>
      <c r="WJ220" s="5207"/>
      <c r="WK220" s="5207"/>
      <c r="WL220" s="5207"/>
      <c r="WM220" s="5207"/>
      <c r="WN220" s="5207"/>
      <c r="WO220" s="5207"/>
      <c r="WP220" s="5207"/>
      <c r="WQ220" s="5207"/>
      <c r="WR220" s="5207"/>
      <c r="WS220" s="5207"/>
      <c r="WT220" s="5207"/>
      <c r="WU220" s="5207"/>
      <c r="WV220" s="5207"/>
      <c r="WW220" s="5207"/>
      <c r="WX220" s="5207"/>
      <c r="WY220" s="5207"/>
      <c r="WZ220" s="5207"/>
      <c r="XA220" s="5207"/>
      <c r="XB220" s="5207"/>
      <c r="XC220" s="5207"/>
      <c r="XD220" s="5207"/>
      <c r="XE220" s="5207"/>
      <c r="XF220" s="5207"/>
      <c r="XG220" s="5207"/>
      <c r="XH220" s="5207"/>
      <c r="XI220" s="5207"/>
      <c r="XJ220" s="5207"/>
      <c r="XK220" s="5207"/>
      <c r="XL220" s="5207"/>
      <c r="XM220" s="5207"/>
      <c r="XN220" s="5207"/>
      <c r="XO220" s="5207"/>
      <c r="XP220" s="5207"/>
      <c r="XQ220" s="5207"/>
      <c r="XR220" s="5207"/>
      <c r="XS220" s="5207"/>
      <c r="XT220" s="5207"/>
      <c r="XU220" s="5207"/>
      <c r="XV220" s="5207"/>
      <c r="XW220" s="5207"/>
      <c r="XX220" s="5207"/>
      <c r="XY220" s="5207"/>
      <c r="XZ220" s="5207"/>
      <c r="YA220" s="5207"/>
      <c r="YB220" s="5207"/>
      <c r="YC220" s="5207"/>
      <c r="YD220" s="5207"/>
      <c r="YE220" s="5207"/>
      <c r="YF220" s="5207"/>
      <c r="YG220" s="5207"/>
      <c r="YH220" s="5207"/>
      <c r="YI220" s="5207"/>
      <c r="YJ220" s="5207"/>
      <c r="YK220" s="5207"/>
      <c r="YL220" s="5207"/>
      <c r="YM220" s="5207"/>
      <c r="YN220" s="5207"/>
      <c r="YO220" s="5207"/>
      <c r="YP220" s="5207"/>
      <c r="YQ220" s="5207"/>
      <c r="YR220" s="5207"/>
      <c r="YS220" s="5207"/>
      <c r="YT220" s="5207"/>
      <c r="YU220" s="5207"/>
      <c r="YV220" s="5207"/>
      <c r="YW220" s="5207"/>
      <c r="YX220" s="5207"/>
      <c r="YY220" s="5207"/>
      <c r="YZ220" s="5207"/>
      <c r="ZA220" s="5207"/>
      <c r="ZB220" s="5207"/>
      <c r="ZC220" s="5207"/>
      <c r="ZD220" s="5207"/>
      <c r="ZE220" s="5207"/>
      <c r="ZF220" s="5207"/>
      <c r="ZG220" s="5207"/>
      <c r="ZH220" s="5207"/>
      <c r="ZI220" s="5207"/>
      <c r="ZJ220" s="5207"/>
      <c r="ZK220" s="5207"/>
      <c r="ZL220" s="5207"/>
      <c r="ZM220" s="5207"/>
      <c r="ZN220" s="5207"/>
      <c r="ZO220" s="5207"/>
      <c r="ZP220" s="5207"/>
      <c r="ZQ220" s="5207"/>
      <c r="ZR220" s="5207"/>
      <c r="ZS220" s="5207"/>
      <c r="ZT220" s="5207"/>
      <c r="ZU220" s="5207"/>
      <c r="ZV220" s="5207"/>
      <c r="ZW220" s="5207"/>
      <c r="ZX220" s="5207"/>
      <c r="ZY220" s="5207"/>
      <c r="ZZ220" s="5207"/>
      <c r="AAA220" s="5207"/>
      <c r="AAB220" s="5207"/>
      <c r="AAC220" s="5207"/>
      <c r="AAD220" s="5207"/>
      <c r="AAE220" s="5207"/>
      <c r="AAF220" s="5207"/>
      <c r="AAG220" s="5207"/>
      <c r="AAH220" s="5207"/>
      <c r="AAI220" s="5207"/>
      <c r="AAJ220" s="5207"/>
      <c r="AAK220" s="5207"/>
      <c r="AAL220" s="5207"/>
      <c r="AAM220" s="5207"/>
      <c r="AAN220" s="5207"/>
      <c r="AAO220" s="5207"/>
      <c r="AAP220" s="5207"/>
      <c r="AAQ220" s="5207"/>
      <c r="AAR220" s="5207"/>
      <c r="AAS220" s="5207"/>
      <c r="AAT220" s="5207"/>
      <c r="AAU220" s="5207"/>
      <c r="AAV220" s="5207"/>
      <c r="AAW220" s="5207"/>
      <c r="AAX220" s="5207"/>
      <c r="AAY220" s="5207"/>
      <c r="AAZ220" s="5207"/>
      <c r="ABA220" s="5207"/>
      <c r="ABB220" s="5207"/>
      <c r="ABC220" s="5207"/>
      <c r="ABD220" s="5207"/>
      <c r="ABE220" s="5207"/>
      <c r="ABF220" s="5207"/>
      <c r="ABG220" s="5207"/>
      <c r="ABH220" s="5207"/>
      <c r="ABI220" s="5207"/>
      <c r="ABJ220" s="5207"/>
      <c r="ABK220" s="5207"/>
      <c r="ABL220" s="5207"/>
      <c r="ABM220" s="5207"/>
      <c r="ABN220" s="5207"/>
      <c r="ABO220" s="5207"/>
      <c r="ABP220" s="5207"/>
      <c r="ABQ220" s="5207"/>
      <c r="ABR220" s="5207"/>
      <c r="ABS220" s="5207"/>
      <c r="ABT220" s="5207"/>
      <c r="ABU220" s="5207"/>
      <c r="ABV220" s="5207"/>
      <c r="ABW220" s="5207"/>
      <c r="ABX220" s="5207"/>
      <c r="ABY220" s="5207"/>
      <c r="ABZ220" s="5207"/>
      <c r="ACA220" s="5207"/>
      <c r="ACB220" s="5207"/>
      <c r="ACC220" s="5207"/>
      <c r="ACD220" s="5207"/>
      <c r="ACE220" s="5207"/>
      <c r="ACF220" s="5207"/>
      <c r="ACG220" s="5207"/>
      <c r="ACH220" s="5207"/>
      <c r="ACI220" s="5207"/>
      <c r="ACJ220" s="5207"/>
      <c r="ACK220" s="5207"/>
      <c r="ACL220" s="5207"/>
      <c r="ACM220" s="5207"/>
      <c r="ACN220" s="5207"/>
      <c r="ACO220" s="5207"/>
      <c r="ACP220" s="5207"/>
      <c r="ACQ220" s="5207"/>
      <c r="ACR220" s="5207"/>
      <c r="ACS220" s="5207"/>
      <c r="ACT220" s="5207"/>
      <c r="ACU220" s="5207"/>
      <c r="ACV220" s="5207"/>
      <c r="ACW220" s="5207"/>
      <c r="ACX220" s="5207"/>
      <c r="ACY220" s="5207"/>
      <c r="ACZ220" s="5207"/>
      <c r="ADA220" s="5207"/>
      <c r="ADB220" s="5207"/>
      <c r="ADC220" s="5207"/>
      <c r="ADD220" s="5207"/>
      <c r="ADE220" s="5207"/>
      <c r="ADF220" s="5207"/>
      <c r="ADG220" s="5207"/>
      <c r="ADH220" s="5207"/>
      <c r="ADI220" s="5207"/>
      <c r="ADJ220" s="5207"/>
      <c r="ADK220" s="5207"/>
      <c r="ADL220" s="5207"/>
      <c r="ADM220" s="5207"/>
      <c r="ADN220" s="5207"/>
      <c r="ADO220" s="5207"/>
      <c r="ADP220" s="5207"/>
      <c r="ADQ220" s="5207"/>
      <c r="ADR220" s="5207"/>
      <c r="ADS220" s="5207"/>
      <c r="ADT220" s="5207"/>
      <c r="ADU220" s="5207"/>
      <c r="ADV220" s="5207"/>
      <c r="ADW220" s="5207"/>
      <c r="ADX220" s="5207"/>
      <c r="ADY220" s="5207"/>
      <c r="ADZ220" s="5207"/>
      <c r="AEA220" s="5207"/>
      <c r="AEB220" s="5207"/>
      <c r="AEC220" s="5207"/>
      <c r="AED220" s="5207"/>
      <c r="AEE220" s="5207"/>
      <c r="AEF220" s="5207"/>
      <c r="AEG220" s="5207"/>
      <c r="AEH220" s="5207"/>
      <c r="AEI220" s="5207"/>
      <c r="AEJ220" s="5207"/>
      <c r="AEK220" s="5207"/>
      <c r="AEL220" s="5207"/>
      <c r="AEM220" s="5207"/>
      <c r="AEN220" s="5207"/>
      <c r="AEO220" s="5207"/>
      <c r="AEP220" s="5207"/>
      <c r="AEQ220" s="5207"/>
      <c r="AER220" s="5207"/>
      <c r="AES220" s="5207"/>
      <c r="AET220" s="5207"/>
      <c r="AEU220" s="5207"/>
      <c r="AEV220" s="5207"/>
      <c r="AEW220" s="5207"/>
      <c r="AEX220" s="5207"/>
      <c r="AEY220" s="5207"/>
      <c r="AEZ220" s="5207"/>
      <c r="AFA220" s="5207"/>
      <c r="AFB220" s="5207"/>
      <c r="AFC220" s="5207"/>
      <c r="AFD220" s="5207"/>
      <c r="AFE220" s="5207"/>
      <c r="AFF220" s="5207"/>
      <c r="AFG220" s="5207"/>
      <c r="AFH220" s="5207"/>
      <c r="AFI220" s="5207"/>
      <c r="AFJ220" s="5207"/>
      <c r="AFK220" s="5207"/>
      <c r="AFL220" s="5207"/>
      <c r="AFM220" s="5207"/>
      <c r="AFN220" s="5207"/>
      <c r="AFO220" s="5207"/>
      <c r="AFP220" s="5207"/>
      <c r="AFQ220" s="5207"/>
      <c r="AFR220" s="5207"/>
      <c r="AFS220" s="5207"/>
      <c r="AFT220" s="5207"/>
      <c r="AFU220" s="5207"/>
      <c r="AFV220" s="5207"/>
      <c r="AFW220" s="5207"/>
      <c r="AFX220" s="5207"/>
      <c r="AFY220" s="5207"/>
      <c r="AFZ220" s="5207"/>
      <c r="AGA220" s="5207"/>
      <c r="AGB220" s="5207"/>
      <c r="AGC220" s="5207"/>
      <c r="AGD220" s="5207"/>
      <c r="AGE220" s="5207"/>
      <c r="AGF220" s="5207"/>
      <c r="AGG220" s="5207"/>
      <c r="AGH220" s="5207"/>
      <c r="AGI220" s="5207"/>
      <c r="AGJ220" s="5207"/>
      <c r="AGK220" s="5207"/>
      <c r="AGL220" s="5207"/>
      <c r="AGM220" s="5207"/>
      <c r="AGN220" s="5207"/>
      <c r="AGO220" s="5207"/>
      <c r="AGP220" s="5207"/>
      <c r="AGQ220" s="5207"/>
      <c r="AGR220" s="5207"/>
      <c r="AGS220" s="5207"/>
      <c r="AGT220" s="5207"/>
      <c r="AGU220" s="5207"/>
      <c r="AGV220" s="5207"/>
      <c r="AGW220" s="5207"/>
      <c r="AGX220" s="5207"/>
      <c r="AGY220" s="5207"/>
      <c r="AGZ220" s="5207"/>
      <c r="AHA220" s="5207"/>
      <c r="AHB220" s="5207"/>
      <c r="AHC220" s="5207"/>
      <c r="AHD220" s="5207"/>
      <c r="AHE220" s="5207"/>
      <c r="AHF220" s="5207"/>
      <c r="AHG220" s="5207"/>
      <c r="AHH220" s="5207"/>
      <c r="AHI220" s="5207"/>
      <c r="AHJ220" s="5207"/>
      <c r="AHK220" s="5207"/>
      <c r="AHL220" s="5207"/>
      <c r="AHM220" s="5207"/>
      <c r="AHN220" s="5207"/>
      <c r="AHO220" s="5207"/>
      <c r="AHP220" s="5207"/>
      <c r="AHQ220" s="5207"/>
      <c r="AHR220" s="5207"/>
      <c r="AHS220" s="5207"/>
      <c r="AHT220" s="5207"/>
      <c r="AHU220" s="5207"/>
      <c r="AHV220" s="5207"/>
      <c r="AHW220" s="5207"/>
      <c r="AHX220" s="5207"/>
      <c r="AHY220" s="5207"/>
      <c r="AHZ220" s="5207"/>
      <c r="AIA220" s="5207"/>
      <c r="AIB220" s="5207"/>
      <c r="AIC220" s="5207"/>
      <c r="AID220" s="5207"/>
      <c r="AIE220" s="5207"/>
      <c r="AIF220" s="5207"/>
      <c r="AIG220" s="5207"/>
      <c r="AIH220" s="5207"/>
      <c r="AII220" s="5207"/>
      <c r="AIJ220" s="5207"/>
      <c r="AIK220" s="5207"/>
      <c r="AIL220" s="5207"/>
      <c r="AIM220" s="5207"/>
      <c r="AIN220" s="5207"/>
      <c r="AIO220" s="5207"/>
      <c r="AIP220" s="5207"/>
      <c r="AIQ220" s="5207"/>
      <c r="AIR220" s="5207"/>
      <c r="AIS220" s="5207"/>
      <c r="AIT220" s="5207"/>
      <c r="AIU220" s="5207"/>
      <c r="AIV220" s="5207"/>
      <c r="AIW220" s="5207"/>
      <c r="AIX220" s="5207"/>
      <c r="AIY220" s="5207"/>
      <c r="AIZ220" s="5207"/>
      <c r="AJA220" s="5207"/>
      <c r="AJB220" s="5207"/>
      <c r="AJC220" s="5207"/>
      <c r="AJD220" s="5207"/>
      <c r="AJE220" s="5207"/>
      <c r="AJF220" s="5207"/>
      <c r="AJG220" s="5207"/>
      <c r="AJH220" s="5207"/>
      <c r="AJI220" s="5207"/>
      <c r="AJJ220" s="5207"/>
      <c r="AJK220" s="5207"/>
      <c r="AJL220" s="5207"/>
      <c r="AJM220" s="5207"/>
      <c r="AJN220" s="5207"/>
      <c r="AJO220" s="5207"/>
      <c r="AJP220" s="5207"/>
      <c r="AJQ220" s="5207"/>
      <c r="AJR220" s="5207"/>
      <c r="AJS220" s="5207"/>
      <c r="AJT220" s="5207"/>
      <c r="AJU220" s="5207"/>
      <c r="AJV220" s="5207"/>
      <c r="AJW220" s="5207"/>
      <c r="AJX220" s="5207"/>
      <c r="AJY220" s="5207"/>
      <c r="AJZ220" s="5207"/>
      <c r="AKA220" s="5207"/>
      <c r="AKB220" s="5207"/>
      <c r="AKC220" s="5207"/>
      <c r="AKD220" s="5207"/>
      <c r="AKE220" s="5207"/>
      <c r="AKF220" s="5207"/>
      <c r="AKG220" s="5207"/>
      <c r="AKH220" s="5207"/>
      <c r="AKI220" s="5207"/>
      <c r="AKJ220" s="5207"/>
      <c r="AKK220" s="5207"/>
      <c r="AKL220" s="5207"/>
      <c r="AKM220" s="5207"/>
      <c r="AKN220" s="5207"/>
      <c r="AKO220" s="5207"/>
      <c r="AKP220" s="5207"/>
      <c r="AKQ220" s="5207"/>
      <c r="AKR220" s="5207"/>
      <c r="AKS220" s="5207"/>
      <c r="AKT220" s="5207"/>
      <c r="AKU220" s="5207"/>
      <c r="AKV220" s="5207"/>
      <c r="AKW220" s="5207"/>
      <c r="AKX220" s="5207"/>
      <c r="AKY220" s="5207"/>
      <c r="AKZ220" s="5207"/>
      <c r="ALA220" s="5207"/>
      <c r="ALB220" s="5207"/>
      <c r="ALC220" s="5207"/>
      <c r="ALD220" s="5207"/>
      <c r="ALE220" s="5207"/>
      <c r="ALF220" s="5207"/>
      <c r="ALG220" s="5207"/>
      <c r="ALH220" s="5207"/>
      <c r="ALI220" s="5207"/>
      <c r="ALJ220" s="5207"/>
      <c r="ALK220" s="5207"/>
      <c r="ALL220" s="5207"/>
      <c r="ALM220" s="5207"/>
      <c r="ALN220" s="5207"/>
      <c r="ALO220" s="5207"/>
      <c r="ALP220" s="5207"/>
      <c r="ALQ220" s="5207"/>
      <c r="ALR220" s="5207"/>
      <c r="ALS220" s="5207"/>
      <c r="ALT220" s="5207"/>
      <c r="ALU220" s="5207"/>
      <c r="ALV220" s="5207"/>
      <c r="ALW220" s="5207"/>
      <c r="ALX220" s="5207"/>
      <c r="ALY220" s="5207"/>
      <c r="ALZ220" s="5207"/>
      <c r="AMA220" s="5207"/>
      <c r="AMB220" s="5207"/>
      <c r="AMC220" s="5207"/>
      <c r="AMD220" s="5207"/>
      <c r="AME220" s="5207"/>
      <c r="AMF220" s="5207"/>
      <c r="AMG220" s="5207"/>
      <c r="AMH220" s="5207"/>
      <c r="AMI220" s="5207"/>
      <c r="AMJ220" s="5207"/>
      <c r="AMK220" s="5207"/>
      <c r="AML220" s="5207"/>
      <c r="AMM220" s="5207"/>
      <c r="AMN220" s="5207"/>
      <c r="AMO220" s="5207"/>
      <c r="AMP220" s="5207"/>
      <c r="AMQ220" s="5207"/>
      <c r="AMR220" s="5207"/>
      <c r="AMS220" s="5207"/>
      <c r="AMT220" s="5207"/>
      <c r="AMU220" s="5207"/>
      <c r="AMV220" s="5207"/>
      <c r="AMW220" s="5207"/>
      <c r="AMX220" s="5207"/>
      <c r="AMY220" s="5207"/>
      <c r="AMZ220" s="5207"/>
      <c r="ANA220" s="5207"/>
      <c r="ANB220" s="5207"/>
      <c r="ANC220" s="5207"/>
      <c r="AND220" s="5207"/>
      <c r="ANE220" s="5207"/>
      <c r="ANF220" s="5207"/>
      <c r="ANG220" s="5207"/>
      <c r="ANH220" s="5207"/>
      <c r="ANI220" s="5207"/>
      <c r="ANJ220" s="5207"/>
      <c r="ANK220" s="5207"/>
      <c r="ANL220" s="5207"/>
      <c r="ANM220" s="5207"/>
      <c r="ANN220" s="5207"/>
      <c r="ANO220" s="5207"/>
      <c r="ANP220" s="5207"/>
      <c r="ANQ220" s="5207"/>
      <c r="ANR220" s="5207"/>
      <c r="ANS220" s="5207"/>
      <c r="ANT220" s="5207"/>
      <c r="ANU220" s="5207"/>
      <c r="ANV220" s="5207"/>
      <c r="ANW220" s="5207"/>
      <c r="ANX220" s="5207"/>
      <c r="ANY220" s="5207"/>
      <c r="ANZ220" s="5207"/>
      <c r="AOA220" s="5207"/>
      <c r="AOB220" s="5207"/>
      <c r="AOC220" s="5207"/>
      <c r="AOD220" s="5207"/>
      <c r="AOE220" s="5207"/>
      <c r="AOF220" s="5207"/>
      <c r="AOG220" s="5207"/>
      <c r="AOH220" s="5207"/>
      <c r="AOI220" s="5207"/>
      <c r="AOJ220" s="5207"/>
      <c r="AOK220" s="5207"/>
      <c r="AOL220" s="5207"/>
      <c r="AOM220" s="5207"/>
      <c r="AON220" s="5207"/>
      <c r="AOO220" s="5207"/>
      <c r="AOP220" s="5207"/>
      <c r="AOQ220" s="5207"/>
      <c r="AOR220" s="5207"/>
      <c r="AOS220" s="5207"/>
      <c r="AOT220" s="5207"/>
      <c r="AOU220" s="5207"/>
      <c r="AOV220" s="5207"/>
      <c r="AOW220" s="5207"/>
      <c r="AOX220" s="5207"/>
      <c r="AOY220" s="5207"/>
      <c r="AOZ220" s="5207"/>
      <c r="APA220" s="5207"/>
      <c r="APB220" s="5207"/>
      <c r="APC220" s="5207"/>
      <c r="APD220" s="5207"/>
      <c r="APE220" s="5207"/>
      <c r="APF220" s="5207"/>
      <c r="APG220" s="5207"/>
      <c r="APH220" s="5207"/>
      <c r="API220" s="5207"/>
      <c r="APJ220" s="5207"/>
      <c r="APK220" s="5207"/>
      <c r="APL220" s="5207"/>
      <c r="APM220" s="5207"/>
      <c r="APN220" s="5207"/>
      <c r="APO220" s="5207"/>
      <c r="APP220" s="5207"/>
      <c r="APQ220" s="5207"/>
      <c r="APR220" s="5207"/>
      <c r="APS220" s="5207"/>
      <c r="APT220" s="5207"/>
      <c r="APU220" s="5207"/>
      <c r="APV220" s="5207"/>
      <c r="APW220" s="5207"/>
      <c r="APX220" s="5207"/>
      <c r="APY220" s="5207"/>
      <c r="APZ220" s="5207"/>
      <c r="AQA220" s="5207"/>
      <c r="AQB220" s="5207"/>
      <c r="AQC220" s="5207"/>
      <c r="AQD220" s="5207"/>
      <c r="AQE220" s="5207"/>
      <c r="AQF220" s="5207"/>
      <c r="AQG220" s="5207"/>
      <c r="AQH220" s="5207"/>
      <c r="AQI220" s="5207"/>
      <c r="AQJ220" s="5207"/>
      <c r="AQK220" s="5207"/>
      <c r="AQL220" s="5207"/>
      <c r="AQM220" s="5207"/>
      <c r="AQN220" s="5207"/>
      <c r="AQO220" s="5207"/>
      <c r="AQP220" s="5207"/>
      <c r="AQQ220" s="5207"/>
      <c r="AQR220" s="5207"/>
      <c r="AQS220" s="5207"/>
      <c r="AQT220" s="5207"/>
      <c r="AQU220" s="5207"/>
      <c r="AQV220" s="5207"/>
      <c r="AQW220" s="5207"/>
      <c r="AQX220" s="5207"/>
      <c r="AQY220" s="5207"/>
      <c r="AQZ220" s="5207"/>
      <c r="ARA220" s="5207"/>
      <c r="ARB220" s="5207"/>
      <c r="ARC220" s="5207"/>
      <c r="ARD220" s="5207"/>
      <c r="ARE220" s="5207"/>
      <c r="ARF220" s="5207"/>
      <c r="ARG220" s="5207"/>
      <c r="ARH220" s="5207"/>
      <c r="ARI220" s="5207"/>
      <c r="ARJ220" s="5207"/>
      <c r="ARK220" s="5207"/>
      <c r="ARL220" s="5207"/>
      <c r="ARM220" s="5207"/>
      <c r="ARN220" s="5207"/>
      <c r="ARO220" s="5207"/>
      <c r="ARP220" s="5207"/>
      <c r="ARQ220" s="5207"/>
      <c r="ARR220" s="5207"/>
      <c r="ARS220" s="5207"/>
      <c r="ART220" s="5207"/>
      <c r="ARU220" s="5207"/>
      <c r="ARV220" s="5207"/>
      <c r="ARW220" s="5207"/>
      <c r="ARX220" s="5207"/>
      <c r="ARY220" s="5207"/>
      <c r="ARZ220" s="5207"/>
      <c r="ASA220" s="5207"/>
      <c r="ASB220" s="5207"/>
      <c r="ASC220" s="5207"/>
      <c r="ASD220" s="5207"/>
      <c r="ASE220" s="5207"/>
      <c r="ASF220" s="5207"/>
      <c r="ASG220" s="5207"/>
      <c r="ASH220" s="5207"/>
      <c r="ASI220" s="5207"/>
      <c r="ASJ220" s="5207"/>
      <c r="ASK220" s="5207"/>
      <c r="ASL220" s="5207"/>
      <c r="ASM220" s="5207"/>
      <c r="ASN220" s="5207"/>
      <c r="ASO220" s="5207"/>
      <c r="ASP220" s="5207"/>
      <c r="ASQ220" s="5207"/>
      <c r="ASR220" s="5207"/>
      <c r="ASS220" s="5207"/>
      <c r="AST220" s="5207"/>
      <c r="ASU220" s="5207"/>
      <c r="ASV220" s="5207"/>
      <c r="ASW220" s="5207"/>
      <c r="ASX220" s="5207"/>
      <c r="ASY220" s="5207"/>
      <c r="ASZ220" s="5207"/>
      <c r="ATA220" s="5207"/>
      <c r="ATB220" s="5207"/>
      <c r="ATC220" s="5207"/>
      <c r="ATD220" s="5207"/>
      <c r="ATE220" s="5207"/>
      <c r="ATF220" s="5207"/>
      <c r="ATG220" s="5207"/>
      <c r="ATH220" s="5207"/>
      <c r="ATI220" s="5207"/>
      <c r="ATJ220" s="5207"/>
      <c r="ATK220" s="5207"/>
      <c r="ATL220" s="5207"/>
      <c r="ATM220" s="5207"/>
      <c r="ATN220" s="5207"/>
      <c r="ATO220" s="5207"/>
      <c r="ATP220" s="5207"/>
      <c r="ATQ220" s="5207"/>
      <c r="ATR220" s="5207"/>
      <c r="ATS220" s="5207"/>
      <c r="ATT220" s="5207"/>
      <c r="ATU220" s="5207"/>
      <c r="ATV220" s="5207"/>
      <c r="ATW220" s="5207"/>
      <c r="ATX220" s="5207"/>
      <c r="ATY220" s="5207"/>
      <c r="ATZ220" s="5207"/>
      <c r="AUA220" s="5207"/>
      <c r="AUB220" s="5207"/>
      <c r="AUC220" s="5207"/>
      <c r="AUD220" s="5207"/>
      <c r="AUE220" s="5207"/>
      <c r="AUF220" s="5207"/>
      <c r="AUG220" s="5207"/>
      <c r="AUH220" s="5207"/>
      <c r="AUI220" s="5207"/>
      <c r="AUJ220" s="5207"/>
      <c r="AUK220" s="5207"/>
      <c r="AUL220" s="5207"/>
      <c r="AUM220" s="5207"/>
      <c r="AUN220" s="5207"/>
      <c r="AUO220" s="5207"/>
      <c r="AUP220" s="5207"/>
      <c r="AUQ220" s="5207"/>
      <c r="AUR220" s="5207"/>
      <c r="AUS220" s="5207"/>
      <c r="AUT220" s="5207"/>
      <c r="AUU220" s="5207"/>
      <c r="AUV220" s="5207"/>
      <c r="AUW220" s="5207"/>
      <c r="AUX220" s="5207"/>
      <c r="AUY220" s="5207"/>
      <c r="AUZ220" s="5207"/>
      <c r="AVA220" s="5207"/>
      <c r="AVB220" s="5207"/>
      <c r="AVC220" s="5207"/>
      <c r="AVD220" s="5207"/>
      <c r="AVE220" s="5207"/>
      <c r="AVF220" s="5207"/>
      <c r="AVG220" s="5207"/>
      <c r="AVH220" s="5207"/>
      <c r="AVI220" s="5207"/>
      <c r="AVJ220" s="5207"/>
      <c r="AVK220" s="5207"/>
      <c r="AVL220" s="5207"/>
      <c r="AVM220" s="5207"/>
      <c r="AVN220" s="5207"/>
      <c r="AVO220" s="5207"/>
      <c r="AVP220" s="5207"/>
      <c r="AVQ220" s="5207"/>
      <c r="AVR220" s="5207"/>
      <c r="AVS220" s="5207"/>
      <c r="AVT220" s="5207"/>
      <c r="AVU220" s="5207"/>
      <c r="AVV220" s="5207"/>
      <c r="AVW220" s="5207"/>
      <c r="AVX220" s="5207"/>
      <c r="AVY220" s="5207"/>
      <c r="AVZ220" s="5207"/>
      <c r="AWA220" s="5207"/>
      <c r="AWB220" s="5207"/>
      <c r="AWC220" s="5207"/>
      <c r="AWD220" s="5207"/>
      <c r="AWE220" s="5207"/>
      <c r="AWF220" s="5207"/>
      <c r="AWG220" s="5207"/>
      <c r="AWH220" s="5207"/>
      <c r="AWI220" s="5207"/>
      <c r="AWJ220" s="5207"/>
      <c r="AWK220" s="5207"/>
      <c r="AWL220" s="5207"/>
      <c r="AWM220" s="5207"/>
      <c r="AWN220" s="5207"/>
      <c r="AWO220" s="5207"/>
      <c r="AWP220" s="5207"/>
      <c r="AWQ220" s="5207"/>
      <c r="AWR220" s="5207"/>
      <c r="AWS220" s="5207"/>
      <c r="AWT220" s="5207"/>
      <c r="AWU220" s="5207"/>
      <c r="AWV220" s="5207"/>
      <c r="AWW220" s="5207"/>
      <c r="AWX220" s="5207"/>
      <c r="AWY220" s="5207"/>
      <c r="AWZ220" s="5207"/>
      <c r="AXA220" s="5207"/>
      <c r="AXB220" s="5207"/>
      <c r="AXC220" s="5207"/>
      <c r="AXD220" s="5207"/>
      <c r="AXE220" s="5207"/>
      <c r="AXF220" s="5207"/>
      <c r="AXG220" s="5207"/>
      <c r="AXH220" s="5207"/>
      <c r="AXI220" s="5207"/>
      <c r="AXJ220" s="5207"/>
    </row>
    <row r="221" spans="1:1310" s="5208" customFormat="1" ht="23.25" customHeight="1">
      <c r="A221" s="5209"/>
      <c r="B221" s="5210"/>
      <c r="C221" s="5210"/>
      <c r="D221" s="5210"/>
      <c r="E221" s="5210"/>
      <c r="F221" s="5210"/>
      <c r="G221" s="5210"/>
      <c r="H221" s="5210"/>
      <c r="I221" s="5210"/>
      <c r="J221" s="5210"/>
      <c r="K221" s="5210"/>
      <c r="L221" s="5210"/>
      <c r="M221" s="5210"/>
      <c r="N221" s="5210"/>
      <c r="O221" s="5210"/>
      <c r="P221" s="5210"/>
      <c r="Q221" s="5210"/>
      <c r="R221" s="95"/>
      <c r="S221" s="95"/>
      <c r="T221" s="95"/>
      <c r="U221" s="95"/>
      <c r="V221" s="95"/>
      <c r="W221" s="95"/>
      <c r="X221" s="95"/>
      <c r="Y221" s="95"/>
      <c r="Z221" s="95"/>
      <c r="AA221" s="95"/>
      <c r="AB221" s="95"/>
      <c r="AC221" s="95"/>
      <c r="AD221" s="5207"/>
      <c r="AE221" s="5207"/>
      <c r="AF221" s="5207"/>
      <c r="AG221" s="5207"/>
      <c r="AH221" s="5207"/>
      <c r="AI221" s="5207"/>
      <c r="AJ221" s="5207"/>
      <c r="AK221" s="5207"/>
      <c r="AL221" s="5207"/>
      <c r="AM221" s="5207"/>
      <c r="AN221" s="5207"/>
      <c r="AO221" s="5207"/>
      <c r="AP221" s="5207"/>
      <c r="AQ221" s="5207"/>
      <c r="AR221" s="5207"/>
      <c r="AS221" s="5207"/>
      <c r="AT221" s="5207"/>
      <c r="AU221" s="5207"/>
      <c r="AV221" s="5207"/>
      <c r="AW221" s="5207"/>
      <c r="AX221" s="5207"/>
      <c r="AY221" s="5207"/>
      <c r="AZ221" s="5207"/>
      <c r="BA221" s="5207"/>
      <c r="BB221" s="5207"/>
      <c r="BC221" s="5207"/>
      <c r="BD221" s="5207"/>
      <c r="BE221" s="5207"/>
      <c r="BF221" s="5207"/>
      <c r="BG221" s="5207"/>
      <c r="BH221" s="5207"/>
      <c r="BI221" s="5207"/>
      <c r="BJ221" s="5207"/>
      <c r="BK221" s="5207"/>
      <c r="BL221" s="5207"/>
      <c r="BM221" s="5207"/>
      <c r="BN221" s="5207"/>
      <c r="BO221" s="5207"/>
      <c r="BP221" s="5207"/>
      <c r="BQ221" s="5207"/>
      <c r="BR221" s="5207"/>
      <c r="BS221" s="5207"/>
      <c r="BT221" s="5207"/>
      <c r="BU221" s="5207"/>
      <c r="BV221" s="5207"/>
      <c r="BW221" s="5207"/>
      <c r="BX221" s="5207"/>
      <c r="BY221" s="5207"/>
      <c r="BZ221" s="5207"/>
      <c r="CA221" s="5207"/>
      <c r="CB221" s="5207"/>
      <c r="CC221" s="5207"/>
      <c r="CD221" s="5207"/>
      <c r="CE221" s="5207"/>
      <c r="CF221" s="5207"/>
      <c r="CG221" s="5207"/>
      <c r="CH221" s="5207"/>
      <c r="CI221" s="5207"/>
      <c r="CJ221" s="5207"/>
      <c r="CK221" s="5207"/>
      <c r="CL221" s="5207"/>
      <c r="CM221" s="5207"/>
      <c r="CN221" s="5207"/>
      <c r="CO221" s="5207"/>
      <c r="CP221" s="5207"/>
      <c r="CQ221" s="5207"/>
      <c r="CR221" s="5207"/>
      <c r="CS221" s="5207"/>
      <c r="CT221" s="5207"/>
      <c r="CU221" s="5207"/>
      <c r="CV221" s="5207"/>
      <c r="CW221" s="5207"/>
      <c r="CX221" s="5207"/>
      <c r="CY221" s="5207"/>
      <c r="CZ221" s="5207"/>
      <c r="DA221" s="5207"/>
      <c r="DB221" s="5207"/>
      <c r="DC221" s="5207"/>
      <c r="DD221" s="5207"/>
      <c r="DE221" s="5207"/>
      <c r="DF221" s="5207"/>
      <c r="DG221" s="5207"/>
      <c r="DH221" s="5207"/>
      <c r="DI221" s="5207"/>
      <c r="DJ221" s="5207"/>
      <c r="DK221" s="5207"/>
      <c r="DL221" s="5207"/>
      <c r="DM221" s="5207"/>
      <c r="DN221" s="5207"/>
      <c r="DO221" s="5207"/>
      <c r="DP221" s="5207"/>
      <c r="DQ221" s="5207"/>
      <c r="DR221" s="5207"/>
      <c r="DS221" s="5207"/>
      <c r="DT221" s="5207"/>
      <c r="DU221" s="5207"/>
      <c r="DV221" s="5207"/>
      <c r="DW221" s="5207"/>
      <c r="DX221" s="5207"/>
      <c r="DY221" s="5207"/>
      <c r="DZ221" s="5207"/>
      <c r="EA221" s="5207"/>
      <c r="EB221" s="5207"/>
      <c r="EC221" s="5207"/>
      <c r="ED221" s="5207"/>
      <c r="EE221" s="5207"/>
      <c r="EF221" s="5207"/>
      <c r="EG221" s="5207"/>
      <c r="EH221" s="5207"/>
      <c r="EI221" s="5207"/>
      <c r="EJ221" s="5207"/>
      <c r="EK221" s="5207"/>
      <c r="EL221" s="5207"/>
      <c r="EM221" s="5207"/>
      <c r="EN221" s="5207"/>
      <c r="EO221" s="5207"/>
      <c r="EP221" s="5207"/>
      <c r="EQ221" s="5207"/>
      <c r="ER221" s="5207"/>
      <c r="ES221" s="5207"/>
      <c r="ET221" s="5207"/>
      <c r="EU221" s="5207"/>
      <c r="EV221" s="5207"/>
      <c r="EW221" s="5207"/>
      <c r="EX221" s="5207"/>
      <c r="EY221" s="5207"/>
      <c r="EZ221" s="5207"/>
      <c r="FA221" s="5207"/>
      <c r="FB221" s="5207"/>
      <c r="FC221" s="5207"/>
      <c r="FD221" s="5207"/>
      <c r="FE221" s="5207"/>
      <c r="FF221" s="5207"/>
      <c r="FG221" s="5207"/>
      <c r="FH221" s="5207"/>
      <c r="FI221" s="5207"/>
      <c r="FJ221" s="5207"/>
      <c r="FK221" s="5207"/>
      <c r="FL221" s="5207"/>
      <c r="FM221" s="5207"/>
      <c r="FN221" s="5207"/>
      <c r="FO221" s="5207"/>
      <c r="FP221" s="5207"/>
      <c r="FQ221" s="5207"/>
      <c r="FR221" s="5207"/>
      <c r="FS221" s="5207"/>
      <c r="FT221" s="5207"/>
      <c r="FU221" s="5207"/>
      <c r="FV221" s="5207"/>
      <c r="FW221" s="5207"/>
      <c r="FX221" s="5207"/>
      <c r="FY221" s="5207"/>
      <c r="FZ221" s="5207"/>
      <c r="GA221" s="5207"/>
      <c r="GB221" s="5207"/>
      <c r="GC221" s="5207"/>
      <c r="GD221" s="5207"/>
      <c r="GE221" s="5207"/>
      <c r="GF221" s="5207"/>
      <c r="GG221" s="5207"/>
      <c r="GH221" s="5207"/>
      <c r="GI221" s="5207"/>
      <c r="GJ221" s="5207"/>
      <c r="GK221" s="5207"/>
      <c r="GL221" s="5207"/>
      <c r="GM221" s="5207"/>
      <c r="GN221" s="5207"/>
      <c r="GO221" s="5207"/>
      <c r="GP221" s="5207"/>
      <c r="GQ221" s="5207"/>
      <c r="GR221" s="5207"/>
      <c r="GS221" s="5207"/>
      <c r="GT221" s="5207"/>
      <c r="GU221" s="5207"/>
      <c r="GV221" s="5207"/>
      <c r="GW221" s="5207"/>
      <c r="GX221" s="5207"/>
      <c r="GY221" s="5207"/>
      <c r="GZ221" s="5207"/>
      <c r="HA221" s="5207"/>
      <c r="HB221" s="5207"/>
      <c r="HC221" s="5207"/>
      <c r="HD221" s="5207"/>
      <c r="HE221" s="5207"/>
      <c r="HF221" s="5207"/>
      <c r="HG221" s="5207"/>
      <c r="HH221" s="5207"/>
      <c r="HI221" s="5207"/>
      <c r="HJ221" s="5207"/>
      <c r="HK221" s="5207"/>
      <c r="HL221" s="5207"/>
      <c r="HM221" s="5207"/>
      <c r="HN221" s="5207"/>
      <c r="HO221" s="5207"/>
      <c r="HP221" s="5207"/>
      <c r="HQ221" s="5207"/>
      <c r="HR221" s="5207"/>
      <c r="HS221" s="5207"/>
      <c r="HT221" s="5207"/>
      <c r="HU221" s="5207"/>
      <c r="HV221" s="5207"/>
      <c r="HW221" s="5207"/>
      <c r="HX221" s="5207"/>
      <c r="HY221" s="5207"/>
      <c r="HZ221" s="5207"/>
      <c r="IA221" s="5207"/>
      <c r="IB221" s="5207"/>
      <c r="IC221" s="5207"/>
      <c r="ID221" s="5207"/>
      <c r="IE221" s="5207"/>
      <c r="IF221" s="5207"/>
      <c r="IG221" s="5207"/>
      <c r="IH221" s="5207"/>
      <c r="II221" s="5207"/>
      <c r="IJ221" s="5207"/>
      <c r="IK221" s="5207"/>
      <c r="IL221" s="5207"/>
      <c r="IM221" s="5207"/>
      <c r="IN221" s="5207"/>
      <c r="IO221" s="5207"/>
      <c r="IP221" s="5207"/>
      <c r="IQ221" s="5207"/>
      <c r="IR221" s="5207"/>
      <c r="IS221" s="5207"/>
      <c r="IT221" s="5207"/>
      <c r="IU221" s="5207"/>
      <c r="IV221" s="5207"/>
      <c r="IW221" s="5207"/>
      <c r="IX221" s="5207"/>
      <c r="IY221" s="5207"/>
      <c r="IZ221" s="5207"/>
      <c r="JA221" s="5207"/>
      <c r="JB221" s="5207"/>
      <c r="JC221" s="5207"/>
      <c r="JD221" s="5207"/>
      <c r="JE221" s="5207"/>
      <c r="JF221" s="5207"/>
      <c r="JG221" s="5207"/>
      <c r="JH221" s="5207"/>
      <c r="JI221" s="5207"/>
      <c r="JJ221" s="5207"/>
      <c r="JK221" s="5207"/>
      <c r="JL221" s="5207"/>
      <c r="JM221" s="5207"/>
      <c r="JN221" s="5207"/>
      <c r="JO221" s="5207"/>
      <c r="JP221" s="5207"/>
      <c r="JQ221" s="5207"/>
      <c r="JR221" s="5207"/>
      <c r="JS221" s="5207"/>
      <c r="JT221" s="5207"/>
      <c r="JU221" s="5207"/>
      <c r="JV221" s="5207"/>
      <c r="JW221" s="5207"/>
      <c r="JX221" s="5207"/>
      <c r="JY221" s="5207"/>
      <c r="JZ221" s="5207"/>
      <c r="KA221" s="5207"/>
      <c r="KB221" s="5207"/>
      <c r="KC221" s="5207"/>
      <c r="KD221" s="5207"/>
      <c r="KE221" s="5207"/>
      <c r="KF221" s="5207"/>
      <c r="KG221" s="5207"/>
      <c r="KH221" s="5207"/>
      <c r="KI221" s="5207"/>
      <c r="KJ221" s="5207"/>
      <c r="KK221" s="5207"/>
      <c r="KL221" s="5207"/>
      <c r="KM221" s="5207"/>
      <c r="KN221" s="5207"/>
      <c r="KO221" s="5207"/>
      <c r="KP221" s="5207"/>
      <c r="KQ221" s="5207"/>
      <c r="KR221" s="5207"/>
      <c r="KS221" s="5207"/>
      <c r="KT221" s="5207"/>
      <c r="KU221" s="5207"/>
      <c r="KV221" s="5207"/>
      <c r="KW221" s="5207"/>
      <c r="KX221" s="5207"/>
      <c r="KY221" s="5207"/>
      <c r="KZ221" s="5207"/>
      <c r="LA221" s="5207"/>
      <c r="LB221" s="5207"/>
      <c r="LC221" s="5207"/>
      <c r="LD221" s="5207"/>
      <c r="LE221" s="5207"/>
      <c r="LF221" s="5207"/>
      <c r="LG221" s="5207"/>
      <c r="LH221" s="5207"/>
      <c r="LI221" s="5207"/>
      <c r="LJ221" s="5207"/>
      <c r="LK221" s="5207"/>
      <c r="LL221" s="5207"/>
      <c r="LM221" s="5207"/>
      <c r="LN221" s="5207"/>
      <c r="LO221" s="5207"/>
      <c r="LP221" s="5207"/>
      <c r="LQ221" s="5207"/>
      <c r="LR221" s="5207"/>
      <c r="LS221" s="5207"/>
      <c r="LT221" s="5207"/>
      <c r="LU221" s="5207"/>
      <c r="LV221" s="5207"/>
      <c r="LW221" s="5207"/>
      <c r="LX221" s="5207"/>
      <c r="LY221" s="5207"/>
      <c r="LZ221" s="5207"/>
      <c r="MA221" s="5207"/>
      <c r="MB221" s="5207"/>
      <c r="MC221" s="5207"/>
      <c r="MD221" s="5207"/>
      <c r="ME221" s="5207"/>
      <c r="MF221" s="5207"/>
      <c r="MG221" s="5207"/>
      <c r="MH221" s="5207"/>
      <c r="MI221" s="5207"/>
      <c r="MJ221" s="5207"/>
      <c r="MK221" s="5207"/>
      <c r="ML221" s="5207"/>
      <c r="MM221" s="5207"/>
      <c r="MN221" s="5207"/>
      <c r="MO221" s="5207"/>
      <c r="MP221" s="5207"/>
      <c r="MQ221" s="5207"/>
      <c r="MR221" s="5207"/>
      <c r="MS221" s="5207"/>
      <c r="MT221" s="5207"/>
      <c r="MU221" s="5207"/>
      <c r="MV221" s="5207"/>
      <c r="MW221" s="5207"/>
      <c r="MX221" s="5207"/>
      <c r="MY221" s="5207"/>
      <c r="MZ221" s="5207"/>
      <c r="NA221" s="5207"/>
      <c r="NB221" s="5207"/>
      <c r="NC221" s="5207"/>
      <c r="ND221" s="5207"/>
      <c r="NE221" s="5207"/>
      <c r="NF221" s="5207"/>
      <c r="NG221" s="5207"/>
      <c r="NH221" s="5207"/>
      <c r="NI221" s="5207"/>
      <c r="NJ221" s="5207"/>
      <c r="NK221" s="5207"/>
      <c r="NL221" s="5207"/>
      <c r="NM221" s="5207"/>
      <c r="NN221" s="5207"/>
      <c r="NO221" s="5207"/>
      <c r="NP221" s="5207"/>
      <c r="NQ221" s="5207"/>
      <c r="NR221" s="5207"/>
      <c r="NS221" s="5207"/>
      <c r="NT221" s="5207"/>
      <c r="NU221" s="5207"/>
      <c r="NV221" s="5207"/>
      <c r="NW221" s="5207"/>
      <c r="NX221" s="5207"/>
      <c r="NY221" s="5207"/>
      <c r="NZ221" s="5207"/>
      <c r="OA221" s="5207"/>
      <c r="OB221" s="5207"/>
      <c r="OC221" s="5207"/>
      <c r="OD221" s="5207"/>
      <c r="OE221" s="5207"/>
      <c r="OF221" s="5207"/>
      <c r="OG221" s="5207"/>
      <c r="OH221" s="5207"/>
      <c r="OI221" s="5207"/>
      <c r="OJ221" s="5207"/>
      <c r="OK221" s="5207"/>
      <c r="OL221" s="5207"/>
      <c r="OM221" s="5207"/>
      <c r="ON221" s="5207"/>
      <c r="OO221" s="5207"/>
      <c r="OP221" s="5207"/>
      <c r="OQ221" s="5207"/>
      <c r="OR221" s="5207"/>
      <c r="OS221" s="5207"/>
      <c r="OT221" s="5207"/>
      <c r="OU221" s="5207"/>
      <c r="OV221" s="5207"/>
      <c r="OW221" s="5207"/>
      <c r="OX221" s="5207"/>
      <c r="OY221" s="5207"/>
      <c r="OZ221" s="5207"/>
      <c r="PA221" s="5207"/>
      <c r="PB221" s="5207"/>
      <c r="PC221" s="5207"/>
      <c r="PD221" s="5207"/>
      <c r="PE221" s="5207"/>
      <c r="PF221" s="5207"/>
      <c r="PG221" s="5207"/>
      <c r="PH221" s="5207"/>
      <c r="PI221" s="5207"/>
      <c r="PJ221" s="5207"/>
      <c r="PK221" s="5207"/>
      <c r="PL221" s="5207"/>
      <c r="PM221" s="5207"/>
      <c r="PN221" s="5207"/>
      <c r="PO221" s="5207"/>
      <c r="PP221" s="5207"/>
      <c r="PQ221" s="5207"/>
      <c r="PR221" s="5207"/>
      <c r="PS221" s="5207"/>
      <c r="PT221" s="5207"/>
      <c r="PU221" s="5207"/>
      <c r="PV221" s="5207"/>
      <c r="PW221" s="5207"/>
      <c r="PX221" s="5207"/>
      <c r="PY221" s="5207"/>
      <c r="PZ221" s="5207"/>
      <c r="QA221" s="5207"/>
      <c r="QB221" s="5207"/>
      <c r="QC221" s="5207"/>
      <c r="QD221" s="5207"/>
      <c r="QE221" s="5207"/>
      <c r="QF221" s="5207"/>
      <c r="QG221" s="5207"/>
      <c r="QH221" s="5207"/>
      <c r="QI221" s="5207"/>
      <c r="QJ221" s="5207"/>
      <c r="QK221" s="5207"/>
      <c r="QL221" s="5207"/>
      <c r="QM221" s="5207"/>
      <c r="QN221" s="5207"/>
      <c r="QO221" s="5207"/>
      <c r="QP221" s="5207"/>
      <c r="QQ221" s="5207"/>
      <c r="QR221" s="5207"/>
      <c r="QS221" s="5207"/>
      <c r="QT221" s="5207"/>
      <c r="QU221" s="5207"/>
      <c r="QV221" s="5207"/>
      <c r="QW221" s="5207"/>
      <c r="QX221" s="5207"/>
      <c r="QY221" s="5207"/>
      <c r="QZ221" s="5207"/>
      <c r="RA221" s="5207"/>
      <c r="RB221" s="5207"/>
      <c r="RC221" s="5207"/>
      <c r="RD221" s="5207"/>
      <c r="RE221" s="5207"/>
      <c r="RF221" s="5207"/>
      <c r="RG221" s="5207"/>
      <c r="RH221" s="5207"/>
      <c r="RI221" s="5207"/>
      <c r="RJ221" s="5207"/>
      <c r="RK221" s="5207"/>
      <c r="RL221" s="5207"/>
      <c r="RM221" s="5207"/>
      <c r="RN221" s="5207"/>
      <c r="RO221" s="5207"/>
      <c r="RP221" s="5207"/>
      <c r="RQ221" s="5207"/>
      <c r="RR221" s="5207"/>
      <c r="RS221" s="5207"/>
      <c r="RT221" s="5207"/>
      <c r="RU221" s="5207"/>
      <c r="RV221" s="5207"/>
      <c r="RW221" s="5207"/>
      <c r="RX221" s="5207"/>
      <c r="RY221" s="5207"/>
      <c r="RZ221" s="5207"/>
      <c r="SA221" s="5207"/>
      <c r="SB221" s="5207"/>
      <c r="SC221" s="5207"/>
      <c r="SD221" s="5207"/>
      <c r="SE221" s="5207"/>
      <c r="SF221" s="5207"/>
      <c r="SG221" s="5207"/>
      <c r="SH221" s="5207"/>
      <c r="SI221" s="5207"/>
      <c r="SJ221" s="5207"/>
      <c r="SK221" s="5207"/>
      <c r="SL221" s="5207"/>
      <c r="SM221" s="5207"/>
      <c r="SN221" s="5207"/>
      <c r="SO221" s="5207"/>
      <c r="SP221" s="5207"/>
      <c r="SQ221" s="5207"/>
      <c r="SR221" s="5207"/>
      <c r="SS221" s="5207"/>
      <c r="ST221" s="5207"/>
      <c r="SU221" s="5207"/>
      <c r="SV221" s="5207"/>
      <c r="SW221" s="5207"/>
      <c r="SX221" s="5207"/>
      <c r="SY221" s="5207"/>
      <c r="SZ221" s="5207"/>
      <c r="TA221" s="5207"/>
      <c r="TB221" s="5207"/>
      <c r="TC221" s="5207"/>
      <c r="TD221" s="5207"/>
      <c r="TE221" s="5207"/>
      <c r="TF221" s="5207"/>
      <c r="TG221" s="5207"/>
      <c r="TH221" s="5207"/>
      <c r="TI221" s="5207"/>
      <c r="TJ221" s="5207"/>
      <c r="TK221" s="5207"/>
      <c r="TL221" s="5207"/>
      <c r="TM221" s="5207"/>
      <c r="TN221" s="5207"/>
      <c r="TO221" s="5207"/>
      <c r="TP221" s="5207"/>
      <c r="TQ221" s="5207"/>
      <c r="TR221" s="5207"/>
      <c r="TS221" s="5207"/>
      <c r="TT221" s="5207"/>
      <c r="TU221" s="5207"/>
      <c r="TV221" s="5207"/>
      <c r="TW221" s="5207"/>
      <c r="TX221" s="5207"/>
      <c r="TY221" s="5207"/>
      <c r="TZ221" s="5207"/>
      <c r="UA221" s="5207"/>
      <c r="UB221" s="5207"/>
      <c r="UC221" s="5207"/>
      <c r="UD221" s="5207"/>
      <c r="UE221" s="5207"/>
      <c r="UF221" s="5207"/>
      <c r="UG221" s="5207"/>
      <c r="UH221" s="5207"/>
      <c r="UI221" s="5207"/>
      <c r="UJ221" s="5207"/>
      <c r="UK221" s="5207"/>
      <c r="UL221" s="5207"/>
      <c r="UM221" s="5207"/>
      <c r="UN221" s="5207"/>
      <c r="UO221" s="5207"/>
      <c r="UP221" s="5207"/>
      <c r="UQ221" s="5207"/>
      <c r="UR221" s="5207"/>
      <c r="US221" s="5207"/>
      <c r="UT221" s="5207"/>
      <c r="UU221" s="5207"/>
      <c r="UV221" s="5207"/>
      <c r="UW221" s="5207"/>
      <c r="UX221" s="5207"/>
      <c r="UY221" s="5207"/>
      <c r="UZ221" s="5207"/>
      <c r="VA221" s="5207"/>
      <c r="VB221" s="5207"/>
      <c r="VC221" s="5207"/>
      <c r="VD221" s="5207"/>
      <c r="VE221" s="5207"/>
      <c r="VF221" s="5207"/>
      <c r="VG221" s="5207"/>
      <c r="VH221" s="5207"/>
      <c r="VI221" s="5207"/>
      <c r="VJ221" s="5207"/>
      <c r="VK221" s="5207"/>
      <c r="VL221" s="5207"/>
      <c r="VM221" s="5207"/>
      <c r="VN221" s="5207"/>
      <c r="VO221" s="5207"/>
      <c r="VP221" s="5207"/>
      <c r="VQ221" s="5207"/>
      <c r="VR221" s="5207"/>
      <c r="VS221" s="5207"/>
      <c r="VT221" s="5207"/>
      <c r="VU221" s="5207"/>
      <c r="VV221" s="5207"/>
      <c r="VW221" s="5207"/>
      <c r="VX221" s="5207"/>
      <c r="VY221" s="5207"/>
      <c r="VZ221" s="5207"/>
      <c r="WA221" s="5207"/>
      <c r="WB221" s="5207"/>
      <c r="WC221" s="5207"/>
      <c r="WD221" s="5207"/>
      <c r="WE221" s="5207"/>
      <c r="WF221" s="5207"/>
      <c r="WG221" s="5207"/>
      <c r="WH221" s="5207"/>
      <c r="WI221" s="5207"/>
      <c r="WJ221" s="5207"/>
      <c r="WK221" s="5207"/>
      <c r="WL221" s="5207"/>
      <c r="WM221" s="5207"/>
      <c r="WN221" s="5207"/>
      <c r="WO221" s="5207"/>
      <c r="WP221" s="5207"/>
      <c r="WQ221" s="5207"/>
      <c r="WR221" s="5207"/>
      <c r="WS221" s="5207"/>
      <c r="WT221" s="5207"/>
      <c r="WU221" s="5207"/>
      <c r="WV221" s="5207"/>
      <c r="WW221" s="5207"/>
      <c r="WX221" s="5207"/>
      <c r="WY221" s="5207"/>
      <c r="WZ221" s="5207"/>
      <c r="XA221" s="5207"/>
      <c r="XB221" s="5207"/>
      <c r="XC221" s="5207"/>
      <c r="XD221" s="5207"/>
      <c r="XE221" s="5207"/>
      <c r="XF221" s="5207"/>
      <c r="XG221" s="5207"/>
      <c r="XH221" s="5207"/>
      <c r="XI221" s="5207"/>
      <c r="XJ221" s="5207"/>
      <c r="XK221" s="5207"/>
      <c r="XL221" s="5207"/>
      <c r="XM221" s="5207"/>
      <c r="XN221" s="5207"/>
      <c r="XO221" s="5207"/>
      <c r="XP221" s="5207"/>
      <c r="XQ221" s="5207"/>
      <c r="XR221" s="5207"/>
      <c r="XS221" s="5207"/>
      <c r="XT221" s="5207"/>
      <c r="XU221" s="5207"/>
      <c r="XV221" s="5207"/>
      <c r="XW221" s="5207"/>
      <c r="XX221" s="5207"/>
      <c r="XY221" s="5207"/>
      <c r="XZ221" s="5207"/>
      <c r="YA221" s="5207"/>
      <c r="YB221" s="5207"/>
      <c r="YC221" s="5207"/>
      <c r="YD221" s="5207"/>
      <c r="YE221" s="5207"/>
      <c r="YF221" s="5207"/>
      <c r="YG221" s="5207"/>
      <c r="YH221" s="5207"/>
      <c r="YI221" s="5207"/>
      <c r="YJ221" s="5207"/>
      <c r="YK221" s="5207"/>
      <c r="YL221" s="5207"/>
      <c r="YM221" s="5207"/>
      <c r="YN221" s="5207"/>
      <c r="YO221" s="5207"/>
      <c r="YP221" s="5207"/>
      <c r="YQ221" s="5207"/>
      <c r="YR221" s="5207"/>
      <c r="YS221" s="5207"/>
      <c r="YT221" s="5207"/>
      <c r="YU221" s="5207"/>
      <c r="YV221" s="5207"/>
      <c r="YW221" s="5207"/>
      <c r="YX221" s="5207"/>
      <c r="YY221" s="5207"/>
      <c r="YZ221" s="5207"/>
      <c r="ZA221" s="5207"/>
      <c r="ZB221" s="5207"/>
      <c r="ZC221" s="5207"/>
      <c r="ZD221" s="5207"/>
      <c r="ZE221" s="5207"/>
      <c r="ZF221" s="5207"/>
      <c r="ZG221" s="5207"/>
      <c r="ZH221" s="5207"/>
      <c r="ZI221" s="5207"/>
      <c r="ZJ221" s="5207"/>
      <c r="ZK221" s="5207"/>
      <c r="ZL221" s="5207"/>
      <c r="ZM221" s="5207"/>
      <c r="ZN221" s="5207"/>
      <c r="ZO221" s="5207"/>
      <c r="ZP221" s="5207"/>
      <c r="ZQ221" s="5207"/>
      <c r="ZR221" s="5207"/>
      <c r="ZS221" s="5207"/>
      <c r="ZT221" s="5207"/>
      <c r="ZU221" s="5207"/>
      <c r="ZV221" s="5207"/>
      <c r="ZW221" s="5207"/>
      <c r="ZX221" s="5207"/>
      <c r="ZY221" s="5207"/>
      <c r="ZZ221" s="5207"/>
      <c r="AAA221" s="5207"/>
      <c r="AAB221" s="5207"/>
      <c r="AAC221" s="5207"/>
      <c r="AAD221" s="5207"/>
      <c r="AAE221" s="5207"/>
      <c r="AAF221" s="5207"/>
      <c r="AAG221" s="5207"/>
      <c r="AAH221" s="5207"/>
      <c r="AAI221" s="5207"/>
      <c r="AAJ221" s="5207"/>
      <c r="AAK221" s="5207"/>
      <c r="AAL221" s="5207"/>
      <c r="AAM221" s="5207"/>
      <c r="AAN221" s="5207"/>
      <c r="AAO221" s="5207"/>
      <c r="AAP221" s="5207"/>
      <c r="AAQ221" s="5207"/>
      <c r="AAR221" s="5207"/>
      <c r="AAS221" s="5207"/>
      <c r="AAT221" s="5207"/>
      <c r="AAU221" s="5207"/>
      <c r="AAV221" s="5207"/>
      <c r="AAW221" s="5207"/>
      <c r="AAX221" s="5207"/>
      <c r="AAY221" s="5207"/>
      <c r="AAZ221" s="5207"/>
      <c r="ABA221" s="5207"/>
      <c r="ABB221" s="5207"/>
      <c r="ABC221" s="5207"/>
      <c r="ABD221" s="5207"/>
      <c r="ABE221" s="5207"/>
      <c r="ABF221" s="5207"/>
      <c r="ABG221" s="5207"/>
      <c r="ABH221" s="5207"/>
      <c r="ABI221" s="5207"/>
      <c r="ABJ221" s="5207"/>
      <c r="ABK221" s="5207"/>
      <c r="ABL221" s="5207"/>
      <c r="ABM221" s="5207"/>
      <c r="ABN221" s="5207"/>
      <c r="ABO221" s="5207"/>
      <c r="ABP221" s="5207"/>
      <c r="ABQ221" s="5207"/>
      <c r="ABR221" s="5207"/>
      <c r="ABS221" s="5207"/>
      <c r="ABT221" s="5207"/>
      <c r="ABU221" s="5207"/>
      <c r="ABV221" s="5207"/>
      <c r="ABW221" s="5207"/>
      <c r="ABX221" s="5207"/>
      <c r="ABY221" s="5207"/>
      <c r="ABZ221" s="5207"/>
      <c r="ACA221" s="5207"/>
      <c r="ACB221" s="5207"/>
      <c r="ACC221" s="5207"/>
      <c r="ACD221" s="5207"/>
      <c r="ACE221" s="5207"/>
      <c r="ACF221" s="5207"/>
      <c r="ACG221" s="5207"/>
      <c r="ACH221" s="5207"/>
      <c r="ACI221" s="5207"/>
      <c r="ACJ221" s="5207"/>
      <c r="ACK221" s="5207"/>
      <c r="ACL221" s="5207"/>
      <c r="ACM221" s="5207"/>
      <c r="ACN221" s="5207"/>
      <c r="ACO221" s="5207"/>
      <c r="ACP221" s="5207"/>
      <c r="ACQ221" s="5207"/>
      <c r="ACR221" s="5207"/>
      <c r="ACS221" s="5207"/>
      <c r="ACT221" s="5207"/>
      <c r="ACU221" s="5207"/>
      <c r="ACV221" s="5207"/>
      <c r="ACW221" s="5207"/>
      <c r="ACX221" s="5207"/>
      <c r="ACY221" s="5207"/>
      <c r="ACZ221" s="5207"/>
      <c r="ADA221" s="5207"/>
      <c r="ADB221" s="5207"/>
      <c r="ADC221" s="5207"/>
      <c r="ADD221" s="5207"/>
      <c r="ADE221" s="5207"/>
      <c r="ADF221" s="5207"/>
      <c r="ADG221" s="5207"/>
      <c r="ADH221" s="5207"/>
      <c r="ADI221" s="5207"/>
      <c r="ADJ221" s="5207"/>
      <c r="ADK221" s="5207"/>
      <c r="ADL221" s="5207"/>
      <c r="ADM221" s="5207"/>
      <c r="ADN221" s="5207"/>
      <c r="ADO221" s="5207"/>
      <c r="ADP221" s="5207"/>
      <c r="ADQ221" s="5207"/>
      <c r="ADR221" s="5207"/>
      <c r="ADS221" s="5207"/>
      <c r="ADT221" s="5207"/>
      <c r="ADU221" s="5207"/>
      <c r="ADV221" s="5207"/>
      <c r="ADW221" s="5207"/>
      <c r="ADX221" s="5207"/>
      <c r="ADY221" s="5207"/>
      <c r="ADZ221" s="5207"/>
      <c r="AEA221" s="5207"/>
      <c r="AEB221" s="5207"/>
      <c r="AEC221" s="5207"/>
      <c r="AED221" s="5207"/>
      <c r="AEE221" s="5207"/>
      <c r="AEF221" s="5207"/>
      <c r="AEG221" s="5207"/>
      <c r="AEH221" s="5207"/>
      <c r="AEI221" s="5207"/>
      <c r="AEJ221" s="5207"/>
      <c r="AEK221" s="5207"/>
      <c r="AEL221" s="5207"/>
      <c r="AEM221" s="5207"/>
      <c r="AEN221" s="5207"/>
      <c r="AEO221" s="5207"/>
      <c r="AEP221" s="5207"/>
      <c r="AEQ221" s="5207"/>
      <c r="AER221" s="5207"/>
      <c r="AES221" s="5207"/>
      <c r="AET221" s="5207"/>
      <c r="AEU221" s="5207"/>
      <c r="AEV221" s="5207"/>
      <c r="AEW221" s="5207"/>
      <c r="AEX221" s="5207"/>
      <c r="AEY221" s="5207"/>
      <c r="AEZ221" s="5207"/>
      <c r="AFA221" s="5207"/>
      <c r="AFB221" s="5207"/>
      <c r="AFC221" s="5207"/>
      <c r="AFD221" s="5207"/>
      <c r="AFE221" s="5207"/>
      <c r="AFF221" s="5207"/>
      <c r="AFG221" s="5207"/>
      <c r="AFH221" s="5207"/>
      <c r="AFI221" s="5207"/>
      <c r="AFJ221" s="5207"/>
      <c r="AFK221" s="5207"/>
      <c r="AFL221" s="5207"/>
      <c r="AFM221" s="5207"/>
      <c r="AFN221" s="5207"/>
      <c r="AFO221" s="5207"/>
      <c r="AFP221" s="5207"/>
      <c r="AFQ221" s="5207"/>
      <c r="AFR221" s="5207"/>
      <c r="AFS221" s="5207"/>
      <c r="AFT221" s="5207"/>
      <c r="AFU221" s="5207"/>
      <c r="AFV221" s="5207"/>
      <c r="AFW221" s="5207"/>
      <c r="AFX221" s="5207"/>
      <c r="AFY221" s="5207"/>
      <c r="AFZ221" s="5207"/>
      <c r="AGA221" s="5207"/>
      <c r="AGB221" s="5207"/>
      <c r="AGC221" s="5207"/>
      <c r="AGD221" s="5207"/>
      <c r="AGE221" s="5207"/>
      <c r="AGF221" s="5207"/>
      <c r="AGG221" s="5207"/>
      <c r="AGH221" s="5207"/>
      <c r="AGI221" s="5207"/>
      <c r="AGJ221" s="5207"/>
      <c r="AGK221" s="5207"/>
      <c r="AGL221" s="5207"/>
      <c r="AGM221" s="5207"/>
      <c r="AGN221" s="5207"/>
      <c r="AGO221" s="5207"/>
      <c r="AGP221" s="5207"/>
      <c r="AGQ221" s="5207"/>
      <c r="AGR221" s="5207"/>
      <c r="AGS221" s="5207"/>
      <c r="AGT221" s="5207"/>
      <c r="AGU221" s="5207"/>
      <c r="AGV221" s="5207"/>
      <c r="AGW221" s="5207"/>
      <c r="AGX221" s="5207"/>
      <c r="AGY221" s="5207"/>
      <c r="AGZ221" s="5207"/>
      <c r="AHA221" s="5207"/>
      <c r="AHB221" s="5207"/>
      <c r="AHC221" s="5207"/>
      <c r="AHD221" s="5207"/>
      <c r="AHE221" s="5207"/>
      <c r="AHF221" s="5207"/>
      <c r="AHG221" s="5207"/>
      <c r="AHH221" s="5207"/>
      <c r="AHI221" s="5207"/>
      <c r="AHJ221" s="5207"/>
      <c r="AHK221" s="5207"/>
      <c r="AHL221" s="5207"/>
      <c r="AHM221" s="5207"/>
      <c r="AHN221" s="5207"/>
      <c r="AHO221" s="5207"/>
      <c r="AHP221" s="5207"/>
      <c r="AHQ221" s="5207"/>
      <c r="AHR221" s="5207"/>
      <c r="AHS221" s="5207"/>
      <c r="AHT221" s="5207"/>
      <c r="AHU221" s="5207"/>
      <c r="AHV221" s="5207"/>
      <c r="AHW221" s="5207"/>
      <c r="AHX221" s="5207"/>
      <c r="AHY221" s="5207"/>
      <c r="AHZ221" s="5207"/>
      <c r="AIA221" s="5207"/>
      <c r="AIB221" s="5207"/>
      <c r="AIC221" s="5207"/>
      <c r="AID221" s="5207"/>
      <c r="AIE221" s="5207"/>
      <c r="AIF221" s="5207"/>
      <c r="AIG221" s="5207"/>
      <c r="AIH221" s="5207"/>
      <c r="AII221" s="5207"/>
      <c r="AIJ221" s="5207"/>
      <c r="AIK221" s="5207"/>
      <c r="AIL221" s="5207"/>
      <c r="AIM221" s="5207"/>
      <c r="AIN221" s="5207"/>
      <c r="AIO221" s="5207"/>
      <c r="AIP221" s="5207"/>
      <c r="AIQ221" s="5207"/>
      <c r="AIR221" s="5207"/>
      <c r="AIS221" s="5207"/>
      <c r="AIT221" s="5207"/>
      <c r="AIU221" s="5207"/>
      <c r="AIV221" s="5207"/>
      <c r="AIW221" s="5207"/>
      <c r="AIX221" s="5207"/>
      <c r="AIY221" s="5207"/>
      <c r="AIZ221" s="5207"/>
      <c r="AJA221" s="5207"/>
      <c r="AJB221" s="5207"/>
      <c r="AJC221" s="5207"/>
      <c r="AJD221" s="5207"/>
      <c r="AJE221" s="5207"/>
      <c r="AJF221" s="5207"/>
      <c r="AJG221" s="5207"/>
      <c r="AJH221" s="5207"/>
      <c r="AJI221" s="5207"/>
      <c r="AJJ221" s="5207"/>
      <c r="AJK221" s="5207"/>
      <c r="AJL221" s="5207"/>
      <c r="AJM221" s="5207"/>
      <c r="AJN221" s="5207"/>
      <c r="AJO221" s="5207"/>
      <c r="AJP221" s="5207"/>
      <c r="AJQ221" s="5207"/>
      <c r="AJR221" s="5207"/>
      <c r="AJS221" s="5207"/>
      <c r="AJT221" s="5207"/>
      <c r="AJU221" s="5207"/>
      <c r="AJV221" s="5207"/>
      <c r="AJW221" s="5207"/>
      <c r="AJX221" s="5207"/>
      <c r="AJY221" s="5207"/>
      <c r="AJZ221" s="5207"/>
      <c r="AKA221" s="5207"/>
      <c r="AKB221" s="5207"/>
      <c r="AKC221" s="5207"/>
      <c r="AKD221" s="5207"/>
      <c r="AKE221" s="5207"/>
      <c r="AKF221" s="5207"/>
      <c r="AKG221" s="5207"/>
      <c r="AKH221" s="5207"/>
      <c r="AKI221" s="5207"/>
      <c r="AKJ221" s="5207"/>
      <c r="AKK221" s="5207"/>
      <c r="AKL221" s="5207"/>
      <c r="AKM221" s="5207"/>
      <c r="AKN221" s="5207"/>
      <c r="AKO221" s="5207"/>
      <c r="AKP221" s="5207"/>
      <c r="AKQ221" s="5207"/>
      <c r="AKR221" s="5207"/>
      <c r="AKS221" s="5207"/>
      <c r="AKT221" s="5207"/>
      <c r="AKU221" s="5207"/>
      <c r="AKV221" s="5207"/>
      <c r="AKW221" s="5207"/>
      <c r="AKX221" s="5207"/>
      <c r="AKY221" s="5207"/>
      <c r="AKZ221" s="5207"/>
      <c r="ALA221" s="5207"/>
      <c r="ALB221" s="5207"/>
      <c r="ALC221" s="5207"/>
      <c r="ALD221" s="5207"/>
      <c r="ALE221" s="5207"/>
      <c r="ALF221" s="5207"/>
      <c r="ALG221" s="5207"/>
      <c r="ALH221" s="5207"/>
      <c r="ALI221" s="5207"/>
      <c r="ALJ221" s="5207"/>
      <c r="ALK221" s="5207"/>
      <c r="ALL221" s="5207"/>
      <c r="ALM221" s="5207"/>
      <c r="ALN221" s="5207"/>
      <c r="ALO221" s="5207"/>
      <c r="ALP221" s="5207"/>
      <c r="ALQ221" s="5207"/>
      <c r="ALR221" s="5207"/>
      <c r="ALS221" s="5207"/>
      <c r="ALT221" s="5207"/>
      <c r="ALU221" s="5207"/>
      <c r="ALV221" s="5207"/>
      <c r="ALW221" s="5207"/>
      <c r="ALX221" s="5207"/>
      <c r="ALY221" s="5207"/>
      <c r="ALZ221" s="5207"/>
      <c r="AMA221" s="5207"/>
      <c r="AMB221" s="5207"/>
      <c r="AMC221" s="5207"/>
      <c r="AMD221" s="5207"/>
      <c r="AME221" s="5207"/>
      <c r="AMF221" s="5207"/>
      <c r="AMG221" s="5207"/>
      <c r="AMH221" s="5207"/>
      <c r="AMI221" s="5207"/>
      <c r="AMJ221" s="5207"/>
      <c r="AMK221" s="5207"/>
      <c r="AML221" s="5207"/>
      <c r="AMM221" s="5207"/>
      <c r="AMN221" s="5207"/>
      <c r="AMO221" s="5207"/>
      <c r="AMP221" s="5207"/>
      <c r="AMQ221" s="5207"/>
      <c r="AMR221" s="5207"/>
      <c r="AMS221" s="5207"/>
      <c r="AMT221" s="5207"/>
      <c r="AMU221" s="5207"/>
      <c r="AMV221" s="5207"/>
      <c r="AMW221" s="5207"/>
      <c r="AMX221" s="5207"/>
      <c r="AMY221" s="5207"/>
      <c r="AMZ221" s="5207"/>
      <c r="ANA221" s="5207"/>
      <c r="ANB221" s="5207"/>
      <c r="ANC221" s="5207"/>
      <c r="AND221" s="5207"/>
      <c r="ANE221" s="5207"/>
      <c r="ANF221" s="5207"/>
      <c r="ANG221" s="5207"/>
      <c r="ANH221" s="5207"/>
      <c r="ANI221" s="5207"/>
      <c r="ANJ221" s="5207"/>
      <c r="ANK221" s="5207"/>
      <c r="ANL221" s="5207"/>
      <c r="ANM221" s="5207"/>
      <c r="ANN221" s="5207"/>
      <c r="ANO221" s="5207"/>
      <c r="ANP221" s="5207"/>
      <c r="ANQ221" s="5207"/>
      <c r="ANR221" s="5207"/>
      <c r="ANS221" s="5207"/>
      <c r="ANT221" s="5207"/>
      <c r="ANU221" s="5207"/>
      <c r="ANV221" s="5207"/>
      <c r="ANW221" s="5207"/>
      <c r="ANX221" s="5207"/>
      <c r="ANY221" s="5207"/>
      <c r="ANZ221" s="5207"/>
      <c r="AOA221" s="5207"/>
      <c r="AOB221" s="5207"/>
      <c r="AOC221" s="5207"/>
      <c r="AOD221" s="5207"/>
      <c r="AOE221" s="5207"/>
      <c r="AOF221" s="5207"/>
      <c r="AOG221" s="5207"/>
      <c r="AOH221" s="5207"/>
      <c r="AOI221" s="5207"/>
      <c r="AOJ221" s="5207"/>
      <c r="AOK221" s="5207"/>
      <c r="AOL221" s="5207"/>
      <c r="AOM221" s="5207"/>
      <c r="AON221" s="5207"/>
      <c r="AOO221" s="5207"/>
      <c r="AOP221" s="5207"/>
      <c r="AOQ221" s="5207"/>
      <c r="AOR221" s="5207"/>
      <c r="AOS221" s="5207"/>
      <c r="AOT221" s="5207"/>
      <c r="AOU221" s="5207"/>
      <c r="AOV221" s="5207"/>
      <c r="AOW221" s="5207"/>
      <c r="AOX221" s="5207"/>
      <c r="AOY221" s="5207"/>
      <c r="AOZ221" s="5207"/>
      <c r="APA221" s="5207"/>
      <c r="APB221" s="5207"/>
      <c r="APC221" s="5207"/>
      <c r="APD221" s="5207"/>
      <c r="APE221" s="5207"/>
      <c r="APF221" s="5207"/>
      <c r="APG221" s="5207"/>
      <c r="APH221" s="5207"/>
      <c r="API221" s="5207"/>
      <c r="APJ221" s="5207"/>
      <c r="APK221" s="5207"/>
      <c r="APL221" s="5207"/>
      <c r="APM221" s="5207"/>
      <c r="APN221" s="5207"/>
      <c r="APO221" s="5207"/>
      <c r="APP221" s="5207"/>
      <c r="APQ221" s="5207"/>
      <c r="APR221" s="5207"/>
      <c r="APS221" s="5207"/>
      <c r="APT221" s="5207"/>
      <c r="APU221" s="5207"/>
      <c r="APV221" s="5207"/>
      <c r="APW221" s="5207"/>
      <c r="APX221" s="5207"/>
      <c r="APY221" s="5207"/>
      <c r="APZ221" s="5207"/>
      <c r="AQA221" s="5207"/>
      <c r="AQB221" s="5207"/>
      <c r="AQC221" s="5207"/>
      <c r="AQD221" s="5207"/>
      <c r="AQE221" s="5207"/>
      <c r="AQF221" s="5207"/>
      <c r="AQG221" s="5207"/>
      <c r="AQH221" s="5207"/>
      <c r="AQI221" s="5207"/>
      <c r="AQJ221" s="5207"/>
      <c r="AQK221" s="5207"/>
      <c r="AQL221" s="5207"/>
      <c r="AQM221" s="5207"/>
      <c r="AQN221" s="5207"/>
      <c r="AQO221" s="5207"/>
      <c r="AQP221" s="5207"/>
      <c r="AQQ221" s="5207"/>
      <c r="AQR221" s="5207"/>
      <c r="AQS221" s="5207"/>
      <c r="AQT221" s="5207"/>
      <c r="AQU221" s="5207"/>
      <c r="AQV221" s="5207"/>
      <c r="AQW221" s="5207"/>
      <c r="AQX221" s="5207"/>
      <c r="AQY221" s="5207"/>
      <c r="AQZ221" s="5207"/>
      <c r="ARA221" s="5207"/>
      <c r="ARB221" s="5207"/>
      <c r="ARC221" s="5207"/>
      <c r="ARD221" s="5207"/>
      <c r="ARE221" s="5207"/>
      <c r="ARF221" s="5207"/>
      <c r="ARG221" s="5207"/>
      <c r="ARH221" s="5207"/>
      <c r="ARI221" s="5207"/>
      <c r="ARJ221" s="5207"/>
      <c r="ARK221" s="5207"/>
      <c r="ARL221" s="5207"/>
      <c r="ARM221" s="5207"/>
      <c r="ARN221" s="5207"/>
      <c r="ARO221" s="5207"/>
      <c r="ARP221" s="5207"/>
      <c r="ARQ221" s="5207"/>
      <c r="ARR221" s="5207"/>
      <c r="ARS221" s="5207"/>
      <c r="ART221" s="5207"/>
      <c r="ARU221" s="5207"/>
      <c r="ARV221" s="5207"/>
      <c r="ARW221" s="5207"/>
      <c r="ARX221" s="5207"/>
      <c r="ARY221" s="5207"/>
      <c r="ARZ221" s="5207"/>
      <c r="ASA221" s="5207"/>
      <c r="ASB221" s="5207"/>
      <c r="ASC221" s="5207"/>
      <c r="ASD221" s="5207"/>
      <c r="ASE221" s="5207"/>
      <c r="ASF221" s="5207"/>
      <c r="ASG221" s="5207"/>
      <c r="ASH221" s="5207"/>
      <c r="ASI221" s="5207"/>
      <c r="ASJ221" s="5207"/>
      <c r="ASK221" s="5207"/>
      <c r="ASL221" s="5207"/>
      <c r="ASM221" s="5207"/>
      <c r="ASN221" s="5207"/>
      <c r="ASO221" s="5207"/>
      <c r="ASP221" s="5207"/>
      <c r="ASQ221" s="5207"/>
      <c r="ASR221" s="5207"/>
      <c r="ASS221" s="5207"/>
      <c r="AST221" s="5207"/>
      <c r="ASU221" s="5207"/>
      <c r="ASV221" s="5207"/>
      <c r="ASW221" s="5207"/>
      <c r="ASX221" s="5207"/>
      <c r="ASY221" s="5207"/>
      <c r="ASZ221" s="5207"/>
      <c r="ATA221" s="5207"/>
      <c r="ATB221" s="5207"/>
      <c r="ATC221" s="5207"/>
      <c r="ATD221" s="5207"/>
      <c r="ATE221" s="5207"/>
      <c r="ATF221" s="5207"/>
      <c r="ATG221" s="5207"/>
      <c r="ATH221" s="5207"/>
      <c r="ATI221" s="5207"/>
      <c r="ATJ221" s="5207"/>
      <c r="ATK221" s="5207"/>
      <c r="ATL221" s="5207"/>
      <c r="ATM221" s="5207"/>
      <c r="ATN221" s="5207"/>
      <c r="ATO221" s="5207"/>
      <c r="ATP221" s="5207"/>
      <c r="ATQ221" s="5207"/>
      <c r="ATR221" s="5207"/>
      <c r="ATS221" s="5207"/>
      <c r="ATT221" s="5207"/>
      <c r="ATU221" s="5207"/>
      <c r="ATV221" s="5207"/>
      <c r="ATW221" s="5207"/>
      <c r="ATX221" s="5207"/>
      <c r="ATY221" s="5207"/>
      <c r="ATZ221" s="5207"/>
      <c r="AUA221" s="5207"/>
      <c r="AUB221" s="5207"/>
      <c r="AUC221" s="5207"/>
      <c r="AUD221" s="5207"/>
      <c r="AUE221" s="5207"/>
      <c r="AUF221" s="5207"/>
      <c r="AUG221" s="5207"/>
      <c r="AUH221" s="5207"/>
      <c r="AUI221" s="5207"/>
      <c r="AUJ221" s="5207"/>
      <c r="AUK221" s="5207"/>
      <c r="AUL221" s="5207"/>
      <c r="AUM221" s="5207"/>
      <c r="AUN221" s="5207"/>
      <c r="AUO221" s="5207"/>
      <c r="AUP221" s="5207"/>
      <c r="AUQ221" s="5207"/>
      <c r="AUR221" s="5207"/>
      <c r="AUS221" s="5207"/>
      <c r="AUT221" s="5207"/>
      <c r="AUU221" s="5207"/>
      <c r="AUV221" s="5207"/>
      <c r="AUW221" s="5207"/>
      <c r="AUX221" s="5207"/>
      <c r="AUY221" s="5207"/>
      <c r="AUZ221" s="5207"/>
      <c r="AVA221" s="5207"/>
      <c r="AVB221" s="5207"/>
      <c r="AVC221" s="5207"/>
      <c r="AVD221" s="5207"/>
      <c r="AVE221" s="5207"/>
      <c r="AVF221" s="5207"/>
      <c r="AVG221" s="5207"/>
      <c r="AVH221" s="5207"/>
      <c r="AVI221" s="5207"/>
      <c r="AVJ221" s="5207"/>
      <c r="AVK221" s="5207"/>
      <c r="AVL221" s="5207"/>
      <c r="AVM221" s="5207"/>
      <c r="AVN221" s="5207"/>
      <c r="AVO221" s="5207"/>
      <c r="AVP221" s="5207"/>
      <c r="AVQ221" s="5207"/>
      <c r="AVR221" s="5207"/>
      <c r="AVS221" s="5207"/>
      <c r="AVT221" s="5207"/>
      <c r="AVU221" s="5207"/>
      <c r="AVV221" s="5207"/>
      <c r="AVW221" s="5207"/>
      <c r="AVX221" s="5207"/>
      <c r="AVY221" s="5207"/>
      <c r="AVZ221" s="5207"/>
      <c r="AWA221" s="5207"/>
      <c r="AWB221" s="5207"/>
      <c r="AWC221" s="5207"/>
      <c r="AWD221" s="5207"/>
      <c r="AWE221" s="5207"/>
      <c r="AWF221" s="5207"/>
      <c r="AWG221" s="5207"/>
      <c r="AWH221" s="5207"/>
      <c r="AWI221" s="5207"/>
      <c r="AWJ221" s="5207"/>
      <c r="AWK221" s="5207"/>
      <c r="AWL221" s="5207"/>
      <c r="AWM221" s="5207"/>
      <c r="AWN221" s="5207"/>
      <c r="AWO221" s="5207"/>
      <c r="AWP221" s="5207"/>
      <c r="AWQ221" s="5207"/>
      <c r="AWR221" s="5207"/>
      <c r="AWS221" s="5207"/>
      <c r="AWT221" s="5207"/>
      <c r="AWU221" s="5207"/>
      <c r="AWV221" s="5207"/>
      <c r="AWW221" s="5207"/>
      <c r="AWX221" s="5207"/>
      <c r="AWY221" s="5207"/>
      <c r="AWZ221" s="5207"/>
      <c r="AXA221" s="5207"/>
      <c r="AXB221" s="5207"/>
      <c r="AXC221" s="5207"/>
      <c r="AXD221" s="5207"/>
      <c r="AXE221" s="5207"/>
      <c r="AXF221" s="5207"/>
      <c r="AXG221" s="5207"/>
      <c r="AXH221" s="5207"/>
      <c r="AXI221" s="5207"/>
      <c r="AXJ221" s="5207"/>
    </row>
    <row r="222" spans="1:1310" s="5208" customFormat="1" ht="23.25" customHeight="1">
      <c r="A222" s="5209"/>
      <c r="B222" s="5211" t="s">
        <v>861</v>
      </c>
      <c r="C222" s="5211"/>
      <c r="D222" s="5211"/>
      <c r="E222" s="5211"/>
      <c r="F222" s="5211"/>
      <c r="G222" s="5211"/>
      <c r="H222" s="5211"/>
      <c r="I222" s="5211"/>
      <c r="J222" s="5211"/>
      <c r="K222" s="5211"/>
      <c r="L222" s="5211"/>
      <c r="M222" s="5211"/>
      <c r="N222" s="5211"/>
      <c r="O222" s="5211"/>
      <c r="P222" s="5211"/>
      <c r="Q222" s="5211"/>
      <c r="R222" s="95"/>
      <c r="S222" s="95"/>
      <c r="T222" s="95"/>
      <c r="U222" s="95"/>
      <c r="V222" s="95"/>
      <c r="W222" s="95"/>
      <c r="X222" s="95"/>
      <c r="Y222" s="95"/>
      <c r="Z222" s="95"/>
      <c r="AA222" s="95"/>
      <c r="AB222" s="95"/>
      <c r="AC222" s="95"/>
      <c r="AD222" s="5207"/>
      <c r="AE222" s="5207"/>
      <c r="AF222" s="5207"/>
      <c r="AG222" s="5207"/>
      <c r="AH222" s="5207"/>
      <c r="AI222" s="5207"/>
      <c r="AJ222" s="5207"/>
      <c r="AK222" s="5207"/>
      <c r="AL222" s="5207"/>
      <c r="AM222" s="5207"/>
      <c r="AN222" s="5207"/>
      <c r="AO222" s="5207"/>
      <c r="AP222" s="5207"/>
      <c r="AQ222" s="5207"/>
      <c r="AR222" s="5207"/>
      <c r="AS222" s="5207"/>
      <c r="AT222" s="5207"/>
      <c r="AU222" s="5207"/>
      <c r="AV222" s="5207"/>
      <c r="AW222" s="5207"/>
      <c r="AX222" s="5207"/>
      <c r="AY222" s="5207"/>
      <c r="AZ222" s="5207"/>
      <c r="BA222" s="5207"/>
      <c r="BB222" s="5207"/>
      <c r="BC222" s="5207"/>
      <c r="BD222" s="5207"/>
      <c r="BE222" s="5207"/>
      <c r="BF222" s="5207"/>
      <c r="BG222" s="5207"/>
      <c r="BH222" s="5207"/>
      <c r="BI222" s="5207"/>
      <c r="BJ222" s="5207"/>
      <c r="BK222" s="5207"/>
      <c r="BL222" s="5207"/>
      <c r="BM222" s="5207"/>
      <c r="BN222" s="5207"/>
      <c r="BO222" s="5207"/>
      <c r="BP222" s="5207"/>
      <c r="BQ222" s="5207"/>
      <c r="BR222" s="5207"/>
      <c r="BS222" s="5207"/>
      <c r="BT222" s="5207"/>
      <c r="BU222" s="5207"/>
      <c r="BV222" s="5207"/>
      <c r="BW222" s="5207"/>
      <c r="BX222" s="5207"/>
      <c r="BY222" s="5207"/>
      <c r="BZ222" s="5207"/>
      <c r="CA222" s="5207"/>
      <c r="CB222" s="5207"/>
      <c r="CC222" s="5207"/>
      <c r="CD222" s="5207"/>
      <c r="CE222" s="5207"/>
      <c r="CF222" s="5207"/>
      <c r="CG222" s="5207"/>
      <c r="CH222" s="5207"/>
      <c r="CI222" s="5207"/>
      <c r="CJ222" s="5207"/>
      <c r="CK222" s="5207"/>
      <c r="CL222" s="5207"/>
      <c r="CM222" s="5207"/>
      <c r="CN222" s="5207"/>
      <c r="CO222" s="5207"/>
      <c r="CP222" s="5207"/>
      <c r="CQ222" s="5207"/>
      <c r="CR222" s="5207"/>
      <c r="CS222" s="5207"/>
      <c r="CT222" s="5207"/>
      <c r="CU222" s="5207"/>
      <c r="CV222" s="5207"/>
      <c r="CW222" s="5207"/>
      <c r="CX222" s="5207"/>
      <c r="CY222" s="5207"/>
      <c r="CZ222" s="5207"/>
      <c r="DA222" s="5207"/>
      <c r="DB222" s="5207"/>
      <c r="DC222" s="5207"/>
      <c r="DD222" s="5207"/>
      <c r="DE222" s="5207"/>
      <c r="DF222" s="5207"/>
      <c r="DG222" s="5207"/>
      <c r="DH222" s="5207"/>
      <c r="DI222" s="5207"/>
      <c r="DJ222" s="5207"/>
      <c r="DK222" s="5207"/>
      <c r="DL222" s="5207"/>
      <c r="DM222" s="5207"/>
      <c r="DN222" s="5207"/>
      <c r="DO222" s="5207"/>
      <c r="DP222" s="5207"/>
      <c r="DQ222" s="5207"/>
      <c r="DR222" s="5207"/>
      <c r="DS222" s="5207"/>
      <c r="DT222" s="5207"/>
      <c r="DU222" s="5207"/>
      <c r="DV222" s="5207"/>
      <c r="DW222" s="5207"/>
      <c r="DX222" s="5207"/>
      <c r="DY222" s="5207"/>
      <c r="DZ222" s="5207"/>
      <c r="EA222" s="5207"/>
      <c r="EB222" s="5207"/>
      <c r="EC222" s="5207"/>
      <c r="ED222" s="5207"/>
      <c r="EE222" s="5207"/>
      <c r="EF222" s="5207"/>
      <c r="EG222" s="5207"/>
      <c r="EH222" s="5207"/>
      <c r="EI222" s="5207"/>
      <c r="EJ222" s="5207"/>
      <c r="EK222" s="5207"/>
      <c r="EL222" s="5207"/>
      <c r="EM222" s="5207"/>
      <c r="EN222" s="5207"/>
      <c r="EO222" s="5207"/>
      <c r="EP222" s="5207"/>
      <c r="EQ222" s="5207"/>
      <c r="ER222" s="5207"/>
      <c r="ES222" s="5207"/>
      <c r="ET222" s="5207"/>
      <c r="EU222" s="5207"/>
      <c r="EV222" s="5207"/>
      <c r="EW222" s="5207"/>
      <c r="EX222" s="5207"/>
      <c r="EY222" s="5207"/>
      <c r="EZ222" s="5207"/>
      <c r="FA222" s="5207"/>
      <c r="FB222" s="5207"/>
      <c r="FC222" s="5207"/>
      <c r="FD222" s="5207"/>
      <c r="FE222" s="5207"/>
      <c r="FF222" s="5207"/>
      <c r="FG222" s="5207"/>
      <c r="FH222" s="5207"/>
      <c r="FI222" s="5207"/>
      <c r="FJ222" s="5207"/>
      <c r="FK222" s="5207"/>
      <c r="FL222" s="5207"/>
      <c r="FM222" s="5207"/>
      <c r="FN222" s="5207"/>
      <c r="FO222" s="5207"/>
      <c r="FP222" s="5207"/>
      <c r="FQ222" s="5207"/>
      <c r="FR222" s="5207"/>
      <c r="FS222" s="5207"/>
      <c r="FT222" s="5207"/>
      <c r="FU222" s="5207"/>
      <c r="FV222" s="5207"/>
      <c r="FW222" s="5207"/>
      <c r="FX222" s="5207"/>
      <c r="FY222" s="5207"/>
      <c r="FZ222" s="5207"/>
      <c r="GA222" s="5207"/>
      <c r="GB222" s="5207"/>
      <c r="GC222" s="5207"/>
      <c r="GD222" s="5207"/>
      <c r="GE222" s="5207"/>
      <c r="GF222" s="5207"/>
      <c r="GG222" s="5207"/>
      <c r="GH222" s="5207"/>
      <c r="GI222" s="5207"/>
      <c r="GJ222" s="5207"/>
      <c r="GK222" s="5207"/>
      <c r="GL222" s="5207"/>
      <c r="GM222" s="5207"/>
      <c r="GN222" s="5207"/>
      <c r="GO222" s="5207"/>
      <c r="GP222" s="5207"/>
      <c r="GQ222" s="5207"/>
      <c r="GR222" s="5207"/>
      <c r="GS222" s="5207"/>
      <c r="GT222" s="5207"/>
      <c r="GU222" s="5207"/>
      <c r="GV222" s="5207"/>
      <c r="GW222" s="5207"/>
      <c r="GX222" s="5207"/>
      <c r="GY222" s="5207"/>
      <c r="GZ222" s="5207"/>
      <c r="HA222" s="5207"/>
      <c r="HB222" s="5207"/>
      <c r="HC222" s="5207"/>
      <c r="HD222" s="5207"/>
      <c r="HE222" s="5207"/>
      <c r="HF222" s="5207"/>
      <c r="HG222" s="5207"/>
      <c r="HH222" s="5207"/>
      <c r="HI222" s="5207"/>
      <c r="HJ222" s="5207"/>
      <c r="HK222" s="5207"/>
      <c r="HL222" s="5207"/>
      <c r="HM222" s="5207"/>
      <c r="HN222" s="5207"/>
      <c r="HO222" s="5207"/>
      <c r="HP222" s="5207"/>
      <c r="HQ222" s="5207"/>
      <c r="HR222" s="5207"/>
      <c r="HS222" s="5207"/>
      <c r="HT222" s="5207"/>
      <c r="HU222" s="5207"/>
      <c r="HV222" s="5207"/>
      <c r="HW222" s="5207"/>
      <c r="HX222" s="5207"/>
      <c r="HY222" s="5207"/>
      <c r="HZ222" s="5207"/>
      <c r="IA222" s="5207"/>
      <c r="IB222" s="5207"/>
      <c r="IC222" s="5207"/>
      <c r="ID222" s="5207"/>
      <c r="IE222" s="5207"/>
      <c r="IF222" s="5207"/>
      <c r="IG222" s="5207"/>
      <c r="IH222" s="5207"/>
      <c r="II222" s="5207"/>
      <c r="IJ222" s="5207"/>
      <c r="IK222" s="5207"/>
      <c r="IL222" s="5207"/>
      <c r="IM222" s="5207"/>
      <c r="IN222" s="5207"/>
      <c r="IO222" s="5207"/>
      <c r="IP222" s="5207"/>
      <c r="IQ222" s="5207"/>
      <c r="IR222" s="5207"/>
      <c r="IS222" s="5207"/>
      <c r="IT222" s="5207"/>
      <c r="IU222" s="5207"/>
      <c r="IV222" s="5207"/>
      <c r="IW222" s="5207"/>
      <c r="IX222" s="5207"/>
      <c r="IY222" s="5207"/>
      <c r="IZ222" s="5207"/>
      <c r="JA222" s="5207"/>
      <c r="JB222" s="5207"/>
      <c r="JC222" s="5207"/>
      <c r="JD222" s="5207"/>
      <c r="JE222" s="5207"/>
      <c r="JF222" s="5207"/>
      <c r="JG222" s="5207"/>
      <c r="JH222" s="5207"/>
      <c r="JI222" s="5207"/>
      <c r="JJ222" s="5207"/>
      <c r="JK222" s="5207"/>
      <c r="JL222" s="5207"/>
      <c r="JM222" s="5207"/>
      <c r="JN222" s="5207"/>
      <c r="JO222" s="5207"/>
      <c r="JP222" s="5207"/>
      <c r="JQ222" s="5207"/>
      <c r="JR222" s="5207"/>
      <c r="JS222" s="5207"/>
      <c r="JT222" s="5207"/>
      <c r="JU222" s="5207"/>
      <c r="JV222" s="5207"/>
      <c r="JW222" s="5207"/>
      <c r="JX222" s="5207"/>
      <c r="JY222" s="5207"/>
      <c r="JZ222" s="5207"/>
      <c r="KA222" s="5207"/>
      <c r="KB222" s="5207"/>
      <c r="KC222" s="5207"/>
      <c r="KD222" s="5207"/>
      <c r="KE222" s="5207"/>
      <c r="KF222" s="5207"/>
      <c r="KG222" s="5207"/>
      <c r="KH222" s="5207"/>
      <c r="KI222" s="5207"/>
      <c r="KJ222" s="5207"/>
      <c r="KK222" s="5207"/>
      <c r="KL222" s="5207"/>
      <c r="KM222" s="5207"/>
      <c r="KN222" s="5207"/>
      <c r="KO222" s="5207"/>
      <c r="KP222" s="5207"/>
      <c r="KQ222" s="5207"/>
      <c r="KR222" s="5207"/>
      <c r="KS222" s="5207"/>
      <c r="KT222" s="5207"/>
      <c r="KU222" s="5207"/>
      <c r="KV222" s="5207"/>
      <c r="KW222" s="5207"/>
      <c r="KX222" s="5207"/>
      <c r="KY222" s="5207"/>
      <c r="KZ222" s="5207"/>
      <c r="LA222" s="5207"/>
      <c r="LB222" s="5207"/>
      <c r="LC222" s="5207"/>
      <c r="LD222" s="5207"/>
      <c r="LE222" s="5207"/>
      <c r="LF222" s="5207"/>
      <c r="LG222" s="5207"/>
      <c r="LH222" s="5207"/>
      <c r="LI222" s="5207"/>
      <c r="LJ222" s="5207"/>
      <c r="LK222" s="5207"/>
      <c r="LL222" s="5207"/>
      <c r="LM222" s="5207"/>
      <c r="LN222" s="5207"/>
      <c r="LO222" s="5207"/>
      <c r="LP222" s="5207"/>
      <c r="LQ222" s="5207"/>
      <c r="LR222" s="5207"/>
      <c r="LS222" s="5207"/>
      <c r="LT222" s="5207"/>
      <c r="LU222" s="5207"/>
      <c r="LV222" s="5207"/>
      <c r="LW222" s="5207"/>
      <c r="LX222" s="5207"/>
      <c r="LY222" s="5207"/>
      <c r="LZ222" s="5207"/>
      <c r="MA222" s="5207"/>
      <c r="MB222" s="5207"/>
      <c r="MC222" s="5207"/>
      <c r="MD222" s="5207"/>
      <c r="ME222" s="5207"/>
      <c r="MF222" s="5207"/>
      <c r="MG222" s="5207"/>
      <c r="MH222" s="5207"/>
      <c r="MI222" s="5207"/>
      <c r="MJ222" s="5207"/>
      <c r="MK222" s="5207"/>
      <c r="ML222" s="5207"/>
      <c r="MM222" s="5207"/>
      <c r="MN222" s="5207"/>
      <c r="MO222" s="5207"/>
      <c r="MP222" s="5207"/>
      <c r="MQ222" s="5207"/>
      <c r="MR222" s="5207"/>
      <c r="MS222" s="5207"/>
      <c r="MT222" s="5207"/>
      <c r="MU222" s="5207"/>
      <c r="MV222" s="5207"/>
      <c r="MW222" s="5207"/>
      <c r="MX222" s="5207"/>
      <c r="MY222" s="5207"/>
      <c r="MZ222" s="5207"/>
      <c r="NA222" s="5207"/>
      <c r="NB222" s="5207"/>
      <c r="NC222" s="5207"/>
      <c r="ND222" s="5207"/>
      <c r="NE222" s="5207"/>
      <c r="NF222" s="5207"/>
      <c r="NG222" s="5207"/>
      <c r="NH222" s="5207"/>
      <c r="NI222" s="5207"/>
      <c r="NJ222" s="5207"/>
      <c r="NK222" s="5207"/>
      <c r="NL222" s="5207"/>
      <c r="NM222" s="5207"/>
      <c r="NN222" s="5207"/>
      <c r="NO222" s="5207"/>
      <c r="NP222" s="5207"/>
      <c r="NQ222" s="5207"/>
      <c r="NR222" s="5207"/>
      <c r="NS222" s="5207"/>
      <c r="NT222" s="5207"/>
      <c r="NU222" s="5207"/>
      <c r="NV222" s="5207"/>
      <c r="NW222" s="5207"/>
      <c r="NX222" s="5207"/>
      <c r="NY222" s="5207"/>
      <c r="NZ222" s="5207"/>
      <c r="OA222" s="5207"/>
      <c r="OB222" s="5207"/>
      <c r="OC222" s="5207"/>
      <c r="OD222" s="5207"/>
      <c r="OE222" s="5207"/>
      <c r="OF222" s="5207"/>
      <c r="OG222" s="5207"/>
      <c r="OH222" s="5207"/>
      <c r="OI222" s="5207"/>
      <c r="OJ222" s="5207"/>
      <c r="OK222" s="5207"/>
      <c r="OL222" s="5207"/>
      <c r="OM222" s="5207"/>
      <c r="ON222" s="5207"/>
      <c r="OO222" s="5207"/>
      <c r="OP222" s="5207"/>
      <c r="OQ222" s="5207"/>
      <c r="OR222" s="5207"/>
      <c r="OS222" s="5207"/>
      <c r="OT222" s="5207"/>
      <c r="OU222" s="5207"/>
      <c r="OV222" s="5207"/>
      <c r="OW222" s="5207"/>
      <c r="OX222" s="5207"/>
      <c r="OY222" s="5207"/>
      <c r="OZ222" s="5207"/>
      <c r="PA222" s="5207"/>
      <c r="PB222" s="5207"/>
      <c r="PC222" s="5207"/>
      <c r="PD222" s="5207"/>
      <c r="PE222" s="5207"/>
      <c r="PF222" s="5207"/>
      <c r="PG222" s="5207"/>
      <c r="PH222" s="5207"/>
      <c r="PI222" s="5207"/>
      <c r="PJ222" s="5207"/>
      <c r="PK222" s="5207"/>
      <c r="PL222" s="5207"/>
      <c r="PM222" s="5207"/>
      <c r="PN222" s="5207"/>
      <c r="PO222" s="5207"/>
      <c r="PP222" s="5207"/>
      <c r="PQ222" s="5207"/>
      <c r="PR222" s="5207"/>
      <c r="PS222" s="5207"/>
      <c r="PT222" s="5207"/>
      <c r="PU222" s="5207"/>
      <c r="PV222" s="5207"/>
      <c r="PW222" s="5207"/>
      <c r="PX222" s="5207"/>
      <c r="PY222" s="5207"/>
      <c r="PZ222" s="5207"/>
      <c r="QA222" s="5207"/>
      <c r="QB222" s="5207"/>
      <c r="QC222" s="5207"/>
      <c r="QD222" s="5207"/>
      <c r="QE222" s="5207"/>
      <c r="QF222" s="5207"/>
      <c r="QG222" s="5207"/>
      <c r="QH222" s="5207"/>
      <c r="QI222" s="5207"/>
      <c r="QJ222" s="5207"/>
      <c r="QK222" s="5207"/>
      <c r="QL222" s="5207"/>
      <c r="QM222" s="5207"/>
      <c r="QN222" s="5207"/>
      <c r="QO222" s="5207"/>
      <c r="QP222" s="5207"/>
      <c r="QQ222" s="5207"/>
      <c r="QR222" s="5207"/>
      <c r="QS222" s="5207"/>
      <c r="QT222" s="5207"/>
      <c r="QU222" s="5207"/>
      <c r="QV222" s="5207"/>
      <c r="QW222" s="5207"/>
      <c r="QX222" s="5207"/>
      <c r="QY222" s="5207"/>
      <c r="QZ222" s="5207"/>
      <c r="RA222" s="5207"/>
      <c r="RB222" s="5207"/>
      <c r="RC222" s="5207"/>
      <c r="RD222" s="5207"/>
      <c r="RE222" s="5207"/>
      <c r="RF222" s="5207"/>
      <c r="RG222" s="5207"/>
      <c r="RH222" s="5207"/>
      <c r="RI222" s="5207"/>
      <c r="RJ222" s="5207"/>
      <c r="RK222" s="5207"/>
      <c r="RL222" s="5207"/>
      <c r="RM222" s="5207"/>
      <c r="RN222" s="5207"/>
      <c r="RO222" s="5207"/>
      <c r="RP222" s="5207"/>
      <c r="RQ222" s="5207"/>
      <c r="RR222" s="5207"/>
      <c r="RS222" s="5207"/>
      <c r="RT222" s="5207"/>
      <c r="RU222" s="5207"/>
      <c r="RV222" s="5207"/>
      <c r="RW222" s="5207"/>
      <c r="RX222" s="5207"/>
      <c r="RY222" s="5207"/>
      <c r="RZ222" s="5207"/>
      <c r="SA222" s="5207"/>
      <c r="SB222" s="5207"/>
      <c r="SC222" s="5207"/>
      <c r="SD222" s="5207"/>
      <c r="SE222" s="5207"/>
      <c r="SF222" s="5207"/>
      <c r="SG222" s="5207"/>
      <c r="SH222" s="5207"/>
      <c r="SI222" s="5207"/>
      <c r="SJ222" s="5207"/>
      <c r="SK222" s="5207"/>
      <c r="SL222" s="5207"/>
      <c r="SM222" s="5207"/>
      <c r="SN222" s="5207"/>
      <c r="SO222" s="5207"/>
      <c r="SP222" s="5207"/>
      <c r="SQ222" s="5207"/>
      <c r="SR222" s="5207"/>
      <c r="SS222" s="5207"/>
      <c r="ST222" s="5207"/>
      <c r="SU222" s="5207"/>
      <c r="SV222" s="5207"/>
      <c r="SW222" s="5207"/>
      <c r="SX222" s="5207"/>
      <c r="SY222" s="5207"/>
      <c r="SZ222" s="5207"/>
      <c r="TA222" s="5207"/>
      <c r="TB222" s="5207"/>
      <c r="TC222" s="5207"/>
      <c r="TD222" s="5207"/>
      <c r="TE222" s="5207"/>
      <c r="TF222" s="5207"/>
      <c r="TG222" s="5207"/>
      <c r="TH222" s="5207"/>
      <c r="TI222" s="5207"/>
      <c r="TJ222" s="5207"/>
      <c r="TK222" s="5207"/>
      <c r="TL222" s="5207"/>
      <c r="TM222" s="5207"/>
      <c r="TN222" s="5207"/>
      <c r="TO222" s="5207"/>
      <c r="TP222" s="5207"/>
      <c r="TQ222" s="5207"/>
      <c r="TR222" s="5207"/>
      <c r="TS222" s="5207"/>
      <c r="TT222" s="5207"/>
      <c r="TU222" s="5207"/>
      <c r="TV222" s="5207"/>
      <c r="TW222" s="5207"/>
      <c r="TX222" s="5207"/>
      <c r="TY222" s="5207"/>
      <c r="TZ222" s="5207"/>
      <c r="UA222" s="5207"/>
      <c r="UB222" s="5207"/>
      <c r="UC222" s="5207"/>
      <c r="UD222" s="5207"/>
      <c r="UE222" s="5207"/>
      <c r="UF222" s="5207"/>
      <c r="UG222" s="5207"/>
      <c r="UH222" s="5207"/>
      <c r="UI222" s="5207"/>
      <c r="UJ222" s="5207"/>
      <c r="UK222" s="5207"/>
      <c r="UL222" s="5207"/>
      <c r="UM222" s="5207"/>
      <c r="UN222" s="5207"/>
      <c r="UO222" s="5207"/>
      <c r="UP222" s="5207"/>
      <c r="UQ222" s="5207"/>
      <c r="UR222" s="5207"/>
      <c r="US222" s="5207"/>
      <c r="UT222" s="5207"/>
      <c r="UU222" s="5207"/>
      <c r="UV222" s="5207"/>
      <c r="UW222" s="5207"/>
      <c r="UX222" s="5207"/>
      <c r="UY222" s="5207"/>
      <c r="UZ222" s="5207"/>
      <c r="VA222" s="5207"/>
      <c r="VB222" s="5207"/>
      <c r="VC222" s="5207"/>
      <c r="VD222" s="5207"/>
      <c r="VE222" s="5207"/>
      <c r="VF222" s="5207"/>
      <c r="VG222" s="5207"/>
      <c r="VH222" s="5207"/>
      <c r="VI222" s="5207"/>
      <c r="VJ222" s="5207"/>
      <c r="VK222" s="5207"/>
      <c r="VL222" s="5207"/>
      <c r="VM222" s="5207"/>
      <c r="VN222" s="5207"/>
      <c r="VO222" s="5207"/>
      <c r="VP222" s="5207"/>
      <c r="VQ222" s="5207"/>
      <c r="VR222" s="5207"/>
      <c r="VS222" s="5207"/>
      <c r="VT222" s="5207"/>
      <c r="VU222" s="5207"/>
      <c r="VV222" s="5207"/>
      <c r="VW222" s="5207"/>
      <c r="VX222" s="5207"/>
      <c r="VY222" s="5207"/>
      <c r="VZ222" s="5207"/>
      <c r="WA222" s="5207"/>
      <c r="WB222" s="5207"/>
      <c r="WC222" s="5207"/>
      <c r="WD222" s="5207"/>
      <c r="WE222" s="5207"/>
      <c r="WF222" s="5207"/>
      <c r="WG222" s="5207"/>
      <c r="WH222" s="5207"/>
      <c r="WI222" s="5207"/>
      <c r="WJ222" s="5207"/>
      <c r="WK222" s="5207"/>
      <c r="WL222" s="5207"/>
      <c r="WM222" s="5207"/>
      <c r="WN222" s="5207"/>
      <c r="WO222" s="5207"/>
      <c r="WP222" s="5207"/>
      <c r="WQ222" s="5207"/>
      <c r="WR222" s="5207"/>
      <c r="WS222" s="5207"/>
      <c r="WT222" s="5207"/>
      <c r="WU222" s="5207"/>
      <c r="WV222" s="5207"/>
      <c r="WW222" s="5207"/>
      <c r="WX222" s="5207"/>
      <c r="WY222" s="5207"/>
      <c r="WZ222" s="5207"/>
      <c r="XA222" s="5207"/>
      <c r="XB222" s="5207"/>
      <c r="XC222" s="5207"/>
      <c r="XD222" s="5207"/>
      <c r="XE222" s="5207"/>
      <c r="XF222" s="5207"/>
      <c r="XG222" s="5207"/>
      <c r="XH222" s="5207"/>
      <c r="XI222" s="5207"/>
      <c r="XJ222" s="5207"/>
      <c r="XK222" s="5207"/>
      <c r="XL222" s="5207"/>
      <c r="XM222" s="5207"/>
      <c r="XN222" s="5207"/>
      <c r="XO222" s="5207"/>
      <c r="XP222" s="5207"/>
      <c r="XQ222" s="5207"/>
      <c r="XR222" s="5207"/>
      <c r="XS222" s="5207"/>
      <c r="XT222" s="5207"/>
      <c r="XU222" s="5207"/>
      <c r="XV222" s="5207"/>
      <c r="XW222" s="5207"/>
      <c r="XX222" s="5207"/>
      <c r="XY222" s="5207"/>
      <c r="XZ222" s="5207"/>
      <c r="YA222" s="5207"/>
      <c r="YB222" s="5207"/>
      <c r="YC222" s="5207"/>
      <c r="YD222" s="5207"/>
      <c r="YE222" s="5207"/>
      <c r="YF222" s="5207"/>
      <c r="YG222" s="5207"/>
      <c r="YH222" s="5207"/>
      <c r="YI222" s="5207"/>
      <c r="YJ222" s="5207"/>
      <c r="YK222" s="5207"/>
      <c r="YL222" s="5207"/>
      <c r="YM222" s="5207"/>
      <c r="YN222" s="5207"/>
      <c r="YO222" s="5207"/>
      <c r="YP222" s="5207"/>
      <c r="YQ222" s="5207"/>
      <c r="YR222" s="5207"/>
      <c r="YS222" s="5207"/>
      <c r="YT222" s="5207"/>
      <c r="YU222" s="5207"/>
      <c r="YV222" s="5207"/>
      <c r="YW222" s="5207"/>
      <c r="YX222" s="5207"/>
      <c r="YY222" s="5207"/>
      <c r="YZ222" s="5207"/>
      <c r="ZA222" s="5207"/>
      <c r="ZB222" s="5207"/>
      <c r="ZC222" s="5207"/>
      <c r="ZD222" s="5207"/>
      <c r="ZE222" s="5207"/>
      <c r="ZF222" s="5207"/>
      <c r="ZG222" s="5207"/>
      <c r="ZH222" s="5207"/>
      <c r="ZI222" s="5207"/>
      <c r="ZJ222" s="5207"/>
      <c r="ZK222" s="5207"/>
      <c r="ZL222" s="5207"/>
      <c r="ZM222" s="5207"/>
      <c r="ZN222" s="5207"/>
      <c r="ZO222" s="5207"/>
      <c r="ZP222" s="5207"/>
      <c r="ZQ222" s="5207"/>
      <c r="ZR222" s="5207"/>
      <c r="ZS222" s="5207"/>
      <c r="ZT222" s="5207"/>
      <c r="ZU222" s="5207"/>
      <c r="ZV222" s="5207"/>
      <c r="ZW222" s="5207"/>
      <c r="ZX222" s="5207"/>
      <c r="ZY222" s="5207"/>
      <c r="ZZ222" s="5207"/>
      <c r="AAA222" s="5207"/>
      <c r="AAB222" s="5207"/>
      <c r="AAC222" s="5207"/>
      <c r="AAD222" s="5207"/>
      <c r="AAE222" s="5207"/>
      <c r="AAF222" s="5207"/>
      <c r="AAG222" s="5207"/>
      <c r="AAH222" s="5207"/>
      <c r="AAI222" s="5207"/>
      <c r="AAJ222" s="5207"/>
      <c r="AAK222" s="5207"/>
      <c r="AAL222" s="5207"/>
      <c r="AAM222" s="5207"/>
      <c r="AAN222" s="5207"/>
      <c r="AAO222" s="5207"/>
      <c r="AAP222" s="5207"/>
      <c r="AAQ222" s="5207"/>
      <c r="AAR222" s="5207"/>
      <c r="AAS222" s="5207"/>
      <c r="AAT222" s="5207"/>
      <c r="AAU222" s="5207"/>
      <c r="AAV222" s="5207"/>
      <c r="AAW222" s="5207"/>
      <c r="AAX222" s="5207"/>
      <c r="AAY222" s="5207"/>
      <c r="AAZ222" s="5207"/>
      <c r="ABA222" s="5207"/>
      <c r="ABB222" s="5207"/>
      <c r="ABC222" s="5207"/>
      <c r="ABD222" s="5207"/>
      <c r="ABE222" s="5207"/>
      <c r="ABF222" s="5207"/>
      <c r="ABG222" s="5207"/>
      <c r="ABH222" s="5207"/>
      <c r="ABI222" s="5207"/>
      <c r="ABJ222" s="5207"/>
      <c r="ABK222" s="5207"/>
      <c r="ABL222" s="5207"/>
      <c r="ABM222" s="5207"/>
      <c r="ABN222" s="5207"/>
      <c r="ABO222" s="5207"/>
      <c r="ABP222" s="5207"/>
      <c r="ABQ222" s="5207"/>
      <c r="ABR222" s="5207"/>
      <c r="ABS222" s="5207"/>
      <c r="ABT222" s="5207"/>
      <c r="ABU222" s="5207"/>
      <c r="ABV222" s="5207"/>
      <c r="ABW222" s="5207"/>
      <c r="ABX222" s="5207"/>
      <c r="ABY222" s="5207"/>
      <c r="ABZ222" s="5207"/>
      <c r="ACA222" s="5207"/>
      <c r="ACB222" s="5207"/>
      <c r="ACC222" s="5207"/>
      <c r="ACD222" s="5207"/>
      <c r="ACE222" s="5207"/>
      <c r="ACF222" s="5207"/>
      <c r="ACG222" s="5207"/>
      <c r="ACH222" s="5207"/>
      <c r="ACI222" s="5207"/>
      <c r="ACJ222" s="5207"/>
      <c r="ACK222" s="5207"/>
      <c r="ACL222" s="5207"/>
      <c r="ACM222" s="5207"/>
      <c r="ACN222" s="5207"/>
      <c r="ACO222" s="5207"/>
      <c r="ACP222" s="5207"/>
      <c r="ACQ222" s="5207"/>
      <c r="ACR222" s="5207"/>
      <c r="ACS222" s="5207"/>
      <c r="ACT222" s="5207"/>
      <c r="ACU222" s="5207"/>
      <c r="ACV222" s="5207"/>
      <c r="ACW222" s="5207"/>
      <c r="ACX222" s="5207"/>
      <c r="ACY222" s="5207"/>
      <c r="ACZ222" s="5207"/>
      <c r="ADA222" s="5207"/>
      <c r="ADB222" s="5207"/>
      <c r="ADC222" s="5207"/>
      <c r="ADD222" s="5207"/>
      <c r="ADE222" s="5207"/>
      <c r="ADF222" s="5207"/>
      <c r="ADG222" s="5207"/>
      <c r="ADH222" s="5207"/>
      <c r="ADI222" s="5207"/>
      <c r="ADJ222" s="5207"/>
      <c r="ADK222" s="5207"/>
      <c r="ADL222" s="5207"/>
      <c r="ADM222" s="5207"/>
      <c r="ADN222" s="5207"/>
      <c r="ADO222" s="5207"/>
      <c r="ADP222" s="5207"/>
      <c r="ADQ222" s="5207"/>
      <c r="ADR222" s="5207"/>
      <c r="ADS222" s="5207"/>
      <c r="ADT222" s="5207"/>
      <c r="ADU222" s="5207"/>
      <c r="ADV222" s="5207"/>
      <c r="ADW222" s="5207"/>
      <c r="ADX222" s="5207"/>
      <c r="ADY222" s="5207"/>
      <c r="ADZ222" s="5207"/>
      <c r="AEA222" s="5207"/>
      <c r="AEB222" s="5207"/>
      <c r="AEC222" s="5207"/>
      <c r="AED222" s="5207"/>
      <c r="AEE222" s="5207"/>
      <c r="AEF222" s="5207"/>
      <c r="AEG222" s="5207"/>
      <c r="AEH222" s="5207"/>
      <c r="AEI222" s="5207"/>
      <c r="AEJ222" s="5207"/>
      <c r="AEK222" s="5207"/>
      <c r="AEL222" s="5207"/>
      <c r="AEM222" s="5207"/>
      <c r="AEN222" s="5207"/>
      <c r="AEO222" s="5207"/>
      <c r="AEP222" s="5207"/>
      <c r="AEQ222" s="5207"/>
      <c r="AER222" s="5207"/>
      <c r="AES222" s="5207"/>
      <c r="AET222" s="5207"/>
      <c r="AEU222" s="5207"/>
      <c r="AEV222" s="5207"/>
      <c r="AEW222" s="5207"/>
      <c r="AEX222" s="5207"/>
      <c r="AEY222" s="5207"/>
      <c r="AEZ222" s="5207"/>
      <c r="AFA222" s="5207"/>
      <c r="AFB222" s="5207"/>
      <c r="AFC222" s="5207"/>
      <c r="AFD222" s="5207"/>
      <c r="AFE222" s="5207"/>
      <c r="AFF222" s="5207"/>
      <c r="AFG222" s="5207"/>
      <c r="AFH222" s="5207"/>
      <c r="AFI222" s="5207"/>
      <c r="AFJ222" s="5207"/>
      <c r="AFK222" s="5207"/>
      <c r="AFL222" s="5207"/>
      <c r="AFM222" s="5207"/>
      <c r="AFN222" s="5207"/>
      <c r="AFO222" s="5207"/>
      <c r="AFP222" s="5207"/>
      <c r="AFQ222" s="5207"/>
      <c r="AFR222" s="5207"/>
      <c r="AFS222" s="5207"/>
      <c r="AFT222" s="5207"/>
      <c r="AFU222" s="5207"/>
      <c r="AFV222" s="5207"/>
      <c r="AFW222" s="5207"/>
      <c r="AFX222" s="5207"/>
      <c r="AFY222" s="5207"/>
      <c r="AFZ222" s="5207"/>
      <c r="AGA222" s="5207"/>
      <c r="AGB222" s="5207"/>
      <c r="AGC222" s="5207"/>
      <c r="AGD222" s="5207"/>
      <c r="AGE222" s="5207"/>
      <c r="AGF222" s="5207"/>
      <c r="AGG222" s="5207"/>
      <c r="AGH222" s="5207"/>
      <c r="AGI222" s="5207"/>
      <c r="AGJ222" s="5207"/>
      <c r="AGK222" s="5207"/>
      <c r="AGL222" s="5207"/>
      <c r="AGM222" s="5207"/>
      <c r="AGN222" s="5207"/>
      <c r="AGO222" s="5207"/>
      <c r="AGP222" s="5207"/>
      <c r="AGQ222" s="5207"/>
      <c r="AGR222" s="5207"/>
      <c r="AGS222" s="5207"/>
      <c r="AGT222" s="5207"/>
      <c r="AGU222" s="5207"/>
      <c r="AGV222" s="5207"/>
      <c r="AGW222" s="5207"/>
      <c r="AGX222" s="5207"/>
      <c r="AGY222" s="5207"/>
      <c r="AGZ222" s="5207"/>
      <c r="AHA222" s="5207"/>
      <c r="AHB222" s="5207"/>
      <c r="AHC222" s="5207"/>
      <c r="AHD222" s="5207"/>
      <c r="AHE222" s="5207"/>
      <c r="AHF222" s="5207"/>
      <c r="AHG222" s="5207"/>
      <c r="AHH222" s="5207"/>
      <c r="AHI222" s="5207"/>
      <c r="AHJ222" s="5207"/>
      <c r="AHK222" s="5207"/>
      <c r="AHL222" s="5207"/>
      <c r="AHM222" s="5207"/>
      <c r="AHN222" s="5207"/>
      <c r="AHO222" s="5207"/>
      <c r="AHP222" s="5207"/>
      <c r="AHQ222" s="5207"/>
      <c r="AHR222" s="5207"/>
      <c r="AHS222" s="5207"/>
      <c r="AHT222" s="5207"/>
      <c r="AHU222" s="5207"/>
      <c r="AHV222" s="5207"/>
      <c r="AHW222" s="5207"/>
      <c r="AHX222" s="5207"/>
      <c r="AHY222" s="5207"/>
      <c r="AHZ222" s="5207"/>
      <c r="AIA222" s="5207"/>
      <c r="AIB222" s="5207"/>
      <c r="AIC222" s="5207"/>
      <c r="AID222" s="5207"/>
      <c r="AIE222" s="5207"/>
      <c r="AIF222" s="5207"/>
      <c r="AIG222" s="5207"/>
      <c r="AIH222" s="5207"/>
      <c r="AII222" s="5207"/>
      <c r="AIJ222" s="5207"/>
      <c r="AIK222" s="5207"/>
      <c r="AIL222" s="5207"/>
      <c r="AIM222" s="5207"/>
      <c r="AIN222" s="5207"/>
      <c r="AIO222" s="5207"/>
      <c r="AIP222" s="5207"/>
      <c r="AIQ222" s="5207"/>
      <c r="AIR222" s="5207"/>
      <c r="AIS222" s="5207"/>
      <c r="AIT222" s="5207"/>
      <c r="AIU222" s="5207"/>
      <c r="AIV222" s="5207"/>
      <c r="AIW222" s="5207"/>
      <c r="AIX222" s="5207"/>
      <c r="AIY222" s="5207"/>
      <c r="AIZ222" s="5207"/>
      <c r="AJA222" s="5207"/>
      <c r="AJB222" s="5207"/>
      <c r="AJC222" s="5207"/>
      <c r="AJD222" s="5207"/>
      <c r="AJE222" s="5207"/>
      <c r="AJF222" s="5207"/>
      <c r="AJG222" s="5207"/>
      <c r="AJH222" s="5207"/>
      <c r="AJI222" s="5207"/>
      <c r="AJJ222" s="5207"/>
      <c r="AJK222" s="5207"/>
      <c r="AJL222" s="5207"/>
      <c r="AJM222" s="5207"/>
      <c r="AJN222" s="5207"/>
      <c r="AJO222" s="5207"/>
      <c r="AJP222" s="5207"/>
      <c r="AJQ222" s="5207"/>
      <c r="AJR222" s="5207"/>
      <c r="AJS222" s="5207"/>
      <c r="AJT222" s="5207"/>
      <c r="AJU222" s="5207"/>
      <c r="AJV222" s="5207"/>
      <c r="AJW222" s="5207"/>
      <c r="AJX222" s="5207"/>
      <c r="AJY222" s="5207"/>
      <c r="AJZ222" s="5207"/>
      <c r="AKA222" s="5207"/>
      <c r="AKB222" s="5207"/>
      <c r="AKC222" s="5207"/>
      <c r="AKD222" s="5207"/>
      <c r="AKE222" s="5207"/>
      <c r="AKF222" s="5207"/>
      <c r="AKG222" s="5207"/>
      <c r="AKH222" s="5207"/>
      <c r="AKI222" s="5207"/>
      <c r="AKJ222" s="5207"/>
      <c r="AKK222" s="5207"/>
      <c r="AKL222" s="5207"/>
      <c r="AKM222" s="5207"/>
      <c r="AKN222" s="5207"/>
      <c r="AKO222" s="5207"/>
      <c r="AKP222" s="5207"/>
      <c r="AKQ222" s="5207"/>
      <c r="AKR222" s="5207"/>
      <c r="AKS222" s="5207"/>
      <c r="AKT222" s="5207"/>
      <c r="AKU222" s="5207"/>
      <c r="AKV222" s="5207"/>
      <c r="AKW222" s="5207"/>
      <c r="AKX222" s="5207"/>
      <c r="AKY222" s="5207"/>
      <c r="AKZ222" s="5207"/>
      <c r="ALA222" s="5207"/>
      <c r="ALB222" s="5207"/>
      <c r="ALC222" s="5207"/>
      <c r="ALD222" s="5207"/>
      <c r="ALE222" s="5207"/>
      <c r="ALF222" s="5207"/>
      <c r="ALG222" s="5207"/>
      <c r="ALH222" s="5207"/>
      <c r="ALI222" s="5207"/>
      <c r="ALJ222" s="5207"/>
      <c r="ALK222" s="5207"/>
      <c r="ALL222" s="5207"/>
      <c r="ALM222" s="5207"/>
      <c r="ALN222" s="5207"/>
      <c r="ALO222" s="5207"/>
      <c r="ALP222" s="5207"/>
      <c r="ALQ222" s="5207"/>
      <c r="ALR222" s="5207"/>
      <c r="ALS222" s="5207"/>
      <c r="ALT222" s="5207"/>
      <c r="ALU222" s="5207"/>
      <c r="ALV222" s="5207"/>
      <c r="ALW222" s="5207"/>
      <c r="ALX222" s="5207"/>
      <c r="ALY222" s="5207"/>
      <c r="ALZ222" s="5207"/>
      <c r="AMA222" s="5207"/>
      <c r="AMB222" s="5207"/>
      <c r="AMC222" s="5207"/>
      <c r="AMD222" s="5207"/>
      <c r="AME222" s="5207"/>
      <c r="AMF222" s="5207"/>
      <c r="AMG222" s="5207"/>
      <c r="AMH222" s="5207"/>
      <c r="AMI222" s="5207"/>
      <c r="AMJ222" s="5207"/>
      <c r="AMK222" s="5207"/>
      <c r="AML222" s="5207"/>
      <c r="AMM222" s="5207"/>
      <c r="AMN222" s="5207"/>
      <c r="AMO222" s="5207"/>
      <c r="AMP222" s="5207"/>
      <c r="AMQ222" s="5207"/>
      <c r="AMR222" s="5207"/>
      <c r="AMS222" s="5207"/>
      <c r="AMT222" s="5207"/>
      <c r="AMU222" s="5207"/>
      <c r="AMV222" s="5207"/>
      <c r="AMW222" s="5207"/>
      <c r="AMX222" s="5207"/>
      <c r="AMY222" s="5207"/>
      <c r="AMZ222" s="5207"/>
      <c r="ANA222" s="5207"/>
      <c r="ANB222" s="5207"/>
      <c r="ANC222" s="5207"/>
      <c r="AND222" s="5207"/>
      <c r="ANE222" s="5207"/>
      <c r="ANF222" s="5207"/>
      <c r="ANG222" s="5207"/>
      <c r="ANH222" s="5207"/>
      <c r="ANI222" s="5207"/>
      <c r="ANJ222" s="5207"/>
      <c r="ANK222" s="5207"/>
      <c r="ANL222" s="5207"/>
      <c r="ANM222" s="5207"/>
      <c r="ANN222" s="5207"/>
      <c r="ANO222" s="5207"/>
      <c r="ANP222" s="5207"/>
      <c r="ANQ222" s="5207"/>
      <c r="ANR222" s="5207"/>
      <c r="ANS222" s="5207"/>
      <c r="ANT222" s="5207"/>
      <c r="ANU222" s="5207"/>
      <c r="ANV222" s="5207"/>
      <c r="ANW222" s="5207"/>
      <c r="ANX222" s="5207"/>
      <c r="ANY222" s="5207"/>
      <c r="ANZ222" s="5207"/>
      <c r="AOA222" s="5207"/>
      <c r="AOB222" s="5207"/>
      <c r="AOC222" s="5207"/>
      <c r="AOD222" s="5207"/>
      <c r="AOE222" s="5207"/>
      <c r="AOF222" s="5207"/>
      <c r="AOG222" s="5207"/>
      <c r="AOH222" s="5207"/>
      <c r="AOI222" s="5207"/>
      <c r="AOJ222" s="5207"/>
      <c r="AOK222" s="5207"/>
      <c r="AOL222" s="5207"/>
      <c r="AOM222" s="5207"/>
      <c r="AON222" s="5207"/>
      <c r="AOO222" s="5207"/>
      <c r="AOP222" s="5207"/>
      <c r="AOQ222" s="5207"/>
      <c r="AOR222" s="5207"/>
      <c r="AOS222" s="5207"/>
      <c r="AOT222" s="5207"/>
      <c r="AOU222" s="5207"/>
      <c r="AOV222" s="5207"/>
      <c r="AOW222" s="5207"/>
      <c r="AOX222" s="5207"/>
      <c r="AOY222" s="5207"/>
      <c r="AOZ222" s="5207"/>
      <c r="APA222" s="5207"/>
      <c r="APB222" s="5207"/>
      <c r="APC222" s="5207"/>
      <c r="APD222" s="5207"/>
      <c r="APE222" s="5207"/>
      <c r="APF222" s="5207"/>
      <c r="APG222" s="5207"/>
      <c r="APH222" s="5207"/>
      <c r="API222" s="5207"/>
      <c r="APJ222" s="5207"/>
      <c r="APK222" s="5207"/>
      <c r="APL222" s="5207"/>
      <c r="APM222" s="5207"/>
      <c r="APN222" s="5207"/>
      <c r="APO222" s="5207"/>
      <c r="APP222" s="5207"/>
      <c r="APQ222" s="5207"/>
      <c r="APR222" s="5207"/>
      <c r="APS222" s="5207"/>
      <c r="APT222" s="5207"/>
      <c r="APU222" s="5207"/>
      <c r="APV222" s="5207"/>
      <c r="APW222" s="5207"/>
      <c r="APX222" s="5207"/>
      <c r="APY222" s="5207"/>
      <c r="APZ222" s="5207"/>
      <c r="AQA222" s="5207"/>
      <c r="AQB222" s="5207"/>
      <c r="AQC222" s="5207"/>
      <c r="AQD222" s="5207"/>
      <c r="AQE222" s="5207"/>
      <c r="AQF222" s="5207"/>
      <c r="AQG222" s="5207"/>
      <c r="AQH222" s="5207"/>
      <c r="AQI222" s="5207"/>
      <c r="AQJ222" s="5207"/>
      <c r="AQK222" s="5207"/>
      <c r="AQL222" s="5207"/>
      <c r="AQM222" s="5207"/>
      <c r="AQN222" s="5207"/>
      <c r="AQO222" s="5207"/>
      <c r="AQP222" s="5207"/>
      <c r="AQQ222" s="5207"/>
      <c r="AQR222" s="5207"/>
      <c r="AQS222" s="5207"/>
      <c r="AQT222" s="5207"/>
      <c r="AQU222" s="5207"/>
      <c r="AQV222" s="5207"/>
      <c r="AQW222" s="5207"/>
      <c r="AQX222" s="5207"/>
      <c r="AQY222" s="5207"/>
      <c r="AQZ222" s="5207"/>
      <c r="ARA222" s="5207"/>
      <c r="ARB222" s="5207"/>
      <c r="ARC222" s="5207"/>
      <c r="ARD222" s="5207"/>
      <c r="ARE222" s="5207"/>
      <c r="ARF222" s="5207"/>
      <c r="ARG222" s="5207"/>
      <c r="ARH222" s="5207"/>
      <c r="ARI222" s="5207"/>
      <c r="ARJ222" s="5207"/>
      <c r="ARK222" s="5207"/>
      <c r="ARL222" s="5207"/>
      <c r="ARM222" s="5207"/>
      <c r="ARN222" s="5207"/>
      <c r="ARO222" s="5207"/>
      <c r="ARP222" s="5207"/>
      <c r="ARQ222" s="5207"/>
      <c r="ARR222" s="5207"/>
      <c r="ARS222" s="5207"/>
      <c r="ART222" s="5207"/>
      <c r="ARU222" s="5207"/>
      <c r="ARV222" s="5207"/>
      <c r="ARW222" s="5207"/>
      <c r="ARX222" s="5207"/>
      <c r="ARY222" s="5207"/>
      <c r="ARZ222" s="5207"/>
      <c r="ASA222" s="5207"/>
      <c r="ASB222" s="5207"/>
      <c r="ASC222" s="5207"/>
      <c r="ASD222" s="5207"/>
      <c r="ASE222" s="5207"/>
      <c r="ASF222" s="5207"/>
      <c r="ASG222" s="5207"/>
      <c r="ASH222" s="5207"/>
      <c r="ASI222" s="5207"/>
      <c r="ASJ222" s="5207"/>
      <c r="ASK222" s="5207"/>
      <c r="ASL222" s="5207"/>
      <c r="ASM222" s="5207"/>
      <c r="ASN222" s="5207"/>
      <c r="ASO222" s="5207"/>
      <c r="ASP222" s="5207"/>
      <c r="ASQ222" s="5207"/>
      <c r="ASR222" s="5207"/>
      <c r="ASS222" s="5207"/>
      <c r="AST222" s="5207"/>
      <c r="ASU222" s="5207"/>
      <c r="ASV222" s="5207"/>
      <c r="ASW222" s="5207"/>
      <c r="ASX222" s="5207"/>
      <c r="ASY222" s="5207"/>
      <c r="ASZ222" s="5207"/>
      <c r="ATA222" s="5207"/>
      <c r="ATB222" s="5207"/>
      <c r="ATC222" s="5207"/>
      <c r="ATD222" s="5207"/>
      <c r="ATE222" s="5207"/>
      <c r="ATF222" s="5207"/>
      <c r="ATG222" s="5207"/>
      <c r="ATH222" s="5207"/>
      <c r="ATI222" s="5207"/>
      <c r="ATJ222" s="5207"/>
      <c r="ATK222" s="5207"/>
      <c r="ATL222" s="5207"/>
      <c r="ATM222" s="5207"/>
      <c r="ATN222" s="5207"/>
      <c r="ATO222" s="5207"/>
      <c r="ATP222" s="5207"/>
      <c r="ATQ222" s="5207"/>
      <c r="ATR222" s="5207"/>
      <c r="ATS222" s="5207"/>
      <c r="ATT222" s="5207"/>
      <c r="ATU222" s="5207"/>
      <c r="ATV222" s="5207"/>
      <c r="ATW222" s="5207"/>
      <c r="ATX222" s="5207"/>
      <c r="ATY222" s="5207"/>
      <c r="ATZ222" s="5207"/>
      <c r="AUA222" s="5207"/>
      <c r="AUB222" s="5207"/>
      <c r="AUC222" s="5207"/>
      <c r="AUD222" s="5207"/>
      <c r="AUE222" s="5207"/>
      <c r="AUF222" s="5207"/>
      <c r="AUG222" s="5207"/>
      <c r="AUH222" s="5207"/>
      <c r="AUI222" s="5207"/>
      <c r="AUJ222" s="5207"/>
      <c r="AUK222" s="5207"/>
      <c r="AUL222" s="5207"/>
      <c r="AUM222" s="5207"/>
      <c r="AUN222" s="5207"/>
      <c r="AUO222" s="5207"/>
      <c r="AUP222" s="5207"/>
      <c r="AUQ222" s="5207"/>
      <c r="AUR222" s="5207"/>
      <c r="AUS222" s="5207"/>
      <c r="AUT222" s="5207"/>
      <c r="AUU222" s="5207"/>
      <c r="AUV222" s="5207"/>
      <c r="AUW222" s="5207"/>
      <c r="AUX222" s="5207"/>
      <c r="AUY222" s="5207"/>
      <c r="AUZ222" s="5207"/>
      <c r="AVA222" s="5207"/>
      <c r="AVB222" s="5207"/>
      <c r="AVC222" s="5207"/>
      <c r="AVD222" s="5207"/>
      <c r="AVE222" s="5207"/>
      <c r="AVF222" s="5207"/>
      <c r="AVG222" s="5207"/>
      <c r="AVH222" s="5207"/>
      <c r="AVI222" s="5207"/>
      <c r="AVJ222" s="5207"/>
      <c r="AVK222" s="5207"/>
      <c r="AVL222" s="5207"/>
      <c r="AVM222" s="5207"/>
      <c r="AVN222" s="5207"/>
      <c r="AVO222" s="5207"/>
      <c r="AVP222" s="5207"/>
      <c r="AVQ222" s="5207"/>
      <c r="AVR222" s="5207"/>
      <c r="AVS222" s="5207"/>
      <c r="AVT222" s="5207"/>
      <c r="AVU222" s="5207"/>
      <c r="AVV222" s="5207"/>
      <c r="AVW222" s="5207"/>
      <c r="AVX222" s="5207"/>
      <c r="AVY222" s="5207"/>
      <c r="AVZ222" s="5207"/>
      <c r="AWA222" s="5207"/>
      <c r="AWB222" s="5207"/>
      <c r="AWC222" s="5207"/>
      <c r="AWD222" s="5207"/>
      <c r="AWE222" s="5207"/>
      <c r="AWF222" s="5207"/>
      <c r="AWG222" s="5207"/>
      <c r="AWH222" s="5207"/>
      <c r="AWI222" s="5207"/>
      <c r="AWJ222" s="5207"/>
      <c r="AWK222" s="5207"/>
      <c r="AWL222" s="5207"/>
      <c r="AWM222" s="5207"/>
      <c r="AWN222" s="5207"/>
      <c r="AWO222" s="5207"/>
      <c r="AWP222" s="5207"/>
      <c r="AWQ222" s="5207"/>
      <c r="AWR222" s="5207"/>
      <c r="AWS222" s="5207"/>
      <c r="AWT222" s="5207"/>
      <c r="AWU222" s="5207"/>
      <c r="AWV222" s="5207"/>
      <c r="AWW222" s="5207"/>
      <c r="AWX222" s="5207"/>
      <c r="AWY222" s="5207"/>
      <c r="AWZ222" s="5207"/>
      <c r="AXA222" s="5207"/>
      <c r="AXB222" s="5207"/>
      <c r="AXC222" s="5207"/>
      <c r="AXD222" s="5207"/>
      <c r="AXE222" s="5207"/>
      <c r="AXF222" s="5207"/>
      <c r="AXG222" s="5207"/>
      <c r="AXH222" s="5207"/>
      <c r="AXI222" s="5207"/>
      <c r="AXJ222" s="5207"/>
    </row>
    <row r="223" spans="1:1310" s="5208" customFormat="1" ht="23.25" customHeight="1">
      <c r="A223" s="5209"/>
      <c r="B223" s="5212" t="s">
        <v>862</v>
      </c>
      <c r="C223" s="5212"/>
      <c r="D223" s="5212"/>
      <c r="E223" s="5212"/>
      <c r="F223" s="5213"/>
      <c r="G223" s="5212" t="s">
        <v>863</v>
      </c>
      <c r="H223" s="5212"/>
      <c r="I223" s="5212"/>
      <c r="J223" s="5213"/>
      <c r="K223" s="5212" t="s">
        <v>864</v>
      </c>
      <c r="L223" s="5212"/>
      <c r="M223" s="5212"/>
      <c r="N223" s="5213"/>
      <c r="O223" s="5212" t="s">
        <v>865</v>
      </c>
      <c r="P223" s="5212"/>
      <c r="Q223" s="5213"/>
      <c r="R223" s="95"/>
      <c r="S223" s="95"/>
      <c r="T223" s="95"/>
      <c r="U223" s="95"/>
      <c r="V223" s="95"/>
      <c r="W223" s="95"/>
      <c r="X223" s="95"/>
      <c r="Y223" s="95"/>
      <c r="Z223" s="95"/>
      <c r="AA223" s="95"/>
      <c r="AB223" s="95"/>
      <c r="AC223" s="95"/>
      <c r="AD223" s="5207"/>
      <c r="AE223" s="5207"/>
      <c r="AF223" s="5207"/>
      <c r="AG223" s="5207"/>
      <c r="AH223" s="5207"/>
      <c r="AI223" s="5207"/>
      <c r="AJ223" s="5207"/>
      <c r="AK223" s="5207"/>
      <c r="AL223" s="5207"/>
      <c r="AM223" s="5207"/>
      <c r="AN223" s="5207"/>
      <c r="AO223" s="5207"/>
      <c r="AP223" s="5207"/>
      <c r="AQ223" s="5207"/>
      <c r="AR223" s="5207"/>
      <c r="AS223" s="5207"/>
      <c r="AT223" s="5207"/>
      <c r="AU223" s="5207"/>
      <c r="AV223" s="5207"/>
      <c r="AW223" s="5207"/>
      <c r="AX223" s="5207"/>
      <c r="AY223" s="5207"/>
      <c r="AZ223" s="5207"/>
      <c r="BA223" s="5207"/>
      <c r="BB223" s="5207"/>
      <c r="BC223" s="5207"/>
      <c r="BD223" s="5207"/>
      <c r="BE223" s="5207"/>
      <c r="BF223" s="5207"/>
      <c r="BG223" s="5207"/>
      <c r="BH223" s="5207"/>
      <c r="BI223" s="5207"/>
      <c r="BJ223" s="5207"/>
      <c r="BK223" s="5207"/>
      <c r="BL223" s="5207"/>
      <c r="BM223" s="5207"/>
      <c r="BN223" s="5207"/>
      <c r="BO223" s="5207"/>
      <c r="BP223" s="5207"/>
      <c r="BQ223" s="5207"/>
      <c r="BR223" s="5207"/>
      <c r="BS223" s="5207"/>
      <c r="BT223" s="5207"/>
      <c r="BU223" s="5207"/>
      <c r="BV223" s="5207"/>
      <c r="BW223" s="5207"/>
      <c r="BX223" s="5207"/>
      <c r="BY223" s="5207"/>
      <c r="BZ223" s="5207"/>
      <c r="CA223" s="5207"/>
      <c r="CB223" s="5207"/>
      <c r="CC223" s="5207"/>
      <c r="CD223" s="5207"/>
      <c r="CE223" s="5207"/>
      <c r="CF223" s="5207"/>
      <c r="CG223" s="5207"/>
      <c r="CH223" s="5207"/>
      <c r="CI223" s="5207"/>
      <c r="CJ223" s="5207"/>
      <c r="CK223" s="5207"/>
      <c r="CL223" s="5207"/>
      <c r="CM223" s="5207"/>
      <c r="CN223" s="5207"/>
      <c r="CO223" s="5207"/>
      <c r="CP223" s="5207"/>
      <c r="CQ223" s="5207"/>
      <c r="CR223" s="5207"/>
      <c r="CS223" s="5207"/>
      <c r="CT223" s="5207"/>
      <c r="CU223" s="5207"/>
      <c r="CV223" s="5207"/>
      <c r="CW223" s="5207"/>
      <c r="CX223" s="5207"/>
      <c r="CY223" s="5207"/>
      <c r="CZ223" s="5207"/>
      <c r="DA223" s="5207"/>
      <c r="DB223" s="5207"/>
      <c r="DC223" s="5207"/>
      <c r="DD223" s="5207"/>
      <c r="DE223" s="5207"/>
      <c r="DF223" s="5207"/>
      <c r="DG223" s="5207"/>
      <c r="DH223" s="5207"/>
      <c r="DI223" s="5207"/>
      <c r="DJ223" s="5207"/>
      <c r="DK223" s="5207"/>
      <c r="DL223" s="5207"/>
      <c r="DM223" s="5207"/>
      <c r="DN223" s="5207"/>
      <c r="DO223" s="5207"/>
      <c r="DP223" s="5207"/>
      <c r="DQ223" s="5207"/>
      <c r="DR223" s="5207"/>
      <c r="DS223" s="5207"/>
      <c r="DT223" s="5207"/>
      <c r="DU223" s="5207"/>
      <c r="DV223" s="5207"/>
      <c r="DW223" s="5207"/>
      <c r="DX223" s="5207"/>
      <c r="DY223" s="5207"/>
      <c r="DZ223" s="5207"/>
      <c r="EA223" s="5207"/>
      <c r="EB223" s="5207"/>
      <c r="EC223" s="5207"/>
      <c r="ED223" s="5207"/>
      <c r="EE223" s="5207"/>
      <c r="EF223" s="5207"/>
      <c r="EG223" s="5207"/>
      <c r="EH223" s="5207"/>
      <c r="EI223" s="5207"/>
      <c r="EJ223" s="5207"/>
      <c r="EK223" s="5207"/>
      <c r="EL223" s="5207"/>
      <c r="EM223" s="5207"/>
      <c r="EN223" s="5207"/>
      <c r="EO223" s="5207"/>
      <c r="EP223" s="5207"/>
      <c r="EQ223" s="5207"/>
      <c r="ER223" s="5207"/>
      <c r="ES223" s="5207"/>
      <c r="ET223" s="5207"/>
      <c r="EU223" s="5207"/>
      <c r="EV223" s="5207"/>
      <c r="EW223" s="5207"/>
      <c r="EX223" s="5207"/>
      <c r="EY223" s="5207"/>
      <c r="EZ223" s="5207"/>
      <c r="FA223" s="5207"/>
      <c r="FB223" s="5207"/>
      <c r="FC223" s="5207"/>
      <c r="FD223" s="5207"/>
      <c r="FE223" s="5207"/>
      <c r="FF223" s="5207"/>
      <c r="FG223" s="5207"/>
      <c r="FH223" s="5207"/>
      <c r="FI223" s="5207"/>
      <c r="FJ223" s="5207"/>
      <c r="FK223" s="5207"/>
      <c r="FL223" s="5207"/>
      <c r="FM223" s="5207"/>
      <c r="FN223" s="5207"/>
      <c r="FO223" s="5207"/>
      <c r="FP223" s="5207"/>
      <c r="FQ223" s="5207"/>
      <c r="FR223" s="5207"/>
      <c r="FS223" s="5207"/>
      <c r="FT223" s="5207"/>
      <c r="FU223" s="5207"/>
      <c r="FV223" s="5207"/>
      <c r="FW223" s="5207"/>
      <c r="FX223" s="5207"/>
      <c r="FY223" s="5207"/>
      <c r="FZ223" s="5207"/>
      <c r="GA223" s="5207"/>
      <c r="GB223" s="5207"/>
      <c r="GC223" s="5207"/>
      <c r="GD223" s="5207"/>
      <c r="GE223" s="5207"/>
      <c r="GF223" s="5207"/>
      <c r="GG223" s="5207"/>
      <c r="GH223" s="5207"/>
      <c r="GI223" s="5207"/>
      <c r="GJ223" s="5207"/>
      <c r="GK223" s="5207"/>
      <c r="GL223" s="5207"/>
      <c r="GM223" s="5207"/>
      <c r="GN223" s="5207"/>
      <c r="GO223" s="5207"/>
      <c r="GP223" s="5207"/>
      <c r="GQ223" s="5207"/>
      <c r="GR223" s="5207"/>
      <c r="GS223" s="5207"/>
      <c r="GT223" s="5207"/>
      <c r="GU223" s="5207"/>
      <c r="GV223" s="5207"/>
      <c r="GW223" s="5207"/>
      <c r="GX223" s="5207"/>
      <c r="GY223" s="5207"/>
      <c r="GZ223" s="5207"/>
      <c r="HA223" s="5207"/>
      <c r="HB223" s="5207"/>
      <c r="HC223" s="5207"/>
      <c r="HD223" s="5207"/>
      <c r="HE223" s="5207"/>
      <c r="HF223" s="5207"/>
      <c r="HG223" s="5207"/>
      <c r="HH223" s="5207"/>
      <c r="HI223" s="5207"/>
      <c r="HJ223" s="5207"/>
      <c r="HK223" s="5207"/>
      <c r="HL223" s="5207"/>
      <c r="HM223" s="5207"/>
      <c r="HN223" s="5207"/>
      <c r="HO223" s="5207"/>
      <c r="HP223" s="5207"/>
      <c r="HQ223" s="5207"/>
      <c r="HR223" s="5207"/>
      <c r="HS223" s="5207"/>
      <c r="HT223" s="5207"/>
      <c r="HU223" s="5207"/>
      <c r="HV223" s="5207"/>
      <c r="HW223" s="5207"/>
      <c r="HX223" s="5207"/>
      <c r="HY223" s="5207"/>
      <c r="HZ223" s="5207"/>
      <c r="IA223" s="5207"/>
      <c r="IB223" s="5207"/>
      <c r="IC223" s="5207"/>
      <c r="ID223" s="5207"/>
      <c r="IE223" s="5207"/>
      <c r="IF223" s="5207"/>
      <c r="IG223" s="5207"/>
      <c r="IH223" s="5207"/>
      <c r="II223" s="5207"/>
      <c r="IJ223" s="5207"/>
      <c r="IK223" s="5207"/>
      <c r="IL223" s="5207"/>
      <c r="IM223" s="5207"/>
      <c r="IN223" s="5207"/>
      <c r="IO223" s="5207"/>
      <c r="IP223" s="5207"/>
      <c r="IQ223" s="5207"/>
      <c r="IR223" s="5207"/>
      <c r="IS223" s="5207"/>
      <c r="IT223" s="5207"/>
      <c r="IU223" s="5207"/>
      <c r="IV223" s="5207"/>
      <c r="IW223" s="5207"/>
      <c r="IX223" s="5207"/>
      <c r="IY223" s="5207"/>
      <c r="IZ223" s="5207"/>
      <c r="JA223" s="5207"/>
      <c r="JB223" s="5207"/>
      <c r="JC223" s="5207"/>
      <c r="JD223" s="5207"/>
      <c r="JE223" s="5207"/>
      <c r="JF223" s="5207"/>
      <c r="JG223" s="5207"/>
      <c r="JH223" s="5207"/>
      <c r="JI223" s="5207"/>
      <c r="JJ223" s="5207"/>
      <c r="JK223" s="5207"/>
      <c r="JL223" s="5207"/>
      <c r="JM223" s="5207"/>
      <c r="JN223" s="5207"/>
      <c r="JO223" s="5207"/>
      <c r="JP223" s="5207"/>
      <c r="JQ223" s="5207"/>
      <c r="JR223" s="5207"/>
      <c r="JS223" s="5207"/>
      <c r="JT223" s="5207"/>
      <c r="JU223" s="5207"/>
      <c r="JV223" s="5207"/>
      <c r="JW223" s="5207"/>
      <c r="JX223" s="5207"/>
      <c r="JY223" s="5207"/>
      <c r="JZ223" s="5207"/>
      <c r="KA223" s="5207"/>
      <c r="KB223" s="5207"/>
      <c r="KC223" s="5207"/>
      <c r="KD223" s="5207"/>
      <c r="KE223" s="5207"/>
      <c r="KF223" s="5207"/>
      <c r="KG223" s="5207"/>
      <c r="KH223" s="5207"/>
      <c r="KI223" s="5207"/>
      <c r="KJ223" s="5207"/>
      <c r="KK223" s="5207"/>
      <c r="KL223" s="5207"/>
      <c r="KM223" s="5207"/>
      <c r="KN223" s="5207"/>
      <c r="KO223" s="5207"/>
      <c r="KP223" s="5207"/>
      <c r="KQ223" s="5207"/>
      <c r="KR223" s="5207"/>
      <c r="KS223" s="5207"/>
      <c r="KT223" s="5207"/>
      <c r="KU223" s="5207"/>
      <c r="KV223" s="5207"/>
      <c r="KW223" s="5207"/>
      <c r="KX223" s="5207"/>
      <c r="KY223" s="5207"/>
      <c r="KZ223" s="5207"/>
      <c r="LA223" s="5207"/>
      <c r="LB223" s="5207"/>
      <c r="LC223" s="5207"/>
      <c r="LD223" s="5207"/>
      <c r="LE223" s="5207"/>
      <c r="LF223" s="5207"/>
      <c r="LG223" s="5207"/>
      <c r="LH223" s="5207"/>
      <c r="LI223" s="5207"/>
      <c r="LJ223" s="5207"/>
      <c r="LK223" s="5207"/>
      <c r="LL223" s="5207"/>
      <c r="LM223" s="5207"/>
      <c r="LN223" s="5207"/>
      <c r="LO223" s="5207"/>
      <c r="LP223" s="5207"/>
      <c r="LQ223" s="5207"/>
      <c r="LR223" s="5207"/>
      <c r="LS223" s="5207"/>
      <c r="LT223" s="5207"/>
      <c r="LU223" s="5207"/>
      <c r="LV223" s="5207"/>
      <c r="LW223" s="5207"/>
      <c r="LX223" s="5207"/>
      <c r="LY223" s="5207"/>
      <c r="LZ223" s="5207"/>
      <c r="MA223" s="5207"/>
      <c r="MB223" s="5207"/>
      <c r="MC223" s="5207"/>
      <c r="MD223" s="5207"/>
      <c r="ME223" s="5207"/>
      <c r="MF223" s="5207"/>
      <c r="MG223" s="5207"/>
      <c r="MH223" s="5207"/>
      <c r="MI223" s="5207"/>
      <c r="MJ223" s="5207"/>
      <c r="MK223" s="5207"/>
      <c r="ML223" s="5207"/>
      <c r="MM223" s="5207"/>
      <c r="MN223" s="5207"/>
      <c r="MO223" s="5207"/>
      <c r="MP223" s="5207"/>
      <c r="MQ223" s="5207"/>
      <c r="MR223" s="5207"/>
      <c r="MS223" s="5207"/>
      <c r="MT223" s="5207"/>
      <c r="MU223" s="5207"/>
      <c r="MV223" s="5207"/>
      <c r="MW223" s="5207"/>
      <c r="MX223" s="5207"/>
      <c r="MY223" s="5207"/>
      <c r="MZ223" s="5207"/>
      <c r="NA223" s="5207"/>
      <c r="NB223" s="5207"/>
      <c r="NC223" s="5207"/>
      <c r="ND223" s="5207"/>
      <c r="NE223" s="5207"/>
      <c r="NF223" s="5207"/>
      <c r="NG223" s="5207"/>
      <c r="NH223" s="5207"/>
      <c r="NI223" s="5207"/>
      <c r="NJ223" s="5207"/>
      <c r="NK223" s="5207"/>
      <c r="NL223" s="5207"/>
      <c r="NM223" s="5207"/>
      <c r="NN223" s="5207"/>
      <c r="NO223" s="5207"/>
      <c r="NP223" s="5207"/>
      <c r="NQ223" s="5207"/>
      <c r="NR223" s="5207"/>
      <c r="NS223" s="5207"/>
      <c r="NT223" s="5207"/>
      <c r="NU223" s="5207"/>
      <c r="NV223" s="5207"/>
      <c r="NW223" s="5207"/>
      <c r="NX223" s="5207"/>
      <c r="NY223" s="5207"/>
      <c r="NZ223" s="5207"/>
      <c r="OA223" s="5207"/>
      <c r="OB223" s="5207"/>
      <c r="OC223" s="5207"/>
      <c r="OD223" s="5207"/>
      <c r="OE223" s="5207"/>
      <c r="OF223" s="5207"/>
      <c r="OG223" s="5207"/>
      <c r="OH223" s="5207"/>
      <c r="OI223" s="5207"/>
      <c r="OJ223" s="5207"/>
      <c r="OK223" s="5207"/>
      <c r="OL223" s="5207"/>
      <c r="OM223" s="5207"/>
      <c r="ON223" s="5207"/>
      <c r="OO223" s="5207"/>
      <c r="OP223" s="5207"/>
      <c r="OQ223" s="5207"/>
      <c r="OR223" s="5207"/>
      <c r="OS223" s="5207"/>
      <c r="OT223" s="5207"/>
      <c r="OU223" s="5207"/>
      <c r="OV223" s="5207"/>
      <c r="OW223" s="5207"/>
      <c r="OX223" s="5207"/>
      <c r="OY223" s="5207"/>
      <c r="OZ223" s="5207"/>
      <c r="PA223" s="5207"/>
      <c r="PB223" s="5207"/>
      <c r="PC223" s="5207"/>
      <c r="PD223" s="5207"/>
      <c r="PE223" s="5207"/>
      <c r="PF223" s="5207"/>
      <c r="PG223" s="5207"/>
      <c r="PH223" s="5207"/>
      <c r="PI223" s="5207"/>
      <c r="PJ223" s="5207"/>
      <c r="PK223" s="5207"/>
      <c r="PL223" s="5207"/>
      <c r="PM223" s="5207"/>
      <c r="PN223" s="5207"/>
      <c r="PO223" s="5207"/>
      <c r="PP223" s="5207"/>
      <c r="PQ223" s="5207"/>
      <c r="PR223" s="5207"/>
      <c r="PS223" s="5207"/>
      <c r="PT223" s="5207"/>
      <c r="PU223" s="5207"/>
      <c r="PV223" s="5207"/>
      <c r="PW223" s="5207"/>
      <c r="PX223" s="5207"/>
      <c r="PY223" s="5207"/>
      <c r="PZ223" s="5207"/>
      <c r="QA223" s="5207"/>
      <c r="QB223" s="5207"/>
      <c r="QC223" s="5207"/>
      <c r="QD223" s="5207"/>
      <c r="QE223" s="5207"/>
      <c r="QF223" s="5207"/>
      <c r="QG223" s="5207"/>
      <c r="QH223" s="5207"/>
      <c r="QI223" s="5207"/>
      <c r="QJ223" s="5207"/>
      <c r="QK223" s="5207"/>
      <c r="QL223" s="5207"/>
      <c r="QM223" s="5207"/>
      <c r="QN223" s="5207"/>
      <c r="QO223" s="5207"/>
      <c r="QP223" s="5207"/>
      <c r="QQ223" s="5207"/>
      <c r="QR223" s="5207"/>
      <c r="QS223" s="5207"/>
      <c r="QT223" s="5207"/>
      <c r="QU223" s="5207"/>
      <c r="QV223" s="5207"/>
      <c r="QW223" s="5207"/>
      <c r="QX223" s="5207"/>
      <c r="QY223" s="5207"/>
      <c r="QZ223" s="5207"/>
      <c r="RA223" s="5207"/>
      <c r="RB223" s="5207"/>
      <c r="RC223" s="5207"/>
      <c r="RD223" s="5207"/>
      <c r="RE223" s="5207"/>
      <c r="RF223" s="5207"/>
      <c r="RG223" s="5207"/>
      <c r="RH223" s="5207"/>
      <c r="RI223" s="5207"/>
      <c r="RJ223" s="5207"/>
      <c r="RK223" s="5207"/>
      <c r="RL223" s="5207"/>
      <c r="RM223" s="5207"/>
      <c r="RN223" s="5207"/>
      <c r="RO223" s="5207"/>
      <c r="RP223" s="5207"/>
      <c r="RQ223" s="5207"/>
      <c r="RR223" s="5207"/>
      <c r="RS223" s="5207"/>
      <c r="RT223" s="5207"/>
      <c r="RU223" s="5207"/>
      <c r="RV223" s="5207"/>
      <c r="RW223" s="5207"/>
      <c r="RX223" s="5207"/>
      <c r="RY223" s="5207"/>
      <c r="RZ223" s="5207"/>
      <c r="SA223" s="5207"/>
      <c r="SB223" s="5207"/>
      <c r="SC223" s="5207"/>
      <c r="SD223" s="5207"/>
      <c r="SE223" s="5207"/>
      <c r="SF223" s="5207"/>
      <c r="SG223" s="5207"/>
      <c r="SH223" s="5207"/>
      <c r="SI223" s="5207"/>
      <c r="SJ223" s="5207"/>
      <c r="SK223" s="5207"/>
      <c r="SL223" s="5207"/>
      <c r="SM223" s="5207"/>
      <c r="SN223" s="5207"/>
      <c r="SO223" s="5207"/>
      <c r="SP223" s="5207"/>
      <c r="SQ223" s="5207"/>
      <c r="SR223" s="5207"/>
      <c r="SS223" s="5207"/>
      <c r="ST223" s="5207"/>
      <c r="SU223" s="5207"/>
      <c r="SV223" s="5207"/>
      <c r="SW223" s="5207"/>
      <c r="SX223" s="5207"/>
      <c r="SY223" s="5207"/>
      <c r="SZ223" s="5207"/>
      <c r="TA223" s="5207"/>
      <c r="TB223" s="5207"/>
      <c r="TC223" s="5207"/>
      <c r="TD223" s="5207"/>
      <c r="TE223" s="5207"/>
      <c r="TF223" s="5207"/>
      <c r="TG223" s="5207"/>
      <c r="TH223" s="5207"/>
      <c r="TI223" s="5207"/>
      <c r="TJ223" s="5207"/>
      <c r="TK223" s="5207"/>
      <c r="TL223" s="5207"/>
      <c r="TM223" s="5207"/>
      <c r="TN223" s="5207"/>
      <c r="TO223" s="5207"/>
      <c r="TP223" s="5207"/>
      <c r="TQ223" s="5207"/>
      <c r="TR223" s="5207"/>
      <c r="TS223" s="5207"/>
      <c r="TT223" s="5207"/>
      <c r="TU223" s="5207"/>
      <c r="TV223" s="5207"/>
      <c r="TW223" s="5207"/>
      <c r="TX223" s="5207"/>
      <c r="TY223" s="5207"/>
      <c r="TZ223" s="5207"/>
      <c r="UA223" s="5207"/>
      <c r="UB223" s="5207"/>
      <c r="UC223" s="5207"/>
      <c r="UD223" s="5207"/>
      <c r="UE223" s="5207"/>
      <c r="UF223" s="5207"/>
      <c r="UG223" s="5207"/>
      <c r="UH223" s="5207"/>
      <c r="UI223" s="5207"/>
      <c r="UJ223" s="5207"/>
      <c r="UK223" s="5207"/>
      <c r="UL223" s="5207"/>
      <c r="UM223" s="5207"/>
      <c r="UN223" s="5207"/>
      <c r="UO223" s="5207"/>
      <c r="UP223" s="5207"/>
      <c r="UQ223" s="5207"/>
      <c r="UR223" s="5207"/>
      <c r="US223" s="5207"/>
      <c r="UT223" s="5207"/>
      <c r="UU223" s="5207"/>
      <c r="UV223" s="5207"/>
      <c r="UW223" s="5207"/>
      <c r="UX223" s="5207"/>
      <c r="UY223" s="5207"/>
      <c r="UZ223" s="5207"/>
      <c r="VA223" s="5207"/>
      <c r="VB223" s="5207"/>
      <c r="VC223" s="5207"/>
      <c r="VD223" s="5207"/>
      <c r="VE223" s="5207"/>
      <c r="VF223" s="5207"/>
      <c r="VG223" s="5207"/>
      <c r="VH223" s="5207"/>
      <c r="VI223" s="5207"/>
      <c r="VJ223" s="5207"/>
      <c r="VK223" s="5207"/>
      <c r="VL223" s="5207"/>
      <c r="VM223" s="5207"/>
      <c r="VN223" s="5207"/>
      <c r="VO223" s="5207"/>
      <c r="VP223" s="5207"/>
      <c r="VQ223" s="5207"/>
      <c r="VR223" s="5207"/>
      <c r="VS223" s="5207"/>
      <c r="VT223" s="5207"/>
      <c r="VU223" s="5207"/>
      <c r="VV223" s="5207"/>
      <c r="VW223" s="5207"/>
      <c r="VX223" s="5207"/>
      <c r="VY223" s="5207"/>
      <c r="VZ223" s="5207"/>
      <c r="WA223" s="5207"/>
      <c r="WB223" s="5207"/>
      <c r="WC223" s="5207"/>
      <c r="WD223" s="5207"/>
      <c r="WE223" s="5207"/>
      <c r="WF223" s="5207"/>
      <c r="WG223" s="5207"/>
      <c r="WH223" s="5207"/>
      <c r="WI223" s="5207"/>
      <c r="WJ223" s="5207"/>
      <c r="WK223" s="5207"/>
      <c r="WL223" s="5207"/>
      <c r="WM223" s="5207"/>
      <c r="WN223" s="5207"/>
      <c r="WO223" s="5207"/>
      <c r="WP223" s="5207"/>
      <c r="WQ223" s="5207"/>
      <c r="WR223" s="5207"/>
      <c r="WS223" s="5207"/>
      <c r="WT223" s="5207"/>
      <c r="WU223" s="5207"/>
      <c r="WV223" s="5207"/>
      <c r="WW223" s="5207"/>
      <c r="WX223" s="5207"/>
      <c r="WY223" s="5207"/>
      <c r="WZ223" s="5207"/>
      <c r="XA223" s="5207"/>
      <c r="XB223" s="5207"/>
      <c r="XC223" s="5207"/>
      <c r="XD223" s="5207"/>
      <c r="XE223" s="5207"/>
      <c r="XF223" s="5207"/>
      <c r="XG223" s="5207"/>
      <c r="XH223" s="5207"/>
      <c r="XI223" s="5207"/>
      <c r="XJ223" s="5207"/>
      <c r="XK223" s="5207"/>
      <c r="XL223" s="5207"/>
      <c r="XM223" s="5207"/>
      <c r="XN223" s="5207"/>
      <c r="XO223" s="5207"/>
      <c r="XP223" s="5207"/>
      <c r="XQ223" s="5207"/>
      <c r="XR223" s="5207"/>
      <c r="XS223" s="5207"/>
      <c r="XT223" s="5207"/>
      <c r="XU223" s="5207"/>
      <c r="XV223" s="5207"/>
      <c r="XW223" s="5207"/>
      <c r="XX223" s="5207"/>
      <c r="XY223" s="5207"/>
      <c r="XZ223" s="5207"/>
      <c r="YA223" s="5207"/>
      <c r="YB223" s="5207"/>
      <c r="YC223" s="5207"/>
      <c r="YD223" s="5207"/>
      <c r="YE223" s="5207"/>
      <c r="YF223" s="5207"/>
      <c r="YG223" s="5207"/>
      <c r="YH223" s="5207"/>
      <c r="YI223" s="5207"/>
      <c r="YJ223" s="5207"/>
      <c r="YK223" s="5207"/>
      <c r="YL223" s="5207"/>
      <c r="YM223" s="5207"/>
      <c r="YN223" s="5207"/>
      <c r="YO223" s="5207"/>
      <c r="YP223" s="5207"/>
      <c r="YQ223" s="5207"/>
      <c r="YR223" s="5207"/>
      <c r="YS223" s="5207"/>
      <c r="YT223" s="5207"/>
      <c r="YU223" s="5207"/>
      <c r="YV223" s="5207"/>
      <c r="YW223" s="5207"/>
      <c r="YX223" s="5207"/>
      <c r="YY223" s="5207"/>
      <c r="YZ223" s="5207"/>
      <c r="ZA223" s="5207"/>
      <c r="ZB223" s="5207"/>
      <c r="ZC223" s="5207"/>
      <c r="ZD223" s="5207"/>
      <c r="ZE223" s="5207"/>
      <c r="ZF223" s="5207"/>
      <c r="ZG223" s="5207"/>
      <c r="ZH223" s="5207"/>
      <c r="ZI223" s="5207"/>
      <c r="ZJ223" s="5207"/>
      <c r="ZK223" s="5207"/>
      <c r="ZL223" s="5207"/>
      <c r="ZM223" s="5207"/>
      <c r="ZN223" s="5207"/>
      <c r="ZO223" s="5207"/>
      <c r="ZP223" s="5207"/>
      <c r="ZQ223" s="5207"/>
      <c r="ZR223" s="5207"/>
      <c r="ZS223" s="5207"/>
      <c r="ZT223" s="5207"/>
      <c r="ZU223" s="5207"/>
      <c r="ZV223" s="5207"/>
      <c r="ZW223" s="5207"/>
      <c r="ZX223" s="5207"/>
      <c r="ZY223" s="5207"/>
      <c r="ZZ223" s="5207"/>
      <c r="AAA223" s="5207"/>
      <c r="AAB223" s="5207"/>
      <c r="AAC223" s="5207"/>
      <c r="AAD223" s="5207"/>
      <c r="AAE223" s="5207"/>
      <c r="AAF223" s="5207"/>
      <c r="AAG223" s="5207"/>
      <c r="AAH223" s="5207"/>
      <c r="AAI223" s="5207"/>
      <c r="AAJ223" s="5207"/>
      <c r="AAK223" s="5207"/>
      <c r="AAL223" s="5207"/>
      <c r="AAM223" s="5207"/>
      <c r="AAN223" s="5207"/>
      <c r="AAO223" s="5207"/>
      <c r="AAP223" s="5207"/>
      <c r="AAQ223" s="5207"/>
      <c r="AAR223" s="5207"/>
      <c r="AAS223" s="5207"/>
      <c r="AAT223" s="5207"/>
      <c r="AAU223" s="5207"/>
      <c r="AAV223" s="5207"/>
      <c r="AAW223" s="5207"/>
      <c r="AAX223" s="5207"/>
      <c r="AAY223" s="5207"/>
      <c r="AAZ223" s="5207"/>
      <c r="ABA223" s="5207"/>
      <c r="ABB223" s="5207"/>
      <c r="ABC223" s="5207"/>
      <c r="ABD223" s="5207"/>
      <c r="ABE223" s="5207"/>
      <c r="ABF223" s="5207"/>
      <c r="ABG223" s="5207"/>
      <c r="ABH223" s="5207"/>
      <c r="ABI223" s="5207"/>
      <c r="ABJ223" s="5207"/>
      <c r="ABK223" s="5207"/>
      <c r="ABL223" s="5207"/>
      <c r="ABM223" s="5207"/>
      <c r="ABN223" s="5207"/>
      <c r="ABO223" s="5207"/>
      <c r="ABP223" s="5207"/>
      <c r="ABQ223" s="5207"/>
      <c r="ABR223" s="5207"/>
      <c r="ABS223" s="5207"/>
      <c r="ABT223" s="5207"/>
      <c r="ABU223" s="5207"/>
      <c r="ABV223" s="5207"/>
      <c r="ABW223" s="5207"/>
      <c r="ABX223" s="5207"/>
      <c r="ABY223" s="5207"/>
      <c r="ABZ223" s="5207"/>
      <c r="ACA223" s="5207"/>
      <c r="ACB223" s="5207"/>
      <c r="ACC223" s="5207"/>
      <c r="ACD223" s="5207"/>
      <c r="ACE223" s="5207"/>
      <c r="ACF223" s="5207"/>
      <c r="ACG223" s="5207"/>
      <c r="ACH223" s="5207"/>
      <c r="ACI223" s="5207"/>
      <c r="ACJ223" s="5207"/>
      <c r="ACK223" s="5207"/>
      <c r="ACL223" s="5207"/>
      <c r="ACM223" s="5207"/>
      <c r="ACN223" s="5207"/>
      <c r="ACO223" s="5207"/>
      <c r="ACP223" s="5207"/>
      <c r="ACQ223" s="5207"/>
      <c r="ACR223" s="5207"/>
      <c r="ACS223" s="5207"/>
      <c r="ACT223" s="5207"/>
      <c r="ACU223" s="5207"/>
      <c r="ACV223" s="5207"/>
      <c r="ACW223" s="5207"/>
      <c r="ACX223" s="5207"/>
      <c r="ACY223" s="5207"/>
      <c r="ACZ223" s="5207"/>
      <c r="ADA223" s="5207"/>
      <c r="ADB223" s="5207"/>
      <c r="ADC223" s="5207"/>
      <c r="ADD223" s="5207"/>
      <c r="ADE223" s="5207"/>
      <c r="ADF223" s="5207"/>
      <c r="ADG223" s="5207"/>
      <c r="ADH223" s="5207"/>
      <c r="ADI223" s="5207"/>
      <c r="ADJ223" s="5207"/>
      <c r="ADK223" s="5207"/>
      <c r="ADL223" s="5207"/>
      <c r="ADM223" s="5207"/>
      <c r="ADN223" s="5207"/>
      <c r="ADO223" s="5207"/>
      <c r="ADP223" s="5207"/>
      <c r="ADQ223" s="5207"/>
      <c r="ADR223" s="5207"/>
      <c r="ADS223" s="5207"/>
      <c r="ADT223" s="5207"/>
      <c r="ADU223" s="5207"/>
      <c r="ADV223" s="5207"/>
      <c r="ADW223" s="5207"/>
      <c r="ADX223" s="5207"/>
      <c r="ADY223" s="5207"/>
      <c r="ADZ223" s="5207"/>
      <c r="AEA223" s="5207"/>
      <c r="AEB223" s="5207"/>
      <c r="AEC223" s="5207"/>
      <c r="AED223" s="5207"/>
      <c r="AEE223" s="5207"/>
      <c r="AEF223" s="5207"/>
      <c r="AEG223" s="5207"/>
      <c r="AEH223" s="5207"/>
      <c r="AEI223" s="5207"/>
      <c r="AEJ223" s="5207"/>
      <c r="AEK223" s="5207"/>
      <c r="AEL223" s="5207"/>
      <c r="AEM223" s="5207"/>
      <c r="AEN223" s="5207"/>
      <c r="AEO223" s="5207"/>
      <c r="AEP223" s="5207"/>
      <c r="AEQ223" s="5207"/>
      <c r="AER223" s="5207"/>
      <c r="AES223" s="5207"/>
      <c r="AET223" s="5207"/>
      <c r="AEU223" s="5207"/>
      <c r="AEV223" s="5207"/>
      <c r="AEW223" s="5207"/>
      <c r="AEX223" s="5207"/>
      <c r="AEY223" s="5207"/>
      <c r="AEZ223" s="5207"/>
      <c r="AFA223" s="5207"/>
      <c r="AFB223" s="5207"/>
      <c r="AFC223" s="5207"/>
      <c r="AFD223" s="5207"/>
      <c r="AFE223" s="5207"/>
      <c r="AFF223" s="5207"/>
      <c r="AFG223" s="5207"/>
      <c r="AFH223" s="5207"/>
      <c r="AFI223" s="5207"/>
      <c r="AFJ223" s="5207"/>
      <c r="AFK223" s="5207"/>
      <c r="AFL223" s="5207"/>
      <c r="AFM223" s="5207"/>
      <c r="AFN223" s="5207"/>
      <c r="AFO223" s="5207"/>
      <c r="AFP223" s="5207"/>
      <c r="AFQ223" s="5207"/>
      <c r="AFR223" s="5207"/>
      <c r="AFS223" s="5207"/>
      <c r="AFT223" s="5207"/>
      <c r="AFU223" s="5207"/>
      <c r="AFV223" s="5207"/>
      <c r="AFW223" s="5207"/>
      <c r="AFX223" s="5207"/>
      <c r="AFY223" s="5207"/>
      <c r="AFZ223" s="5207"/>
      <c r="AGA223" s="5207"/>
      <c r="AGB223" s="5207"/>
      <c r="AGC223" s="5207"/>
      <c r="AGD223" s="5207"/>
      <c r="AGE223" s="5207"/>
      <c r="AGF223" s="5207"/>
      <c r="AGG223" s="5207"/>
      <c r="AGH223" s="5207"/>
      <c r="AGI223" s="5207"/>
      <c r="AGJ223" s="5207"/>
      <c r="AGK223" s="5207"/>
      <c r="AGL223" s="5207"/>
      <c r="AGM223" s="5207"/>
      <c r="AGN223" s="5207"/>
      <c r="AGO223" s="5207"/>
      <c r="AGP223" s="5207"/>
      <c r="AGQ223" s="5207"/>
      <c r="AGR223" s="5207"/>
      <c r="AGS223" s="5207"/>
      <c r="AGT223" s="5207"/>
      <c r="AGU223" s="5207"/>
      <c r="AGV223" s="5207"/>
      <c r="AGW223" s="5207"/>
      <c r="AGX223" s="5207"/>
      <c r="AGY223" s="5207"/>
      <c r="AGZ223" s="5207"/>
      <c r="AHA223" s="5207"/>
      <c r="AHB223" s="5207"/>
      <c r="AHC223" s="5207"/>
      <c r="AHD223" s="5207"/>
      <c r="AHE223" s="5207"/>
      <c r="AHF223" s="5207"/>
      <c r="AHG223" s="5207"/>
      <c r="AHH223" s="5207"/>
      <c r="AHI223" s="5207"/>
      <c r="AHJ223" s="5207"/>
      <c r="AHK223" s="5207"/>
      <c r="AHL223" s="5207"/>
      <c r="AHM223" s="5207"/>
      <c r="AHN223" s="5207"/>
      <c r="AHO223" s="5207"/>
      <c r="AHP223" s="5207"/>
      <c r="AHQ223" s="5207"/>
      <c r="AHR223" s="5207"/>
      <c r="AHS223" s="5207"/>
      <c r="AHT223" s="5207"/>
      <c r="AHU223" s="5207"/>
      <c r="AHV223" s="5207"/>
      <c r="AHW223" s="5207"/>
      <c r="AHX223" s="5207"/>
      <c r="AHY223" s="5207"/>
      <c r="AHZ223" s="5207"/>
      <c r="AIA223" s="5207"/>
      <c r="AIB223" s="5207"/>
      <c r="AIC223" s="5207"/>
      <c r="AID223" s="5207"/>
      <c r="AIE223" s="5207"/>
      <c r="AIF223" s="5207"/>
      <c r="AIG223" s="5207"/>
      <c r="AIH223" s="5207"/>
      <c r="AII223" s="5207"/>
      <c r="AIJ223" s="5207"/>
      <c r="AIK223" s="5207"/>
      <c r="AIL223" s="5207"/>
      <c r="AIM223" s="5207"/>
      <c r="AIN223" s="5207"/>
      <c r="AIO223" s="5207"/>
      <c r="AIP223" s="5207"/>
      <c r="AIQ223" s="5207"/>
      <c r="AIR223" s="5207"/>
      <c r="AIS223" s="5207"/>
      <c r="AIT223" s="5207"/>
      <c r="AIU223" s="5207"/>
      <c r="AIV223" s="5207"/>
      <c r="AIW223" s="5207"/>
      <c r="AIX223" s="5207"/>
      <c r="AIY223" s="5207"/>
      <c r="AIZ223" s="5207"/>
      <c r="AJA223" s="5207"/>
      <c r="AJB223" s="5207"/>
      <c r="AJC223" s="5207"/>
      <c r="AJD223" s="5207"/>
      <c r="AJE223" s="5207"/>
      <c r="AJF223" s="5207"/>
      <c r="AJG223" s="5207"/>
      <c r="AJH223" s="5207"/>
      <c r="AJI223" s="5207"/>
      <c r="AJJ223" s="5207"/>
      <c r="AJK223" s="5207"/>
      <c r="AJL223" s="5207"/>
      <c r="AJM223" s="5207"/>
      <c r="AJN223" s="5207"/>
      <c r="AJO223" s="5207"/>
      <c r="AJP223" s="5207"/>
      <c r="AJQ223" s="5207"/>
      <c r="AJR223" s="5207"/>
      <c r="AJS223" s="5207"/>
      <c r="AJT223" s="5207"/>
      <c r="AJU223" s="5207"/>
      <c r="AJV223" s="5207"/>
      <c r="AJW223" s="5207"/>
      <c r="AJX223" s="5207"/>
      <c r="AJY223" s="5207"/>
      <c r="AJZ223" s="5207"/>
      <c r="AKA223" s="5207"/>
      <c r="AKB223" s="5207"/>
      <c r="AKC223" s="5207"/>
      <c r="AKD223" s="5207"/>
      <c r="AKE223" s="5207"/>
      <c r="AKF223" s="5207"/>
      <c r="AKG223" s="5207"/>
      <c r="AKH223" s="5207"/>
      <c r="AKI223" s="5207"/>
      <c r="AKJ223" s="5207"/>
      <c r="AKK223" s="5207"/>
      <c r="AKL223" s="5207"/>
      <c r="AKM223" s="5207"/>
      <c r="AKN223" s="5207"/>
      <c r="AKO223" s="5207"/>
      <c r="AKP223" s="5207"/>
      <c r="AKQ223" s="5207"/>
      <c r="AKR223" s="5207"/>
      <c r="AKS223" s="5207"/>
      <c r="AKT223" s="5207"/>
      <c r="AKU223" s="5207"/>
      <c r="AKV223" s="5207"/>
      <c r="AKW223" s="5207"/>
      <c r="AKX223" s="5207"/>
      <c r="AKY223" s="5207"/>
      <c r="AKZ223" s="5207"/>
      <c r="ALA223" s="5207"/>
      <c r="ALB223" s="5207"/>
      <c r="ALC223" s="5207"/>
      <c r="ALD223" s="5207"/>
      <c r="ALE223" s="5207"/>
      <c r="ALF223" s="5207"/>
      <c r="ALG223" s="5207"/>
      <c r="ALH223" s="5207"/>
      <c r="ALI223" s="5207"/>
      <c r="ALJ223" s="5207"/>
      <c r="ALK223" s="5207"/>
      <c r="ALL223" s="5207"/>
      <c r="ALM223" s="5207"/>
      <c r="ALN223" s="5207"/>
      <c r="ALO223" s="5207"/>
      <c r="ALP223" s="5207"/>
      <c r="ALQ223" s="5207"/>
      <c r="ALR223" s="5207"/>
      <c r="ALS223" s="5207"/>
      <c r="ALT223" s="5207"/>
      <c r="ALU223" s="5207"/>
      <c r="ALV223" s="5207"/>
      <c r="ALW223" s="5207"/>
      <c r="ALX223" s="5207"/>
      <c r="ALY223" s="5207"/>
      <c r="ALZ223" s="5207"/>
      <c r="AMA223" s="5207"/>
      <c r="AMB223" s="5207"/>
      <c r="AMC223" s="5207"/>
      <c r="AMD223" s="5207"/>
      <c r="AME223" s="5207"/>
      <c r="AMF223" s="5207"/>
      <c r="AMG223" s="5207"/>
      <c r="AMH223" s="5207"/>
      <c r="AMI223" s="5207"/>
      <c r="AMJ223" s="5207"/>
      <c r="AMK223" s="5207"/>
      <c r="AML223" s="5207"/>
      <c r="AMM223" s="5207"/>
      <c r="AMN223" s="5207"/>
      <c r="AMO223" s="5207"/>
      <c r="AMP223" s="5207"/>
      <c r="AMQ223" s="5207"/>
      <c r="AMR223" s="5207"/>
      <c r="AMS223" s="5207"/>
      <c r="AMT223" s="5207"/>
      <c r="AMU223" s="5207"/>
      <c r="AMV223" s="5207"/>
      <c r="AMW223" s="5207"/>
      <c r="AMX223" s="5207"/>
      <c r="AMY223" s="5207"/>
      <c r="AMZ223" s="5207"/>
      <c r="ANA223" s="5207"/>
      <c r="ANB223" s="5207"/>
      <c r="ANC223" s="5207"/>
      <c r="AND223" s="5207"/>
      <c r="ANE223" s="5207"/>
      <c r="ANF223" s="5207"/>
      <c r="ANG223" s="5207"/>
      <c r="ANH223" s="5207"/>
      <c r="ANI223" s="5207"/>
      <c r="ANJ223" s="5207"/>
      <c r="ANK223" s="5207"/>
      <c r="ANL223" s="5207"/>
      <c r="ANM223" s="5207"/>
      <c r="ANN223" s="5207"/>
      <c r="ANO223" s="5207"/>
      <c r="ANP223" s="5207"/>
      <c r="ANQ223" s="5207"/>
      <c r="ANR223" s="5207"/>
      <c r="ANS223" s="5207"/>
      <c r="ANT223" s="5207"/>
      <c r="ANU223" s="5207"/>
      <c r="ANV223" s="5207"/>
      <c r="ANW223" s="5207"/>
      <c r="ANX223" s="5207"/>
      <c r="ANY223" s="5207"/>
      <c r="ANZ223" s="5207"/>
      <c r="AOA223" s="5207"/>
      <c r="AOB223" s="5207"/>
      <c r="AOC223" s="5207"/>
      <c r="AOD223" s="5207"/>
      <c r="AOE223" s="5207"/>
      <c r="AOF223" s="5207"/>
      <c r="AOG223" s="5207"/>
      <c r="AOH223" s="5207"/>
      <c r="AOI223" s="5207"/>
      <c r="AOJ223" s="5207"/>
      <c r="AOK223" s="5207"/>
      <c r="AOL223" s="5207"/>
      <c r="AOM223" s="5207"/>
      <c r="AON223" s="5207"/>
      <c r="AOO223" s="5207"/>
      <c r="AOP223" s="5207"/>
      <c r="AOQ223" s="5207"/>
      <c r="AOR223" s="5207"/>
      <c r="AOS223" s="5207"/>
      <c r="AOT223" s="5207"/>
      <c r="AOU223" s="5207"/>
      <c r="AOV223" s="5207"/>
      <c r="AOW223" s="5207"/>
      <c r="AOX223" s="5207"/>
      <c r="AOY223" s="5207"/>
      <c r="AOZ223" s="5207"/>
      <c r="APA223" s="5207"/>
      <c r="APB223" s="5207"/>
      <c r="APC223" s="5207"/>
      <c r="APD223" s="5207"/>
      <c r="APE223" s="5207"/>
      <c r="APF223" s="5207"/>
      <c r="APG223" s="5207"/>
      <c r="APH223" s="5207"/>
      <c r="API223" s="5207"/>
      <c r="APJ223" s="5207"/>
      <c r="APK223" s="5207"/>
      <c r="APL223" s="5207"/>
      <c r="APM223" s="5207"/>
      <c r="APN223" s="5207"/>
      <c r="APO223" s="5207"/>
      <c r="APP223" s="5207"/>
      <c r="APQ223" s="5207"/>
      <c r="APR223" s="5207"/>
      <c r="APS223" s="5207"/>
      <c r="APT223" s="5207"/>
      <c r="APU223" s="5207"/>
      <c r="APV223" s="5207"/>
      <c r="APW223" s="5207"/>
      <c r="APX223" s="5207"/>
      <c r="APY223" s="5207"/>
      <c r="APZ223" s="5207"/>
      <c r="AQA223" s="5207"/>
      <c r="AQB223" s="5207"/>
      <c r="AQC223" s="5207"/>
      <c r="AQD223" s="5207"/>
      <c r="AQE223" s="5207"/>
      <c r="AQF223" s="5207"/>
      <c r="AQG223" s="5207"/>
      <c r="AQH223" s="5207"/>
      <c r="AQI223" s="5207"/>
      <c r="AQJ223" s="5207"/>
      <c r="AQK223" s="5207"/>
      <c r="AQL223" s="5207"/>
      <c r="AQM223" s="5207"/>
      <c r="AQN223" s="5207"/>
      <c r="AQO223" s="5207"/>
      <c r="AQP223" s="5207"/>
      <c r="AQQ223" s="5207"/>
      <c r="AQR223" s="5207"/>
      <c r="AQS223" s="5207"/>
      <c r="AQT223" s="5207"/>
      <c r="AQU223" s="5207"/>
      <c r="AQV223" s="5207"/>
      <c r="AQW223" s="5207"/>
      <c r="AQX223" s="5207"/>
      <c r="AQY223" s="5207"/>
      <c r="AQZ223" s="5207"/>
      <c r="ARA223" s="5207"/>
      <c r="ARB223" s="5207"/>
      <c r="ARC223" s="5207"/>
      <c r="ARD223" s="5207"/>
      <c r="ARE223" s="5207"/>
      <c r="ARF223" s="5207"/>
      <c r="ARG223" s="5207"/>
      <c r="ARH223" s="5207"/>
      <c r="ARI223" s="5207"/>
      <c r="ARJ223" s="5207"/>
      <c r="ARK223" s="5207"/>
      <c r="ARL223" s="5207"/>
      <c r="ARM223" s="5207"/>
      <c r="ARN223" s="5207"/>
      <c r="ARO223" s="5207"/>
      <c r="ARP223" s="5207"/>
      <c r="ARQ223" s="5207"/>
      <c r="ARR223" s="5207"/>
      <c r="ARS223" s="5207"/>
      <c r="ART223" s="5207"/>
      <c r="ARU223" s="5207"/>
      <c r="ARV223" s="5207"/>
      <c r="ARW223" s="5207"/>
      <c r="ARX223" s="5207"/>
      <c r="ARY223" s="5207"/>
      <c r="ARZ223" s="5207"/>
      <c r="ASA223" s="5207"/>
      <c r="ASB223" s="5207"/>
      <c r="ASC223" s="5207"/>
      <c r="ASD223" s="5207"/>
      <c r="ASE223" s="5207"/>
      <c r="ASF223" s="5207"/>
      <c r="ASG223" s="5207"/>
      <c r="ASH223" s="5207"/>
      <c r="ASI223" s="5207"/>
      <c r="ASJ223" s="5207"/>
      <c r="ASK223" s="5207"/>
      <c r="ASL223" s="5207"/>
      <c r="ASM223" s="5207"/>
      <c r="ASN223" s="5207"/>
      <c r="ASO223" s="5207"/>
      <c r="ASP223" s="5207"/>
      <c r="ASQ223" s="5207"/>
      <c r="ASR223" s="5207"/>
      <c r="ASS223" s="5207"/>
      <c r="AST223" s="5207"/>
      <c r="ASU223" s="5207"/>
      <c r="ASV223" s="5207"/>
      <c r="ASW223" s="5207"/>
      <c r="ASX223" s="5207"/>
      <c r="ASY223" s="5207"/>
      <c r="ASZ223" s="5207"/>
      <c r="ATA223" s="5207"/>
      <c r="ATB223" s="5207"/>
      <c r="ATC223" s="5207"/>
      <c r="ATD223" s="5207"/>
      <c r="ATE223" s="5207"/>
      <c r="ATF223" s="5207"/>
      <c r="ATG223" s="5207"/>
      <c r="ATH223" s="5207"/>
      <c r="ATI223" s="5207"/>
      <c r="ATJ223" s="5207"/>
      <c r="ATK223" s="5207"/>
      <c r="ATL223" s="5207"/>
      <c r="ATM223" s="5207"/>
      <c r="ATN223" s="5207"/>
      <c r="ATO223" s="5207"/>
      <c r="ATP223" s="5207"/>
      <c r="ATQ223" s="5207"/>
      <c r="ATR223" s="5207"/>
      <c r="ATS223" s="5207"/>
      <c r="ATT223" s="5207"/>
      <c r="ATU223" s="5207"/>
      <c r="ATV223" s="5207"/>
      <c r="ATW223" s="5207"/>
      <c r="ATX223" s="5207"/>
      <c r="ATY223" s="5207"/>
      <c r="ATZ223" s="5207"/>
      <c r="AUA223" s="5207"/>
      <c r="AUB223" s="5207"/>
      <c r="AUC223" s="5207"/>
      <c r="AUD223" s="5207"/>
      <c r="AUE223" s="5207"/>
      <c r="AUF223" s="5207"/>
      <c r="AUG223" s="5207"/>
      <c r="AUH223" s="5207"/>
      <c r="AUI223" s="5207"/>
      <c r="AUJ223" s="5207"/>
      <c r="AUK223" s="5207"/>
      <c r="AUL223" s="5207"/>
      <c r="AUM223" s="5207"/>
      <c r="AUN223" s="5207"/>
      <c r="AUO223" s="5207"/>
      <c r="AUP223" s="5207"/>
      <c r="AUQ223" s="5207"/>
      <c r="AUR223" s="5207"/>
      <c r="AUS223" s="5207"/>
      <c r="AUT223" s="5207"/>
      <c r="AUU223" s="5207"/>
      <c r="AUV223" s="5207"/>
      <c r="AUW223" s="5207"/>
      <c r="AUX223" s="5207"/>
      <c r="AUY223" s="5207"/>
      <c r="AUZ223" s="5207"/>
      <c r="AVA223" s="5207"/>
      <c r="AVB223" s="5207"/>
      <c r="AVC223" s="5207"/>
      <c r="AVD223" s="5207"/>
      <c r="AVE223" s="5207"/>
      <c r="AVF223" s="5207"/>
      <c r="AVG223" s="5207"/>
      <c r="AVH223" s="5207"/>
      <c r="AVI223" s="5207"/>
      <c r="AVJ223" s="5207"/>
      <c r="AVK223" s="5207"/>
      <c r="AVL223" s="5207"/>
      <c r="AVM223" s="5207"/>
      <c r="AVN223" s="5207"/>
      <c r="AVO223" s="5207"/>
      <c r="AVP223" s="5207"/>
      <c r="AVQ223" s="5207"/>
      <c r="AVR223" s="5207"/>
      <c r="AVS223" s="5207"/>
      <c r="AVT223" s="5207"/>
      <c r="AVU223" s="5207"/>
      <c r="AVV223" s="5207"/>
      <c r="AVW223" s="5207"/>
      <c r="AVX223" s="5207"/>
      <c r="AVY223" s="5207"/>
      <c r="AVZ223" s="5207"/>
      <c r="AWA223" s="5207"/>
      <c r="AWB223" s="5207"/>
      <c r="AWC223" s="5207"/>
      <c r="AWD223" s="5207"/>
      <c r="AWE223" s="5207"/>
      <c r="AWF223" s="5207"/>
      <c r="AWG223" s="5207"/>
      <c r="AWH223" s="5207"/>
      <c r="AWI223" s="5207"/>
      <c r="AWJ223" s="5207"/>
      <c r="AWK223" s="5207"/>
      <c r="AWL223" s="5207"/>
      <c r="AWM223" s="5207"/>
      <c r="AWN223" s="5207"/>
      <c r="AWO223" s="5207"/>
      <c r="AWP223" s="5207"/>
      <c r="AWQ223" s="5207"/>
      <c r="AWR223" s="5207"/>
      <c r="AWS223" s="5207"/>
      <c r="AWT223" s="5207"/>
      <c r="AWU223" s="5207"/>
      <c r="AWV223" s="5207"/>
      <c r="AWW223" s="5207"/>
      <c r="AWX223" s="5207"/>
      <c r="AWY223" s="5207"/>
      <c r="AWZ223" s="5207"/>
      <c r="AXA223" s="5207"/>
      <c r="AXB223" s="5207"/>
      <c r="AXC223" s="5207"/>
      <c r="AXD223" s="5207"/>
      <c r="AXE223" s="5207"/>
      <c r="AXF223" s="5207"/>
      <c r="AXG223" s="5207"/>
      <c r="AXH223" s="5207"/>
      <c r="AXI223" s="5207"/>
      <c r="AXJ223" s="5207"/>
    </row>
    <row r="224" spans="1:1310" s="5208" customFormat="1" ht="23.25" customHeight="1">
      <c r="A224" s="5209"/>
      <c r="B224" s="5212" t="s">
        <v>866</v>
      </c>
      <c r="C224" s="5212"/>
      <c r="D224" s="5212"/>
      <c r="E224" s="5212"/>
      <c r="F224" s="5214"/>
      <c r="G224" s="5212" t="s">
        <v>867</v>
      </c>
      <c r="H224" s="5212"/>
      <c r="I224" s="5212"/>
      <c r="J224" s="5214"/>
      <c r="K224" s="5212" t="s">
        <v>868</v>
      </c>
      <c r="L224" s="5212"/>
      <c r="M224" s="5212"/>
      <c r="N224" s="5214"/>
      <c r="O224" s="5212" t="s">
        <v>869</v>
      </c>
      <c r="P224" s="5212"/>
      <c r="Q224" s="5214"/>
      <c r="R224" s="95"/>
      <c r="S224" s="95"/>
      <c r="T224" s="95"/>
      <c r="U224" s="95"/>
      <c r="V224" s="95"/>
      <c r="W224" s="95"/>
      <c r="X224" s="95"/>
      <c r="Y224" s="95"/>
      <c r="Z224" s="95"/>
      <c r="AA224" s="95"/>
      <c r="AB224" s="95"/>
      <c r="AC224" s="95"/>
      <c r="AD224" s="5207"/>
      <c r="AE224" s="5207"/>
      <c r="AF224" s="5207"/>
      <c r="AG224" s="5207"/>
      <c r="AH224" s="5207"/>
      <c r="AI224" s="5207"/>
      <c r="AJ224" s="5207"/>
      <c r="AK224" s="5207"/>
      <c r="AL224" s="5207"/>
      <c r="AM224" s="5207"/>
      <c r="AN224" s="5207"/>
      <c r="AO224" s="5207"/>
      <c r="AP224" s="5207"/>
      <c r="AQ224" s="5207"/>
      <c r="AR224" s="5207"/>
      <c r="AS224" s="5207"/>
      <c r="AT224" s="5207"/>
      <c r="AU224" s="5207"/>
      <c r="AV224" s="5207"/>
      <c r="AW224" s="5207"/>
      <c r="AX224" s="5207"/>
      <c r="AY224" s="5207"/>
      <c r="AZ224" s="5207"/>
      <c r="BA224" s="5207"/>
      <c r="BB224" s="5207"/>
      <c r="BC224" s="5207"/>
      <c r="BD224" s="5207"/>
      <c r="BE224" s="5207"/>
      <c r="BF224" s="5207"/>
      <c r="BG224" s="5207"/>
      <c r="BH224" s="5207"/>
      <c r="BI224" s="5207"/>
      <c r="BJ224" s="5207"/>
      <c r="BK224" s="5207"/>
      <c r="BL224" s="5207"/>
      <c r="BM224" s="5207"/>
      <c r="BN224" s="5207"/>
      <c r="BO224" s="5207"/>
      <c r="BP224" s="5207"/>
      <c r="BQ224" s="5207"/>
      <c r="BR224" s="5207"/>
      <c r="BS224" s="5207"/>
      <c r="BT224" s="5207"/>
      <c r="BU224" s="5207"/>
      <c r="BV224" s="5207"/>
      <c r="BW224" s="5207"/>
      <c r="BX224" s="5207"/>
      <c r="BY224" s="5207"/>
      <c r="BZ224" s="5207"/>
      <c r="CA224" s="5207"/>
      <c r="CB224" s="5207"/>
      <c r="CC224" s="5207"/>
      <c r="CD224" s="5207"/>
      <c r="CE224" s="5207"/>
      <c r="CF224" s="5207"/>
      <c r="CG224" s="5207"/>
      <c r="CH224" s="5207"/>
      <c r="CI224" s="5207"/>
      <c r="CJ224" s="5207"/>
      <c r="CK224" s="5207"/>
      <c r="CL224" s="5207"/>
      <c r="CM224" s="5207"/>
      <c r="CN224" s="5207"/>
      <c r="CO224" s="5207"/>
      <c r="CP224" s="5207"/>
      <c r="CQ224" s="5207"/>
      <c r="CR224" s="5207"/>
      <c r="CS224" s="5207"/>
      <c r="CT224" s="5207"/>
      <c r="CU224" s="5207"/>
      <c r="CV224" s="5207"/>
      <c r="CW224" s="5207"/>
      <c r="CX224" s="5207"/>
      <c r="CY224" s="5207"/>
      <c r="CZ224" s="5207"/>
      <c r="DA224" s="5207"/>
      <c r="DB224" s="5207"/>
      <c r="DC224" s="5207"/>
      <c r="DD224" s="5207"/>
      <c r="DE224" s="5207"/>
      <c r="DF224" s="5207"/>
      <c r="DG224" s="5207"/>
      <c r="DH224" s="5207"/>
      <c r="DI224" s="5207"/>
      <c r="DJ224" s="5207"/>
      <c r="DK224" s="5207"/>
      <c r="DL224" s="5207"/>
      <c r="DM224" s="5207"/>
      <c r="DN224" s="5207"/>
      <c r="DO224" s="5207"/>
      <c r="DP224" s="5207"/>
      <c r="DQ224" s="5207"/>
      <c r="DR224" s="5207"/>
      <c r="DS224" s="5207"/>
      <c r="DT224" s="5207"/>
      <c r="DU224" s="5207"/>
      <c r="DV224" s="5207"/>
      <c r="DW224" s="5207"/>
      <c r="DX224" s="5207"/>
      <c r="DY224" s="5207"/>
      <c r="DZ224" s="5207"/>
      <c r="EA224" s="5207"/>
      <c r="EB224" s="5207"/>
      <c r="EC224" s="5207"/>
      <c r="ED224" s="5207"/>
      <c r="EE224" s="5207"/>
      <c r="EF224" s="5207"/>
      <c r="EG224" s="5207"/>
      <c r="EH224" s="5207"/>
      <c r="EI224" s="5207"/>
      <c r="EJ224" s="5207"/>
      <c r="EK224" s="5207"/>
      <c r="EL224" s="5207"/>
      <c r="EM224" s="5207"/>
      <c r="EN224" s="5207"/>
      <c r="EO224" s="5207"/>
      <c r="EP224" s="5207"/>
      <c r="EQ224" s="5207"/>
      <c r="ER224" s="5207"/>
      <c r="ES224" s="5207"/>
      <c r="ET224" s="5207"/>
      <c r="EU224" s="5207"/>
      <c r="EV224" s="5207"/>
      <c r="EW224" s="5207"/>
      <c r="EX224" s="5207"/>
      <c r="EY224" s="5207"/>
      <c r="EZ224" s="5207"/>
      <c r="FA224" s="5207"/>
      <c r="FB224" s="5207"/>
      <c r="FC224" s="5207"/>
      <c r="FD224" s="5207"/>
      <c r="FE224" s="5207"/>
      <c r="FF224" s="5207"/>
      <c r="FG224" s="5207"/>
      <c r="FH224" s="5207"/>
      <c r="FI224" s="5207"/>
      <c r="FJ224" s="5207"/>
      <c r="FK224" s="5207"/>
      <c r="FL224" s="5207"/>
      <c r="FM224" s="5207"/>
      <c r="FN224" s="5207"/>
      <c r="FO224" s="5207"/>
      <c r="FP224" s="5207"/>
      <c r="FQ224" s="5207"/>
      <c r="FR224" s="5207"/>
      <c r="FS224" s="5207"/>
      <c r="FT224" s="5207"/>
      <c r="FU224" s="5207"/>
      <c r="FV224" s="5207"/>
      <c r="FW224" s="5207"/>
      <c r="FX224" s="5207"/>
      <c r="FY224" s="5207"/>
      <c r="FZ224" s="5207"/>
      <c r="GA224" s="5207"/>
      <c r="GB224" s="5207"/>
      <c r="GC224" s="5207"/>
      <c r="GD224" s="5207"/>
      <c r="GE224" s="5207"/>
      <c r="GF224" s="5207"/>
      <c r="GG224" s="5207"/>
      <c r="GH224" s="5207"/>
      <c r="GI224" s="5207"/>
      <c r="GJ224" s="5207"/>
      <c r="GK224" s="5207"/>
      <c r="GL224" s="5207"/>
      <c r="GM224" s="5207"/>
      <c r="GN224" s="5207"/>
      <c r="GO224" s="5207"/>
      <c r="GP224" s="5207"/>
      <c r="GQ224" s="5207"/>
      <c r="GR224" s="5207"/>
      <c r="GS224" s="5207"/>
      <c r="GT224" s="5207"/>
      <c r="GU224" s="5207"/>
      <c r="GV224" s="5207"/>
      <c r="GW224" s="5207"/>
      <c r="GX224" s="5207"/>
      <c r="GY224" s="5207"/>
      <c r="GZ224" s="5207"/>
      <c r="HA224" s="5207"/>
      <c r="HB224" s="5207"/>
      <c r="HC224" s="5207"/>
      <c r="HD224" s="5207"/>
      <c r="HE224" s="5207"/>
      <c r="HF224" s="5207"/>
      <c r="HG224" s="5207"/>
      <c r="HH224" s="5207"/>
      <c r="HI224" s="5207"/>
      <c r="HJ224" s="5207"/>
      <c r="HK224" s="5207"/>
      <c r="HL224" s="5207"/>
      <c r="HM224" s="5207"/>
      <c r="HN224" s="5207"/>
      <c r="HO224" s="5207"/>
      <c r="HP224" s="5207"/>
      <c r="HQ224" s="5207"/>
      <c r="HR224" s="5207"/>
      <c r="HS224" s="5207"/>
      <c r="HT224" s="5207"/>
      <c r="HU224" s="5207"/>
      <c r="HV224" s="5207"/>
      <c r="HW224" s="5207"/>
      <c r="HX224" s="5207"/>
      <c r="HY224" s="5207"/>
      <c r="HZ224" s="5207"/>
      <c r="IA224" s="5207"/>
      <c r="IB224" s="5207"/>
      <c r="IC224" s="5207"/>
      <c r="ID224" s="5207"/>
      <c r="IE224" s="5207"/>
      <c r="IF224" s="5207"/>
      <c r="IG224" s="5207"/>
      <c r="IH224" s="5207"/>
      <c r="II224" s="5207"/>
      <c r="IJ224" s="5207"/>
      <c r="IK224" s="5207"/>
      <c r="IL224" s="5207"/>
      <c r="IM224" s="5207"/>
      <c r="IN224" s="5207"/>
      <c r="IO224" s="5207"/>
      <c r="IP224" s="5207"/>
      <c r="IQ224" s="5207"/>
      <c r="IR224" s="5207"/>
      <c r="IS224" s="5207"/>
      <c r="IT224" s="5207"/>
      <c r="IU224" s="5207"/>
      <c r="IV224" s="5207"/>
      <c r="IW224" s="5207"/>
      <c r="IX224" s="5207"/>
      <c r="IY224" s="5207"/>
      <c r="IZ224" s="5207"/>
      <c r="JA224" s="5207"/>
      <c r="JB224" s="5207"/>
      <c r="JC224" s="5207"/>
      <c r="JD224" s="5207"/>
      <c r="JE224" s="5207"/>
      <c r="JF224" s="5207"/>
      <c r="JG224" s="5207"/>
      <c r="JH224" s="5207"/>
      <c r="JI224" s="5207"/>
      <c r="JJ224" s="5207"/>
      <c r="JK224" s="5207"/>
      <c r="JL224" s="5207"/>
      <c r="JM224" s="5207"/>
      <c r="JN224" s="5207"/>
      <c r="JO224" s="5207"/>
      <c r="JP224" s="5207"/>
      <c r="JQ224" s="5207"/>
      <c r="JR224" s="5207"/>
      <c r="JS224" s="5207"/>
      <c r="JT224" s="5207"/>
      <c r="JU224" s="5207"/>
      <c r="JV224" s="5207"/>
      <c r="JW224" s="5207"/>
      <c r="JX224" s="5207"/>
      <c r="JY224" s="5207"/>
      <c r="JZ224" s="5207"/>
      <c r="KA224" s="5207"/>
      <c r="KB224" s="5207"/>
      <c r="KC224" s="5207"/>
      <c r="KD224" s="5207"/>
      <c r="KE224" s="5207"/>
      <c r="KF224" s="5207"/>
      <c r="KG224" s="5207"/>
      <c r="KH224" s="5207"/>
      <c r="KI224" s="5207"/>
      <c r="KJ224" s="5207"/>
      <c r="KK224" s="5207"/>
      <c r="KL224" s="5207"/>
      <c r="KM224" s="5207"/>
      <c r="KN224" s="5207"/>
      <c r="KO224" s="5207"/>
      <c r="KP224" s="5207"/>
      <c r="KQ224" s="5207"/>
      <c r="KR224" s="5207"/>
      <c r="KS224" s="5207"/>
      <c r="KT224" s="5207"/>
      <c r="KU224" s="5207"/>
      <c r="KV224" s="5207"/>
      <c r="KW224" s="5207"/>
      <c r="KX224" s="5207"/>
      <c r="KY224" s="5207"/>
      <c r="KZ224" s="5207"/>
      <c r="LA224" s="5207"/>
      <c r="LB224" s="5207"/>
      <c r="LC224" s="5207"/>
      <c r="LD224" s="5207"/>
      <c r="LE224" s="5207"/>
      <c r="LF224" s="5207"/>
      <c r="LG224" s="5207"/>
      <c r="LH224" s="5207"/>
      <c r="LI224" s="5207"/>
      <c r="LJ224" s="5207"/>
      <c r="LK224" s="5207"/>
      <c r="LL224" s="5207"/>
      <c r="LM224" s="5207"/>
      <c r="LN224" s="5207"/>
      <c r="LO224" s="5207"/>
      <c r="LP224" s="5207"/>
      <c r="LQ224" s="5207"/>
      <c r="LR224" s="5207"/>
      <c r="LS224" s="5207"/>
      <c r="LT224" s="5207"/>
      <c r="LU224" s="5207"/>
      <c r="LV224" s="5207"/>
      <c r="LW224" s="5207"/>
      <c r="LX224" s="5207"/>
      <c r="LY224" s="5207"/>
      <c r="LZ224" s="5207"/>
      <c r="MA224" s="5207"/>
      <c r="MB224" s="5207"/>
      <c r="MC224" s="5207"/>
      <c r="MD224" s="5207"/>
      <c r="ME224" s="5207"/>
      <c r="MF224" s="5207"/>
      <c r="MG224" s="5207"/>
      <c r="MH224" s="5207"/>
      <c r="MI224" s="5207"/>
      <c r="MJ224" s="5207"/>
      <c r="MK224" s="5207"/>
      <c r="ML224" s="5207"/>
      <c r="MM224" s="5207"/>
      <c r="MN224" s="5207"/>
      <c r="MO224" s="5207"/>
      <c r="MP224" s="5207"/>
      <c r="MQ224" s="5207"/>
      <c r="MR224" s="5207"/>
      <c r="MS224" s="5207"/>
      <c r="MT224" s="5207"/>
      <c r="MU224" s="5207"/>
      <c r="MV224" s="5207"/>
      <c r="MW224" s="5207"/>
      <c r="MX224" s="5207"/>
      <c r="MY224" s="5207"/>
      <c r="MZ224" s="5207"/>
      <c r="NA224" s="5207"/>
      <c r="NB224" s="5207"/>
      <c r="NC224" s="5207"/>
      <c r="ND224" s="5207"/>
      <c r="NE224" s="5207"/>
      <c r="NF224" s="5207"/>
      <c r="NG224" s="5207"/>
      <c r="NH224" s="5207"/>
      <c r="NI224" s="5207"/>
      <c r="NJ224" s="5207"/>
      <c r="NK224" s="5207"/>
      <c r="NL224" s="5207"/>
      <c r="NM224" s="5207"/>
      <c r="NN224" s="5207"/>
      <c r="NO224" s="5207"/>
      <c r="NP224" s="5207"/>
      <c r="NQ224" s="5207"/>
      <c r="NR224" s="5207"/>
      <c r="NS224" s="5207"/>
      <c r="NT224" s="5207"/>
      <c r="NU224" s="5207"/>
      <c r="NV224" s="5207"/>
      <c r="NW224" s="5207"/>
      <c r="NX224" s="5207"/>
      <c r="NY224" s="5207"/>
      <c r="NZ224" s="5207"/>
      <c r="OA224" s="5207"/>
      <c r="OB224" s="5207"/>
      <c r="OC224" s="5207"/>
      <c r="OD224" s="5207"/>
      <c r="OE224" s="5207"/>
      <c r="OF224" s="5207"/>
      <c r="OG224" s="5207"/>
      <c r="OH224" s="5207"/>
      <c r="OI224" s="5207"/>
      <c r="OJ224" s="5207"/>
      <c r="OK224" s="5207"/>
      <c r="OL224" s="5207"/>
      <c r="OM224" s="5207"/>
      <c r="ON224" s="5207"/>
      <c r="OO224" s="5207"/>
      <c r="OP224" s="5207"/>
      <c r="OQ224" s="5207"/>
      <c r="OR224" s="5207"/>
      <c r="OS224" s="5207"/>
      <c r="OT224" s="5207"/>
      <c r="OU224" s="5207"/>
      <c r="OV224" s="5207"/>
      <c r="OW224" s="5207"/>
      <c r="OX224" s="5207"/>
      <c r="OY224" s="5207"/>
      <c r="OZ224" s="5207"/>
      <c r="PA224" s="5207"/>
      <c r="PB224" s="5207"/>
      <c r="PC224" s="5207"/>
      <c r="PD224" s="5207"/>
      <c r="PE224" s="5207"/>
      <c r="PF224" s="5207"/>
      <c r="PG224" s="5207"/>
      <c r="PH224" s="5207"/>
      <c r="PI224" s="5207"/>
      <c r="PJ224" s="5207"/>
      <c r="PK224" s="5207"/>
      <c r="PL224" s="5207"/>
      <c r="PM224" s="5207"/>
      <c r="PN224" s="5207"/>
      <c r="PO224" s="5207"/>
      <c r="PP224" s="5207"/>
      <c r="PQ224" s="5207"/>
      <c r="PR224" s="5207"/>
      <c r="PS224" s="5207"/>
      <c r="PT224" s="5207"/>
      <c r="PU224" s="5207"/>
      <c r="PV224" s="5207"/>
      <c r="PW224" s="5207"/>
      <c r="PX224" s="5207"/>
      <c r="PY224" s="5207"/>
      <c r="PZ224" s="5207"/>
      <c r="QA224" s="5207"/>
      <c r="QB224" s="5207"/>
      <c r="QC224" s="5207"/>
      <c r="QD224" s="5207"/>
      <c r="QE224" s="5207"/>
      <c r="QF224" s="5207"/>
      <c r="QG224" s="5207"/>
      <c r="QH224" s="5207"/>
      <c r="QI224" s="5207"/>
      <c r="QJ224" s="5207"/>
      <c r="QK224" s="5207"/>
      <c r="QL224" s="5207"/>
      <c r="QM224" s="5207"/>
      <c r="QN224" s="5207"/>
      <c r="QO224" s="5207"/>
      <c r="QP224" s="5207"/>
      <c r="QQ224" s="5207"/>
      <c r="QR224" s="5207"/>
      <c r="QS224" s="5207"/>
      <c r="QT224" s="5207"/>
      <c r="QU224" s="5207"/>
      <c r="QV224" s="5207"/>
      <c r="QW224" s="5207"/>
      <c r="QX224" s="5207"/>
      <c r="QY224" s="5207"/>
      <c r="QZ224" s="5207"/>
      <c r="RA224" s="5207"/>
      <c r="RB224" s="5207"/>
      <c r="RC224" s="5207"/>
      <c r="RD224" s="5207"/>
      <c r="RE224" s="5207"/>
      <c r="RF224" s="5207"/>
      <c r="RG224" s="5207"/>
      <c r="RH224" s="5207"/>
      <c r="RI224" s="5207"/>
      <c r="RJ224" s="5207"/>
      <c r="RK224" s="5207"/>
      <c r="RL224" s="5207"/>
      <c r="RM224" s="5207"/>
      <c r="RN224" s="5207"/>
      <c r="RO224" s="5207"/>
      <c r="RP224" s="5207"/>
      <c r="RQ224" s="5207"/>
      <c r="RR224" s="5207"/>
      <c r="RS224" s="5207"/>
      <c r="RT224" s="5207"/>
      <c r="RU224" s="5207"/>
      <c r="RV224" s="5207"/>
      <c r="RW224" s="5207"/>
      <c r="RX224" s="5207"/>
      <c r="RY224" s="5207"/>
      <c r="RZ224" s="5207"/>
      <c r="SA224" s="5207"/>
      <c r="SB224" s="5207"/>
      <c r="SC224" s="5207"/>
      <c r="SD224" s="5207"/>
      <c r="SE224" s="5207"/>
      <c r="SF224" s="5207"/>
      <c r="SG224" s="5207"/>
      <c r="SH224" s="5207"/>
      <c r="SI224" s="5207"/>
      <c r="SJ224" s="5207"/>
      <c r="SK224" s="5207"/>
      <c r="SL224" s="5207"/>
      <c r="SM224" s="5207"/>
      <c r="SN224" s="5207"/>
      <c r="SO224" s="5207"/>
      <c r="SP224" s="5207"/>
      <c r="SQ224" s="5207"/>
      <c r="SR224" s="5207"/>
      <c r="SS224" s="5207"/>
      <c r="ST224" s="5207"/>
      <c r="SU224" s="5207"/>
      <c r="SV224" s="5207"/>
      <c r="SW224" s="5207"/>
      <c r="SX224" s="5207"/>
      <c r="SY224" s="5207"/>
      <c r="SZ224" s="5207"/>
      <c r="TA224" s="5207"/>
      <c r="TB224" s="5207"/>
      <c r="TC224" s="5207"/>
      <c r="TD224" s="5207"/>
      <c r="TE224" s="5207"/>
      <c r="TF224" s="5207"/>
      <c r="TG224" s="5207"/>
      <c r="TH224" s="5207"/>
      <c r="TI224" s="5207"/>
      <c r="TJ224" s="5207"/>
      <c r="TK224" s="5207"/>
      <c r="TL224" s="5207"/>
      <c r="TM224" s="5207"/>
      <c r="TN224" s="5207"/>
      <c r="TO224" s="5207"/>
      <c r="TP224" s="5207"/>
      <c r="TQ224" s="5207"/>
      <c r="TR224" s="5207"/>
      <c r="TS224" s="5207"/>
      <c r="TT224" s="5207"/>
      <c r="TU224" s="5207"/>
      <c r="TV224" s="5207"/>
      <c r="TW224" s="5207"/>
      <c r="TX224" s="5207"/>
      <c r="TY224" s="5207"/>
      <c r="TZ224" s="5207"/>
      <c r="UA224" s="5207"/>
      <c r="UB224" s="5207"/>
      <c r="UC224" s="5207"/>
      <c r="UD224" s="5207"/>
      <c r="UE224" s="5207"/>
      <c r="UF224" s="5207"/>
      <c r="UG224" s="5207"/>
      <c r="UH224" s="5207"/>
      <c r="UI224" s="5207"/>
      <c r="UJ224" s="5207"/>
      <c r="UK224" s="5207"/>
      <c r="UL224" s="5207"/>
      <c r="UM224" s="5207"/>
      <c r="UN224" s="5207"/>
      <c r="UO224" s="5207"/>
      <c r="UP224" s="5207"/>
      <c r="UQ224" s="5207"/>
      <c r="UR224" s="5207"/>
      <c r="US224" s="5207"/>
      <c r="UT224" s="5207"/>
      <c r="UU224" s="5207"/>
      <c r="UV224" s="5207"/>
      <c r="UW224" s="5207"/>
      <c r="UX224" s="5207"/>
      <c r="UY224" s="5207"/>
      <c r="UZ224" s="5207"/>
      <c r="VA224" s="5207"/>
      <c r="VB224" s="5207"/>
      <c r="VC224" s="5207"/>
      <c r="VD224" s="5207"/>
      <c r="VE224" s="5207"/>
      <c r="VF224" s="5207"/>
      <c r="VG224" s="5207"/>
      <c r="VH224" s="5207"/>
      <c r="VI224" s="5207"/>
      <c r="VJ224" s="5207"/>
      <c r="VK224" s="5207"/>
      <c r="VL224" s="5207"/>
      <c r="VM224" s="5207"/>
      <c r="VN224" s="5207"/>
      <c r="VO224" s="5207"/>
      <c r="VP224" s="5207"/>
      <c r="VQ224" s="5207"/>
      <c r="VR224" s="5207"/>
      <c r="VS224" s="5207"/>
      <c r="VT224" s="5207"/>
      <c r="VU224" s="5207"/>
      <c r="VV224" s="5207"/>
      <c r="VW224" s="5207"/>
      <c r="VX224" s="5207"/>
      <c r="VY224" s="5207"/>
      <c r="VZ224" s="5207"/>
      <c r="WA224" s="5207"/>
      <c r="WB224" s="5207"/>
      <c r="WC224" s="5207"/>
      <c r="WD224" s="5207"/>
      <c r="WE224" s="5207"/>
      <c r="WF224" s="5207"/>
      <c r="WG224" s="5207"/>
      <c r="WH224" s="5207"/>
      <c r="WI224" s="5207"/>
      <c r="WJ224" s="5207"/>
      <c r="WK224" s="5207"/>
      <c r="WL224" s="5207"/>
      <c r="WM224" s="5207"/>
      <c r="WN224" s="5207"/>
      <c r="WO224" s="5207"/>
      <c r="WP224" s="5207"/>
      <c r="WQ224" s="5207"/>
      <c r="WR224" s="5207"/>
      <c r="WS224" s="5207"/>
      <c r="WT224" s="5207"/>
      <c r="WU224" s="5207"/>
      <c r="WV224" s="5207"/>
      <c r="WW224" s="5207"/>
      <c r="WX224" s="5207"/>
      <c r="WY224" s="5207"/>
      <c r="WZ224" s="5207"/>
      <c r="XA224" s="5207"/>
      <c r="XB224" s="5207"/>
      <c r="XC224" s="5207"/>
      <c r="XD224" s="5207"/>
      <c r="XE224" s="5207"/>
      <c r="XF224" s="5207"/>
      <c r="XG224" s="5207"/>
      <c r="XH224" s="5207"/>
      <c r="XI224" s="5207"/>
      <c r="XJ224" s="5207"/>
      <c r="XK224" s="5207"/>
      <c r="XL224" s="5207"/>
      <c r="XM224" s="5207"/>
      <c r="XN224" s="5207"/>
      <c r="XO224" s="5207"/>
      <c r="XP224" s="5207"/>
      <c r="XQ224" s="5207"/>
      <c r="XR224" s="5207"/>
      <c r="XS224" s="5207"/>
      <c r="XT224" s="5207"/>
      <c r="XU224" s="5207"/>
      <c r="XV224" s="5207"/>
      <c r="XW224" s="5207"/>
      <c r="XX224" s="5207"/>
      <c r="XY224" s="5207"/>
      <c r="XZ224" s="5207"/>
      <c r="YA224" s="5207"/>
      <c r="YB224" s="5207"/>
      <c r="YC224" s="5207"/>
      <c r="YD224" s="5207"/>
      <c r="YE224" s="5207"/>
      <c r="YF224" s="5207"/>
      <c r="YG224" s="5207"/>
      <c r="YH224" s="5207"/>
      <c r="YI224" s="5207"/>
      <c r="YJ224" s="5207"/>
      <c r="YK224" s="5207"/>
      <c r="YL224" s="5207"/>
      <c r="YM224" s="5207"/>
      <c r="YN224" s="5207"/>
      <c r="YO224" s="5207"/>
      <c r="YP224" s="5207"/>
      <c r="YQ224" s="5207"/>
      <c r="YR224" s="5207"/>
      <c r="YS224" s="5207"/>
      <c r="YT224" s="5207"/>
      <c r="YU224" s="5207"/>
      <c r="YV224" s="5207"/>
      <c r="YW224" s="5207"/>
      <c r="YX224" s="5207"/>
      <c r="YY224" s="5207"/>
      <c r="YZ224" s="5207"/>
      <c r="ZA224" s="5207"/>
      <c r="ZB224" s="5207"/>
      <c r="ZC224" s="5207"/>
      <c r="ZD224" s="5207"/>
      <c r="ZE224" s="5207"/>
      <c r="ZF224" s="5207"/>
      <c r="ZG224" s="5207"/>
      <c r="ZH224" s="5207"/>
      <c r="ZI224" s="5207"/>
      <c r="ZJ224" s="5207"/>
      <c r="ZK224" s="5207"/>
      <c r="ZL224" s="5207"/>
      <c r="ZM224" s="5207"/>
      <c r="ZN224" s="5207"/>
      <c r="ZO224" s="5207"/>
      <c r="ZP224" s="5207"/>
      <c r="ZQ224" s="5207"/>
      <c r="ZR224" s="5207"/>
      <c r="ZS224" s="5207"/>
      <c r="ZT224" s="5207"/>
      <c r="ZU224" s="5207"/>
      <c r="ZV224" s="5207"/>
      <c r="ZW224" s="5207"/>
      <c r="ZX224" s="5207"/>
      <c r="ZY224" s="5207"/>
      <c r="ZZ224" s="5207"/>
      <c r="AAA224" s="5207"/>
      <c r="AAB224" s="5207"/>
      <c r="AAC224" s="5207"/>
      <c r="AAD224" s="5207"/>
      <c r="AAE224" s="5207"/>
      <c r="AAF224" s="5207"/>
      <c r="AAG224" s="5207"/>
      <c r="AAH224" s="5207"/>
      <c r="AAI224" s="5207"/>
      <c r="AAJ224" s="5207"/>
      <c r="AAK224" s="5207"/>
      <c r="AAL224" s="5207"/>
      <c r="AAM224" s="5207"/>
      <c r="AAN224" s="5207"/>
      <c r="AAO224" s="5207"/>
      <c r="AAP224" s="5207"/>
      <c r="AAQ224" s="5207"/>
      <c r="AAR224" s="5207"/>
      <c r="AAS224" s="5207"/>
      <c r="AAT224" s="5207"/>
      <c r="AAU224" s="5207"/>
      <c r="AAV224" s="5207"/>
      <c r="AAW224" s="5207"/>
      <c r="AAX224" s="5207"/>
      <c r="AAY224" s="5207"/>
      <c r="AAZ224" s="5207"/>
      <c r="ABA224" s="5207"/>
      <c r="ABB224" s="5207"/>
      <c r="ABC224" s="5207"/>
      <c r="ABD224" s="5207"/>
      <c r="ABE224" s="5207"/>
      <c r="ABF224" s="5207"/>
      <c r="ABG224" s="5207"/>
      <c r="ABH224" s="5207"/>
      <c r="ABI224" s="5207"/>
      <c r="ABJ224" s="5207"/>
      <c r="ABK224" s="5207"/>
      <c r="ABL224" s="5207"/>
      <c r="ABM224" s="5207"/>
      <c r="ABN224" s="5207"/>
      <c r="ABO224" s="5207"/>
      <c r="ABP224" s="5207"/>
      <c r="ABQ224" s="5207"/>
      <c r="ABR224" s="5207"/>
      <c r="ABS224" s="5207"/>
      <c r="ABT224" s="5207"/>
      <c r="ABU224" s="5207"/>
      <c r="ABV224" s="5207"/>
      <c r="ABW224" s="5207"/>
      <c r="ABX224" s="5207"/>
      <c r="ABY224" s="5207"/>
      <c r="ABZ224" s="5207"/>
      <c r="ACA224" s="5207"/>
      <c r="ACB224" s="5207"/>
      <c r="ACC224" s="5207"/>
      <c r="ACD224" s="5207"/>
      <c r="ACE224" s="5207"/>
      <c r="ACF224" s="5207"/>
      <c r="ACG224" s="5207"/>
      <c r="ACH224" s="5207"/>
      <c r="ACI224" s="5207"/>
      <c r="ACJ224" s="5207"/>
      <c r="ACK224" s="5207"/>
      <c r="ACL224" s="5207"/>
      <c r="ACM224" s="5207"/>
      <c r="ACN224" s="5207"/>
      <c r="ACO224" s="5207"/>
      <c r="ACP224" s="5207"/>
      <c r="ACQ224" s="5207"/>
      <c r="ACR224" s="5207"/>
      <c r="ACS224" s="5207"/>
      <c r="ACT224" s="5207"/>
      <c r="ACU224" s="5207"/>
      <c r="ACV224" s="5207"/>
      <c r="ACW224" s="5207"/>
      <c r="ACX224" s="5207"/>
      <c r="ACY224" s="5207"/>
      <c r="ACZ224" s="5207"/>
      <c r="ADA224" s="5207"/>
      <c r="ADB224" s="5207"/>
      <c r="ADC224" s="5207"/>
      <c r="ADD224" s="5207"/>
      <c r="ADE224" s="5207"/>
      <c r="ADF224" s="5207"/>
      <c r="ADG224" s="5207"/>
      <c r="ADH224" s="5207"/>
      <c r="ADI224" s="5207"/>
      <c r="ADJ224" s="5207"/>
      <c r="ADK224" s="5207"/>
      <c r="ADL224" s="5207"/>
      <c r="ADM224" s="5207"/>
      <c r="ADN224" s="5207"/>
      <c r="ADO224" s="5207"/>
      <c r="ADP224" s="5207"/>
      <c r="ADQ224" s="5207"/>
      <c r="ADR224" s="5207"/>
      <c r="ADS224" s="5207"/>
      <c r="ADT224" s="5207"/>
      <c r="ADU224" s="5207"/>
      <c r="ADV224" s="5207"/>
      <c r="ADW224" s="5207"/>
      <c r="ADX224" s="5207"/>
      <c r="ADY224" s="5207"/>
      <c r="ADZ224" s="5207"/>
      <c r="AEA224" s="5207"/>
      <c r="AEB224" s="5207"/>
      <c r="AEC224" s="5207"/>
      <c r="AED224" s="5207"/>
      <c r="AEE224" s="5207"/>
      <c r="AEF224" s="5207"/>
      <c r="AEG224" s="5207"/>
      <c r="AEH224" s="5207"/>
      <c r="AEI224" s="5207"/>
      <c r="AEJ224" s="5207"/>
      <c r="AEK224" s="5207"/>
      <c r="AEL224" s="5207"/>
      <c r="AEM224" s="5207"/>
      <c r="AEN224" s="5207"/>
      <c r="AEO224" s="5207"/>
      <c r="AEP224" s="5207"/>
      <c r="AEQ224" s="5207"/>
      <c r="AER224" s="5207"/>
      <c r="AES224" s="5207"/>
      <c r="AET224" s="5207"/>
      <c r="AEU224" s="5207"/>
      <c r="AEV224" s="5207"/>
      <c r="AEW224" s="5207"/>
      <c r="AEX224" s="5207"/>
      <c r="AEY224" s="5207"/>
      <c r="AEZ224" s="5207"/>
      <c r="AFA224" s="5207"/>
      <c r="AFB224" s="5207"/>
      <c r="AFC224" s="5207"/>
      <c r="AFD224" s="5207"/>
      <c r="AFE224" s="5207"/>
      <c r="AFF224" s="5207"/>
      <c r="AFG224" s="5207"/>
      <c r="AFH224" s="5207"/>
      <c r="AFI224" s="5207"/>
      <c r="AFJ224" s="5207"/>
      <c r="AFK224" s="5207"/>
      <c r="AFL224" s="5207"/>
      <c r="AFM224" s="5207"/>
      <c r="AFN224" s="5207"/>
      <c r="AFO224" s="5207"/>
      <c r="AFP224" s="5207"/>
      <c r="AFQ224" s="5207"/>
      <c r="AFR224" s="5207"/>
      <c r="AFS224" s="5207"/>
      <c r="AFT224" s="5207"/>
      <c r="AFU224" s="5207"/>
      <c r="AFV224" s="5207"/>
      <c r="AFW224" s="5207"/>
      <c r="AFX224" s="5207"/>
      <c r="AFY224" s="5207"/>
      <c r="AFZ224" s="5207"/>
      <c r="AGA224" s="5207"/>
      <c r="AGB224" s="5207"/>
      <c r="AGC224" s="5207"/>
      <c r="AGD224" s="5207"/>
      <c r="AGE224" s="5207"/>
      <c r="AGF224" s="5207"/>
      <c r="AGG224" s="5207"/>
      <c r="AGH224" s="5207"/>
      <c r="AGI224" s="5207"/>
      <c r="AGJ224" s="5207"/>
      <c r="AGK224" s="5207"/>
      <c r="AGL224" s="5207"/>
      <c r="AGM224" s="5207"/>
      <c r="AGN224" s="5207"/>
      <c r="AGO224" s="5207"/>
      <c r="AGP224" s="5207"/>
      <c r="AGQ224" s="5207"/>
      <c r="AGR224" s="5207"/>
      <c r="AGS224" s="5207"/>
      <c r="AGT224" s="5207"/>
      <c r="AGU224" s="5207"/>
      <c r="AGV224" s="5207"/>
      <c r="AGW224" s="5207"/>
      <c r="AGX224" s="5207"/>
      <c r="AGY224" s="5207"/>
      <c r="AGZ224" s="5207"/>
      <c r="AHA224" s="5207"/>
      <c r="AHB224" s="5207"/>
      <c r="AHC224" s="5207"/>
      <c r="AHD224" s="5207"/>
      <c r="AHE224" s="5207"/>
      <c r="AHF224" s="5207"/>
      <c r="AHG224" s="5207"/>
      <c r="AHH224" s="5207"/>
      <c r="AHI224" s="5207"/>
      <c r="AHJ224" s="5207"/>
      <c r="AHK224" s="5207"/>
      <c r="AHL224" s="5207"/>
      <c r="AHM224" s="5207"/>
      <c r="AHN224" s="5207"/>
      <c r="AHO224" s="5207"/>
      <c r="AHP224" s="5207"/>
      <c r="AHQ224" s="5207"/>
      <c r="AHR224" s="5207"/>
      <c r="AHS224" s="5207"/>
      <c r="AHT224" s="5207"/>
      <c r="AHU224" s="5207"/>
      <c r="AHV224" s="5207"/>
      <c r="AHW224" s="5207"/>
      <c r="AHX224" s="5207"/>
      <c r="AHY224" s="5207"/>
      <c r="AHZ224" s="5207"/>
      <c r="AIA224" s="5207"/>
      <c r="AIB224" s="5207"/>
      <c r="AIC224" s="5207"/>
      <c r="AID224" s="5207"/>
      <c r="AIE224" s="5207"/>
      <c r="AIF224" s="5207"/>
      <c r="AIG224" s="5207"/>
      <c r="AIH224" s="5207"/>
      <c r="AII224" s="5207"/>
      <c r="AIJ224" s="5207"/>
      <c r="AIK224" s="5207"/>
      <c r="AIL224" s="5207"/>
      <c r="AIM224" s="5207"/>
      <c r="AIN224" s="5207"/>
      <c r="AIO224" s="5207"/>
      <c r="AIP224" s="5207"/>
      <c r="AIQ224" s="5207"/>
      <c r="AIR224" s="5207"/>
      <c r="AIS224" s="5207"/>
      <c r="AIT224" s="5207"/>
      <c r="AIU224" s="5207"/>
      <c r="AIV224" s="5207"/>
      <c r="AIW224" s="5207"/>
      <c r="AIX224" s="5207"/>
      <c r="AIY224" s="5207"/>
      <c r="AIZ224" s="5207"/>
      <c r="AJA224" s="5207"/>
      <c r="AJB224" s="5207"/>
      <c r="AJC224" s="5207"/>
      <c r="AJD224" s="5207"/>
      <c r="AJE224" s="5207"/>
      <c r="AJF224" s="5207"/>
      <c r="AJG224" s="5207"/>
      <c r="AJH224" s="5207"/>
      <c r="AJI224" s="5207"/>
      <c r="AJJ224" s="5207"/>
      <c r="AJK224" s="5207"/>
      <c r="AJL224" s="5207"/>
      <c r="AJM224" s="5207"/>
      <c r="AJN224" s="5207"/>
      <c r="AJO224" s="5207"/>
      <c r="AJP224" s="5207"/>
      <c r="AJQ224" s="5207"/>
      <c r="AJR224" s="5207"/>
      <c r="AJS224" s="5207"/>
      <c r="AJT224" s="5207"/>
      <c r="AJU224" s="5207"/>
      <c r="AJV224" s="5207"/>
      <c r="AJW224" s="5207"/>
      <c r="AJX224" s="5207"/>
      <c r="AJY224" s="5207"/>
      <c r="AJZ224" s="5207"/>
      <c r="AKA224" s="5207"/>
      <c r="AKB224" s="5207"/>
      <c r="AKC224" s="5207"/>
      <c r="AKD224" s="5207"/>
      <c r="AKE224" s="5207"/>
      <c r="AKF224" s="5207"/>
      <c r="AKG224" s="5207"/>
      <c r="AKH224" s="5207"/>
      <c r="AKI224" s="5207"/>
      <c r="AKJ224" s="5207"/>
      <c r="AKK224" s="5207"/>
      <c r="AKL224" s="5207"/>
      <c r="AKM224" s="5207"/>
      <c r="AKN224" s="5207"/>
      <c r="AKO224" s="5207"/>
      <c r="AKP224" s="5207"/>
      <c r="AKQ224" s="5207"/>
      <c r="AKR224" s="5207"/>
      <c r="AKS224" s="5207"/>
      <c r="AKT224" s="5207"/>
      <c r="AKU224" s="5207"/>
      <c r="AKV224" s="5207"/>
      <c r="AKW224" s="5207"/>
      <c r="AKX224" s="5207"/>
      <c r="AKY224" s="5207"/>
      <c r="AKZ224" s="5207"/>
      <c r="ALA224" s="5207"/>
      <c r="ALB224" s="5207"/>
      <c r="ALC224" s="5207"/>
      <c r="ALD224" s="5207"/>
      <c r="ALE224" s="5207"/>
      <c r="ALF224" s="5207"/>
      <c r="ALG224" s="5207"/>
      <c r="ALH224" s="5207"/>
      <c r="ALI224" s="5207"/>
      <c r="ALJ224" s="5207"/>
      <c r="ALK224" s="5207"/>
      <c r="ALL224" s="5207"/>
      <c r="ALM224" s="5207"/>
      <c r="ALN224" s="5207"/>
      <c r="ALO224" s="5207"/>
      <c r="ALP224" s="5207"/>
      <c r="ALQ224" s="5207"/>
      <c r="ALR224" s="5207"/>
      <c r="ALS224" s="5207"/>
      <c r="ALT224" s="5207"/>
      <c r="ALU224" s="5207"/>
      <c r="ALV224" s="5207"/>
      <c r="ALW224" s="5207"/>
      <c r="ALX224" s="5207"/>
      <c r="ALY224" s="5207"/>
      <c r="ALZ224" s="5207"/>
      <c r="AMA224" s="5207"/>
      <c r="AMB224" s="5207"/>
      <c r="AMC224" s="5207"/>
      <c r="AMD224" s="5207"/>
      <c r="AME224" s="5207"/>
      <c r="AMF224" s="5207"/>
      <c r="AMG224" s="5207"/>
      <c r="AMH224" s="5207"/>
      <c r="AMI224" s="5207"/>
      <c r="AMJ224" s="5207"/>
      <c r="AMK224" s="5207"/>
      <c r="AML224" s="5207"/>
      <c r="AMM224" s="5207"/>
      <c r="AMN224" s="5207"/>
      <c r="AMO224" s="5207"/>
      <c r="AMP224" s="5207"/>
      <c r="AMQ224" s="5207"/>
      <c r="AMR224" s="5207"/>
      <c r="AMS224" s="5207"/>
      <c r="AMT224" s="5207"/>
      <c r="AMU224" s="5207"/>
      <c r="AMV224" s="5207"/>
      <c r="AMW224" s="5207"/>
      <c r="AMX224" s="5207"/>
      <c r="AMY224" s="5207"/>
      <c r="AMZ224" s="5207"/>
      <c r="ANA224" s="5207"/>
      <c r="ANB224" s="5207"/>
      <c r="ANC224" s="5207"/>
      <c r="AND224" s="5207"/>
      <c r="ANE224" s="5207"/>
      <c r="ANF224" s="5207"/>
      <c r="ANG224" s="5207"/>
      <c r="ANH224" s="5207"/>
      <c r="ANI224" s="5207"/>
      <c r="ANJ224" s="5207"/>
      <c r="ANK224" s="5207"/>
      <c r="ANL224" s="5207"/>
      <c r="ANM224" s="5207"/>
      <c r="ANN224" s="5207"/>
      <c r="ANO224" s="5207"/>
      <c r="ANP224" s="5207"/>
      <c r="ANQ224" s="5207"/>
      <c r="ANR224" s="5207"/>
      <c r="ANS224" s="5207"/>
      <c r="ANT224" s="5207"/>
      <c r="ANU224" s="5207"/>
      <c r="ANV224" s="5207"/>
      <c r="ANW224" s="5207"/>
      <c r="ANX224" s="5207"/>
      <c r="ANY224" s="5207"/>
      <c r="ANZ224" s="5207"/>
      <c r="AOA224" s="5207"/>
      <c r="AOB224" s="5207"/>
      <c r="AOC224" s="5207"/>
      <c r="AOD224" s="5207"/>
      <c r="AOE224" s="5207"/>
      <c r="AOF224" s="5207"/>
      <c r="AOG224" s="5207"/>
      <c r="AOH224" s="5207"/>
      <c r="AOI224" s="5207"/>
      <c r="AOJ224" s="5207"/>
      <c r="AOK224" s="5207"/>
      <c r="AOL224" s="5207"/>
      <c r="AOM224" s="5207"/>
      <c r="AON224" s="5207"/>
      <c r="AOO224" s="5207"/>
      <c r="AOP224" s="5207"/>
      <c r="AOQ224" s="5207"/>
      <c r="AOR224" s="5207"/>
      <c r="AOS224" s="5207"/>
      <c r="AOT224" s="5207"/>
      <c r="AOU224" s="5207"/>
      <c r="AOV224" s="5207"/>
      <c r="AOW224" s="5207"/>
      <c r="AOX224" s="5207"/>
      <c r="AOY224" s="5207"/>
      <c r="AOZ224" s="5207"/>
      <c r="APA224" s="5207"/>
      <c r="APB224" s="5207"/>
      <c r="APC224" s="5207"/>
      <c r="APD224" s="5207"/>
      <c r="APE224" s="5207"/>
      <c r="APF224" s="5207"/>
      <c r="APG224" s="5207"/>
      <c r="APH224" s="5207"/>
      <c r="API224" s="5207"/>
      <c r="APJ224" s="5207"/>
      <c r="APK224" s="5207"/>
      <c r="APL224" s="5207"/>
      <c r="APM224" s="5207"/>
      <c r="APN224" s="5207"/>
      <c r="APO224" s="5207"/>
      <c r="APP224" s="5207"/>
      <c r="APQ224" s="5207"/>
      <c r="APR224" s="5207"/>
      <c r="APS224" s="5207"/>
      <c r="APT224" s="5207"/>
      <c r="APU224" s="5207"/>
      <c r="APV224" s="5207"/>
      <c r="APW224" s="5207"/>
      <c r="APX224" s="5207"/>
      <c r="APY224" s="5207"/>
      <c r="APZ224" s="5207"/>
      <c r="AQA224" s="5207"/>
      <c r="AQB224" s="5207"/>
      <c r="AQC224" s="5207"/>
      <c r="AQD224" s="5207"/>
      <c r="AQE224" s="5207"/>
      <c r="AQF224" s="5207"/>
      <c r="AQG224" s="5207"/>
      <c r="AQH224" s="5207"/>
      <c r="AQI224" s="5207"/>
      <c r="AQJ224" s="5207"/>
      <c r="AQK224" s="5207"/>
      <c r="AQL224" s="5207"/>
      <c r="AQM224" s="5207"/>
      <c r="AQN224" s="5207"/>
      <c r="AQO224" s="5207"/>
      <c r="AQP224" s="5207"/>
      <c r="AQQ224" s="5207"/>
      <c r="AQR224" s="5207"/>
      <c r="AQS224" s="5207"/>
      <c r="AQT224" s="5207"/>
      <c r="AQU224" s="5207"/>
      <c r="AQV224" s="5207"/>
      <c r="AQW224" s="5207"/>
      <c r="AQX224" s="5207"/>
      <c r="AQY224" s="5207"/>
      <c r="AQZ224" s="5207"/>
      <c r="ARA224" s="5207"/>
      <c r="ARB224" s="5207"/>
      <c r="ARC224" s="5207"/>
      <c r="ARD224" s="5207"/>
      <c r="ARE224" s="5207"/>
      <c r="ARF224" s="5207"/>
      <c r="ARG224" s="5207"/>
      <c r="ARH224" s="5207"/>
      <c r="ARI224" s="5207"/>
      <c r="ARJ224" s="5207"/>
      <c r="ARK224" s="5207"/>
      <c r="ARL224" s="5207"/>
      <c r="ARM224" s="5207"/>
      <c r="ARN224" s="5207"/>
      <c r="ARO224" s="5207"/>
      <c r="ARP224" s="5207"/>
      <c r="ARQ224" s="5207"/>
      <c r="ARR224" s="5207"/>
      <c r="ARS224" s="5207"/>
      <c r="ART224" s="5207"/>
      <c r="ARU224" s="5207"/>
      <c r="ARV224" s="5207"/>
      <c r="ARW224" s="5207"/>
      <c r="ARX224" s="5207"/>
      <c r="ARY224" s="5207"/>
      <c r="ARZ224" s="5207"/>
      <c r="ASA224" s="5207"/>
      <c r="ASB224" s="5207"/>
      <c r="ASC224" s="5207"/>
      <c r="ASD224" s="5207"/>
      <c r="ASE224" s="5207"/>
      <c r="ASF224" s="5207"/>
      <c r="ASG224" s="5207"/>
      <c r="ASH224" s="5207"/>
      <c r="ASI224" s="5207"/>
      <c r="ASJ224" s="5207"/>
      <c r="ASK224" s="5207"/>
      <c r="ASL224" s="5207"/>
      <c r="ASM224" s="5207"/>
      <c r="ASN224" s="5207"/>
      <c r="ASO224" s="5207"/>
      <c r="ASP224" s="5207"/>
      <c r="ASQ224" s="5207"/>
      <c r="ASR224" s="5207"/>
      <c r="ASS224" s="5207"/>
      <c r="AST224" s="5207"/>
      <c r="ASU224" s="5207"/>
      <c r="ASV224" s="5207"/>
      <c r="ASW224" s="5207"/>
      <c r="ASX224" s="5207"/>
      <c r="ASY224" s="5207"/>
      <c r="ASZ224" s="5207"/>
      <c r="ATA224" s="5207"/>
      <c r="ATB224" s="5207"/>
      <c r="ATC224" s="5207"/>
      <c r="ATD224" s="5207"/>
      <c r="ATE224" s="5207"/>
      <c r="ATF224" s="5207"/>
      <c r="ATG224" s="5207"/>
      <c r="ATH224" s="5207"/>
      <c r="ATI224" s="5207"/>
      <c r="ATJ224" s="5207"/>
      <c r="ATK224" s="5207"/>
      <c r="ATL224" s="5207"/>
      <c r="ATM224" s="5207"/>
      <c r="ATN224" s="5207"/>
      <c r="ATO224" s="5207"/>
      <c r="ATP224" s="5207"/>
      <c r="ATQ224" s="5207"/>
      <c r="ATR224" s="5207"/>
      <c r="ATS224" s="5207"/>
      <c r="ATT224" s="5207"/>
      <c r="ATU224" s="5207"/>
      <c r="ATV224" s="5207"/>
      <c r="ATW224" s="5207"/>
      <c r="ATX224" s="5207"/>
      <c r="ATY224" s="5207"/>
      <c r="ATZ224" s="5207"/>
      <c r="AUA224" s="5207"/>
      <c r="AUB224" s="5207"/>
      <c r="AUC224" s="5207"/>
      <c r="AUD224" s="5207"/>
      <c r="AUE224" s="5207"/>
      <c r="AUF224" s="5207"/>
      <c r="AUG224" s="5207"/>
      <c r="AUH224" s="5207"/>
      <c r="AUI224" s="5207"/>
      <c r="AUJ224" s="5207"/>
      <c r="AUK224" s="5207"/>
      <c r="AUL224" s="5207"/>
      <c r="AUM224" s="5207"/>
      <c r="AUN224" s="5207"/>
      <c r="AUO224" s="5207"/>
      <c r="AUP224" s="5207"/>
      <c r="AUQ224" s="5207"/>
      <c r="AUR224" s="5207"/>
      <c r="AUS224" s="5207"/>
      <c r="AUT224" s="5207"/>
      <c r="AUU224" s="5207"/>
      <c r="AUV224" s="5207"/>
      <c r="AUW224" s="5207"/>
      <c r="AUX224" s="5207"/>
      <c r="AUY224" s="5207"/>
      <c r="AUZ224" s="5207"/>
      <c r="AVA224" s="5207"/>
      <c r="AVB224" s="5207"/>
      <c r="AVC224" s="5207"/>
      <c r="AVD224" s="5207"/>
      <c r="AVE224" s="5207"/>
      <c r="AVF224" s="5207"/>
      <c r="AVG224" s="5207"/>
      <c r="AVH224" s="5207"/>
      <c r="AVI224" s="5207"/>
      <c r="AVJ224" s="5207"/>
      <c r="AVK224" s="5207"/>
      <c r="AVL224" s="5207"/>
      <c r="AVM224" s="5207"/>
      <c r="AVN224" s="5207"/>
      <c r="AVO224" s="5207"/>
      <c r="AVP224" s="5207"/>
      <c r="AVQ224" s="5207"/>
      <c r="AVR224" s="5207"/>
      <c r="AVS224" s="5207"/>
      <c r="AVT224" s="5207"/>
      <c r="AVU224" s="5207"/>
      <c r="AVV224" s="5207"/>
      <c r="AVW224" s="5207"/>
      <c r="AVX224" s="5207"/>
      <c r="AVY224" s="5207"/>
      <c r="AVZ224" s="5207"/>
      <c r="AWA224" s="5207"/>
      <c r="AWB224" s="5207"/>
      <c r="AWC224" s="5207"/>
      <c r="AWD224" s="5207"/>
      <c r="AWE224" s="5207"/>
      <c r="AWF224" s="5207"/>
      <c r="AWG224" s="5207"/>
      <c r="AWH224" s="5207"/>
      <c r="AWI224" s="5207"/>
      <c r="AWJ224" s="5207"/>
      <c r="AWK224" s="5207"/>
      <c r="AWL224" s="5207"/>
      <c r="AWM224" s="5207"/>
      <c r="AWN224" s="5207"/>
      <c r="AWO224" s="5207"/>
      <c r="AWP224" s="5207"/>
      <c r="AWQ224" s="5207"/>
      <c r="AWR224" s="5207"/>
      <c r="AWS224" s="5207"/>
      <c r="AWT224" s="5207"/>
      <c r="AWU224" s="5207"/>
      <c r="AWV224" s="5207"/>
      <c r="AWW224" s="5207"/>
      <c r="AWX224" s="5207"/>
      <c r="AWY224" s="5207"/>
      <c r="AWZ224" s="5207"/>
      <c r="AXA224" s="5207"/>
      <c r="AXB224" s="5207"/>
      <c r="AXC224" s="5207"/>
      <c r="AXD224" s="5207"/>
      <c r="AXE224" s="5207"/>
      <c r="AXF224" s="5207"/>
      <c r="AXG224" s="5207"/>
      <c r="AXH224" s="5207"/>
      <c r="AXI224" s="5207"/>
      <c r="AXJ224" s="5207"/>
    </row>
    <row r="225" spans="1:1310" s="5208" customFormat="1" ht="23.25" customHeight="1">
      <c r="A225" s="5209"/>
      <c r="B225" s="5212" t="s">
        <v>870</v>
      </c>
      <c r="C225" s="5212"/>
      <c r="D225" s="5212"/>
      <c r="E225" s="5212"/>
      <c r="F225" s="5214"/>
      <c r="G225" s="5212" t="s">
        <v>871</v>
      </c>
      <c r="H225" s="5212"/>
      <c r="I225" s="5212"/>
      <c r="J225" s="5214"/>
      <c r="K225" s="5212" t="s">
        <v>872</v>
      </c>
      <c r="L225" s="5212"/>
      <c r="M225" s="5212"/>
      <c r="N225" s="5214"/>
      <c r="O225" s="5212" t="s">
        <v>873</v>
      </c>
      <c r="P225" s="5212"/>
      <c r="Q225" s="5214"/>
      <c r="R225" s="95"/>
      <c r="S225" s="95"/>
      <c r="T225" s="95"/>
      <c r="U225" s="95"/>
      <c r="V225" s="95"/>
      <c r="W225" s="95"/>
      <c r="X225" s="95"/>
      <c r="Y225" s="95"/>
      <c r="Z225" s="95"/>
      <c r="AA225" s="95"/>
      <c r="AB225" s="95"/>
      <c r="AC225" s="95"/>
      <c r="AD225" s="5207"/>
      <c r="AE225" s="5207"/>
      <c r="AF225" s="5207"/>
      <c r="AG225" s="5207"/>
      <c r="AH225" s="5207"/>
      <c r="AI225" s="5207"/>
      <c r="AJ225" s="5207"/>
      <c r="AK225" s="5207"/>
      <c r="AL225" s="5207"/>
      <c r="AM225" s="5207"/>
      <c r="AN225" s="5207"/>
      <c r="AO225" s="5207"/>
      <c r="AP225" s="5207"/>
      <c r="AQ225" s="5207"/>
      <c r="AR225" s="5207"/>
      <c r="AS225" s="5207"/>
      <c r="AT225" s="5207"/>
      <c r="AU225" s="5207"/>
      <c r="AV225" s="5207"/>
      <c r="AW225" s="5207"/>
      <c r="AX225" s="5207"/>
      <c r="AY225" s="5207"/>
      <c r="AZ225" s="5207"/>
      <c r="BA225" s="5207"/>
      <c r="BB225" s="5207"/>
      <c r="BC225" s="5207"/>
      <c r="BD225" s="5207"/>
      <c r="BE225" s="5207"/>
      <c r="BF225" s="5207"/>
      <c r="BG225" s="5207"/>
      <c r="BH225" s="5207"/>
      <c r="BI225" s="5207"/>
      <c r="BJ225" s="5207"/>
      <c r="BK225" s="5207"/>
      <c r="BL225" s="5207"/>
      <c r="BM225" s="5207"/>
      <c r="BN225" s="5207"/>
      <c r="BO225" s="5207"/>
      <c r="BP225" s="5207"/>
      <c r="BQ225" s="5207"/>
      <c r="BR225" s="5207"/>
      <c r="BS225" s="5207"/>
      <c r="BT225" s="5207"/>
      <c r="BU225" s="5207"/>
      <c r="BV225" s="5207"/>
      <c r="BW225" s="5207"/>
      <c r="BX225" s="5207"/>
      <c r="BY225" s="5207"/>
      <c r="BZ225" s="5207"/>
      <c r="CA225" s="5207"/>
      <c r="CB225" s="5207"/>
      <c r="CC225" s="5207"/>
      <c r="CD225" s="5207"/>
      <c r="CE225" s="5207"/>
      <c r="CF225" s="5207"/>
      <c r="CG225" s="5207"/>
      <c r="CH225" s="5207"/>
      <c r="CI225" s="5207"/>
      <c r="CJ225" s="5207"/>
      <c r="CK225" s="5207"/>
      <c r="CL225" s="5207"/>
      <c r="CM225" s="5207"/>
      <c r="CN225" s="5207"/>
      <c r="CO225" s="5207"/>
      <c r="CP225" s="5207"/>
      <c r="CQ225" s="5207"/>
      <c r="CR225" s="5207"/>
      <c r="CS225" s="5207"/>
      <c r="CT225" s="5207"/>
      <c r="CU225" s="5207"/>
      <c r="CV225" s="5207"/>
      <c r="CW225" s="5207"/>
      <c r="CX225" s="5207"/>
      <c r="CY225" s="5207"/>
      <c r="CZ225" s="5207"/>
      <c r="DA225" s="5207"/>
      <c r="DB225" s="5207"/>
      <c r="DC225" s="5207"/>
      <c r="DD225" s="5207"/>
      <c r="DE225" s="5207"/>
      <c r="DF225" s="5207"/>
      <c r="DG225" s="5207"/>
      <c r="DH225" s="5207"/>
      <c r="DI225" s="5207"/>
      <c r="DJ225" s="5207"/>
      <c r="DK225" s="5207"/>
      <c r="DL225" s="5207"/>
      <c r="DM225" s="5207"/>
      <c r="DN225" s="5207"/>
      <c r="DO225" s="5207"/>
      <c r="DP225" s="5207"/>
      <c r="DQ225" s="5207"/>
      <c r="DR225" s="5207"/>
      <c r="DS225" s="5207"/>
      <c r="DT225" s="5207"/>
      <c r="DU225" s="5207"/>
      <c r="DV225" s="5207"/>
      <c r="DW225" s="5207"/>
      <c r="DX225" s="5207"/>
      <c r="DY225" s="5207"/>
      <c r="DZ225" s="5207"/>
      <c r="EA225" s="5207"/>
      <c r="EB225" s="5207"/>
      <c r="EC225" s="5207"/>
      <c r="ED225" s="5207"/>
      <c r="EE225" s="5207"/>
      <c r="EF225" s="5207"/>
      <c r="EG225" s="5207"/>
      <c r="EH225" s="5207"/>
      <c r="EI225" s="5207"/>
      <c r="EJ225" s="5207"/>
      <c r="EK225" s="5207"/>
      <c r="EL225" s="5207"/>
      <c r="EM225" s="5207"/>
      <c r="EN225" s="5207"/>
      <c r="EO225" s="5207"/>
      <c r="EP225" s="5207"/>
      <c r="EQ225" s="5207"/>
      <c r="ER225" s="5207"/>
      <c r="ES225" s="5207"/>
      <c r="ET225" s="5207"/>
      <c r="EU225" s="5207"/>
      <c r="EV225" s="5207"/>
      <c r="EW225" s="5207"/>
      <c r="EX225" s="5207"/>
      <c r="EY225" s="5207"/>
      <c r="EZ225" s="5207"/>
      <c r="FA225" s="5207"/>
      <c r="FB225" s="5207"/>
      <c r="FC225" s="5207"/>
      <c r="FD225" s="5207"/>
      <c r="FE225" s="5207"/>
      <c r="FF225" s="5207"/>
      <c r="FG225" s="5207"/>
      <c r="FH225" s="5207"/>
      <c r="FI225" s="5207"/>
      <c r="FJ225" s="5207"/>
      <c r="FK225" s="5207"/>
      <c r="FL225" s="5207"/>
      <c r="FM225" s="5207"/>
      <c r="FN225" s="5207"/>
      <c r="FO225" s="5207"/>
      <c r="FP225" s="5207"/>
      <c r="FQ225" s="5207"/>
      <c r="FR225" s="5207"/>
      <c r="FS225" s="5207"/>
      <c r="FT225" s="5207"/>
      <c r="FU225" s="5207"/>
      <c r="FV225" s="5207"/>
      <c r="FW225" s="5207"/>
      <c r="FX225" s="5207"/>
      <c r="FY225" s="5207"/>
      <c r="FZ225" s="5207"/>
      <c r="GA225" s="5207"/>
      <c r="GB225" s="5207"/>
      <c r="GC225" s="5207"/>
      <c r="GD225" s="5207"/>
      <c r="GE225" s="5207"/>
      <c r="GF225" s="5207"/>
      <c r="GG225" s="5207"/>
      <c r="GH225" s="5207"/>
      <c r="GI225" s="5207"/>
      <c r="GJ225" s="5207"/>
      <c r="GK225" s="5207"/>
      <c r="GL225" s="5207"/>
      <c r="GM225" s="5207"/>
      <c r="GN225" s="5207"/>
      <c r="GO225" s="5207"/>
      <c r="GP225" s="5207"/>
      <c r="GQ225" s="5207"/>
      <c r="GR225" s="5207"/>
      <c r="GS225" s="5207"/>
      <c r="GT225" s="5207"/>
      <c r="GU225" s="5207"/>
      <c r="GV225" s="5207"/>
      <c r="GW225" s="5207"/>
      <c r="GX225" s="5207"/>
      <c r="GY225" s="5207"/>
      <c r="GZ225" s="5207"/>
      <c r="HA225" s="5207"/>
      <c r="HB225" s="5207"/>
      <c r="HC225" s="5207"/>
      <c r="HD225" s="5207"/>
      <c r="HE225" s="5207"/>
      <c r="HF225" s="5207"/>
      <c r="HG225" s="5207"/>
      <c r="HH225" s="5207"/>
      <c r="HI225" s="5207"/>
      <c r="HJ225" s="5207"/>
      <c r="HK225" s="5207"/>
      <c r="HL225" s="5207"/>
      <c r="HM225" s="5207"/>
      <c r="HN225" s="5207"/>
      <c r="HO225" s="5207"/>
      <c r="HP225" s="5207"/>
      <c r="HQ225" s="5207"/>
      <c r="HR225" s="5207"/>
      <c r="HS225" s="5207"/>
      <c r="HT225" s="5207"/>
      <c r="HU225" s="5207"/>
      <c r="HV225" s="5207"/>
      <c r="HW225" s="5207"/>
      <c r="HX225" s="5207"/>
      <c r="HY225" s="5207"/>
      <c r="HZ225" s="5207"/>
      <c r="IA225" s="5207"/>
      <c r="IB225" s="5207"/>
      <c r="IC225" s="5207"/>
      <c r="ID225" s="5207"/>
      <c r="IE225" s="5207"/>
      <c r="IF225" s="5207"/>
      <c r="IG225" s="5207"/>
      <c r="IH225" s="5207"/>
      <c r="II225" s="5207"/>
      <c r="IJ225" s="5207"/>
      <c r="IK225" s="5207"/>
      <c r="IL225" s="5207"/>
      <c r="IM225" s="5207"/>
      <c r="IN225" s="5207"/>
      <c r="IO225" s="5207"/>
      <c r="IP225" s="5207"/>
      <c r="IQ225" s="5207"/>
      <c r="IR225" s="5207"/>
      <c r="IS225" s="5207"/>
      <c r="IT225" s="5207"/>
      <c r="IU225" s="5207"/>
      <c r="IV225" s="5207"/>
      <c r="IW225" s="5207"/>
      <c r="IX225" s="5207"/>
      <c r="IY225" s="5207"/>
      <c r="IZ225" s="5207"/>
      <c r="JA225" s="5207"/>
      <c r="JB225" s="5207"/>
      <c r="JC225" s="5207"/>
      <c r="JD225" s="5207"/>
      <c r="JE225" s="5207"/>
      <c r="JF225" s="5207"/>
      <c r="JG225" s="5207"/>
      <c r="JH225" s="5207"/>
      <c r="JI225" s="5207"/>
      <c r="JJ225" s="5207"/>
      <c r="JK225" s="5207"/>
      <c r="JL225" s="5207"/>
      <c r="JM225" s="5207"/>
      <c r="JN225" s="5207"/>
      <c r="JO225" s="5207"/>
      <c r="JP225" s="5207"/>
      <c r="JQ225" s="5207"/>
      <c r="JR225" s="5207"/>
      <c r="JS225" s="5207"/>
      <c r="JT225" s="5207"/>
      <c r="JU225" s="5207"/>
      <c r="JV225" s="5207"/>
      <c r="JW225" s="5207"/>
      <c r="JX225" s="5207"/>
      <c r="JY225" s="5207"/>
      <c r="JZ225" s="5207"/>
      <c r="KA225" s="5207"/>
      <c r="KB225" s="5207"/>
      <c r="KC225" s="5207"/>
      <c r="KD225" s="5207"/>
      <c r="KE225" s="5207"/>
      <c r="KF225" s="5207"/>
      <c r="KG225" s="5207"/>
      <c r="KH225" s="5207"/>
      <c r="KI225" s="5207"/>
      <c r="KJ225" s="5207"/>
      <c r="KK225" s="5207"/>
      <c r="KL225" s="5207"/>
      <c r="KM225" s="5207"/>
      <c r="KN225" s="5207"/>
      <c r="KO225" s="5207"/>
      <c r="KP225" s="5207"/>
      <c r="KQ225" s="5207"/>
      <c r="KR225" s="5207"/>
      <c r="KS225" s="5207"/>
      <c r="KT225" s="5207"/>
      <c r="KU225" s="5207"/>
      <c r="KV225" s="5207"/>
      <c r="KW225" s="5207"/>
      <c r="KX225" s="5207"/>
      <c r="KY225" s="5207"/>
      <c r="KZ225" s="5207"/>
      <c r="LA225" s="5207"/>
      <c r="LB225" s="5207"/>
      <c r="LC225" s="5207"/>
      <c r="LD225" s="5207"/>
      <c r="LE225" s="5207"/>
      <c r="LF225" s="5207"/>
      <c r="LG225" s="5207"/>
      <c r="LH225" s="5207"/>
      <c r="LI225" s="5207"/>
      <c r="LJ225" s="5207"/>
      <c r="LK225" s="5207"/>
      <c r="LL225" s="5207"/>
      <c r="LM225" s="5207"/>
      <c r="LN225" s="5207"/>
      <c r="LO225" s="5207"/>
      <c r="LP225" s="5207"/>
      <c r="LQ225" s="5207"/>
      <c r="LR225" s="5207"/>
      <c r="LS225" s="5207"/>
      <c r="LT225" s="5207"/>
      <c r="LU225" s="5207"/>
      <c r="LV225" s="5207"/>
      <c r="LW225" s="5207"/>
      <c r="LX225" s="5207"/>
      <c r="LY225" s="5207"/>
      <c r="LZ225" s="5207"/>
      <c r="MA225" s="5207"/>
      <c r="MB225" s="5207"/>
      <c r="MC225" s="5207"/>
      <c r="MD225" s="5207"/>
      <c r="ME225" s="5207"/>
      <c r="MF225" s="5207"/>
      <c r="MG225" s="5207"/>
      <c r="MH225" s="5207"/>
      <c r="MI225" s="5207"/>
      <c r="MJ225" s="5207"/>
      <c r="MK225" s="5207"/>
      <c r="ML225" s="5207"/>
      <c r="MM225" s="5207"/>
      <c r="MN225" s="5207"/>
      <c r="MO225" s="5207"/>
      <c r="MP225" s="5207"/>
      <c r="MQ225" s="5207"/>
      <c r="MR225" s="5207"/>
      <c r="MS225" s="5207"/>
      <c r="MT225" s="5207"/>
      <c r="MU225" s="5207"/>
      <c r="MV225" s="5207"/>
      <c r="MW225" s="5207"/>
      <c r="MX225" s="5207"/>
      <c r="MY225" s="5207"/>
      <c r="MZ225" s="5207"/>
      <c r="NA225" s="5207"/>
      <c r="NB225" s="5207"/>
      <c r="NC225" s="5207"/>
      <c r="ND225" s="5207"/>
      <c r="NE225" s="5207"/>
      <c r="NF225" s="5207"/>
      <c r="NG225" s="5207"/>
      <c r="NH225" s="5207"/>
      <c r="NI225" s="5207"/>
      <c r="NJ225" s="5207"/>
      <c r="NK225" s="5207"/>
      <c r="NL225" s="5207"/>
      <c r="NM225" s="5207"/>
      <c r="NN225" s="5207"/>
      <c r="NO225" s="5207"/>
      <c r="NP225" s="5207"/>
      <c r="NQ225" s="5207"/>
      <c r="NR225" s="5207"/>
      <c r="NS225" s="5207"/>
      <c r="NT225" s="5207"/>
      <c r="NU225" s="5207"/>
      <c r="NV225" s="5207"/>
      <c r="NW225" s="5207"/>
      <c r="NX225" s="5207"/>
      <c r="NY225" s="5207"/>
      <c r="NZ225" s="5207"/>
      <c r="OA225" s="5207"/>
      <c r="OB225" s="5207"/>
      <c r="OC225" s="5207"/>
      <c r="OD225" s="5207"/>
      <c r="OE225" s="5207"/>
      <c r="OF225" s="5207"/>
      <c r="OG225" s="5207"/>
      <c r="OH225" s="5207"/>
      <c r="OI225" s="5207"/>
      <c r="OJ225" s="5207"/>
      <c r="OK225" s="5207"/>
      <c r="OL225" s="5207"/>
      <c r="OM225" s="5207"/>
      <c r="ON225" s="5207"/>
      <c r="OO225" s="5207"/>
      <c r="OP225" s="5207"/>
      <c r="OQ225" s="5207"/>
      <c r="OR225" s="5207"/>
      <c r="OS225" s="5207"/>
      <c r="OT225" s="5207"/>
      <c r="OU225" s="5207"/>
      <c r="OV225" s="5207"/>
      <c r="OW225" s="5207"/>
      <c r="OX225" s="5207"/>
      <c r="OY225" s="5207"/>
      <c r="OZ225" s="5207"/>
      <c r="PA225" s="5207"/>
      <c r="PB225" s="5207"/>
      <c r="PC225" s="5207"/>
      <c r="PD225" s="5207"/>
      <c r="PE225" s="5207"/>
      <c r="PF225" s="5207"/>
      <c r="PG225" s="5207"/>
      <c r="PH225" s="5207"/>
      <c r="PI225" s="5207"/>
      <c r="PJ225" s="5207"/>
      <c r="PK225" s="5207"/>
      <c r="PL225" s="5207"/>
      <c r="PM225" s="5207"/>
      <c r="PN225" s="5207"/>
      <c r="PO225" s="5207"/>
      <c r="PP225" s="5207"/>
      <c r="PQ225" s="5207"/>
      <c r="PR225" s="5207"/>
      <c r="PS225" s="5207"/>
      <c r="PT225" s="5207"/>
      <c r="PU225" s="5207"/>
      <c r="PV225" s="5207"/>
      <c r="PW225" s="5207"/>
      <c r="PX225" s="5207"/>
      <c r="PY225" s="5207"/>
      <c r="PZ225" s="5207"/>
      <c r="QA225" s="5207"/>
      <c r="QB225" s="5207"/>
      <c r="QC225" s="5207"/>
      <c r="QD225" s="5207"/>
      <c r="QE225" s="5207"/>
      <c r="QF225" s="5207"/>
      <c r="QG225" s="5207"/>
      <c r="QH225" s="5207"/>
      <c r="QI225" s="5207"/>
      <c r="QJ225" s="5207"/>
      <c r="QK225" s="5207"/>
      <c r="QL225" s="5207"/>
      <c r="QM225" s="5207"/>
      <c r="QN225" s="5207"/>
      <c r="QO225" s="5207"/>
      <c r="QP225" s="5207"/>
      <c r="QQ225" s="5207"/>
      <c r="QR225" s="5207"/>
      <c r="QS225" s="5207"/>
      <c r="QT225" s="5207"/>
      <c r="QU225" s="5207"/>
      <c r="QV225" s="5207"/>
      <c r="QW225" s="5207"/>
      <c r="QX225" s="5207"/>
      <c r="QY225" s="5207"/>
      <c r="QZ225" s="5207"/>
      <c r="RA225" s="5207"/>
      <c r="RB225" s="5207"/>
      <c r="RC225" s="5207"/>
      <c r="RD225" s="5207"/>
      <c r="RE225" s="5207"/>
      <c r="RF225" s="5207"/>
      <c r="RG225" s="5207"/>
      <c r="RH225" s="5207"/>
      <c r="RI225" s="5207"/>
      <c r="RJ225" s="5207"/>
      <c r="RK225" s="5207"/>
      <c r="RL225" s="5207"/>
      <c r="RM225" s="5207"/>
      <c r="RN225" s="5207"/>
      <c r="RO225" s="5207"/>
      <c r="RP225" s="5207"/>
      <c r="RQ225" s="5207"/>
      <c r="RR225" s="5207"/>
      <c r="RS225" s="5207"/>
      <c r="RT225" s="5207"/>
      <c r="RU225" s="5207"/>
      <c r="RV225" s="5207"/>
      <c r="RW225" s="5207"/>
      <c r="RX225" s="5207"/>
      <c r="RY225" s="5207"/>
      <c r="RZ225" s="5207"/>
      <c r="SA225" s="5207"/>
      <c r="SB225" s="5207"/>
      <c r="SC225" s="5207"/>
      <c r="SD225" s="5207"/>
      <c r="SE225" s="5207"/>
      <c r="SF225" s="5207"/>
      <c r="SG225" s="5207"/>
      <c r="SH225" s="5207"/>
      <c r="SI225" s="5207"/>
      <c r="SJ225" s="5207"/>
      <c r="SK225" s="5207"/>
      <c r="SL225" s="5207"/>
      <c r="SM225" s="5207"/>
      <c r="SN225" s="5207"/>
      <c r="SO225" s="5207"/>
      <c r="SP225" s="5207"/>
      <c r="SQ225" s="5207"/>
      <c r="SR225" s="5207"/>
      <c r="SS225" s="5207"/>
      <c r="ST225" s="5207"/>
      <c r="SU225" s="5207"/>
      <c r="SV225" s="5207"/>
      <c r="SW225" s="5207"/>
      <c r="SX225" s="5207"/>
      <c r="SY225" s="5207"/>
      <c r="SZ225" s="5207"/>
      <c r="TA225" s="5207"/>
      <c r="TB225" s="5207"/>
      <c r="TC225" s="5207"/>
      <c r="TD225" s="5207"/>
      <c r="TE225" s="5207"/>
      <c r="TF225" s="5207"/>
      <c r="TG225" s="5207"/>
      <c r="TH225" s="5207"/>
      <c r="TI225" s="5207"/>
      <c r="TJ225" s="5207"/>
      <c r="TK225" s="5207"/>
      <c r="TL225" s="5207"/>
      <c r="TM225" s="5207"/>
      <c r="TN225" s="5207"/>
      <c r="TO225" s="5207"/>
      <c r="TP225" s="5207"/>
      <c r="TQ225" s="5207"/>
      <c r="TR225" s="5207"/>
      <c r="TS225" s="5207"/>
      <c r="TT225" s="5207"/>
      <c r="TU225" s="5207"/>
      <c r="TV225" s="5207"/>
      <c r="TW225" s="5207"/>
      <c r="TX225" s="5207"/>
      <c r="TY225" s="5207"/>
      <c r="TZ225" s="5207"/>
      <c r="UA225" s="5207"/>
      <c r="UB225" s="5207"/>
      <c r="UC225" s="5207"/>
      <c r="UD225" s="5207"/>
      <c r="UE225" s="5207"/>
      <c r="UF225" s="5207"/>
      <c r="UG225" s="5207"/>
      <c r="UH225" s="5207"/>
      <c r="UI225" s="5207"/>
      <c r="UJ225" s="5207"/>
      <c r="UK225" s="5207"/>
      <c r="UL225" s="5207"/>
      <c r="UM225" s="5207"/>
      <c r="UN225" s="5207"/>
      <c r="UO225" s="5207"/>
      <c r="UP225" s="5207"/>
      <c r="UQ225" s="5207"/>
      <c r="UR225" s="5207"/>
      <c r="US225" s="5207"/>
      <c r="UT225" s="5207"/>
      <c r="UU225" s="5207"/>
      <c r="UV225" s="5207"/>
      <c r="UW225" s="5207"/>
      <c r="UX225" s="5207"/>
      <c r="UY225" s="5207"/>
      <c r="UZ225" s="5207"/>
      <c r="VA225" s="5207"/>
      <c r="VB225" s="5207"/>
      <c r="VC225" s="5207"/>
      <c r="VD225" s="5207"/>
      <c r="VE225" s="5207"/>
      <c r="VF225" s="5207"/>
      <c r="VG225" s="5207"/>
      <c r="VH225" s="5207"/>
      <c r="VI225" s="5207"/>
      <c r="VJ225" s="5207"/>
      <c r="VK225" s="5207"/>
      <c r="VL225" s="5207"/>
      <c r="VM225" s="5207"/>
      <c r="VN225" s="5207"/>
      <c r="VO225" s="5207"/>
      <c r="VP225" s="5207"/>
      <c r="VQ225" s="5207"/>
      <c r="VR225" s="5207"/>
      <c r="VS225" s="5207"/>
      <c r="VT225" s="5207"/>
      <c r="VU225" s="5207"/>
      <c r="VV225" s="5207"/>
      <c r="VW225" s="5207"/>
      <c r="VX225" s="5207"/>
      <c r="VY225" s="5207"/>
      <c r="VZ225" s="5207"/>
      <c r="WA225" s="5207"/>
      <c r="WB225" s="5207"/>
      <c r="WC225" s="5207"/>
      <c r="WD225" s="5207"/>
      <c r="WE225" s="5207"/>
      <c r="WF225" s="5207"/>
      <c r="WG225" s="5207"/>
      <c r="WH225" s="5207"/>
      <c r="WI225" s="5207"/>
      <c r="WJ225" s="5207"/>
      <c r="WK225" s="5207"/>
      <c r="WL225" s="5207"/>
      <c r="WM225" s="5207"/>
      <c r="WN225" s="5207"/>
      <c r="WO225" s="5207"/>
      <c r="WP225" s="5207"/>
      <c r="WQ225" s="5207"/>
      <c r="WR225" s="5207"/>
      <c r="WS225" s="5207"/>
      <c r="WT225" s="5207"/>
      <c r="WU225" s="5207"/>
      <c r="WV225" s="5207"/>
      <c r="WW225" s="5207"/>
      <c r="WX225" s="5207"/>
      <c r="WY225" s="5207"/>
      <c r="WZ225" s="5207"/>
      <c r="XA225" s="5207"/>
      <c r="XB225" s="5207"/>
      <c r="XC225" s="5207"/>
      <c r="XD225" s="5207"/>
      <c r="XE225" s="5207"/>
      <c r="XF225" s="5207"/>
      <c r="XG225" s="5207"/>
      <c r="XH225" s="5207"/>
      <c r="XI225" s="5207"/>
      <c r="XJ225" s="5207"/>
      <c r="XK225" s="5207"/>
      <c r="XL225" s="5207"/>
      <c r="XM225" s="5207"/>
      <c r="XN225" s="5207"/>
      <c r="XO225" s="5207"/>
      <c r="XP225" s="5207"/>
      <c r="XQ225" s="5207"/>
      <c r="XR225" s="5207"/>
      <c r="XS225" s="5207"/>
      <c r="XT225" s="5207"/>
      <c r="XU225" s="5207"/>
      <c r="XV225" s="5207"/>
      <c r="XW225" s="5207"/>
      <c r="XX225" s="5207"/>
      <c r="XY225" s="5207"/>
      <c r="XZ225" s="5207"/>
      <c r="YA225" s="5207"/>
      <c r="YB225" s="5207"/>
      <c r="YC225" s="5207"/>
      <c r="YD225" s="5207"/>
      <c r="YE225" s="5207"/>
      <c r="YF225" s="5207"/>
      <c r="YG225" s="5207"/>
      <c r="YH225" s="5207"/>
      <c r="YI225" s="5207"/>
      <c r="YJ225" s="5207"/>
      <c r="YK225" s="5207"/>
      <c r="YL225" s="5207"/>
      <c r="YM225" s="5207"/>
      <c r="YN225" s="5207"/>
      <c r="YO225" s="5207"/>
      <c r="YP225" s="5207"/>
      <c r="YQ225" s="5207"/>
      <c r="YR225" s="5207"/>
      <c r="YS225" s="5207"/>
      <c r="YT225" s="5207"/>
      <c r="YU225" s="5207"/>
      <c r="YV225" s="5207"/>
      <c r="YW225" s="5207"/>
      <c r="YX225" s="5207"/>
      <c r="YY225" s="5207"/>
      <c r="YZ225" s="5207"/>
      <c r="ZA225" s="5207"/>
      <c r="ZB225" s="5207"/>
      <c r="ZC225" s="5207"/>
      <c r="ZD225" s="5207"/>
      <c r="ZE225" s="5207"/>
      <c r="ZF225" s="5207"/>
      <c r="ZG225" s="5207"/>
      <c r="ZH225" s="5207"/>
      <c r="ZI225" s="5207"/>
      <c r="ZJ225" s="5207"/>
      <c r="ZK225" s="5207"/>
      <c r="ZL225" s="5207"/>
      <c r="ZM225" s="5207"/>
      <c r="ZN225" s="5207"/>
      <c r="ZO225" s="5207"/>
      <c r="ZP225" s="5207"/>
      <c r="ZQ225" s="5207"/>
      <c r="ZR225" s="5207"/>
      <c r="ZS225" s="5207"/>
      <c r="ZT225" s="5207"/>
      <c r="ZU225" s="5207"/>
      <c r="ZV225" s="5207"/>
      <c r="ZW225" s="5207"/>
      <c r="ZX225" s="5207"/>
      <c r="ZY225" s="5207"/>
      <c r="ZZ225" s="5207"/>
      <c r="AAA225" s="5207"/>
      <c r="AAB225" s="5207"/>
      <c r="AAC225" s="5207"/>
      <c r="AAD225" s="5207"/>
      <c r="AAE225" s="5207"/>
      <c r="AAF225" s="5207"/>
      <c r="AAG225" s="5207"/>
      <c r="AAH225" s="5207"/>
      <c r="AAI225" s="5207"/>
      <c r="AAJ225" s="5207"/>
      <c r="AAK225" s="5207"/>
      <c r="AAL225" s="5207"/>
      <c r="AAM225" s="5207"/>
      <c r="AAN225" s="5207"/>
      <c r="AAO225" s="5207"/>
      <c r="AAP225" s="5207"/>
      <c r="AAQ225" s="5207"/>
      <c r="AAR225" s="5207"/>
      <c r="AAS225" s="5207"/>
      <c r="AAT225" s="5207"/>
      <c r="AAU225" s="5207"/>
      <c r="AAV225" s="5207"/>
      <c r="AAW225" s="5207"/>
      <c r="AAX225" s="5207"/>
      <c r="AAY225" s="5207"/>
      <c r="AAZ225" s="5207"/>
      <c r="ABA225" s="5207"/>
      <c r="ABB225" s="5207"/>
      <c r="ABC225" s="5207"/>
      <c r="ABD225" s="5207"/>
      <c r="ABE225" s="5207"/>
      <c r="ABF225" s="5207"/>
      <c r="ABG225" s="5207"/>
      <c r="ABH225" s="5207"/>
      <c r="ABI225" s="5207"/>
      <c r="ABJ225" s="5207"/>
      <c r="ABK225" s="5207"/>
      <c r="ABL225" s="5207"/>
      <c r="ABM225" s="5207"/>
      <c r="ABN225" s="5207"/>
      <c r="ABO225" s="5207"/>
      <c r="ABP225" s="5207"/>
      <c r="ABQ225" s="5207"/>
      <c r="ABR225" s="5207"/>
      <c r="ABS225" s="5207"/>
      <c r="ABT225" s="5207"/>
      <c r="ABU225" s="5207"/>
      <c r="ABV225" s="5207"/>
      <c r="ABW225" s="5207"/>
      <c r="ABX225" s="5207"/>
      <c r="ABY225" s="5207"/>
      <c r="ABZ225" s="5207"/>
      <c r="ACA225" s="5207"/>
      <c r="ACB225" s="5207"/>
      <c r="ACC225" s="5207"/>
      <c r="ACD225" s="5207"/>
      <c r="ACE225" s="5207"/>
      <c r="ACF225" s="5207"/>
      <c r="ACG225" s="5207"/>
      <c r="ACH225" s="5207"/>
      <c r="ACI225" s="5207"/>
      <c r="ACJ225" s="5207"/>
      <c r="ACK225" s="5207"/>
      <c r="ACL225" s="5207"/>
      <c r="ACM225" s="5207"/>
      <c r="ACN225" s="5207"/>
      <c r="ACO225" s="5207"/>
      <c r="ACP225" s="5207"/>
      <c r="ACQ225" s="5207"/>
      <c r="ACR225" s="5207"/>
      <c r="ACS225" s="5207"/>
      <c r="ACT225" s="5207"/>
      <c r="ACU225" s="5207"/>
      <c r="ACV225" s="5207"/>
      <c r="ACW225" s="5207"/>
      <c r="ACX225" s="5207"/>
      <c r="ACY225" s="5207"/>
      <c r="ACZ225" s="5207"/>
      <c r="ADA225" s="5207"/>
      <c r="ADB225" s="5207"/>
      <c r="ADC225" s="5207"/>
      <c r="ADD225" s="5207"/>
      <c r="ADE225" s="5207"/>
      <c r="ADF225" s="5207"/>
      <c r="ADG225" s="5207"/>
      <c r="ADH225" s="5207"/>
      <c r="ADI225" s="5207"/>
      <c r="ADJ225" s="5207"/>
      <c r="ADK225" s="5207"/>
      <c r="ADL225" s="5207"/>
      <c r="ADM225" s="5207"/>
      <c r="ADN225" s="5207"/>
      <c r="ADO225" s="5207"/>
      <c r="ADP225" s="5207"/>
      <c r="ADQ225" s="5207"/>
      <c r="ADR225" s="5207"/>
      <c r="ADS225" s="5207"/>
      <c r="ADT225" s="5207"/>
      <c r="ADU225" s="5207"/>
      <c r="ADV225" s="5207"/>
      <c r="ADW225" s="5207"/>
      <c r="ADX225" s="5207"/>
      <c r="ADY225" s="5207"/>
      <c r="ADZ225" s="5207"/>
      <c r="AEA225" s="5207"/>
      <c r="AEB225" s="5207"/>
      <c r="AEC225" s="5207"/>
      <c r="AED225" s="5207"/>
      <c r="AEE225" s="5207"/>
      <c r="AEF225" s="5207"/>
      <c r="AEG225" s="5207"/>
      <c r="AEH225" s="5207"/>
      <c r="AEI225" s="5207"/>
      <c r="AEJ225" s="5207"/>
      <c r="AEK225" s="5207"/>
      <c r="AEL225" s="5207"/>
      <c r="AEM225" s="5207"/>
      <c r="AEN225" s="5207"/>
      <c r="AEO225" s="5207"/>
      <c r="AEP225" s="5207"/>
      <c r="AEQ225" s="5207"/>
      <c r="AER225" s="5207"/>
      <c r="AES225" s="5207"/>
      <c r="AET225" s="5207"/>
      <c r="AEU225" s="5207"/>
      <c r="AEV225" s="5207"/>
      <c r="AEW225" s="5207"/>
      <c r="AEX225" s="5207"/>
      <c r="AEY225" s="5207"/>
      <c r="AEZ225" s="5207"/>
      <c r="AFA225" s="5207"/>
      <c r="AFB225" s="5207"/>
      <c r="AFC225" s="5207"/>
      <c r="AFD225" s="5207"/>
      <c r="AFE225" s="5207"/>
      <c r="AFF225" s="5207"/>
      <c r="AFG225" s="5207"/>
      <c r="AFH225" s="5207"/>
      <c r="AFI225" s="5207"/>
      <c r="AFJ225" s="5207"/>
      <c r="AFK225" s="5207"/>
      <c r="AFL225" s="5207"/>
      <c r="AFM225" s="5207"/>
      <c r="AFN225" s="5207"/>
      <c r="AFO225" s="5207"/>
      <c r="AFP225" s="5207"/>
      <c r="AFQ225" s="5207"/>
      <c r="AFR225" s="5207"/>
      <c r="AFS225" s="5207"/>
      <c r="AFT225" s="5207"/>
      <c r="AFU225" s="5207"/>
      <c r="AFV225" s="5207"/>
      <c r="AFW225" s="5207"/>
      <c r="AFX225" s="5207"/>
      <c r="AFY225" s="5207"/>
      <c r="AFZ225" s="5207"/>
      <c r="AGA225" s="5207"/>
      <c r="AGB225" s="5207"/>
      <c r="AGC225" s="5207"/>
      <c r="AGD225" s="5207"/>
      <c r="AGE225" s="5207"/>
      <c r="AGF225" s="5207"/>
      <c r="AGG225" s="5207"/>
      <c r="AGH225" s="5207"/>
      <c r="AGI225" s="5207"/>
      <c r="AGJ225" s="5207"/>
      <c r="AGK225" s="5207"/>
      <c r="AGL225" s="5207"/>
      <c r="AGM225" s="5207"/>
      <c r="AGN225" s="5207"/>
      <c r="AGO225" s="5207"/>
      <c r="AGP225" s="5207"/>
      <c r="AGQ225" s="5207"/>
      <c r="AGR225" s="5207"/>
      <c r="AGS225" s="5207"/>
      <c r="AGT225" s="5207"/>
      <c r="AGU225" s="5207"/>
      <c r="AGV225" s="5207"/>
      <c r="AGW225" s="5207"/>
      <c r="AGX225" s="5207"/>
      <c r="AGY225" s="5207"/>
      <c r="AGZ225" s="5207"/>
      <c r="AHA225" s="5207"/>
      <c r="AHB225" s="5207"/>
      <c r="AHC225" s="5207"/>
      <c r="AHD225" s="5207"/>
      <c r="AHE225" s="5207"/>
      <c r="AHF225" s="5207"/>
      <c r="AHG225" s="5207"/>
      <c r="AHH225" s="5207"/>
      <c r="AHI225" s="5207"/>
      <c r="AHJ225" s="5207"/>
      <c r="AHK225" s="5207"/>
      <c r="AHL225" s="5207"/>
      <c r="AHM225" s="5207"/>
      <c r="AHN225" s="5207"/>
      <c r="AHO225" s="5207"/>
      <c r="AHP225" s="5207"/>
      <c r="AHQ225" s="5207"/>
      <c r="AHR225" s="5207"/>
      <c r="AHS225" s="5207"/>
      <c r="AHT225" s="5207"/>
      <c r="AHU225" s="5207"/>
      <c r="AHV225" s="5207"/>
      <c r="AHW225" s="5207"/>
      <c r="AHX225" s="5207"/>
      <c r="AHY225" s="5207"/>
      <c r="AHZ225" s="5207"/>
      <c r="AIA225" s="5207"/>
      <c r="AIB225" s="5207"/>
      <c r="AIC225" s="5207"/>
      <c r="AID225" s="5207"/>
      <c r="AIE225" s="5207"/>
      <c r="AIF225" s="5207"/>
      <c r="AIG225" s="5207"/>
      <c r="AIH225" s="5207"/>
      <c r="AII225" s="5207"/>
      <c r="AIJ225" s="5207"/>
      <c r="AIK225" s="5207"/>
      <c r="AIL225" s="5207"/>
      <c r="AIM225" s="5207"/>
      <c r="AIN225" s="5207"/>
      <c r="AIO225" s="5207"/>
      <c r="AIP225" s="5207"/>
      <c r="AIQ225" s="5207"/>
      <c r="AIR225" s="5207"/>
      <c r="AIS225" s="5207"/>
      <c r="AIT225" s="5207"/>
      <c r="AIU225" s="5207"/>
      <c r="AIV225" s="5207"/>
      <c r="AIW225" s="5207"/>
      <c r="AIX225" s="5207"/>
      <c r="AIY225" s="5207"/>
      <c r="AIZ225" s="5207"/>
      <c r="AJA225" s="5207"/>
      <c r="AJB225" s="5207"/>
      <c r="AJC225" s="5207"/>
      <c r="AJD225" s="5207"/>
      <c r="AJE225" s="5207"/>
      <c r="AJF225" s="5207"/>
      <c r="AJG225" s="5207"/>
      <c r="AJH225" s="5207"/>
      <c r="AJI225" s="5207"/>
      <c r="AJJ225" s="5207"/>
      <c r="AJK225" s="5207"/>
      <c r="AJL225" s="5207"/>
      <c r="AJM225" s="5207"/>
      <c r="AJN225" s="5207"/>
      <c r="AJO225" s="5207"/>
      <c r="AJP225" s="5207"/>
      <c r="AJQ225" s="5207"/>
      <c r="AJR225" s="5207"/>
      <c r="AJS225" s="5207"/>
      <c r="AJT225" s="5207"/>
      <c r="AJU225" s="5207"/>
      <c r="AJV225" s="5207"/>
      <c r="AJW225" s="5207"/>
      <c r="AJX225" s="5207"/>
      <c r="AJY225" s="5207"/>
      <c r="AJZ225" s="5207"/>
      <c r="AKA225" s="5207"/>
      <c r="AKB225" s="5207"/>
      <c r="AKC225" s="5207"/>
      <c r="AKD225" s="5207"/>
      <c r="AKE225" s="5207"/>
      <c r="AKF225" s="5207"/>
      <c r="AKG225" s="5207"/>
      <c r="AKH225" s="5207"/>
      <c r="AKI225" s="5207"/>
      <c r="AKJ225" s="5207"/>
      <c r="AKK225" s="5207"/>
      <c r="AKL225" s="5207"/>
      <c r="AKM225" s="5207"/>
      <c r="AKN225" s="5207"/>
      <c r="AKO225" s="5207"/>
      <c r="AKP225" s="5207"/>
      <c r="AKQ225" s="5207"/>
      <c r="AKR225" s="5207"/>
      <c r="AKS225" s="5207"/>
      <c r="AKT225" s="5207"/>
      <c r="AKU225" s="5207"/>
      <c r="AKV225" s="5207"/>
      <c r="AKW225" s="5207"/>
      <c r="AKX225" s="5207"/>
      <c r="AKY225" s="5207"/>
      <c r="AKZ225" s="5207"/>
      <c r="ALA225" s="5207"/>
      <c r="ALB225" s="5207"/>
      <c r="ALC225" s="5207"/>
      <c r="ALD225" s="5207"/>
      <c r="ALE225" s="5207"/>
      <c r="ALF225" s="5207"/>
      <c r="ALG225" s="5207"/>
      <c r="ALH225" s="5207"/>
      <c r="ALI225" s="5207"/>
      <c r="ALJ225" s="5207"/>
      <c r="ALK225" s="5207"/>
      <c r="ALL225" s="5207"/>
      <c r="ALM225" s="5207"/>
      <c r="ALN225" s="5207"/>
      <c r="ALO225" s="5207"/>
      <c r="ALP225" s="5207"/>
      <c r="ALQ225" s="5207"/>
      <c r="ALR225" s="5207"/>
      <c r="ALS225" s="5207"/>
      <c r="ALT225" s="5207"/>
      <c r="ALU225" s="5207"/>
      <c r="ALV225" s="5207"/>
      <c r="ALW225" s="5207"/>
      <c r="ALX225" s="5207"/>
      <c r="ALY225" s="5207"/>
      <c r="ALZ225" s="5207"/>
      <c r="AMA225" s="5207"/>
      <c r="AMB225" s="5207"/>
      <c r="AMC225" s="5207"/>
      <c r="AMD225" s="5207"/>
      <c r="AME225" s="5207"/>
      <c r="AMF225" s="5207"/>
      <c r="AMG225" s="5207"/>
      <c r="AMH225" s="5207"/>
      <c r="AMI225" s="5207"/>
      <c r="AMJ225" s="5207"/>
      <c r="AMK225" s="5207"/>
      <c r="AML225" s="5207"/>
      <c r="AMM225" s="5207"/>
      <c r="AMN225" s="5207"/>
      <c r="AMO225" s="5207"/>
      <c r="AMP225" s="5207"/>
      <c r="AMQ225" s="5207"/>
      <c r="AMR225" s="5207"/>
      <c r="AMS225" s="5207"/>
      <c r="AMT225" s="5207"/>
      <c r="AMU225" s="5207"/>
      <c r="AMV225" s="5207"/>
      <c r="AMW225" s="5207"/>
      <c r="AMX225" s="5207"/>
      <c r="AMY225" s="5207"/>
      <c r="AMZ225" s="5207"/>
      <c r="ANA225" s="5207"/>
      <c r="ANB225" s="5207"/>
      <c r="ANC225" s="5207"/>
      <c r="AND225" s="5207"/>
      <c r="ANE225" s="5207"/>
      <c r="ANF225" s="5207"/>
      <c r="ANG225" s="5207"/>
      <c r="ANH225" s="5207"/>
      <c r="ANI225" s="5207"/>
      <c r="ANJ225" s="5207"/>
      <c r="ANK225" s="5207"/>
      <c r="ANL225" s="5207"/>
      <c r="ANM225" s="5207"/>
      <c r="ANN225" s="5207"/>
      <c r="ANO225" s="5207"/>
      <c r="ANP225" s="5207"/>
      <c r="ANQ225" s="5207"/>
      <c r="ANR225" s="5207"/>
      <c r="ANS225" s="5207"/>
      <c r="ANT225" s="5207"/>
      <c r="ANU225" s="5207"/>
      <c r="ANV225" s="5207"/>
      <c r="ANW225" s="5207"/>
      <c r="ANX225" s="5207"/>
      <c r="ANY225" s="5207"/>
      <c r="ANZ225" s="5207"/>
      <c r="AOA225" s="5207"/>
      <c r="AOB225" s="5207"/>
      <c r="AOC225" s="5207"/>
      <c r="AOD225" s="5207"/>
      <c r="AOE225" s="5207"/>
      <c r="AOF225" s="5207"/>
      <c r="AOG225" s="5207"/>
      <c r="AOH225" s="5207"/>
      <c r="AOI225" s="5207"/>
      <c r="AOJ225" s="5207"/>
      <c r="AOK225" s="5207"/>
      <c r="AOL225" s="5207"/>
      <c r="AOM225" s="5207"/>
      <c r="AON225" s="5207"/>
      <c r="AOO225" s="5207"/>
      <c r="AOP225" s="5207"/>
      <c r="AOQ225" s="5207"/>
      <c r="AOR225" s="5207"/>
      <c r="AOS225" s="5207"/>
      <c r="AOT225" s="5207"/>
      <c r="AOU225" s="5207"/>
      <c r="AOV225" s="5207"/>
      <c r="AOW225" s="5207"/>
      <c r="AOX225" s="5207"/>
      <c r="AOY225" s="5207"/>
      <c r="AOZ225" s="5207"/>
      <c r="APA225" s="5207"/>
      <c r="APB225" s="5207"/>
      <c r="APC225" s="5207"/>
      <c r="APD225" s="5207"/>
      <c r="APE225" s="5207"/>
      <c r="APF225" s="5207"/>
      <c r="APG225" s="5207"/>
      <c r="APH225" s="5207"/>
      <c r="API225" s="5207"/>
      <c r="APJ225" s="5207"/>
      <c r="APK225" s="5207"/>
      <c r="APL225" s="5207"/>
      <c r="APM225" s="5207"/>
      <c r="APN225" s="5207"/>
      <c r="APO225" s="5207"/>
      <c r="APP225" s="5207"/>
      <c r="APQ225" s="5207"/>
      <c r="APR225" s="5207"/>
      <c r="APS225" s="5207"/>
      <c r="APT225" s="5207"/>
      <c r="APU225" s="5207"/>
      <c r="APV225" s="5207"/>
      <c r="APW225" s="5207"/>
      <c r="APX225" s="5207"/>
      <c r="APY225" s="5207"/>
      <c r="APZ225" s="5207"/>
      <c r="AQA225" s="5207"/>
      <c r="AQB225" s="5207"/>
      <c r="AQC225" s="5207"/>
      <c r="AQD225" s="5207"/>
      <c r="AQE225" s="5207"/>
      <c r="AQF225" s="5207"/>
      <c r="AQG225" s="5207"/>
      <c r="AQH225" s="5207"/>
      <c r="AQI225" s="5207"/>
      <c r="AQJ225" s="5207"/>
      <c r="AQK225" s="5207"/>
      <c r="AQL225" s="5207"/>
      <c r="AQM225" s="5207"/>
      <c r="AQN225" s="5207"/>
      <c r="AQO225" s="5207"/>
      <c r="AQP225" s="5207"/>
      <c r="AQQ225" s="5207"/>
      <c r="AQR225" s="5207"/>
      <c r="AQS225" s="5207"/>
      <c r="AQT225" s="5207"/>
      <c r="AQU225" s="5207"/>
      <c r="AQV225" s="5207"/>
      <c r="AQW225" s="5207"/>
      <c r="AQX225" s="5207"/>
      <c r="AQY225" s="5207"/>
      <c r="AQZ225" s="5207"/>
      <c r="ARA225" s="5207"/>
      <c r="ARB225" s="5207"/>
      <c r="ARC225" s="5207"/>
      <c r="ARD225" s="5207"/>
      <c r="ARE225" s="5207"/>
      <c r="ARF225" s="5207"/>
      <c r="ARG225" s="5207"/>
      <c r="ARH225" s="5207"/>
      <c r="ARI225" s="5207"/>
      <c r="ARJ225" s="5207"/>
      <c r="ARK225" s="5207"/>
      <c r="ARL225" s="5207"/>
      <c r="ARM225" s="5207"/>
      <c r="ARN225" s="5207"/>
      <c r="ARO225" s="5207"/>
      <c r="ARP225" s="5207"/>
      <c r="ARQ225" s="5207"/>
      <c r="ARR225" s="5207"/>
      <c r="ARS225" s="5207"/>
      <c r="ART225" s="5207"/>
      <c r="ARU225" s="5207"/>
      <c r="ARV225" s="5207"/>
      <c r="ARW225" s="5207"/>
      <c r="ARX225" s="5207"/>
      <c r="ARY225" s="5207"/>
      <c r="ARZ225" s="5207"/>
      <c r="ASA225" s="5207"/>
      <c r="ASB225" s="5207"/>
      <c r="ASC225" s="5207"/>
      <c r="ASD225" s="5207"/>
      <c r="ASE225" s="5207"/>
      <c r="ASF225" s="5207"/>
      <c r="ASG225" s="5207"/>
      <c r="ASH225" s="5207"/>
      <c r="ASI225" s="5207"/>
      <c r="ASJ225" s="5207"/>
      <c r="ASK225" s="5207"/>
      <c r="ASL225" s="5207"/>
      <c r="ASM225" s="5207"/>
      <c r="ASN225" s="5207"/>
      <c r="ASO225" s="5207"/>
      <c r="ASP225" s="5207"/>
      <c r="ASQ225" s="5207"/>
      <c r="ASR225" s="5207"/>
      <c r="ASS225" s="5207"/>
      <c r="AST225" s="5207"/>
      <c r="ASU225" s="5207"/>
      <c r="ASV225" s="5207"/>
      <c r="ASW225" s="5207"/>
      <c r="ASX225" s="5207"/>
      <c r="ASY225" s="5207"/>
      <c r="ASZ225" s="5207"/>
      <c r="ATA225" s="5207"/>
      <c r="ATB225" s="5207"/>
      <c r="ATC225" s="5207"/>
      <c r="ATD225" s="5207"/>
      <c r="ATE225" s="5207"/>
      <c r="ATF225" s="5207"/>
      <c r="ATG225" s="5207"/>
      <c r="ATH225" s="5207"/>
      <c r="ATI225" s="5207"/>
      <c r="ATJ225" s="5207"/>
      <c r="ATK225" s="5207"/>
      <c r="ATL225" s="5207"/>
      <c r="ATM225" s="5207"/>
      <c r="ATN225" s="5207"/>
      <c r="ATO225" s="5207"/>
      <c r="ATP225" s="5207"/>
      <c r="ATQ225" s="5207"/>
      <c r="ATR225" s="5207"/>
      <c r="ATS225" s="5207"/>
      <c r="ATT225" s="5207"/>
      <c r="ATU225" s="5207"/>
      <c r="ATV225" s="5207"/>
      <c r="ATW225" s="5207"/>
      <c r="ATX225" s="5207"/>
      <c r="ATY225" s="5207"/>
      <c r="ATZ225" s="5207"/>
      <c r="AUA225" s="5207"/>
      <c r="AUB225" s="5207"/>
      <c r="AUC225" s="5207"/>
      <c r="AUD225" s="5207"/>
      <c r="AUE225" s="5207"/>
      <c r="AUF225" s="5207"/>
      <c r="AUG225" s="5207"/>
      <c r="AUH225" s="5207"/>
      <c r="AUI225" s="5207"/>
      <c r="AUJ225" s="5207"/>
      <c r="AUK225" s="5207"/>
      <c r="AUL225" s="5207"/>
      <c r="AUM225" s="5207"/>
      <c r="AUN225" s="5207"/>
      <c r="AUO225" s="5207"/>
      <c r="AUP225" s="5207"/>
      <c r="AUQ225" s="5207"/>
      <c r="AUR225" s="5207"/>
      <c r="AUS225" s="5207"/>
      <c r="AUT225" s="5207"/>
      <c r="AUU225" s="5207"/>
      <c r="AUV225" s="5207"/>
      <c r="AUW225" s="5207"/>
      <c r="AUX225" s="5207"/>
      <c r="AUY225" s="5207"/>
      <c r="AUZ225" s="5207"/>
      <c r="AVA225" s="5207"/>
      <c r="AVB225" s="5207"/>
      <c r="AVC225" s="5207"/>
      <c r="AVD225" s="5207"/>
      <c r="AVE225" s="5207"/>
      <c r="AVF225" s="5207"/>
      <c r="AVG225" s="5207"/>
      <c r="AVH225" s="5207"/>
      <c r="AVI225" s="5207"/>
      <c r="AVJ225" s="5207"/>
      <c r="AVK225" s="5207"/>
      <c r="AVL225" s="5207"/>
      <c r="AVM225" s="5207"/>
      <c r="AVN225" s="5207"/>
      <c r="AVO225" s="5207"/>
      <c r="AVP225" s="5207"/>
      <c r="AVQ225" s="5207"/>
      <c r="AVR225" s="5207"/>
      <c r="AVS225" s="5207"/>
      <c r="AVT225" s="5207"/>
      <c r="AVU225" s="5207"/>
      <c r="AVV225" s="5207"/>
      <c r="AVW225" s="5207"/>
      <c r="AVX225" s="5207"/>
      <c r="AVY225" s="5207"/>
      <c r="AVZ225" s="5207"/>
      <c r="AWA225" s="5207"/>
      <c r="AWB225" s="5207"/>
      <c r="AWC225" s="5207"/>
      <c r="AWD225" s="5207"/>
      <c r="AWE225" s="5207"/>
      <c r="AWF225" s="5207"/>
      <c r="AWG225" s="5207"/>
      <c r="AWH225" s="5207"/>
      <c r="AWI225" s="5207"/>
      <c r="AWJ225" s="5207"/>
      <c r="AWK225" s="5207"/>
      <c r="AWL225" s="5207"/>
      <c r="AWM225" s="5207"/>
      <c r="AWN225" s="5207"/>
      <c r="AWO225" s="5207"/>
      <c r="AWP225" s="5207"/>
      <c r="AWQ225" s="5207"/>
      <c r="AWR225" s="5207"/>
      <c r="AWS225" s="5207"/>
      <c r="AWT225" s="5207"/>
      <c r="AWU225" s="5207"/>
      <c r="AWV225" s="5207"/>
      <c r="AWW225" s="5207"/>
      <c r="AWX225" s="5207"/>
      <c r="AWY225" s="5207"/>
      <c r="AWZ225" s="5207"/>
      <c r="AXA225" s="5207"/>
      <c r="AXB225" s="5207"/>
      <c r="AXC225" s="5207"/>
      <c r="AXD225" s="5207"/>
      <c r="AXE225" s="5207"/>
      <c r="AXF225" s="5207"/>
      <c r="AXG225" s="5207"/>
      <c r="AXH225" s="5207"/>
      <c r="AXI225" s="5207"/>
      <c r="AXJ225" s="5207"/>
    </row>
    <row r="226" spans="1:1310" s="5208" customFormat="1" ht="23.25" customHeight="1">
      <c r="A226" s="5209"/>
      <c r="B226" s="5212" t="s">
        <v>874</v>
      </c>
      <c r="C226" s="5212"/>
      <c r="D226" s="5212"/>
      <c r="E226" s="5212"/>
      <c r="F226" s="5214"/>
      <c r="G226" s="5212" t="s">
        <v>875</v>
      </c>
      <c r="H226" s="5212"/>
      <c r="I226" s="5212"/>
      <c r="J226" s="5214"/>
      <c r="K226" s="5215" t="s">
        <v>876</v>
      </c>
      <c r="L226" s="5215"/>
      <c r="M226" s="5215"/>
      <c r="N226" s="5214"/>
      <c r="O226" s="5212" t="s">
        <v>877</v>
      </c>
      <c r="P226" s="5212"/>
      <c r="Q226" s="5214"/>
      <c r="R226" s="95"/>
      <c r="S226" s="95"/>
      <c r="T226" s="95"/>
      <c r="U226" s="95"/>
      <c r="V226" s="95"/>
      <c r="W226" s="95"/>
      <c r="X226" s="95"/>
      <c r="Y226" s="95"/>
      <c r="Z226" s="95"/>
      <c r="AA226" s="95"/>
      <c r="AB226" s="95"/>
      <c r="AC226" s="95"/>
      <c r="AD226" s="5207"/>
      <c r="AE226" s="5207"/>
      <c r="AF226" s="5207"/>
      <c r="AG226" s="5207"/>
      <c r="AH226" s="5207"/>
      <c r="AI226" s="5207"/>
      <c r="AJ226" s="5207"/>
      <c r="AK226" s="5207"/>
      <c r="AL226" s="5207"/>
      <c r="AM226" s="5207"/>
      <c r="AN226" s="5207"/>
      <c r="AO226" s="5207"/>
      <c r="AP226" s="5207"/>
      <c r="AQ226" s="5207"/>
      <c r="AR226" s="5207"/>
      <c r="AS226" s="5207"/>
      <c r="AT226" s="5207"/>
      <c r="AU226" s="5207"/>
      <c r="AV226" s="5207"/>
      <c r="AW226" s="5207"/>
      <c r="AX226" s="5207"/>
      <c r="AY226" s="5207"/>
      <c r="AZ226" s="5207"/>
      <c r="BA226" s="5207"/>
      <c r="BB226" s="5207"/>
      <c r="BC226" s="5207"/>
      <c r="BD226" s="5207"/>
      <c r="BE226" s="5207"/>
      <c r="BF226" s="5207"/>
      <c r="BG226" s="5207"/>
      <c r="BH226" s="5207"/>
      <c r="BI226" s="5207"/>
      <c r="BJ226" s="5207"/>
      <c r="BK226" s="5207"/>
      <c r="BL226" s="5207"/>
      <c r="BM226" s="5207"/>
      <c r="BN226" s="5207"/>
      <c r="BO226" s="5207"/>
      <c r="BP226" s="5207"/>
      <c r="BQ226" s="5207"/>
      <c r="BR226" s="5207"/>
      <c r="BS226" s="5207"/>
      <c r="BT226" s="5207"/>
      <c r="BU226" s="5207"/>
      <c r="BV226" s="5207"/>
      <c r="BW226" s="5207"/>
      <c r="BX226" s="5207"/>
      <c r="BY226" s="5207"/>
      <c r="BZ226" s="5207"/>
      <c r="CA226" s="5207"/>
      <c r="CB226" s="5207"/>
      <c r="CC226" s="5207"/>
      <c r="CD226" s="5207"/>
      <c r="CE226" s="5207"/>
      <c r="CF226" s="5207"/>
      <c r="CG226" s="5207"/>
      <c r="CH226" s="5207"/>
      <c r="CI226" s="5207"/>
      <c r="CJ226" s="5207"/>
      <c r="CK226" s="5207"/>
      <c r="CL226" s="5207"/>
      <c r="CM226" s="5207"/>
      <c r="CN226" s="5207"/>
      <c r="CO226" s="5207"/>
      <c r="CP226" s="5207"/>
      <c r="CQ226" s="5207"/>
      <c r="CR226" s="5207"/>
      <c r="CS226" s="5207"/>
      <c r="CT226" s="5207"/>
      <c r="CU226" s="5207"/>
      <c r="CV226" s="5207"/>
      <c r="CW226" s="5207"/>
      <c r="CX226" s="5207"/>
      <c r="CY226" s="5207"/>
      <c r="CZ226" s="5207"/>
      <c r="DA226" s="5207"/>
      <c r="DB226" s="5207"/>
      <c r="DC226" s="5207"/>
      <c r="DD226" s="5207"/>
      <c r="DE226" s="5207"/>
      <c r="DF226" s="5207"/>
      <c r="DG226" s="5207"/>
      <c r="DH226" s="5207"/>
      <c r="DI226" s="5207"/>
      <c r="DJ226" s="5207"/>
      <c r="DK226" s="5207"/>
      <c r="DL226" s="5207"/>
      <c r="DM226" s="5207"/>
      <c r="DN226" s="5207"/>
      <c r="DO226" s="5207"/>
      <c r="DP226" s="5207"/>
      <c r="DQ226" s="5207"/>
      <c r="DR226" s="5207"/>
      <c r="DS226" s="5207"/>
      <c r="DT226" s="5207"/>
      <c r="DU226" s="5207"/>
      <c r="DV226" s="5207"/>
      <c r="DW226" s="5207"/>
      <c r="DX226" s="5207"/>
      <c r="DY226" s="5207"/>
      <c r="DZ226" s="5207"/>
      <c r="EA226" s="5207"/>
      <c r="EB226" s="5207"/>
      <c r="EC226" s="5207"/>
      <c r="ED226" s="5207"/>
      <c r="EE226" s="5207"/>
      <c r="EF226" s="5207"/>
      <c r="EG226" s="5207"/>
      <c r="EH226" s="5207"/>
      <c r="EI226" s="5207"/>
      <c r="EJ226" s="5207"/>
      <c r="EK226" s="5207"/>
      <c r="EL226" s="5207"/>
      <c r="EM226" s="5207"/>
      <c r="EN226" s="5207"/>
      <c r="EO226" s="5207"/>
      <c r="EP226" s="5207"/>
      <c r="EQ226" s="5207"/>
      <c r="ER226" s="5207"/>
      <c r="ES226" s="5207"/>
      <c r="ET226" s="5207"/>
      <c r="EU226" s="5207"/>
      <c r="EV226" s="5207"/>
      <c r="EW226" s="5207"/>
      <c r="EX226" s="5207"/>
      <c r="EY226" s="5207"/>
      <c r="EZ226" s="5207"/>
      <c r="FA226" s="5207"/>
      <c r="FB226" s="5207"/>
      <c r="FC226" s="5207"/>
      <c r="FD226" s="5207"/>
      <c r="FE226" s="5207"/>
      <c r="FF226" s="5207"/>
      <c r="FG226" s="5207"/>
      <c r="FH226" s="5207"/>
      <c r="FI226" s="5207"/>
      <c r="FJ226" s="5207"/>
      <c r="FK226" s="5207"/>
      <c r="FL226" s="5207"/>
      <c r="FM226" s="5207"/>
      <c r="FN226" s="5207"/>
      <c r="FO226" s="5207"/>
      <c r="FP226" s="5207"/>
      <c r="FQ226" s="5207"/>
      <c r="FR226" s="5207"/>
      <c r="FS226" s="5207"/>
      <c r="FT226" s="5207"/>
      <c r="FU226" s="5207"/>
      <c r="FV226" s="5207"/>
      <c r="FW226" s="5207"/>
      <c r="FX226" s="5207"/>
      <c r="FY226" s="5207"/>
      <c r="FZ226" s="5207"/>
      <c r="GA226" s="5207"/>
      <c r="GB226" s="5207"/>
      <c r="GC226" s="5207"/>
      <c r="GD226" s="5207"/>
      <c r="GE226" s="5207"/>
      <c r="GF226" s="5207"/>
      <c r="GG226" s="5207"/>
      <c r="GH226" s="5207"/>
      <c r="GI226" s="5207"/>
      <c r="GJ226" s="5207"/>
      <c r="GK226" s="5207"/>
      <c r="GL226" s="5207"/>
      <c r="GM226" s="5207"/>
      <c r="GN226" s="5207"/>
      <c r="GO226" s="5207"/>
      <c r="GP226" s="5207"/>
      <c r="GQ226" s="5207"/>
      <c r="GR226" s="5207"/>
      <c r="GS226" s="5207"/>
      <c r="GT226" s="5207"/>
      <c r="GU226" s="5207"/>
      <c r="GV226" s="5207"/>
      <c r="GW226" s="5207"/>
      <c r="GX226" s="5207"/>
      <c r="GY226" s="5207"/>
      <c r="GZ226" s="5207"/>
      <c r="HA226" s="5207"/>
      <c r="HB226" s="5207"/>
      <c r="HC226" s="5207"/>
      <c r="HD226" s="5207"/>
      <c r="HE226" s="5207"/>
      <c r="HF226" s="5207"/>
      <c r="HG226" s="5207"/>
      <c r="HH226" s="5207"/>
      <c r="HI226" s="5207"/>
      <c r="HJ226" s="5207"/>
      <c r="HK226" s="5207"/>
      <c r="HL226" s="5207"/>
      <c r="HM226" s="5207"/>
      <c r="HN226" s="5207"/>
      <c r="HO226" s="5207"/>
      <c r="HP226" s="5207"/>
      <c r="HQ226" s="5207"/>
      <c r="HR226" s="5207"/>
      <c r="HS226" s="5207"/>
      <c r="HT226" s="5207"/>
      <c r="HU226" s="5207"/>
      <c r="HV226" s="5207"/>
      <c r="HW226" s="5207"/>
      <c r="HX226" s="5207"/>
      <c r="HY226" s="5207"/>
      <c r="HZ226" s="5207"/>
      <c r="IA226" s="5207"/>
      <c r="IB226" s="5207"/>
      <c r="IC226" s="5207"/>
      <c r="ID226" s="5207"/>
      <c r="IE226" s="5207"/>
      <c r="IF226" s="5207"/>
      <c r="IG226" s="5207"/>
      <c r="IH226" s="5207"/>
      <c r="II226" s="5207"/>
      <c r="IJ226" s="5207"/>
      <c r="IK226" s="5207"/>
      <c r="IL226" s="5207"/>
      <c r="IM226" s="5207"/>
      <c r="IN226" s="5207"/>
      <c r="IO226" s="5207"/>
      <c r="IP226" s="5207"/>
      <c r="IQ226" s="5207"/>
      <c r="IR226" s="5207"/>
      <c r="IS226" s="5207"/>
      <c r="IT226" s="5207"/>
      <c r="IU226" s="5207"/>
      <c r="IV226" s="5207"/>
      <c r="IW226" s="5207"/>
      <c r="IX226" s="5207"/>
      <c r="IY226" s="5207"/>
      <c r="IZ226" s="5207"/>
      <c r="JA226" s="5207"/>
      <c r="JB226" s="5207"/>
      <c r="JC226" s="5207"/>
      <c r="JD226" s="5207"/>
      <c r="JE226" s="5207"/>
      <c r="JF226" s="5207"/>
      <c r="JG226" s="5207"/>
      <c r="JH226" s="5207"/>
      <c r="JI226" s="5207"/>
      <c r="JJ226" s="5207"/>
      <c r="JK226" s="5207"/>
      <c r="JL226" s="5207"/>
      <c r="JM226" s="5207"/>
      <c r="JN226" s="5207"/>
      <c r="JO226" s="5207"/>
      <c r="JP226" s="5207"/>
      <c r="JQ226" s="5207"/>
      <c r="JR226" s="5207"/>
      <c r="JS226" s="5207"/>
      <c r="JT226" s="5207"/>
      <c r="JU226" s="5207"/>
      <c r="JV226" s="5207"/>
      <c r="JW226" s="5207"/>
      <c r="JX226" s="5207"/>
      <c r="JY226" s="5207"/>
      <c r="JZ226" s="5207"/>
      <c r="KA226" s="5207"/>
      <c r="KB226" s="5207"/>
      <c r="KC226" s="5207"/>
      <c r="KD226" s="5207"/>
      <c r="KE226" s="5207"/>
      <c r="KF226" s="5207"/>
      <c r="KG226" s="5207"/>
      <c r="KH226" s="5207"/>
      <c r="KI226" s="5207"/>
      <c r="KJ226" s="5207"/>
      <c r="KK226" s="5207"/>
      <c r="KL226" s="5207"/>
      <c r="KM226" s="5207"/>
      <c r="KN226" s="5207"/>
      <c r="KO226" s="5207"/>
      <c r="KP226" s="5207"/>
      <c r="KQ226" s="5207"/>
      <c r="KR226" s="5207"/>
      <c r="KS226" s="5207"/>
      <c r="KT226" s="5207"/>
      <c r="KU226" s="5207"/>
      <c r="KV226" s="5207"/>
      <c r="KW226" s="5207"/>
      <c r="KX226" s="5207"/>
      <c r="KY226" s="5207"/>
      <c r="KZ226" s="5207"/>
      <c r="LA226" s="5207"/>
      <c r="LB226" s="5207"/>
      <c r="LC226" s="5207"/>
      <c r="LD226" s="5207"/>
      <c r="LE226" s="5207"/>
      <c r="LF226" s="5207"/>
      <c r="LG226" s="5207"/>
      <c r="LH226" s="5207"/>
      <c r="LI226" s="5207"/>
      <c r="LJ226" s="5207"/>
      <c r="LK226" s="5207"/>
      <c r="LL226" s="5207"/>
      <c r="LM226" s="5207"/>
      <c r="LN226" s="5207"/>
      <c r="LO226" s="5207"/>
      <c r="LP226" s="5207"/>
      <c r="LQ226" s="5207"/>
      <c r="LR226" s="5207"/>
      <c r="LS226" s="5207"/>
      <c r="LT226" s="5207"/>
      <c r="LU226" s="5207"/>
      <c r="LV226" s="5207"/>
      <c r="LW226" s="5207"/>
      <c r="LX226" s="5207"/>
      <c r="LY226" s="5207"/>
      <c r="LZ226" s="5207"/>
      <c r="MA226" s="5207"/>
      <c r="MB226" s="5207"/>
      <c r="MC226" s="5207"/>
      <c r="MD226" s="5207"/>
      <c r="ME226" s="5207"/>
      <c r="MF226" s="5207"/>
      <c r="MG226" s="5207"/>
      <c r="MH226" s="5207"/>
      <c r="MI226" s="5207"/>
      <c r="MJ226" s="5207"/>
      <c r="MK226" s="5207"/>
      <c r="ML226" s="5207"/>
      <c r="MM226" s="5207"/>
      <c r="MN226" s="5207"/>
      <c r="MO226" s="5207"/>
      <c r="MP226" s="5207"/>
      <c r="MQ226" s="5207"/>
      <c r="MR226" s="5207"/>
      <c r="MS226" s="5207"/>
      <c r="MT226" s="5207"/>
      <c r="MU226" s="5207"/>
      <c r="MV226" s="5207"/>
      <c r="MW226" s="5207"/>
      <c r="MX226" s="5207"/>
      <c r="MY226" s="5207"/>
      <c r="MZ226" s="5207"/>
      <c r="NA226" s="5207"/>
      <c r="NB226" s="5207"/>
      <c r="NC226" s="5207"/>
      <c r="ND226" s="5207"/>
      <c r="NE226" s="5207"/>
      <c r="NF226" s="5207"/>
      <c r="NG226" s="5207"/>
      <c r="NH226" s="5207"/>
      <c r="NI226" s="5207"/>
      <c r="NJ226" s="5207"/>
      <c r="NK226" s="5207"/>
      <c r="NL226" s="5207"/>
      <c r="NM226" s="5207"/>
      <c r="NN226" s="5207"/>
      <c r="NO226" s="5207"/>
      <c r="NP226" s="5207"/>
      <c r="NQ226" s="5207"/>
      <c r="NR226" s="5207"/>
      <c r="NS226" s="5207"/>
      <c r="NT226" s="5207"/>
      <c r="NU226" s="5207"/>
      <c r="NV226" s="5207"/>
      <c r="NW226" s="5207"/>
      <c r="NX226" s="5207"/>
      <c r="NY226" s="5207"/>
      <c r="NZ226" s="5207"/>
      <c r="OA226" s="5207"/>
      <c r="OB226" s="5207"/>
      <c r="OC226" s="5207"/>
      <c r="OD226" s="5207"/>
      <c r="OE226" s="5207"/>
      <c r="OF226" s="5207"/>
      <c r="OG226" s="5207"/>
      <c r="OH226" s="5207"/>
      <c r="OI226" s="5207"/>
      <c r="OJ226" s="5207"/>
      <c r="OK226" s="5207"/>
      <c r="OL226" s="5207"/>
      <c r="OM226" s="5207"/>
      <c r="ON226" s="5207"/>
      <c r="OO226" s="5207"/>
      <c r="OP226" s="5207"/>
      <c r="OQ226" s="5207"/>
      <c r="OR226" s="5207"/>
      <c r="OS226" s="5207"/>
      <c r="OT226" s="5207"/>
      <c r="OU226" s="5207"/>
      <c r="OV226" s="5207"/>
      <c r="OW226" s="5207"/>
      <c r="OX226" s="5207"/>
      <c r="OY226" s="5207"/>
      <c r="OZ226" s="5207"/>
      <c r="PA226" s="5207"/>
      <c r="PB226" s="5207"/>
      <c r="PC226" s="5207"/>
      <c r="PD226" s="5207"/>
      <c r="PE226" s="5207"/>
      <c r="PF226" s="5207"/>
      <c r="PG226" s="5207"/>
      <c r="PH226" s="5207"/>
      <c r="PI226" s="5207"/>
      <c r="PJ226" s="5207"/>
      <c r="PK226" s="5207"/>
      <c r="PL226" s="5207"/>
      <c r="PM226" s="5207"/>
      <c r="PN226" s="5207"/>
      <c r="PO226" s="5207"/>
      <c r="PP226" s="5207"/>
      <c r="PQ226" s="5207"/>
      <c r="PR226" s="5207"/>
      <c r="PS226" s="5207"/>
      <c r="PT226" s="5207"/>
      <c r="PU226" s="5207"/>
      <c r="PV226" s="5207"/>
      <c r="PW226" s="5207"/>
      <c r="PX226" s="5207"/>
      <c r="PY226" s="5207"/>
      <c r="PZ226" s="5207"/>
      <c r="QA226" s="5207"/>
      <c r="QB226" s="5207"/>
      <c r="QC226" s="5207"/>
      <c r="QD226" s="5207"/>
      <c r="QE226" s="5207"/>
      <c r="QF226" s="5207"/>
      <c r="QG226" s="5207"/>
      <c r="QH226" s="5207"/>
      <c r="QI226" s="5207"/>
      <c r="QJ226" s="5207"/>
      <c r="QK226" s="5207"/>
      <c r="QL226" s="5207"/>
      <c r="QM226" s="5207"/>
      <c r="QN226" s="5207"/>
      <c r="QO226" s="5207"/>
      <c r="QP226" s="5207"/>
      <c r="QQ226" s="5207"/>
      <c r="QR226" s="5207"/>
      <c r="QS226" s="5207"/>
      <c r="QT226" s="5207"/>
      <c r="QU226" s="5207"/>
      <c r="QV226" s="5207"/>
      <c r="QW226" s="5207"/>
      <c r="QX226" s="5207"/>
      <c r="QY226" s="5207"/>
      <c r="QZ226" s="5207"/>
      <c r="RA226" s="5207"/>
      <c r="RB226" s="5207"/>
      <c r="RC226" s="5207"/>
      <c r="RD226" s="5207"/>
      <c r="RE226" s="5207"/>
      <c r="RF226" s="5207"/>
      <c r="RG226" s="5207"/>
      <c r="RH226" s="5207"/>
      <c r="RI226" s="5207"/>
      <c r="RJ226" s="5207"/>
      <c r="RK226" s="5207"/>
      <c r="RL226" s="5207"/>
      <c r="RM226" s="5207"/>
      <c r="RN226" s="5207"/>
      <c r="RO226" s="5207"/>
      <c r="RP226" s="5207"/>
      <c r="RQ226" s="5207"/>
      <c r="RR226" s="5207"/>
      <c r="RS226" s="5207"/>
      <c r="RT226" s="5207"/>
      <c r="RU226" s="5207"/>
      <c r="RV226" s="5207"/>
      <c r="RW226" s="5207"/>
      <c r="RX226" s="5207"/>
      <c r="RY226" s="5207"/>
      <c r="RZ226" s="5207"/>
      <c r="SA226" s="5207"/>
      <c r="SB226" s="5207"/>
      <c r="SC226" s="5207"/>
      <c r="SD226" s="5207"/>
      <c r="SE226" s="5207"/>
      <c r="SF226" s="5207"/>
      <c r="SG226" s="5207"/>
      <c r="SH226" s="5207"/>
      <c r="SI226" s="5207"/>
      <c r="SJ226" s="5207"/>
      <c r="SK226" s="5207"/>
      <c r="SL226" s="5207"/>
      <c r="SM226" s="5207"/>
      <c r="SN226" s="5207"/>
      <c r="SO226" s="5207"/>
      <c r="SP226" s="5207"/>
      <c r="SQ226" s="5207"/>
      <c r="SR226" s="5207"/>
      <c r="SS226" s="5207"/>
      <c r="ST226" s="5207"/>
      <c r="SU226" s="5207"/>
      <c r="SV226" s="5207"/>
      <c r="SW226" s="5207"/>
      <c r="SX226" s="5207"/>
      <c r="SY226" s="5207"/>
      <c r="SZ226" s="5207"/>
      <c r="TA226" s="5207"/>
      <c r="TB226" s="5207"/>
      <c r="TC226" s="5207"/>
      <c r="TD226" s="5207"/>
      <c r="TE226" s="5207"/>
      <c r="TF226" s="5207"/>
      <c r="TG226" s="5207"/>
      <c r="TH226" s="5207"/>
      <c r="TI226" s="5207"/>
      <c r="TJ226" s="5207"/>
      <c r="TK226" s="5207"/>
      <c r="TL226" s="5207"/>
      <c r="TM226" s="5207"/>
      <c r="TN226" s="5207"/>
      <c r="TO226" s="5207"/>
      <c r="TP226" s="5207"/>
      <c r="TQ226" s="5207"/>
      <c r="TR226" s="5207"/>
      <c r="TS226" s="5207"/>
      <c r="TT226" s="5207"/>
      <c r="TU226" s="5207"/>
      <c r="TV226" s="5207"/>
      <c r="TW226" s="5207"/>
      <c r="TX226" s="5207"/>
      <c r="TY226" s="5207"/>
      <c r="TZ226" s="5207"/>
      <c r="UA226" s="5207"/>
      <c r="UB226" s="5207"/>
      <c r="UC226" s="5207"/>
      <c r="UD226" s="5207"/>
      <c r="UE226" s="5207"/>
      <c r="UF226" s="5207"/>
      <c r="UG226" s="5207"/>
      <c r="UH226" s="5207"/>
      <c r="UI226" s="5207"/>
      <c r="UJ226" s="5207"/>
      <c r="UK226" s="5207"/>
      <c r="UL226" s="5207"/>
      <c r="UM226" s="5207"/>
      <c r="UN226" s="5207"/>
      <c r="UO226" s="5207"/>
      <c r="UP226" s="5207"/>
      <c r="UQ226" s="5207"/>
      <c r="UR226" s="5207"/>
      <c r="US226" s="5207"/>
      <c r="UT226" s="5207"/>
      <c r="UU226" s="5207"/>
      <c r="UV226" s="5207"/>
      <c r="UW226" s="5207"/>
      <c r="UX226" s="5207"/>
      <c r="UY226" s="5207"/>
      <c r="UZ226" s="5207"/>
      <c r="VA226" s="5207"/>
      <c r="VB226" s="5207"/>
      <c r="VC226" s="5207"/>
      <c r="VD226" s="5207"/>
      <c r="VE226" s="5207"/>
      <c r="VF226" s="5207"/>
      <c r="VG226" s="5207"/>
      <c r="VH226" s="5207"/>
      <c r="VI226" s="5207"/>
      <c r="VJ226" s="5207"/>
      <c r="VK226" s="5207"/>
      <c r="VL226" s="5207"/>
      <c r="VM226" s="5207"/>
      <c r="VN226" s="5207"/>
      <c r="VO226" s="5207"/>
      <c r="VP226" s="5207"/>
      <c r="VQ226" s="5207"/>
      <c r="VR226" s="5207"/>
      <c r="VS226" s="5207"/>
      <c r="VT226" s="5207"/>
      <c r="VU226" s="5207"/>
      <c r="VV226" s="5207"/>
      <c r="VW226" s="5207"/>
      <c r="VX226" s="5207"/>
      <c r="VY226" s="5207"/>
      <c r="VZ226" s="5207"/>
      <c r="WA226" s="5207"/>
      <c r="WB226" s="5207"/>
      <c r="WC226" s="5207"/>
      <c r="WD226" s="5207"/>
      <c r="WE226" s="5207"/>
      <c r="WF226" s="5207"/>
      <c r="WG226" s="5207"/>
      <c r="WH226" s="5207"/>
      <c r="WI226" s="5207"/>
      <c r="WJ226" s="5207"/>
      <c r="WK226" s="5207"/>
      <c r="WL226" s="5207"/>
      <c r="WM226" s="5207"/>
      <c r="WN226" s="5207"/>
      <c r="WO226" s="5207"/>
      <c r="WP226" s="5207"/>
      <c r="WQ226" s="5207"/>
      <c r="WR226" s="5207"/>
      <c r="WS226" s="5207"/>
      <c r="WT226" s="5207"/>
      <c r="WU226" s="5207"/>
      <c r="WV226" s="5207"/>
      <c r="WW226" s="5207"/>
      <c r="WX226" s="5207"/>
      <c r="WY226" s="5207"/>
      <c r="WZ226" s="5207"/>
      <c r="XA226" s="5207"/>
      <c r="XB226" s="5207"/>
      <c r="XC226" s="5207"/>
      <c r="XD226" s="5207"/>
      <c r="XE226" s="5207"/>
      <c r="XF226" s="5207"/>
      <c r="XG226" s="5207"/>
      <c r="XH226" s="5207"/>
      <c r="XI226" s="5207"/>
      <c r="XJ226" s="5207"/>
      <c r="XK226" s="5207"/>
      <c r="XL226" s="5207"/>
      <c r="XM226" s="5207"/>
      <c r="XN226" s="5207"/>
      <c r="XO226" s="5207"/>
      <c r="XP226" s="5207"/>
      <c r="XQ226" s="5207"/>
      <c r="XR226" s="5207"/>
      <c r="XS226" s="5207"/>
      <c r="XT226" s="5207"/>
      <c r="XU226" s="5207"/>
      <c r="XV226" s="5207"/>
      <c r="XW226" s="5207"/>
      <c r="XX226" s="5207"/>
      <c r="XY226" s="5207"/>
      <c r="XZ226" s="5207"/>
      <c r="YA226" s="5207"/>
      <c r="YB226" s="5207"/>
      <c r="YC226" s="5207"/>
      <c r="YD226" s="5207"/>
      <c r="YE226" s="5207"/>
      <c r="YF226" s="5207"/>
      <c r="YG226" s="5207"/>
      <c r="YH226" s="5207"/>
      <c r="YI226" s="5207"/>
      <c r="YJ226" s="5207"/>
      <c r="YK226" s="5207"/>
      <c r="YL226" s="5207"/>
      <c r="YM226" s="5207"/>
      <c r="YN226" s="5207"/>
      <c r="YO226" s="5207"/>
      <c r="YP226" s="5207"/>
      <c r="YQ226" s="5207"/>
      <c r="YR226" s="5207"/>
      <c r="YS226" s="5207"/>
      <c r="YT226" s="5207"/>
      <c r="YU226" s="5207"/>
      <c r="YV226" s="5207"/>
      <c r="YW226" s="5207"/>
      <c r="YX226" s="5207"/>
      <c r="YY226" s="5207"/>
      <c r="YZ226" s="5207"/>
      <c r="ZA226" s="5207"/>
      <c r="ZB226" s="5207"/>
      <c r="ZC226" s="5207"/>
      <c r="ZD226" s="5207"/>
      <c r="ZE226" s="5207"/>
      <c r="ZF226" s="5207"/>
      <c r="ZG226" s="5207"/>
      <c r="ZH226" s="5207"/>
      <c r="ZI226" s="5207"/>
      <c r="ZJ226" s="5207"/>
      <c r="ZK226" s="5207"/>
      <c r="ZL226" s="5207"/>
      <c r="ZM226" s="5207"/>
      <c r="ZN226" s="5207"/>
      <c r="ZO226" s="5207"/>
      <c r="ZP226" s="5207"/>
      <c r="ZQ226" s="5207"/>
      <c r="ZR226" s="5207"/>
      <c r="ZS226" s="5207"/>
      <c r="ZT226" s="5207"/>
      <c r="ZU226" s="5207"/>
      <c r="ZV226" s="5207"/>
      <c r="ZW226" s="5207"/>
      <c r="ZX226" s="5207"/>
      <c r="ZY226" s="5207"/>
      <c r="ZZ226" s="5207"/>
      <c r="AAA226" s="5207"/>
      <c r="AAB226" s="5207"/>
      <c r="AAC226" s="5207"/>
      <c r="AAD226" s="5207"/>
      <c r="AAE226" s="5207"/>
      <c r="AAF226" s="5207"/>
      <c r="AAG226" s="5207"/>
      <c r="AAH226" s="5207"/>
      <c r="AAI226" s="5207"/>
      <c r="AAJ226" s="5207"/>
      <c r="AAK226" s="5207"/>
      <c r="AAL226" s="5207"/>
      <c r="AAM226" s="5207"/>
      <c r="AAN226" s="5207"/>
      <c r="AAO226" s="5207"/>
      <c r="AAP226" s="5207"/>
      <c r="AAQ226" s="5207"/>
      <c r="AAR226" s="5207"/>
      <c r="AAS226" s="5207"/>
      <c r="AAT226" s="5207"/>
      <c r="AAU226" s="5207"/>
      <c r="AAV226" s="5207"/>
      <c r="AAW226" s="5207"/>
      <c r="AAX226" s="5207"/>
      <c r="AAY226" s="5207"/>
      <c r="AAZ226" s="5207"/>
      <c r="ABA226" s="5207"/>
      <c r="ABB226" s="5207"/>
      <c r="ABC226" s="5207"/>
      <c r="ABD226" s="5207"/>
      <c r="ABE226" s="5207"/>
      <c r="ABF226" s="5207"/>
      <c r="ABG226" s="5207"/>
      <c r="ABH226" s="5207"/>
      <c r="ABI226" s="5207"/>
      <c r="ABJ226" s="5207"/>
      <c r="ABK226" s="5207"/>
      <c r="ABL226" s="5207"/>
      <c r="ABM226" s="5207"/>
      <c r="ABN226" s="5207"/>
      <c r="ABO226" s="5207"/>
      <c r="ABP226" s="5207"/>
      <c r="ABQ226" s="5207"/>
      <c r="ABR226" s="5207"/>
      <c r="ABS226" s="5207"/>
      <c r="ABT226" s="5207"/>
      <c r="ABU226" s="5207"/>
      <c r="ABV226" s="5207"/>
      <c r="ABW226" s="5207"/>
      <c r="ABX226" s="5207"/>
      <c r="ABY226" s="5207"/>
      <c r="ABZ226" s="5207"/>
      <c r="ACA226" s="5207"/>
      <c r="ACB226" s="5207"/>
      <c r="ACC226" s="5207"/>
      <c r="ACD226" s="5207"/>
      <c r="ACE226" s="5207"/>
      <c r="ACF226" s="5207"/>
      <c r="ACG226" s="5207"/>
      <c r="ACH226" s="5207"/>
      <c r="ACI226" s="5207"/>
      <c r="ACJ226" s="5207"/>
      <c r="ACK226" s="5207"/>
      <c r="ACL226" s="5207"/>
      <c r="ACM226" s="5207"/>
      <c r="ACN226" s="5207"/>
      <c r="ACO226" s="5207"/>
      <c r="ACP226" s="5207"/>
      <c r="ACQ226" s="5207"/>
      <c r="ACR226" s="5207"/>
      <c r="ACS226" s="5207"/>
      <c r="ACT226" s="5207"/>
      <c r="ACU226" s="5207"/>
      <c r="ACV226" s="5207"/>
      <c r="ACW226" s="5207"/>
      <c r="ACX226" s="5207"/>
      <c r="ACY226" s="5207"/>
      <c r="ACZ226" s="5207"/>
      <c r="ADA226" s="5207"/>
      <c r="ADB226" s="5207"/>
      <c r="ADC226" s="5207"/>
      <c r="ADD226" s="5207"/>
      <c r="ADE226" s="5207"/>
      <c r="ADF226" s="5207"/>
      <c r="ADG226" s="5207"/>
      <c r="ADH226" s="5207"/>
      <c r="ADI226" s="5207"/>
      <c r="ADJ226" s="5207"/>
      <c r="ADK226" s="5207"/>
      <c r="ADL226" s="5207"/>
      <c r="ADM226" s="5207"/>
      <c r="ADN226" s="5207"/>
      <c r="ADO226" s="5207"/>
      <c r="ADP226" s="5207"/>
      <c r="ADQ226" s="5207"/>
      <c r="ADR226" s="5207"/>
      <c r="ADS226" s="5207"/>
      <c r="ADT226" s="5207"/>
      <c r="ADU226" s="5207"/>
      <c r="ADV226" s="5207"/>
      <c r="ADW226" s="5207"/>
      <c r="ADX226" s="5207"/>
      <c r="ADY226" s="5207"/>
      <c r="ADZ226" s="5207"/>
      <c r="AEA226" s="5207"/>
      <c r="AEB226" s="5207"/>
      <c r="AEC226" s="5207"/>
      <c r="AED226" s="5207"/>
      <c r="AEE226" s="5207"/>
      <c r="AEF226" s="5207"/>
      <c r="AEG226" s="5207"/>
      <c r="AEH226" s="5207"/>
      <c r="AEI226" s="5207"/>
      <c r="AEJ226" s="5207"/>
      <c r="AEK226" s="5207"/>
      <c r="AEL226" s="5207"/>
      <c r="AEM226" s="5207"/>
      <c r="AEN226" s="5207"/>
      <c r="AEO226" s="5207"/>
      <c r="AEP226" s="5207"/>
      <c r="AEQ226" s="5207"/>
      <c r="AER226" s="5207"/>
      <c r="AES226" s="5207"/>
      <c r="AET226" s="5207"/>
      <c r="AEU226" s="5207"/>
      <c r="AEV226" s="5207"/>
      <c r="AEW226" s="5207"/>
      <c r="AEX226" s="5207"/>
      <c r="AEY226" s="5207"/>
      <c r="AEZ226" s="5207"/>
      <c r="AFA226" s="5207"/>
      <c r="AFB226" s="5207"/>
      <c r="AFC226" s="5207"/>
      <c r="AFD226" s="5207"/>
      <c r="AFE226" s="5207"/>
      <c r="AFF226" s="5207"/>
      <c r="AFG226" s="5207"/>
      <c r="AFH226" s="5207"/>
      <c r="AFI226" s="5207"/>
      <c r="AFJ226" s="5207"/>
      <c r="AFK226" s="5207"/>
      <c r="AFL226" s="5207"/>
      <c r="AFM226" s="5207"/>
      <c r="AFN226" s="5207"/>
      <c r="AFO226" s="5207"/>
      <c r="AFP226" s="5207"/>
      <c r="AFQ226" s="5207"/>
      <c r="AFR226" s="5207"/>
      <c r="AFS226" s="5207"/>
      <c r="AFT226" s="5207"/>
      <c r="AFU226" s="5207"/>
      <c r="AFV226" s="5207"/>
      <c r="AFW226" s="5207"/>
      <c r="AFX226" s="5207"/>
      <c r="AFY226" s="5207"/>
      <c r="AFZ226" s="5207"/>
      <c r="AGA226" s="5207"/>
      <c r="AGB226" s="5207"/>
      <c r="AGC226" s="5207"/>
      <c r="AGD226" s="5207"/>
      <c r="AGE226" s="5207"/>
      <c r="AGF226" s="5207"/>
      <c r="AGG226" s="5207"/>
      <c r="AGH226" s="5207"/>
      <c r="AGI226" s="5207"/>
      <c r="AGJ226" s="5207"/>
      <c r="AGK226" s="5207"/>
      <c r="AGL226" s="5207"/>
      <c r="AGM226" s="5207"/>
      <c r="AGN226" s="5207"/>
      <c r="AGO226" s="5207"/>
      <c r="AGP226" s="5207"/>
      <c r="AGQ226" s="5207"/>
      <c r="AGR226" s="5207"/>
      <c r="AGS226" s="5207"/>
      <c r="AGT226" s="5207"/>
      <c r="AGU226" s="5207"/>
      <c r="AGV226" s="5207"/>
      <c r="AGW226" s="5207"/>
      <c r="AGX226" s="5207"/>
      <c r="AGY226" s="5207"/>
      <c r="AGZ226" s="5207"/>
      <c r="AHA226" s="5207"/>
      <c r="AHB226" s="5207"/>
      <c r="AHC226" s="5207"/>
      <c r="AHD226" s="5207"/>
      <c r="AHE226" s="5207"/>
      <c r="AHF226" s="5207"/>
      <c r="AHG226" s="5207"/>
      <c r="AHH226" s="5207"/>
      <c r="AHI226" s="5207"/>
      <c r="AHJ226" s="5207"/>
      <c r="AHK226" s="5207"/>
      <c r="AHL226" s="5207"/>
      <c r="AHM226" s="5207"/>
      <c r="AHN226" s="5207"/>
      <c r="AHO226" s="5207"/>
      <c r="AHP226" s="5207"/>
      <c r="AHQ226" s="5207"/>
      <c r="AHR226" s="5207"/>
      <c r="AHS226" s="5207"/>
      <c r="AHT226" s="5207"/>
      <c r="AHU226" s="5207"/>
      <c r="AHV226" s="5207"/>
      <c r="AHW226" s="5207"/>
      <c r="AHX226" s="5207"/>
      <c r="AHY226" s="5207"/>
      <c r="AHZ226" s="5207"/>
      <c r="AIA226" s="5207"/>
      <c r="AIB226" s="5207"/>
      <c r="AIC226" s="5207"/>
      <c r="AID226" s="5207"/>
      <c r="AIE226" s="5207"/>
      <c r="AIF226" s="5207"/>
      <c r="AIG226" s="5207"/>
      <c r="AIH226" s="5207"/>
      <c r="AII226" s="5207"/>
      <c r="AIJ226" s="5207"/>
      <c r="AIK226" s="5207"/>
      <c r="AIL226" s="5207"/>
      <c r="AIM226" s="5207"/>
      <c r="AIN226" s="5207"/>
      <c r="AIO226" s="5207"/>
      <c r="AIP226" s="5207"/>
      <c r="AIQ226" s="5207"/>
      <c r="AIR226" s="5207"/>
      <c r="AIS226" s="5207"/>
      <c r="AIT226" s="5207"/>
      <c r="AIU226" s="5207"/>
      <c r="AIV226" s="5207"/>
      <c r="AIW226" s="5207"/>
      <c r="AIX226" s="5207"/>
      <c r="AIY226" s="5207"/>
      <c r="AIZ226" s="5207"/>
      <c r="AJA226" s="5207"/>
      <c r="AJB226" s="5207"/>
      <c r="AJC226" s="5207"/>
      <c r="AJD226" s="5207"/>
      <c r="AJE226" s="5207"/>
      <c r="AJF226" s="5207"/>
      <c r="AJG226" s="5207"/>
      <c r="AJH226" s="5207"/>
      <c r="AJI226" s="5207"/>
      <c r="AJJ226" s="5207"/>
      <c r="AJK226" s="5207"/>
      <c r="AJL226" s="5207"/>
      <c r="AJM226" s="5207"/>
      <c r="AJN226" s="5207"/>
      <c r="AJO226" s="5207"/>
      <c r="AJP226" s="5207"/>
      <c r="AJQ226" s="5207"/>
      <c r="AJR226" s="5207"/>
      <c r="AJS226" s="5207"/>
      <c r="AJT226" s="5207"/>
      <c r="AJU226" s="5207"/>
      <c r="AJV226" s="5207"/>
      <c r="AJW226" s="5207"/>
      <c r="AJX226" s="5207"/>
      <c r="AJY226" s="5207"/>
      <c r="AJZ226" s="5207"/>
      <c r="AKA226" s="5207"/>
      <c r="AKB226" s="5207"/>
      <c r="AKC226" s="5207"/>
      <c r="AKD226" s="5207"/>
      <c r="AKE226" s="5207"/>
      <c r="AKF226" s="5207"/>
      <c r="AKG226" s="5207"/>
      <c r="AKH226" s="5207"/>
      <c r="AKI226" s="5207"/>
      <c r="AKJ226" s="5207"/>
      <c r="AKK226" s="5207"/>
      <c r="AKL226" s="5207"/>
      <c r="AKM226" s="5207"/>
      <c r="AKN226" s="5207"/>
      <c r="AKO226" s="5207"/>
      <c r="AKP226" s="5207"/>
      <c r="AKQ226" s="5207"/>
      <c r="AKR226" s="5207"/>
      <c r="AKS226" s="5207"/>
      <c r="AKT226" s="5207"/>
      <c r="AKU226" s="5207"/>
      <c r="AKV226" s="5207"/>
      <c r="AKW226" s="5207"/>
      <c r="AKX226" s="5207"/>
      <c r="AKY226" s="5207"/>
      <c r="AKZ226" s="5207"/>
      <c r="ALA226" s="5207"/>
      <c r="ALB226" s="5207"/>
      <c r="ALC226" s="5207"/>
      <c r="ALD226" s="5207"/>
      <c r="ALE226" s="5207"/>
      <c r="ALF226" s="5207"/>
      <c r="ALG226" s="5207"/>
      <c r="ALH226" s="5207"/>
      <c r="ALI226" s="5207"/>
      <c r="ALJ226" s="5207"/>
      <c r="ALK226" s="5207"/>
      <c r="ALL226" s="5207"/>
      <c r="ALM226" s="5207"/>
      <c r="ALN226" s="5207"/>
      <c r="ALO226" s="5207"/>
      <c r="ALP226" s="5207"/>
      <c r="ALQ226" s="5207"/>
      <c r="ALR226" s="5207"/>
      <c r="ALS226" s="5207"/>
      <c r="ALT226" s="5207"/>
      <c r="ALU226" s="5207"/>
      <c r="ALV226" s="5207"/>
      <c r="ALW226" s="5207"/>
      <c r="ALX226" s="5207"/>
      <c r="ALY226" s="5207"/>
      <c r="ALZ226" s="5207"/>
      <c r="AMA226" s="5207"/>
      <c r="AMB226" s="5207"/>
      <c r="AMC226" s="5207"/>
      <c r="AMD226" s="5207"/>
      <c r="AME226" s="5207"/>
      <c r="AMF226" s="5207"/>
      <c r="AMG226" s="5207"/>
      <c r="AMH226" s="5207"/>
      <c r="AMI226" s="5207"/>
      <c r="AMJ226" s="5207"/>
      <c r="AMK226" s="5207"/>
      <c r="AML226" s="5207"/>
      <c r="AMM226" s="5207"/>
      <c r="AMN226" s="5207"/>
      <c r="AMO226" s="5207"/>
      <c r="AMP226" s="5207"/>
      <c r="AMQ226" s="5207"/>
      <c r="AMR226" s="5207"/>
      <c r="AMS226" s="5207"/>
      <c r="AMT226" s="5207"/>
      <c r="AMU226" s="5207"/>
      <c r="AMV226" s="5207"/>
      <c r="AMW226" s="5207"/>
      <c r="AMX226" s="5207"/>
      <c r="AMY226" s="5207"/>
      <c r="AMZ226" s="5207"/>
      <c r="ANA226" s="5207"/>
      <c r="ANB226" s="5207"/>
      <c r="ANC226" s="5207"/>
      <c r="AND226" s="5207"/>
      <c r="ANE226" s="5207"/>
      <c r="ANF226" s="5207"/>
      <c r="ANG226" s="5207"/>
      <c r="ANH226" s="5207"/>
      <c r="ANI226" s="5207"/>
      <c r="ANJ226" s="5207"/>
      <c r="ANK226" s="5207"/>
      <c r="ANL226" s="5207"/>
      <c r="ANM226" s="5207"/>
      <c r="ANN226" s="5207"/>
      <c r="ANO226" s="5207"/>
      <c r="ANP226" s="5207"/>
      <c r="ANQ226" s="5207"/>
      <c r="ANR226" s="5207"/>
      <c r="ANS226" s="5207"/>
      <c r="ANT226" s="5207"/>
      <c r="ANU226" s="5207"/>
      <c r="ANV226" s="5207"/>
      <c r="ANW226" s="5207"/>
      <c r="ANX226" s="5207"/>
      <c r="ANY226" s="5207"/>
      <c r="ANZ226" s="5207"/>
      <c r="AOA226" s="5207"/>
      <c r="AOB226" s="5207"/>
      <c r="AOC226" s="5207"/>
      <c r="AOD226" s="5207"/>
      <c r="AOE226" s="5207"/>
      <c r="AOF226" s="5207"/>
      <c r="AOG226" s="5207"/>
      <c r="AOH226" s="5207"/>
      <c r="AOI226" s="5207"/>
      <c r="AOJ226" s="5207"/>
      <c r="AOK226" s="5207"/>
      <c r="AOL226" s="5207"/>
      <c r="AOM226" s="5207"/>
      <c r="AON226" s="5207"/>
      <c r="AOO226" s="5207"/>
      <c r="AOP226" s="5207"/>
      <c r="AOQ226" s="5207"/>
      <c r="AOR226" s="5207"/>
      <c r="AOS226" s="5207"/>
      <c r="AOT226" s="5207"/>
      <c r="AOU226" s="5207"/>
      <c r="AOV226" s="5207"/>
      <c r="AOW226" s="5207"/>
      <c r="AOX226" s="5207"/>
      <c r="AOY226" s="5207"/>
      <c r="AOZ226" s="5207"/>
      <c r="APA226" s="5207"/>
      <c r="APB226" s="5207"/>
      <c r="APC226" s="5207"/>
      <c r="APD226" s="5207"/>
      <c r="APE226" s="5207"/>
      <c r="APF226" s="5207"/>
      <c r="APG226" s="5207"/>
      <c r="APH226" s="5207"/>
      <c r="API226" s="5207"/>
      <c r="APJ226" s="5207"/>
      <c r="APK226" s="5207"/>
      <c r="APL226" s="5207"/>
      <c r="APM226" s="5207"/>
      <c r="APN226" s="5207"/>
      <c r="APO226" s="5207"/>
      <c r="APP226" s="5207"/>
      <c r="APQ226" s="5207"/>
      <c r="APR226" s="5207"/>
      <c r="APS226" s="5207"/>
      <c r="APT226" s="5207"/>
      <c r="APU226" s="5207"/>
      <c r="APV226" s="5207"/>
      <c r="APW226" s="5207"/>
      <c r="APX226" s="5207"/>
      <c r="APY226" s="5207"/>
      <c r="APZ226" s="5207"/>
      <c r="AQA226" s="5207"/>
      <c r="AQB226" s="5207"/>
      <c r="AQC226" s="5207"/>
      <c r="AQD226" s="5207"/>
      <c r="AQE226" s="5207"/>
      <c r="AQF226" s="5207"/>
      <c r="AQG226" s="5207"/>
      <c r="AQH226" s="5207"/>
      <c r="AQI226" s="5207"/>
      <c r="AQJ226" s="5207"/>
      <c r="AQK226" s="5207"/>
      <c r="AQL226" s="5207"/>
      <c r="AQM226" s="5207"/>
      <c r="AQN226" s="5207"/>
      <c r="AQO226" s="5207"/>
      <c r="AQP226" s="5207"/>
      <c r="AQQ226" s="5207"/>
      <c r="AQR226" s="5207"/>
      <c r="AQS226" s="5207"/>
      <c r="AQT226" s="5207"/>
      <c r="AQU226" s="5207"/>
      <c r="AQV226" s="5207"/>
      <c r="AQW226" s="5207"/>
      <c r="AQX226" s="5207"/>
      <c r="AQY226" s="5207"/>
      <c r="AQZ226" s="5207"/>
      <c r="ARA226" s="5207"/>
      <c r="ARB226" s="5207"/>
      <c r="ARC226" s="5207"/>
      <c r="ARD226" s="5207"/>
      <c r="ARE226" s="5207"/>
      <c r="ARF226" s="5207"/>
      <c r="ARG226" s="5207"/>
      <c r="ARH226" s="5207"/>
      <c r="ARI226" s="5207"/>
      <c r="ARJ226" s="5207"/>
      <c r="ARK226" s="5207"/>
      <c r="ARL226" s="5207"/>
      <c r="ARM226" s="5207"/>
      <c r="ARN226" s="5207"/>
      <c r="ARO226" s="5207"/>
      <c r="ARP226" s="5207"/>
      <c r="ARQ226" s="5207"/>
      <c r="ARR226" s="5207"/>
      <c r="ARS226" s="5207"/>
      <c r="ART226" s="5207"/>
      <c r="ARU226" s="5207"/>
      <c r="ARV226" s="5207"/>
      <c r="ARW226" s="5207"/>
      <c r="ARX226" s="5207"/>
      <c r="ARY226" s="5207"/>
      <c r="ARZ226" s="5207"/>
      <c r="ASA226" s="5207"/>
      <c r="ASB226" s="5207"/>
      <c r="ASC226" s="5207"/>
      <c r="ASD226" s="5207"/>
      <c r="ASE226" s="5207"/>
      <c r="ASF226" s="5207"/>
      <c r="ASG226" s="5207"/>
      <c r="ASH226" s="5207"/>
      <c r="ASI226" s="5207"/>
      <c r="ASJ226" s="5207"/>
      <c r="ASK226" s="5207"/>
      <c r="ASL226" s="5207"/>
      <c r="ASM226" s="5207"/>
      <c r="ASN226" s="5207"/>
      <c r="ASO226" s="5207"/>
      <c r="ASP226" s="5207"/>
      <c r="ASQ226" s="5207"/>
      <c r="ASR226" s="5207"/>
      <c r="ASS226" s="5207"/>
      <c r="AST226" s="5207"/>
      <c r="ASU226" s="5207"/>
      <c r="ASV226" s="5207"/>
      <c r="ASW226" s="5207"/>
      <c r="ASX226" s="5207"/>
      <c r="ASY226" s="5207"/>
      <c r="ASZ226" s="5207"/>
      <c r="ATA226" s="5207"/>
      <c r="ATB226" s="5207"/>
      <c r="ATC226" s="5207"/>
      <c r="ATD226" s="5207"/>
      <c r="ATE226" s="5207"/>
      <c r="ATF226" s="5207"/>
      <c r="ATG226" s="5207"/>
      <c r="ATH226" s="5207"/>
      <c r="ATI226" s="5207"/>
      <c r="ATJ226" s="5207"/>
      <c r="ATK226" s="5207"/>
      <c r="ATL226" s="5207"/>
      <c r="ATM226" s="5207"/>
      <c r="ATN226" s="5207"/>
      <c r="ATO226" s="5207"/>
      <c r="ATP226" s="5207"/>
      <c r="ATQ226" s="5207"/>
      <c r="ATR226" s="5207"/>
      <c r="ATS226" s="5207"/>
      <c r="ATT226" s="5207"/>
      <c r="ATU226" s="5207"/>
      <c r="ATV226" s="5207"/>
      <c r="ATW226" s="5207"/>
      <c r="ATX226" s="5207"/>
      <c r="ATY226" s="5207"/>
      <c r="ATZ226" s="5207"/>
      <c r="AUA226" s="5207"/>
      <c r="AUB226" s="5207"/>
      <c r="AUC226" s="5207"/>
      <c r="AUD226" s="5207"/>
      <c r="AUE226" s="5207"/>
      <c r="AUF226" s="5207"/>
      <c r="AUG226" s="5207"/>
      <c r="AUH226" s="5207"/>
      <c r="AUI226" s="5207"/>
      <c r="AUJ226" s="5207"/>
      <c r="AUK226" s="5207"/>
      <c r="AUL226" s="5207"/>
      <c r="AUM226" s="5207"/>
      <c r="AUN226" s="5207"/>
      <c r="AUO226" s="5207"/>
      <c r="AUP226" s="5207"/>
      <c r="AUQ226" s="5207"/>
      <c r="AUR226" s="5207"/>
      <c r="AUS226" s="5207"/>
      <c r="AUT226" s="5207"/>
      <c r="AUU226" s="5207"/>
      <c r="AUV226" s="5207"/>
      <c r="AUW226" s="5207"/>
      <c r="AUX226" s="5207"/>
      <c r="AUY226" s="5207"/>
      <c r="AUZ226" s="5207"/>
      <c r="AVA226" s="5207"/>
      <c r="AVB226" s="5207"/>
      <c r="AVC226" s="5207"/>
      <c r="AVD226" s="5207"/>
      <c r="AVE226" s="5207"/>
      <c r="AVF226" s="5207"/>
      <c r="AVG226" s="5207"/>
      <c r="AVH226" s="5207"/>
      <c r="AVI226" s="5207"/>
      <c r="AVJ226" s="5207"/>
      <c r="AVK226" s="5207"/>
      <c r="AVL226" s="5207"/>
      <c r="AVM226" s="5207"/>
      <c r="AVN226" s="5207"/>
      <c r="AVO226" s="5207"/>
      <c r="AVP226" s="5207"/>
      <c r="AVQ226" s="5207"/>
      <c r="AVR226" s="5207"/>
      <c r="AVS226" s="5207"/>
      <c r="AVT226" s="5207"/>
      <c r="AVU226" s="5207"/>
      <c r="AVV226" s="5207"/>
      <c r="AVW226" s="5207"/>
      <c r="AVX226" s="5207"/>
      <c r="AVY226" s="5207"/>
      <c r="AVZ226" s="5207"/>
      <c r="AWA226" s="5207"/>
      <c r="AWB226" s="5207"/>
      <c r="AWC226" s="5207"/>
      <c r="AWD226" s="5207"/>
      <c r="AWE226" s="5207"/>
      <c r="AWF226" s="5207"/>
      <c r="AWG226" s="5207"/>
      <c r="AWH226" s="5207"/>
      <c r="AWI226" s="5207"/>
      <c r="AWJ226" s="5207"/>
      <c r="AWK226" s="5207"/>
      <c r="AWL226" s="5207"/>
      <c r="AWM226" s="5207"/>
      <c r="AWN226" s="5207"/>
      <c r="AWO226" s="5207"/>
      <c r="AWP226" s="5207"/>
      <c r="AWQ226" s="5207"/>
      <c r="AWR226" s="5207"/>
      <c r="AWS226" s="5207"/>
      <c r="AWT226" s="5207"/>
      <c r="AWU226" s="5207"/>
      <c r="AWV226" s="5207"/>
      <c r="AWW226" s="5207"/>
      <c r="AWX226" s="5207"/>
      <c r="AWY226" s="5207"/>
      <c r="AWZ226" s="5207"/>
      <c r="AXA226" s="5207"/>
      <c r="AXB226" s="5207"/>
      <c r="AXC226" s="5207"/>
      <c r="AXD226" s="5207"/>
      <c r="AXE226" s="5207"/>
      <c r="AXF226" s="5207"/>
      <c r="AXG226" s="5207"/>
      <c r="AXH226" s="5207"/>
      <c r="AXI226" s="5207"/>
      <c r="AXJ226" s="5207"/>
    </row>
    <row r="227" spans="1:1310" s="5208" customFormat="1" ht="23.25" customHeight="1">
      <c r="A227" s="5209"/>
      <c r="B227" s="5212" t="s">
        <v>878</v>
      </c>
      <c r="C227" s="5212"/>
      <c r="D227" s="5212"/>
      <c r="E227" s="5212"/>
      <c r="F227" s="5214"/>
      <c r="G227" s="5212" t="s">
        <v>879</v>
      </c>
      <c r="H227" s="5212"/>
      <c r="I227" s="5212"/>
      <c r="J227" s="5214"/>
      <c r="K227" s="5215"/>
      <c r="L227" s="5215"/>
      <c r="M227" s="5215"/>
      <c r="N227" s="5214"/>
      <c r="O227" s="5212" t="s">
        <v>880</v>
      </c>
      <c r="P227" s="5212"/>
      <c r="Q227" s="5214"/>
      <c r="R227" s="95"/>
      <c r="S227" s="95"/>
      <c r="T227" s="95"/>
      <c r="U227" s="95"/>
      <c r="V227" s="95"/>
      <c r="W227" s="95"/>
      <c r="X227" s="95"/>
      <c r="Y227" s="95"/>
      <c r="Z227" s="95"/>
      <c r="AA227" s="95"/>
      <c r="AB227" s="95"/>
      <c r="AC227" s="95"/>
      <c r="AD227" s="5207"/>
      <c r="AE227" s="5207"/>
      <c r="AF227" s="5207"/>
      <c r="AG227" s="5207"/>
      <c r="AH227" s="5207"/>
      <c r="AI227" s="5207"/>
      <c r="AJ227" s="5207"/>
      <c r="AK227" s="5207"/>
      <c r="AL227" s="5207"/>
      <c r="AM227" s="5207"/>
      <c r="AN227" s="5207"/>
      <c r="AO227" s="5207"/>
      <c r="AP227" s="5207"/>
      <c r="AQ227" s="5207"/>
      <c r="AR227" s="5207"/>
      <c r="AS227" s="5207"/>
      <c r="AT227" s="5207"/>
      <c r="AU227" s="5207"/>
      <c r="AV227" s="5207"/>
      <c r="AW227" s="5207"/>
      <c r="AX227" s="5207"/>
      <c r="AY227" s="5207"/>
      <c r="AZ227" s="5207"/>
      <c r="BA227" s="5207"/>
      <c r="BB227" s="5207"/>
      <c r="BC227" s="5207"/>
      <c r="BD227" s="5207"/>
      <c r="BE227" s="5207"/>
      <c r="BF227" s="5207"/>
      <c r="BG227" s="5207"/>
      <c r="BH227" s="5207"/>
      <c r="BI227" s="5207"/>
      <c r="BJ227" s="5207"/>
      <c r="BK227" s="5207"/>
      <c r="BL227" s="5207"/>
      <c r="BM227" s="5207"/>
      <c r="BN227" s="5207"/>
      <c r="BO227" s="5207"/>
      <c r="BP227" s="5207"/>
      <c r="BQ227" s="5207"/>
      <c r="BR227" s="5207"/>
      <c r="BS227" s="5207"/>
      <c r="BT227" s="5207"/>
      <c r="BU227" s="5207"/>
      <c r="BV227" s="5207"/>
      <c r="BW227" s="5207"/>
      <c r="BX227" s="5207"/>
      <c r="BY227" s="5207"/>
      <c r="BZ227" s="5207"/>
      <c r="CA227" s="5207"/>
      <c r="CB227" s="5207"/>
      <c r="CC227" s="5207"/>
      <c r="CD227" s="5207"/>
      <c r="CE227" s="5207"/>
      <c r="CF227" s="5207"/>
      <c r="CG227" s="5207"/>
      <c r="CH227" s="5207"/>
      <c r="CI227" s="5207"/>
      <c r="CJ227" s="5207"/>
      <c r="CK227" s="5207"/>
      <c r="CL227" s="5207"/>
      <c r="CM227" s="5207"/>
      <c r="CN227" s="5207"/>
      <c r="CO227" s="5207"/>
      <c r="CP227" s="5207"/>
      <c r="CQ227" s="5207"/>
      <c r="CR227" s="5207"/>
      <c r="CS227" s="5207"/>
      <c r="CT227" s="5207"/>
      <c r="CU227" s="5207"/>
      <c r="CV227" s="5207"/>
      <c r="CW227" s="5207"/>
      <c r="CX227" s="5207"/>
      <c r="CY227" s="5207"/>
      <c r="CZ227" s="5207"/>
      <c r="DA227" s="5207"/>
      <c r="DB227" s="5207"/>
      <c r="DC227" s="5207"/>
      <c r="DD227" s="5207"/>
      <c r="DE227" s="5207"/>
      <c r="DF227" s="5207"/>
      <c r="DG227" s="5207"/>
      <c r="DH227" s="5207"/>
      <c r="DI227" s="5207"/>
      <c r="DJ227" s="5207"/>
      <c r="DK227" s="5207"/>
      <c r="DL227" s="5207"/>
      <c r="DM227" s="5207"/>
      <c r="DN227" s="5207"/>
      <c r="DO227" s="5207"/>
      <c r="DP227" s="5207"/>
      <c r="DQ227" s="5207"/>
      <c r="DR227" s="5207"/>
      <c r="DS227" s="5207"/>
      <c r="DT227" s="5207"/>
      <c r="DU227" s="5207"/>
      <c r="DV227" s="5207"/>
      <c r="DW227" s="5207"/>
      <c r="DX227" s="5207"/>
      <c r="DY227" s="5207"/>
      <c r="DZ227" s="5207"/>
      <c r="EA227" s="5207"/>
      <c r="EB227" s="5207"/>
      <c r="EC227" s="5207"/>
      <c r="ED227" s="5207"/>
      <c r="EE227" s="5207"/>
      <c r="EF227" s="5207"/>
      <c r="EG227" s="5207"/>
      <c r="EH227" s="5207"/>
      <c r="EI227" s="5207"/>
      <c r="EJ227" s="5207"/>
      <c r="EK227" s="5207"/>
      <c r="EL227" s="5207"/>
      <c r="EM227" s="5207"/>
      <c r="EN227" s="5207"/>
      <c r="EO227" s="5207"/>
      <c r="EP227" s="5207"/>
      <c r="EQ227" s="5207"/>
      <c r="ER227" s="5207"/>
      <c r="ES227" s="5207"/>
      <c r="ET227" s="5207"/>
      <c r="EU227" s="5207"/>
      <c r="EV227" s="5207"/>
      <c r="EW227" s="5207"/>
      <c r="EX227" s="5207"/>
      <c r="EY227" s="5207"/>
      <c r="EZ227" s="5207"/>
      <c r="FA227" s="5207"/>
      <c r="FB227" s="5207"/>
      <c r="FC227" s="5207"/>
      <c r="FD227" s="5207"/>
      <c r="FE227" s="5207"/>
      <c r="FF227" s="5207"/>
      <c r="FG227" s="5207"/>
      <c r="FH227" s="5207"/>
      <c r="FI227" s="5207"/>
      <c r="FJ227" s="5207"/>
      <c r="FK227" s="5207"/>
      <c r="FL227" s="5207"/>
      <c r="FM227" s="5207"/>
      <c r="FN227" s="5207"/>
      <c r="FO227" s="5207"/>
      <c r="FP227" s="5207"/>
      <c r="FQ227" s="5207"/>
      <c r="FR227" s="5207"/>
      <c r="FS227" s="5207"/>
      <c r="FT227" s="5207"/>
      <c r="FU227" s="5207"/>
      <c r="FV227" s="5207"/>
      <c r="FW227" s="5207"/>
      <c r="FX227" s="5207"/>
      <c r="FY227" s="5207"/>
      <c r="FZ227" s="5207"/>
      <c r="GA227" s="5207"/>
      <c r="GB227" s="5207"/>
      <c r="GC227" s="5207"/>
      <c r="GD227" s="5207"/>
      <c r="GE227" s="5207"/>
      <c r="GF227" s="5207"/>
      <c r="GG227" s="5207"/>
      <c r="GH227" s="5207"/>
      <c r="GI227" s="5207"/>
      <c r="GJ227" s="5207"/>
      <c r="GK227" s="5207"/>
      <c r="GL227" s="5207"/>
      <c r="GM227" s="5207"/>
      <c r="GN227" s="5207"/>
      <c r="GO227" s="5207"/>
      <c r="GP227" s="5207"/>
      <c r="GQ227" s="5207"/>
      <c r="GR227" s="5207"/>
      <c r="GS227" s="5207"/>
      <c r="GT227" s="5207"/>
      <c r="GU227" s="5207"/>
      <c r="GV227" s="5207"/>
      <c r="GW227" s="5207"/>
      <c r="GX227" s="5207"/>
      <c r="GY227" s="5207"/>
      <c r="GZ227" s="5207"/>
      <c r="HA227" s="5207"/>
      <c r="HB227" s="5207"/>
      <c r="HC227" s="5207"/>
      <c r="HD227" s="5207"/>
      <c r="HE227" s="5207"/>
      <c r="HF227" s="5207"/>
      <c r="HG227" s="5207"/>
      <c r="HH227" s="5207"/>
      <c r="HI227" s="5207"/>
      <c r="HJ227" s="5207"/>
      <c r="HK227" s="5207"/>
      <c r="HL227" s="5207"/>
      <c r="HM227" s="5207"/>
      <c r="HN227" s="5207"/>
      <c r="HO227" s="5207"/>
      <c r="HP227" s="5207"/>
      <c r="HQ227" s="5207"/>
      <c r="HR227" s="5207"/>
      <c r="HS227" s="5207"/>
      <c r="HT227" s="5207"/>
      <c r="HU227" s="5207"/>
      <c r="HV227" s="5207"/>
      <c r="HW227" s="5207"/>
      <c r="HX227" s="5207"/>
      <c r="HY227" s="5207"/>
      <c r="HZ227" s="5207"/>
      <c r="IA227" s="5207"/>
      <c r="IB227" s="5207"/>
      <c r="IC227" s="5207"/>
      <c r="ID227" s="5207"/>
      <c r="IE227" s="5207"/>
      <c r="IF227" s="5207"/>
      <c r="IG227" s="5207"/>
      <c r="IH227" s="5207"/>
      <c r="II227" s="5207"/>
      <c r="IJ227" s="5207"/>
      <c r="IK227" s="5207"/>
      <c r="IL227" s="5207"/>
      <c r="IM227" s="5207"/>
      <c r="IN227" s="5207"/>
      <c r="IO227" s="5207"/>
      <c r="IP227" s="5207"/>
      <c r="IQ227" s="5207"/>
      <c r="IR227" s="5207"/>
      <c r="IS227" s="5207"/>
      <c r="IT227" s="5207"/>
      <c r="IU227" s="5207"/>
      <c r="IV227" s="5207"/>
      <c r="IW227" s="5207"/>
      <c r="IX227" s="5207"/>
      <c r="IY227" s="5207"/>
      <c r="IZ227" s="5207"/>
      <c r="JA227" s="5207"/>
      <c r="JB227" s="5207"/>
      <c r="JC227" s="5207"/>
      <c r="JD227" s="5207"/>
      <c r="JE227" s="5207"/>
      <c r="JF227" s="5207"/>
      <c r="JG227" s="5207"/>
      <c r="JH227" s="5207"/>
      <c r="JI227" s="5207"/>
      <c r="JJ227" s="5207"/>
      <c r="JK227" s="5207"/>
      <c r="JL227" s="5207"/>
      <c r="JM227" s="5207"/>
      <c r="JN227" s="5207"/>
      <c r="JO227" s="5207"/>
      <c r="JP227" s="5207"/>
      <c r="JQ227" s="5207"/>
      <c r="JR227" s="5207"/>
      <c r="JS227" s="5207"/>
      <c r="JT227" s="5207"/>
      <c r="JU227" s="5207"/>
      <c r="JV227" s="5207"/>
      <c r="JW227" s="5207"/>
      <c r="JX227" s="5207"/>
      <c r="JY227" s="5207"/>
      <c r="JZ227" s="5207"/>
      <c r="KA227" s="5207"/>
      <c r="KB227" s="5207"/>
      <c r="KC227" s="5207"/>
      <c r="KD227" s="5207"/>
      <c r="KE227" s="5207"/>
      <c r="KF227" s="5207"/>
      <c r="KG227" s="5207"/>
      <c r="KH227" s="5207"/>
      <c r="KI227" s="5207"/>
      <c r="KJ227" s="5207"/>
      <c r="KK227" s="5207"/>
      <c r="KL227" s="5207"/>
      <c r="KM227" s="5207"/>
      <c r="KN227" s="5207"/>
      <c r="KO227" s="5207"/>
      <c r="KP227" s="5207"/>
      <c r="KQ227" s="5207"/>
      <c r="KR227" s="5207"/>
      <c r="KS227" s="5207"/>
      <c r="KT227" s="5207"/>
      <c r="KU227" s="5207"/>
      <c r="KV227" s="5207"/>
      <c r="KW227" s="5207"/>
      <c r="KX227" s="5207"/>
      <c r="KY227" s="5207"/>
      <c r="KZ227" s="5207"/>
      <c r="LA227" s="5207"/>
      <c r="LB227" s="5207"/>
      <c r="LC227" s="5207"/>
      <c r="LD227" s="5207"/>
      <c r="LE227" s="5207"/>
      <c r="LF227" s="5207"/>
      <c r="LG227" s="5207"/>
      <c r="LH227" s="5207"/>
      <c r="LI227" s="5207"/>
      <c r="LJ227" s="5207"/>
      <c r="LK227" s="5207"/>
      <c r="LL227" s="5207"/>
      <c r="LM227" s="5207"/>
      <c r="LN227" s="5207"/>
      <c r="LO227" s="5207"/>
      <c r="LP227" s="5207"/>
      <c r="LQ227" s="5207"/>
      <c r="LR227" s="5207"/>
      <c r="LS227" s="5207"/>
      <c r="LT227" s="5207"/>
      <c r="LU227" s="5207"/>
      <c r="LV227" s="5207"/>
      <c r="LW227" s="5207"/>
      <c r="LX227" s="5207"/>
      <c r="LY227" s="5207"/>
      <c r="LZ227" s="5207"/>
      <c r="MA227" s="5207"/>
      <c r="MB227" s="5207"/>
      <c r="MC227" s="5207"/>
      <c r="MD227" s="5207"/>
      <c r="ME227" s="5207"/>
      <c r="MF227" s="5207"/>
      <c r="MG227" s="5207"/>
      <c r="MH227" s="5207"/>
      <c r="MI227" s="5207"/>
      <c r="MJ227" s="5207"/>
      <c r="MK227" s="5207"/>
      <c r="ML227" s="5207"/>
      <c r="MM227" s="5207"/>
      <c r="MN227" s="5207"/>
      <c r="MO227" s="5207"/>
      <c r="MP227" s="5207"/>
      <c r="MQ227" s="5207"/>
      <c r="MR227" s="5207"/>
      <c r="MS227" s="5207"/>
      <c r="MT227" s="5207"/>
      <c r="MU227" s="5207"/>
      <c r="MV227" s="5207"/>
      <c r="MW227" s="5207"/>
      <c r="MX227" s="5207"/>
      <c r="MY227" s="5207"/>
      <c r="MZ227" s="5207"/>
      <c r="NA227" s="5207"/>
      <c r="NB227" s="5207"/>
      <c r="NC227" s="5207"/>
      <c r="ND227" s="5207"/>
      <c r="NE227" s="5207"/>
      <c r="NF227" s="5207"/>
      <c r="NG227" s="5207"/>
      <c r="NH227" s="5207"/>
      <c r="NI227" s="5207"/>
      <c r="NJ227" s="5207"/>
      <c r="NK227" s="5207"/>
      <c r="NL227" s="5207"/>
      <c r="NM227" s="5207"/>
      <c r="NN227" s="5207"/>
      <c r="NO227" s="5207"/>
      <c r="NP227" s="5207"/>
      <c r="NQ227" s="5207"/>
      <c r="NR227" s="5207"/>
      <c r="NS227" s="5207"/>
      <c r="NT227" s="5207"/>
      <c r="NU227" s="5207"/>
      <c r="NV227" s="5207"/>
      <c r="NW227" s="5207"/>
      <c r="NX227" s="5207"/>
      <c r="NY227" s="5207"/>
      <c r="NZ227" s="5207"/>
      <c r="OA227" s="5207"/>
      <c r="OB227" s="5207"/>
      <c r="OC227" s="5207"/>
      <c r="OD227" s="5207"/>
      <c r="OE227" s="5207"/>
      <c r="OF227" s="5207"/>
      <c r="OG227" s="5207"/>
      <c r="OH227" s="5207"/>
      <c r="OI227" s="5207"/>
      <c r="OJ227" s="5207"/>
      <c r="OK227" s="5207"/>
      <c r="OL227" s="5207"/>
      <c r="OM227" s="5207"/>
      <c r="ON227" s="5207"/>
      <c r="OO227" s="5207"/>
      <c r="OP227" s="5207"/>
      <c r="OQ227" s="5207"/>
      <c r="OR227" s="5207"/>
      <c r="OS227" s="5207"/>
      <c r="OT227" s="5207"/>
      <c r="OU227" s="5207"/>
      <c r="OV227" s="5207"/>
      <c r="OW227" s="5207"/>
      <c r="OX227" s="5207"/>
      <c r="OY227" s="5207"/>
      <c r="OZ227" s="5207"/>
      <c r="PA227" s="5207"/>
      <c r="PB227" s="5207"/>
      <c r="PC227" s="5207"/>
      <c r="PD227" s="5207"/>
      <c r="PE227" s="5207"/>
      <c r="PF227" s="5207"/>
      <c r="PG227" s="5207"/>
      <c r="PH227" s="5207"/>
      <c r="PI227" s="5207"/>
      <c r="PJ227" s="5207"/>
      <c r="PK227" s="5207"/>
      <c r="PL227" s="5207"/>
      <c r="PM227" s="5207"/>
      <c r="PN227" s="5207"/>
      <c r="PO227" s="5207"/>
      <c r="PP227" s="5207"/>
      <c r="PQ227" s="5207"/>
      <c r="PR227" s="5207"/>
      <c r="PS227" s="5207"/>
      <c r="PT227" s="5207"/>
      <c r="PU227" s="5207"/>
      <c r="PV227" s="5207"/>
      <c r="PW227" s="5207"/>
      <c r="PX227" s="5207"/>
      <c r="PY227" s="5207"/>
      <c r="PZ227" s="5207"/>
      <c r="QA227" s="5207"/>
      <c r="QB227" s="5207"/>
      <c r="QC227" s="5207"/>
      <c r="QD227" s="5207"/>
      <c r="QE227" s="5207"/>
      <c r="QF227" s="5207"/>
      <c r="QG227" s="5207"/>
      <c r="QH227" s="5207"/>
      <c r="QI227" s="5207"/>
      <c r="QJ227" s="5207"/>
      <c r="QK227" s="5207"/>
      <c r="QL227" s="5207"/>
      <c r="QM227" s="5207"/>
      <c r="QN227" s="5207"/>
      <c r="QO227" s="5207"/>
      <c r="QP227" s="5207"/>
      <c r="QQ227" s="5207"/>
      <c r="QR227" s="5207"/>
      <c r="QS227" s="5207"/>
      <c r="QT227" s="5207"/>
      <c r="QU227" s="5207"/>
      <c r="QV227" s="5207"/>
      <c r="QW227" s="5207"/>
      <c r="QX227" s="5207"/>
      <c r="QY227" s="5207"/>
      <c r="QZ227" s="5207"/>
      <c r="RA227" s="5207"/>
      <c r="RB227" s="5207"/>
      <c r="RC227" s="5207"/>
      <c r="RD227" s="5207"/>
      <c r="RE227" s="5207"/>
      <c r="RF227" s="5207"/>
      <c r="RG227" s="5207"/>
      <c r="RH227" s="5207"/>
      <c r="RI227" s="5207"/>
      <c r="RJ227" s="5207"/>
      <c r="RK227" s="5207"/>
      <c r="RL227" s="5207"/>
      <c r="RM227" s="5207"/>
      <c r="RN227" s="5207"/>
      <c r="RO227" s="5207"/>
      <c r="RP227" s="5207"/>
      <c r="RQ227" s="5207"/>
      <c r="RR227" s="5207"/>
      <c r="RS227" s="5207"/>
      <c r="RT227" s="5207"/>
      <c r="RU227" s="5207"/>
      <c r="RV227" s="5207"/>
      <c r="RW227" s="5207"/>
      <c r="RX227" s="5207"/>
      <c r="RY227" s="5207"/>
      <c r="RZ227" s="5207"/>
      <c r="SA227" s="5207"/>
      <c r="SB227" s="5207"/>
      <c r="SC227" s="5207"/>
      <c r="SD227" s="5207"/>
      <c r="SE227" s="5207"/>
      <c r="SF227" s="5207"/>
      <c r="SG227" s="5207"/>
      <c r="SH227" s="5207"/>
      <c r="SI227" s="5207"/>
      <c r="SJ227" s="5207"/>
      <c r="SK227" s="5207"/>
      <c r="SL227" s="5207"/>
      <c r="SM227" s="5207"/>
      <c r="SN227" s="5207"/>
      <c r="SO227" s="5207"/>
      <c r="SP227" s="5207"/>
      <c r="SQ227" s="5207"/>
      <c r="SR227" s="5207"/>
      <c r="SS227" s="5207"/>
      <c r="ST227" s="5207"/>
      <c r="SU227" s="5207"/>
      <c r="SV227" s="5207"/>
      <c r="SW227" s="5207"/>
      <c r="SX227" s="5207"/>
      <c r="SY227" s="5207"/>
      <c r="SZ227" s="5207"/>
      <c r="TA227" s="5207"/>
      <c r="TB227" s="5207"/>
      <c r="TC227" s="5207"/>
      <c r="TD227" s="5207"/>
      <c r="TE227" s="5207"/>
      <c r="TF227" s="5207"/>
      <c r="TG227" s="5207"/>
      <c r="TH227" s="5207"/>
      <c r="TI227" s="5207"/>
      <c r="TJ227" s="5207"/>
      <c r="TK227" s="5207"/>
      <c r="TL227" s="5207"/>
      <c r="TM227" s="5207"/>
      <c r="TN227" s="5207"/>
      <c r="TO227" s="5207"/>
      <c r="TP227" s="5207"/>
      <c r="TQ227" s="5207"/>
      <c r="TR227" s="5207"/>
      <c r="TS227" s="5207"/>
      <c r="TT227" s="5207"/>
      <c r="TU227" s="5207"/>
      <c r="TV227" s="5207"/>
      <c r="TW227" s="5207"/>
      <c r="TX227" s="5207"/>
      <c r="TY227" s="5207"/>
      <c r="TZ227" s="5207"/>
      <c r="UA227" s="5207"/>
      <c r="UB227" s="5207"/>
      <c r="UC227" s="5207"/>
      <c r="UD227" s="5207"/>
      <c r="UE227" s="5207"/>
      <c r="UF227" s="5207"/>
      <c r="UG227" s="5207"/>
      <c r="UH227" s="5207"/>
      <c r="UI227" s="5207"/>
      <c r="UJ227" s="5207"/>
      <c r="UK227" s="5207"/>
      <c r="UL227" s="5207"/>
      <c r="UM227" s="5207"/>
      <c r="UN227" s="5207"/>
      <c r="UO227" s="5207"/>
      <c r="UP227" s="5207"/>
      <c r="UQ227" s="5207"/>
      <c r="UR227" s="5207"/>
      <c r="US227" s="5207"/>
      <c r="UT227" s="5207"/>
      <c r="UU227" s="5207"/>
      <c r="UV227" s="5207"/>
      <c r="UW227" s="5207"/>
      <c r="UX227" s="5207"/>
      <c r="UY227" s="5207"/>
      <c r="UZ227" s="5207"/>
      <c r="VA227" s="5207"/>
      <c r="VB227" s="5207"/>
      <c r="VC227" s="5207"/>
      <c r="VD227" s="5207"/>
      <c r="VE227" s="5207"/>
      <c r="VF227" s="5207"/>
      <c r="VG227" s="5207"/>
      <c r="VH227" s="5207"/>
      <c r="VI227" s="5207"/>
      <c r="VJ227" s="5207"/>
      <c r="VK227" s="5207"/>
      <c r="VL227" s="5207"/>
      <c r="VM227" s="5207"/>
      <c r="VN227" s="5207"/>
      <c r="VO227" s="5207"/>
      <c r="VP227" s="5207"/>
      <c r="VQ227" s="5207"/>
      <c r="VR227" s="5207"/>
      <c r="VS227" s="5207"/>
      <c r="VT227" s="5207"/>
      <c r="VU227" s="5207"/>
      <c r="VV227" s="5207"/>
      <c r="VW227" s="5207"/>
      <c r="VX227" s="5207"/>
      <c r="VY227" s="5207"/>
      <c r="VZ227" s="5207"/>
      <c r="WA227" s="5207"/>
      <c r="WB227" s="5207"/>
      <c r="WC227" s="5207"/>
      <c r="WD227" s="5207"/>
      <c r="WE227" s="5207"/>
      <c r="WF227" s="5207"/>
      <c r="WG227" s="5207"/>
      <c r="WH227" s="5207"/>
      <c r="WI227" s="5207"/>
      <c r="WJ227" s="5207"/>
      <c r="WK227" s="5207"/>
      <c r="WL227" s="5207"/>
      <c r="WM227" s="5207"/>
      <c r="WN227" s="5207"/>
      <c r="WO227" s="5207"/>
      <c r="WP227" s="5207"/>
      <c r="WQ227" s="5207"/>
      <c r="WR227" s="5207"/>
      <c r="WS227" s="5207"/>
      <c r="WT227" s="5207"/>
      <c r="WU227" s="5207"/>
      <c r="WV227" s="5207"/>
      <c r="WW227" s="5207"/>
      <c r="WX227" s="5207"/>
      <c r="WY227" s="5207"/>
      <c r="WZ227" s="5207"/>
      <c r="XA227" s="5207"/>
      <c r="XB227" s="5207"/>
      <c r="XC227" s="5207"/>
      <c r="XD227" s="5207"/>
      <c r="XE227" s="5207"/>
      <c r="XF227" s="5207"/>
      <c r="XG227" s="5207"/>
      <c r="XH227" s="5207"/>
      <c r="XI227" s="5207"/>
      <c r="XJ227" s="5207"/>
      <c r="XK227" s="5207"/>
      <c r="XL227" s="5207"/>
      <c r="XM227" s="5207"/>
      <c r="XN227" s="5207"/>
      <c r="XO227" s="5207"/>
      <c r="XP227" s="5207"/>
      <c r="XQ227" s="5207"/>
      <c r="XR227" s="5207"/>
      <c r="XS227" s="5207"/>
      <c r="XT227" s="5207"/>
      <c r="XU227" s="5207"/>
      <c r="XV227" s="5207"/>
      <c r="XW227" s="5207"/>
      <c r="XX227" s="5207"/>
      <c r="XY227" s="5207"/>
      <c r="XZ227" s="5207"/>
      <c r="YA227" s="5207"/>
      <c r="YB227" s="5207"/>
      <c r="YC227" s="5207"/>
      <c r="YD227" s="5207"/>
      <c r="YE227" s="5207"/>
      <c r="YF227" s="5207"/>
      <c r="YG227" s="5207"/>
      <c r="YH227" s="5207"/>
      <c r="YI227" s="5207"/>
      <c r="YJ227" s="5207"/>
      <c r="YK227" s="5207"/>
      <c r="YL227" s="5207"/>
      <c r="YM227" s="5207"/>
      <c r="YN227" s="5207"/>
      <c r="YO227" s="5207"/>
      <c r="YP227" s="5207"/>
      <c r="YQ227" s="5207"/>
      <c r="YR227" s="5207"/>
      <c r="YS227" s="5207"/>
      <c r="YT227" s="5207"/>
      <c r="YU227" s="5207"/>
      <c r="YV227" s="5207"/>
      <c r="YW227" s="5207"/>
      <c r="YX227" s="5207"/>
      <c r="YY227" s="5207"/>
      <c r="YZ227" s="5207"/>
      <c r="ZA227" s="5207"/>
      <c r="ZB227" s="5207"/>
      <c r="ZC227" s="5207"/>
      <c r="ZD227" s="5207"/>
      <c r="ZE227" s="5207"/>
      <c r="ZF227" s="5207"/>
      <c r="ZG227" s="5207"/>
      <c r="ZH227" s="5207"/>
      <c r="ZI227" s="5207"/>
      <c r="ZJ227" s="5207"/>
      <c r="ZK227" s="5207"/>
      <c r="ZL227" s="5207"/>
      <c r="ZM227" s="5207"/>
      <c r="ZN227" s="5207"/>
      <c r="ZO227" s="5207"/>
      <c r="ZP227" s="5207"/>
      <c r="ZQ227" s="5207"/>
      <c r="ZR227" s="5207"/>
      <c r="ZS227" s="5207"/>
      <c r="ZT227" s="5207"/>
      <c r="ZU227" s="5207"/>
      <c r="ZV227" s="5207"/>
      <c r="ZW227" s="5207"/>
      <c r="ZX227" s="5207"/>
      <c r="ZY227" s="5207"/>
      <c r="ZZ227" s="5207"/>
      <c r="AAA227" s="5207"/>
      <c r="AAB227" s="5207"/>
      <c r="AAC227" s="5207"/>
      <c r="AAD227" s="5207"/>
      <c r="AAE227" s="5207"/>
      <c r="AAF227" s="5207"/>
      <c r="AAG227" s="5207"/>
      <c r="AAH227" s="5207"/>
      <c r="AAI227" s="5207"/>
      <c r="AAJ227" s="5207"/>
      <c r="AAK227" s="5207"/>
      <c r="AAL227" s="5207"/>
      <c r="AAM227" s="5207"/>
      <c r="AAN227" s="5207"/>
      <c r="AAO227" s="5207"/>
      <c r="AAP227" s="5207"/>
      <c r="AAQ227" s="5207"/>
      <c r="AAR227" s="5207"/>
      <c r="AAS227" s="5207"/>
      <c r="AAT227" s="5207"/>
      <c r="AAU227" s="5207"/>
      <c r="AAV227" s="5207"/>
      <c r="AAW227" s="5207"/>
      <c r="AAX227" s="5207"/>
      <c r="AAY227" s="5207"/>
      <c r="AAZ227" s="5207"/>
      <c r="ABA227" s="5207"/>
      <c r="ABB227" s="5207"/>
      <c r="ABC227" s="5207"/>
      <c r="ABD227" s="5207"/>
      <c r="ABE227" s="5207"/>
      <c r="ABF227" s="5207"/>
      <c r="ABG227" s="5207"/>
      <c r="ABH227" s="5207"/>
      <c r="ABI227" s="5207"/>
      <c r="ABJ227" s="5207"/>
      <c r="ABK227" s="5207"/>
      <c r="ABL227" s="5207"/>
      <c r="ABM227" s="5207"/>
      <c r="ABN227" s="5207"/>
      <c r="ABO227" s="5207"/>
      <c r="ABP227" s="5207"/>
      <c r="ABQ227" s="5207"/>
      <c r="ABR227" s="5207"/>
      <c r="ABS227" s="5207"/>
      <c r="ABT227" s="5207"/>
      <c r="ABU227" s="5207"/>
      <c r="ABV227" s="5207"/>
      <c r="ABW227" s="5207"/>
      <c r="ABX227" s="5207"/>
      <c r="ABY227" s="5207"/>
      <c r="ABZ227" s="5207"/>
      <c r="ACA227" s="5207"/>
      <c r="ACB227" s="5207"/>
      <c r="ACC227" s="5207"/>
      <c r="ACD227" s="5207"/>
      <c r="ACE227" s="5207"/>
      <c r="ACF227" s="5207"/>
      <c r="ACG227" s="5207"/>
      <c r="ACH227" s="5207"/>
      <c r="ACI227" s="5207"/>
      <c r="ACJ227" s="5207"/>
      <c r="ACK227" s="5207"/>
      <c r="ACL227" s="5207"/>
      <c r="ACM227" s="5207"/>
      <c r="ACN227" s="5207"/>
      <c r="ACO227" s="5207"/>
      <c r="ACP227" s="5207"/>
      <c r="ACQ227" s="5207"/>
      <c r="ACR227" s="5207"/>
      <c r="ACS227" s="5207"/>
      <c r="ACT227" s="5207"/>
      <c r="ACU227" s="5207"/>
      <c r="ACV227" s="5207"/>
      <c r="ACW227" s="5207"/>
      <c r="ACX227" s="5207"/>
      <c r="ACY227" s="5207"/>
      <c r="ACZ227" s="5207"/>
      <c r="ADA227" s="5207"/>
      <c r="ADB227" s="5207"/>
      <c r="ADC227" s="5207"/>
      <c r="ADD227" s="5207"/>
      <c r="ADE227" s="5207"/>
      <c r="ADF227" s="5207"/>
      <c r="ADG227" s="5207"/>
      <c r="ADH227" s="5207"/>
      <c r="ADI227" s="5207"/>
      <c r="ADJ227" s="5207"/>
      <c r="ADK227" s="5207"/>
      <c r="ADL227" s="5207"/>
      <c r="ADM227" s="5207"/>
      <c r="ADN227" s="5207"/>
      <c r="ADO227" s="5207"/>
      <c r="ADP227" s="5207"/>
      <c r="ADQ227" s="5207"/>
      <c r="ADR227" s="5207"/>
      <c r="ADS227" s="5207"/>
      <c r="ADT227" s="5207"/>
      <c r="ADU227" s="5207"/>
      <c r="ADV227" s="5207"/>
      <c r="ADW227" s="5207"/>
      <c r="ADX227" s="5207"/>
      <c r="ADY227" s="5207"/>
      <c r="ADZ227" s="5207"/>
      <c r="AEA227" s="5207"/>
      <c r="AEB227" s="5207"/>
      <c r="AEC227" s="5207"/>
      <c r="AED227" s="5207"/>
      <c r="AEE227" s="5207"/>
      <c r="AEF227" s="5207"/>
      <c r="AEG227" s="5207"/>
      <c r="AEH227" s="5207"/>
      <c r="AEI227" s="5207"/>
      <c r="AEJ227" s="5207"/>
      <c r="AEK227" s="5207"/>
      <c r="AEL227" s="5207"/>
      <c r="AEM227" s="5207"/>
      <c r="AEN227" s="5207"/>
      <c r="AEO227" s="5207"/>
      <c r="AEP227" s="5207"/>
      <c r="AEQ227" s="5207"/>
      <c r="AER227" s="5207"/>
      <c r="AES227" s="5207"/>
      <c r="AET227" s="5207"/>
      <c r="AEU227" s="5207"/>
      <c r="AEV227" s="5207"/>
      <c r="AEW227" s="5207"/>
      <c r="AEX227" s="5207"/>
      <c r="AEY227" s="5207"/>
      <c r="AEZ227" s="5207"/>
      <c r="AFA227" s="5207"/>
      <c r="AFB227" s="5207"/>
      <c r="AFC227" s="5207"/>
      <c r="AFD227" s="5207"/>
      <c r="AFE227" s="5207"/>
      <c r="AFF227" s="5207"/>
      <c r="AFG227" s="5207"/>
      <c r="AFH227" s="5207"/>
      <c r="AFI227" s="5207"/>
      <c r="AFJ227" s="5207"/>
      <c r="AFK227" s="5207"/>
      <c r="AFL227" s="5207"/>
      <c r="AFM227" s="5207"/>
      <c r="AFN227" s="5207"/>
      <c r="AFO227" s="5207"/>
      <c r="AFP227" s="5207"/>
      <c r="AFQ227" s="5207"/>
      <c r="AFR227" s="5207"/>
      <c r="AFS227" s="5207"/>
      <c r="AFT227" s="5207"/>
      <c r="AFU227" s="5207"/>
      <c r="AFV227" s="5207"/>
      <c r="AFW227" s="5207"/>
      <c r="AFX227" s="5207"/>
      <c r="AFY227" s="5207"/>
      <c r="AFZ227" s="5207"/>
      <c r="AGA227" s="5207"/>
      <c r="AGB227" s="5207"/>
      <c r="AGC227" s="5207"/>
      <c r="AGD227" s="5207"/>
      <c r="AGE227" s="5207"/>
      <c r="AGF227" s="5207"/>
      <c r="AGG227" s="5207"/>
      <c r="AGH227" s="5207"/>
      <c r="AGI227" s="5207"/>
      <c r="AGJ227" s="5207"/>
      <c r="AGK227" s="5207"/>
      <c r="AGL227" s="5207"/>
      <c r="AGM227" s="5207"/>
      <c r="AGN227" s="5207"/>
      <c r="AGO227" s="5207"/>
      <c r="AGP227" s="5207"/>
      <c r="AGQ227" s="5207"/>
      <c r="AGR227" s="5207"/>
      <c r="AGS227" s="5207"/>
      <c r="AGT227" s="5207"/>
      <c r="AGU227" s="5207"/>
      <c r="AGV227" s="5207"/>
      <c r="AGW227" s="5207"/>
      <c r="AGX227" s="5207"/>
      <c r="AGY227" s="5207"/>
      <c r="AGZ227" s="5207"/>
      <c r="AHA227" s="5207"/>
      <c r="AHB227" s="5207"/>
      <c r="AHC227" s="5207"/>
      <c r="AHD227" s="5207"/>
      <c r="AHE227" s="5207"/>
      <c r="AHF227" s="5207"/>
      <c r="AHG227" s="5207"/>
      <c r="AHH227" s="5207"/>
      <c r="AHI227" s="5207"/>
      <c r="AHJ227" s="5207"/>
      <c r="AHK227" s="5207"/>
      <c r="AHL227" s="5207"/>
      <c r="AHM227" s="5207"/>
      <c r="AHN227" s="5207"/>
      <c r="AHO227" s="5207"/>
      <c r="AHP227" s="5207"/>
      <c r="AHQ227" s="5207"/>
      <c r="AHR227" s="5207"/>
      <c r="AHS227" s="5207"/>
      <c r="AHT227" s="5207"/>
      <c r="AHU227" s="5207"/>
      <c r="AHV227" s="5207"/>
      <c r="AHW227" s="5207"/>
      <c r="AHX227" s="5207"/>
      <c r="AHY227" s="5207"/>
      <c r="AHZ227" s="5207"/>
      <c r="AIA227" s="5207"/>
      <c r="AIB227" s="5207"/>
      <c r="AIC227" s="5207"/>
      <c r="AID227" s="5207"/>
      <c r="AIE227" s="5207"/>
      <c r="AIF227" s="5207"/>
      <c r="AIG227" s="5207"/>
      <c r="AIH227" s="5207"/>
      <c r="AII227" s="5207"/>
      <c r="AIJ227" s="5207"/>
      <c r="AIK227" s="5207"/>
      <c r="AIL227" s="5207"/>
      <c r="AIM227" s="5207"/>
      <c r="AIN227" s="5207"/>
      <c r="AIO227" s="5207"/>
      <c r="AIP227" s="5207"/>
      <c r="AIQ227" s="5207"/>
      <c r="AIR227" s="5207"/>
      <c r="AIS227" s="5207"/>
      <c r="AIT227" s="5207"/>
      <c r="AIU227" s="5207"/>
      <c r="AIV227" s="5207"/>
      <c r="AIW227" s="5207"/>
      <c r="AIX227" s="5207"/>
      <c r="AIY227" s="5207"/>
      <c r="AIZ227" s="5207"/>
      <c r="AJA227" s="5207"/>
      <c r="AJB227" s="5207"/>
      <c r="AJC227" s="5207"/>
      <c r="AJD227" s="5207"/>
      <c r="AJE227" s="5207"/>
      <c r="AJF227" s="5207"/>
      <c r="AJG227" s="5207"/>
      <c r="AJH227" s="5207"/>
      <c r="AJI227" s="5207"/>
      <c r="AJJ227" s="5207"/>
      <c r="AJK227" s="5207"/>
      <c r="AJL227" s="5207"/>
      <c r="AJM227" s="5207"/>
      <c r="AJN227" s="5207"/>
      <c r="AJO227" s="5207"/>
      <c r="AJP227" s="5207"/>
      <c r="AJQ227" s="5207"/>
      <c r="AJR227" s="5207"/>
      <c r="AJS227" s="5207"/>
      <c r="AJT227" s="5207"/>
      <c r="AJU227" s="5207"/>
      <c r="AJV227" s="5207"/>
      <c r="AJW227" s="5207"/>
      <c r="AJX227" s="5207"/>
      <c r="AJY227" s="5207"/>
      <c r="AJZ227" s="5207"/>
      <c r="AKA227" s="5207"/>
      <c r="AKB227" s="5207"/>
      <c r="AKC227" s="5207"/>
      <c r="AKD227" s="5207"/>
      <c r="AKE227" s="5207"/>
      <c r="AKF227" s="5207"/>
      <c r="AKG227" s="5207"/>
      <c r="AKH227" s="5207"/>
      <c r="AKI227" s="5207"/>
      <c r="AKJ227" s="5207"/>
      <c r="AKK227" s="5207"/>
      <c r="AKL227" s="5207"/>
      <c r="AKM227" s="5207"/>
      <c r="AKN227" s="5207"/>
      <c r="AKO227" s="5207"/>
      <c r="AKP227" s="5207"/>
      <c r="AKQ227" s="5207"/>
      <c r="AKR227" s="5207"/>
      <c r="AKS227" s="5207"/>
      <c r="AKT227" s="5207"/>
      <c r="AKU227" s="5207"/>
      <c r="AKV227" s="5207"/>
      <c r="AKW227" s="5207"/>
      <c r="AKX227" s="5207"/>
      <c r="AKY227" s="5207"/>
      <c r="AKZ227" s="5207"/>
      <c r="ALA227" s="5207"/>
      <c r="ALB227" s="5207"/>
      <c r="ALC227" s="5207"/>
      <c r="ALD227" s="5207"/>
      <c r="ALE227" s="5207"/>
      <c r="ALF227" s="5207"/>
      <c r="ALG227" s="5207"/>
      <c r="ALH227" s="5207"/>
      <c r="ALI227" s="5207"/>
      <c r="ALJ227" s="5207"/>
      <c r="ALK227" s="5207"/>
      <c r="ALL227" s="5207"/>
      <c r="ALM227" s="5207"/>
      <c r="ALN227" s="5207"/>
      <c r="ALO227" s="5207"/>
      <c r="ALP227" s="5207"/>
      <c r="ALQ227" s="5207"/>
      <c r="ALR227" s="5207"/>
      <c r="ALS227" s="5207"/>
      <c r="ALT227" s="5207"/>
      <c r="ALU227" s="5207"/>
      <c r="ALV227" s="5207"/>
      <c r="ALW227" s="5207"/>
      <c r="ALX227" s="5207"/>
      <c r="ALY227" s="5207"/>
      <c r="ALZ227" s="5207"/>
      <c r="AMA227" s="5207"/>
      <c r="AMB227" s="5207"/>
      <c r="AMC227" s="5207"/>
      <c r="AMD227" s="5207"/>
      <c r="AME227" s="5207"/>
      <c r="AMF227" s="5207"/>
      <c r="AMG227" s="5207"/>
      <c r="AMH227" s="5207"/>
      <c r="AMI227" s="5207"/>
      <c r="AMJ227" s="5207"/>
      <c r="AMK227" s="5207"/>
      <c r="AML227" s="5207"/>
      <c r="AMM227" s="5207"/>
      <c r="AMN227" s="5207"/>
      <c r="AMO227" s="5207"/>
      <c r="AMP227" s="5207"/>
      <c r="AMQ227" s="5207"/>
      <c r="AMR227" s="5207"/>
      <c r="AMS227" s="5207"/>
      <c r="AMT227" s="5207"/>
      <c r="AMU227" s="5207"/>
      <c r="AMV227" s="5207"/>
      <c r="AMW227" s="5207"/>
      <c r="AMX227" s="5207"/>
      <c r="AMY227" s="5207"/>
      <c r="AMZ227" s="5207"/>
      <c r="ANA227" s="5207"/>
      <c r="ANB227" s="5207"/>
      <c r="ANC227" s="5207"/>
      <c r="AND227" s="5207"/>
      <c r="ANE227" s="5207"/>
      <c r="ANF227" s="5207"/>
      <c r="ANG227" s="5207"/>
      <c r="ANH227" s="5207"/>
      <c r="ANI227" s="5207"/>
      <c r="ANJ227" s="5207"/>
      <c r="ANK227" s="5207"/>
      <c r="ANL227" s="5207"/>
      <c r="ANM227" s="5207"/>
      <c r="ANN227" s="5207"/>
      <c r="ANO227" s="5207"/>
      <c r="ANP227" s="5207"/>
      <c r="ANQ227" s="5207"/>
      <c r="ANR227" s="5207"/>
      <c r="ANS227" s="5207"/>
      <c r="ANT227" s="5207"/>
      <c r="ANU227" s="5207"/>
      <c r="ANV227" s="5207"/>
      <c r="ANW227" s="5207"/>
      <c r="ANX227" s="5207"/>
      <c r="ANY227" s="5207"/>
      <c r="ANZ227" s="5207"/>
      <c r="AOA227" s="5207"/>
      <c r="AOB227" s="5207"/>
      <c r="AOC227" s="5207"/>
      <c r="AOD227" s="5207"/>
      <c r="AOE227" s="5207"/>
      <c r="AOF227" s="5207"/>
      <c r="AOG227" s="5207"/>
      <c r="AOH227" s="5207"/>
      <c r="AOI227" s="5207"/>
      <c r="AOJ227" s="5207"/>
      <c r="AOK227" s="5207"/>
      <c r="AOL227" s="5207"/>
      <c r="AOM227" s="5207"/>
      <c r="AON227" s="5207"/>
      <c r="AOO227" s="5207"/>
      <c r="AOP227" s="5207"/>
      <c r="AOQ227" s="5207"/>
      <c r="AOR227" s="5207"/>
      <c r="AOS227" s="5207"/>
      <c r="AOT227" s="5207"/>
      <c r="AOU227" s="5207"/>
      <c r="AOV227" s="5207"/>
      <c r="AOW227" s="5207"/>
      <c r="AOX227" s="5207"/>
      <c r="AOY227" s="5207"/>
      <c r="AOZ227" s="5207"/>
      <c r="APA227" s="5207"/>
      <c r="APB227" s="5207"/>
      <c r="APC227" s="5207"/>
      <c r="APD227" s="5207"/>
      <c r="APE227" s="5207"/>
      <c r="APF227" s="5207"/>
      <c r="APG227" s="5207"/>
      <c r="APH227" s="5207"/>
      <c r="API227" s="5207"/>
      <c r="APJ227" s="5207"/>
      <c r="APK227" s="5207"/>
      <c r="APL227" s="5207"/>
      <c r="APM227" s="5207"/>
      <c r="APN227" s="5207"/>
      <c r="APO227" s="5207"/>
      <c r="APP227" s="5207"/>
      <c r="APQ227" s="5207"/>
      <c r="APR227" s="5207"/>
      <c r="APS227" s="5207"/>
      <c r="APT227" s="5207"/>
      <c r="APU227" s="5207"/>
      <c r="APV227" s="5207"/>
      <c r="APW227" s="5207"/>
      <c r="APX227" s="5207"/>
      <c r="APY227" s="5207"/>
      <c r="APZ227" s="5207"/>
      <c r="AQA227" s="5207"/>
      <c r="AQB227" s="5207"/>
      <c r="AQC227" s="5207"/>
      <c r="AQD227" s="5207"/>
      <c r="AQE227" s="5207"/>
      <c r="AQF227" s="5207"/>
      <c r="AQG227" s="5207"/>
      <c r="AQH227" s="5207"/>
      <c r="AQI227" s="5207"/>
      <c r="AQJ227" s="5207"/>
      <c r="AQK227" s="5207"/>
      <c r="AQL227" s="5207"/>
      <c r="AQM227" s="5207"/>
      <c r="AQN227" s="5207"/>
      <c r="AQO227" s="5207"/>
      <c r="AQP227" s="5207"/>
      <c r="AQQ227" s="5207"/>
      <c r="AQR227" s="5207"/>
      <c r="AQS227" s="5207"/>
      <c r="AQT227" s="5207"/>
      <c r="AQU227" s="5207"/>
      <c r="AQV227" s="5207"/>
      <c r="AQW227" s="5207"/>
      <c r="AQX227" s="5207"/>
      <c r="AQY227" s="5207"/>
      <c r="AQZ227" s="5207"/>
      <c r="ARA227" s="5207"/>
      <c r="ARB227" s="5207"/>
      <c r="ARC227" s="5207"/>
      <c r="ARD227" s="5207"/>
      <c r="ARE227" s="5207"/>
      <c r="ARF227" s="5207"/>
      <c r="ARG227" s="5207"/>
      <c r="ARH227" s="5207"/>
      <c r="ARI227" s="5207"/>
      <c r="ARJ227" s="5207"/>
      <c r="ARK227" s="5207"/>
      <c r="ARL227" s="5207"/>
      <c r="ARM227" s="5207"/>
      <c r="ARN227" s="5207"/>
      <c r="ARO227" s="5207"/>
      <c r="ARP227" s="5207"/>
      <c r="ARQ227" s="5207"/>
      <c r="ARR227" s="5207"/>
      <c r="ARS227" s="5207"/>
      <c r="ART227" s="5207"/>
      <c r="ARU227" s="5207"/>
      <c r="ARV227" s="5207"/>
      <c r="ARW227" s="5207"/>
      <c r="ARX227" s="5207"/>
      <c r="ARY227" s="5207"/>
      <c r="ARZ227" s="5207"/>
      <c r="ASA227" s="5207"/>
      <c r="ASB227" s="5207"/>
      <c r="ASC227" s="5207"/>
      <c r="ASD227" s="5207"/>
      <c r="ASE227" s="5207"/>
      <c r="ASF227" s="5207"/>
      <c r="ASG227" s="5207"/>
      <c r="ASH227" s="5207"/>
      <c r="ASI227" s="5207"/>
      <c r="ASJ227" s="5207"/>
      <c r="ASK227" s="5207"/>
      <c r="ASL227" s="5207"/>
      <c r="ASM227" s="5207"/>
      <c r="ASN227" s="5207"/>
      <c r="ASO227" s="5207"/>
      <c r="ASP227" s="5207"/>
      <c r="ASQ227" s="5207"/>
      <c r="ASR227" s="5207"/>
      <c r="ASS227" s="5207"/>
      <c r="AST227" s="5207"/>
      <c r="ASU227" s="5207"/>
      <c r="ASV227" s="5207"/>
      <c r="ASW227" s="5207"/>
      <c r="ASX227" s="5207"/>
      <c r="ASY227" s="5207"/>
      <c r="ASZ227" s="5207"/>
      <c r="ATA227" s="5207"/>
      <c r="ATB227" s="5207"/>
      <c r="ATC227" s="5207"/>
      <c r="ATD227" s="5207"/>
      <c r="ATE227" s="5207"/>
      <c r="ATF227" s="5207"/>
      <c r="ATG227" s="5207"/>
      <c r="ATH227" s="5207"/>
      <c r="ATI227" s="5207"/>
      <c r="ATJ227" s="5207"/>
      <c r="ATK227" s="5207"/>
      <c r="ATL227" s="5207"/>
      <c r="ATM227" s="5207"/>
      <c r="ATN227" s="5207"/>
      <c r="ATO227" s="5207"/>
      <c r="ATP227" s="5207"/>
      <c r="ATQ227" s="5207"/>
      <c r="ATR227" s="5207"/>
      <c r="ATS227" s="5207"/>
      <c r="ATT227" s="5207"/>
      <c r="ATU227" s="5207"/>
      <c r="ATV227" s="5207"/>
      <c r="ATW227" s="5207"/>
      <c r="ATX227" s="5207"/>
      <c r="ATY227" s="5207"/>
      <c r="ATZ227" s="5207"/>
      <c r="AUA227" s="5207"/>
      <c r="AUB227" s="5207"/>
      <c r="AUC227" s="5207"/>
      <c r="AUD227" s="5207"/>
      <c r="AUE227" s="5207"/>
      <c r="AUF227" s="5207"/>
      <c r="AUG227" s="5207"/>
      <c r="AUH227" s="5207"/>
      <c r="AUI227" s="5207"/>
      <c r="AUJ227" s="5207"/>
      <c r="AUK227" s="5207"/>
      <c r="AUL227" s="5207"/>
      <c r="AUM227" s="5207"/>
      <c r="AUN227" s="5207"/>
      <c r="AUO227" s="5207"/>
      <c r="AUP227" s="5207"/>
      <c r="AUQ227" s="5207"/>
      <c r="AUR227" s="5207"/>
      <c r="AUS227" s="5207"/>
      <c r="AUT227" s="5207"/>
      <c r="AUU227" s="5207"/>
      <c r="AUV227" s="5207"/>
      <c r="AUW227" s="5207"/>
      <c r="AUX227" s="5207"/>
      <c r="AUY227" s="5207"/>
      <c r="AUZ227" s="5207"/>
      <c r="AVA227" s="5207"/>
      <c r="AVB227" s="5207"/>
      <c r="AVC227" s="5207"/>
      <c r="AVD227" s="5207"/>
      <c r="AVE227" s="5207"/>
      <c r="AVF227" s="5207"/>
      <c r="AVG227" s="5207"/>
      <c r="AVH227" s="5207"/>
      <c r="AVI227" s="5207"/>
      <c r="AVJ227" s="5207"/>
      <c r="AVK227" s="5207"/>
      <c r="AVL227" s="5207"/>
      <c r="AVM227" s="5207"/>
      <c r="AVN227" s="5207"/>
      <c r="AVO227" s="5207"/>
      <c r="AVP227" s="5207"/>
      <c r="AVQ227" s="5207"/>
      <c r="AVR227" s="5207"/>
      <c r="AVS227" s="5207"/>
      <c r="AVT227" s="5207"/>
      <c r="AVU227" s="5207"/>
      <c r="AVV227" s="5207"/>
      <c r="AVW227" s="5207"/>
      <c r="AVX227" s="5207"/>
      <c r="AVY227" s="5207"/>
      <c r="AVZ227" s="5207"/>
      <c r="AWA227" s="5207"/>
      <c r="AWB227" s="5207"/>
      <c r="AWC227" s="5207"/>
      <c r="AWD227" s="5207"/>
      <c r="AWE227" s="5207"/>
      <c r="AWF227" s="5207"/>
      <c r="AWG227" s="5207"/>
      <c r="AWH227" s="5207"/>
      <c r="AWI227" s="5207"/>
      <c r="AWJ227" s="5207"/>
      <c r="AWK227" s="5207"/>
      <c r="AWL227" s="5207"/>
      <c r="AWM227" s="5207"/>
      <c r="AWN227" s="5207"/>
      <c r="AWO227" s="5207"/>
      <c r="AWP227" s="5207"/>
      <c r="AWQ227" s="5207"/>
      <c r="AWR227" s="5207"/>
      <c r="AWS227" s="5207"/>
      <c r="AWT227" s="5207"/>
      <c r="AWU227" s="5207"/>
      <c r="AWV227" s="5207"/>
      <c r="AWW227" s="5207"/>
      <c r="AWX227" s="5207"/>
      <c r="AWY227" s="5207"/>
      <c r="AWZ227" s="5207"/>
      <c r="AXA227" s="5207"/>
      <c r="AXB227" s="5207"/>
      <c r="AXC227" s="5207"/>
      <c r="AXD227" s="5207"/>
      <c r="AXE227" s="5207"/>
      <c r="AXF227" s="5207"/>
      <c r="AXG227" s="5207"/>
      <c r="AXH227" s="5207"/>
      <c r="AXI227" s="5207"/>
      <c r="AXJ227" s="5207"/>
    </row>
    <row r="228" spans="1:1310" s="5208" customFormat="1" ht="23.25" customHeight="1">
      <c r="A228" s="5209"/>
      <c r="B228" s="5212" t="s">
        <v>881</v>
      </c>
      <c r="C228" s="5212"/>
      <c r="D228" s="5212"/>
      <c r="E228" s="5212"/>
      <c r="F228" s="5214"/>
      <c r="G228" s="5212" t="s">
        <v>863</v>
      </c>
      <c r="H228" s="5212"/>
      <c r="I228" s="5212"/>
      <c r="J228" s="5214"/>
      <c r="K228" s="5212" t="s">
        <v>882</v>
      </c>
      <c r="L228" s="5212"/>
      <c r="M228" s="5212"/>
      <c r="N228" s="5214"/>
      <c r="O228" s="5212" t="s">
        <v>883</v>
      </c>
      <c r="P228" s="5212"/>
      <c r="Q228" s="5214"/>
      <c r="R228" s="95"/>
      <c r="S228" s="95"/>
      <c r="T228" s="95"/>
      <c r="U228" s="95"/>
      <c r="V228" s="95"/>
      <c r="W228" s="95"/>
      <c r="X228" s="95"/>
      <c r="Y228" s="95"/>
      <c r="Z228" s="95"/>
      <c r="AA228" s="95"/>
      <c r="AB228" s="95"/>
      <c r="AC228" s="95"/>
      <c r="AD228" s="5207"/>
      <c r="AE228" s="5207"/>
      <c r="AF228" s="5207"/>
      <c r="AG228" s="5207"/>
      <c r="AH228" s="5207"/>
      <c r="AI228" s="5207"/>
      <c r="AJ228" s="5207"/>
      <c r="AK228" s="5207"/>
      <c r="AL228" s="5207"/>
      <c r="AM228" s="5207"/>
      <c r="AN228" s="5207"/>
      <c r="AO228" s="5207"/>
      <c r="AP228" s="5207"/>
      <c r="AQ228" s="5207"/>
      <c r="AR228" s="5207"/>
      <c r="AS228" s="5207"/>
      <c r="AT228" s="5207"/>
      <c r="AU228" s="5207"/>
      <c r="AV228" s="5207"/>
      <c r="AW228" s="5207"/>
      <c r="AX228" s="5207"/>
      <c r="AY228" s="5207"/>
      <c r="AZ228" s="5207"/>
      <c r="BA228" s="5207"/>
      <c r="BB228" s="5207"/>
      <c r="BC228" s="5207"/>
      <c r="BD228" s="5207"/>
      <c r="BE228" s="5207"/>
      <c r="BF228" s="5207"/>
      <c r="BG228" s="5207"/>
      <c r="BH228" s="5207"/>
      <c r="BI228" s="5207"/>
      <c r="BJ228" s="5207"/>
      <c r="BK228" s="5207"/>
      <c r="BL228" s="5207"/>
      <c r="BM228" s="5207"/>
      <c r="BN228" s="5207"/>
      <c r="BO228" s="5207"/>
      <c r="BP228" s="5207"/>
      <c r="BQ228" s="5207"/>
      <c r="BR228" s="5207"/>
      <c r="BS228" s="5207"/>
      <c r="BT228" s="5207"/>
      <c r="BU228" s="5207"/>
      <c r="BV228" s="5207"/>
      <c r="BW228" s="5207"/>
      <c r="BX228" s="5207"/>
      <c r="BY228" s="5207"/>
      <c r="BZ228" s="5207"/>
      <c r="CA228" s="5207"/>
      <c r="CB228" s="5207"/>
      <c r="CC228" s="5207"/>
      <c r="CD228" s="5207"/>
      <c r="CE228" s="5207"/>
      <c r="CF228" s="5207"/>
      <c r="CG228" s="5207"/>
      <c r="CH228" s="5207"/>
      <c r="CI228" s="5207"/>
      <c r="CJ228" s="5207"/>
      <c r="CK228" s="5207"/>
      <c r="CL228" s="5207"/>
      <c r="CM228" s="5207"/>
      <c r="CN228" s="5207"/>
      <c r="CO228" s="5207"/>
      <c r="CP228" s="5207"/>
      <c r="CQ228" s="5207"/>
      <c r="CR228" s="5207"/>
      <c r="CS228" s="5207"/>
      <c r="CT228" s="5207"/>
      <c r="CU228" s="5207"/>
      <c r="CV228" s="5207"/>
      <c r="CW228" s="5207"/>
      <c r="CX228" s="5207"/>
      <c r="CY228" s="5207"/>
      <c r="CZ228" s="5207"/>
      <c r="DA228" s="5207"/>
      <c r="DB228" s="5207"/>
      <c r="DC228" s="5207"/>
      <c r="DD228" s="5207"/>
      <c r="DE228" s="5207"/>
      <c r="DF228" s="5207"/>
      <c r="DG228" s="5207"/>
      <c r="DH228" s="5207"/>
      <c r="DI228" s="5207"/>
      <c r="DJ228" s="5207"/>
      <c r="DK228" s="5207"/>
      <c r="DL228" s="5207"/>
      <c r="DM228" s="5207"/>
      <c r="DN228" s="5207"/>
      <c r="DO228" s="5207"/>
      <c r="DP228" s="5207"/>
      <c r="DQ228" s="5207"/>
      <c r="DR228" s="5207"/>
      <c r="DS228" s="5207"/>
      <c r="DT228" s="5207"/>
      <c r="DU228" s="5207"/>
      <c r="DV228" s="5207"/>
      <c r="DW228" s="5207"/>
      <c r="DX228" s="5207"/>
      <c r="DY228" s="5207"/>
      <c r="DZ228" s="5207"/>
      <c r="EA228" s="5207"/>
      <c r="EB228" s="5207"/>
      <c r="EC228" s="5207"/>
      <c r="ED228" s="5207"/>
      <c r="EE228" s="5207"/>
      <c r="EF228" s="5207"/>
      <c r="EG228" s="5207"/>
      <c r="EH228" s="5207"/>
      <c r="EI228" s="5207"/>
      <c r="EJ228" s="5207"/>
      <c r="EK228" s="5207"/>
      <c r="EL228" s="5207"/>
      <c r="EM228" s="5207"/>
      <c r="EN228" s="5207"/>
      <c r="EO228" s="5207"/>
      <c r="EP228" s="5207"/>
      <c r="EQ228" s="5207"/>
      <c r="ER228" s="5207"/>
      <c r="ES228" s="5207"/>
      <c r="ET228" s="5207"/>
      <c r="EU228" s="5207"/>
      <c r="EV228" s="5207"/>
      <c r="EW228" s="5207"/>
      <c r="EX228" s="5207"/>
      <c r="EY228" s="5207"/>
      <c r="EZ228" s="5207"/>
      <c r="FA228" s="5207"/>
      <c r="FB228" s="5207"/>
      <c r="FC228" s="5207"/>
      <c r="FD228" s="5207"/>
      <c r="FE228" s="5207"/>
      <c r="FF228" s="5207"/>
      <c r="FG228" s="5207"/>
      <c r="FH228" s="5207"/>
      <c r="FI228" s="5207"/>
      <c r="FJ228" s="5207"/>
      <c r="FK228" s="5207"/>
      <c r="FL228" s="5207"/>
      <c r="FM228" s="5207"/>
      <c r="FN228" s="5207"/>
      <c r="FO228" s="5207"/>
      <c r="FP228" s="5207"/>
      <c r="FQ228" s="5207"/>
      <c r="FR228" s="5207"/>
      <c r="FS228" s="5207"/>
      <c r="FT228" s="5207"/>
      <c r="FU228" s="5207"/>
      <c r="FV228" s="5207"/>
      <c r="FW228" s="5207"/>
      <c r="FX228" s="5207"/>
      <c r="FY228" s="5207"/>
      <c r="FZ228" s="5207"/>
      <c r="GA228" s="5207"/>
      <c r="GB228" s="5207"/>
      <c r="GC228" s="5207"/>
      <c r="GD228" s="5207"/>
      <c r="GE228" s="5207"/>
      <c r="GF228" s="5207"/>
      <c r="GG228" s="5207"/>
      <c r="GH228" s="5207"/>
      <c r="GI228" s="5207"/>
      <c r="GJ228" s="5207"/>
      <c r="GK228" s="5207"/>
      <c r="GL228" s="5207"/>
      <c r="GM228" s="5207"/>
      <c r="GN228" s="5207"/>
      <c r="GO228" s="5207"/>
      <c r="GP228" s="5207"/>
      <c r="GQ228" s="5207"/>
      <c r="GR228" s="5207"/>
      <c r="GS228" s="5207"/>
      <c r="GT228" s="5207"/>
      <c r="GU228" s="5207"/>
      <c r="GV228" s="5207"/>
      <c r="GW228" s="5207"/>
      <c r="GX228" s="5207"/>
      <c r="GY228" s="5207"/>
      <c r="GZ228" s="5207"/>
      <c r="HA228" s="5207"/>
      <c r="HB228" s="5207"/>
      <c r="HC228" s="5207"/>
      <c r="HD228" s="5207"/>
      <c r="HE228" s="5207"/>
      <c r="HF228" s="5207"/>
      <c r="HG228" s="5207"/>
      <c r="HH228" s="5207"/>
      <c r="HI228" s="5207"/>
      <c r="HJ228" s="5207"/>
      <c r="HK228" s="5207"/>
      <c r="HL228" s="5207"/>
      <c r="HM228" s="5207"/>
      <c r="HN228" s="5207"/>
      <c r="HO228" s="5207"/>
      <c r="HP228" s="5207"/>
      <c r="HQ228" s="5207"/>
      <c r="HR228" s="5207"/>
      <c r="HS228" s="5207"/>
      <c r="HT228" s="5207"/>
      <c r="HU228" s="5207"/>
      <c r="HV228" s="5207"/>
      <c r="HW228" s="5207"/>
      <c r="HX228" s="5207"/>
      <c r="HY228" s="5207"/>
      <c r="HZ228" s="5207"/>
      <c r="IA228" s="5207"/>
      <c r="IB228" s="5207"/>
      <c r="IC228" s="5207"/>
      <c r="ID228" s="5207"/>
      <c r="IE228" s="5207"/>
      <c r="IF228" s="5207"/>
      <c r="IG228" s="5207"/>
      <c r="IH228" s="5207"/>
      <c r="II228" s="5207"/>
      <c r="IJ228" s="5207"/>
      <c r="IK228" s="5207"/>
      <c r="IL228" s="5207"/>
      <c r="IM228" s="5207"/>
      <c r="IN228" s="5207"/>
      <c r="IO228" s="5207"/>
      <c r="IP228" s="5207"/>
      <c r="IQ228" s="5207"/>
      <c r="IR228" s="5207"/>
      <c r="IS228" s="5207"/>
      <c r="IT228" s="5207"/>
      <c r="IU228" s="5207"/>
      <c r="IV228" s="5207"/>
      <c r="IW228" s="5207"/>
      <c r="IX228" s="5207"/>
      <c r="IY228" s="5207"/>
      <c r="IZ228" s="5207"/>
      <c r="JA228" s="5207"/>
      <c r="JB228" s="5207"/>
      <c r="JC228" s="5207"/>
      <c r="JD228" s="5207"/>
      <c r="JE228" s="5207"/>
      <c r="JF228" s="5207"/>
      <c r="JG228" s="5207"/>
      <c r="JH228" s="5207"/>
      <c r="JI228" s="5207"/>
      <c r="JJ228" s="5207"/>
      <c r="JK228" s="5207"/>
      <c r="JL228" s="5207"/>
      <c r="JM228" s="5207"/>
      <c r="JN228" s="5207"/>
      <c r="JO228" s="5207"/>
      <c r="JP228" s="5207"/>
      <c r="JQ228" s="5207"/>
      <c r="JR228" s="5207"/>
      <c r="JS228" s="5207"/>
      <c r="JT228" s="5207"/>
      <c r="JU228" s="5207"/>
      <c r="JV228" s="5207"/>
      <c r="JW228" s="5207"/>
      <c r="JX228" s="5207"/>
      <c r="JY228" s="5207"/>
      <c r="JZ228" s="5207"/>
      <c r="KA228" s="5207"/>
      <c r="KB228" s="5207"/>
      <c r="KC228" s="5207"/>
      <c r="KD228" s="5207"/>
      <c r="KE228" s="5207"/>
      <c r="KF228" s="5207"/>
      <c r="KG228" s="5207"/>
      <c r="KH228" s="5207"/>
      <c r="KI228" s="5207"/>
      <c r="KJ228" s="5207"/>
      <c r="KK228" s="5207"/>
      <c r="KL228" s="5207"/>
      <c r="KM228" s="5207"/>
      <c r="KN228" s="5207"/>
      <c r="KO228" s="5207"/>
      <c r="KP228" s="5207"/>
      <c r="KQ228" s="5207"/>
      <c r="KR228" s="5207"/>
      <c r="KS228" s="5207"/>
      <c r="KT228" s="5207"/>
      <c r="KU228" s="5207"/>
      <c r="KV228" s="5207"/>
      <c r="KW228" s="5207"/>
      <c r="KX228" s="5207"/>
      <c r="KY228" s="5207"/>
      <c r="KZ228" s="5207"/>
      <c r="LA228" s="5207"/>
      <c r="LB228" s="5207"/>
      <c r="LC228" s="5207"/>
      <c r="LD228" s="5207"/>
      <c r="LE228" s="5207"/>
      <c r="LF228" s="5207"/>
      <c r="LG228" s="5207"/>
      <c r="LH228" s="5207"/>
      <c r="LI228" s="5207"/>
      <c r="LJ228" s="5207"/>
      <c r="LK228" s="5207"/>
      <c r="LL228" s="5207"/>
      <c r="LM228" s="5207"/>
      <c r="LN228" s="5207"/>
      <c r="LO228" s="5207"/>
      <c r="LP228" s="5207"/>
      <c r="LQ228" s="5207"/>
      <c r="LR228" s="5207"/>
      <c r="LS228" s="5207"/>
      <c r="LT228" s="5207"/>
      <c r="LU228" s="5207"/>
      <c r="LV228" s="5207"/>
      <c r="LW228" s="5207"/>
      <c r="LX228" s="5207"/>
      <c r="LY228" s="5207"/>
      <c r="LZ228" s="5207"/>
      <c r="MA228" s="5207"/>
      <c r="MB228" s="5207"/>
      <c r="MC228" s="5207"/>
      <c r="MD228" s="5207"/>
      <c r="ME228" s="5207"/>
      <c r="MF228" s="5207"/>
      <c r="MG228" s="5207"/>
      <c r="MH228" s="5207"/>
      <c r="MI228" s="5207"/>
      <c r="MJ228" s="5207"/>
      <c r="MK228" s="5207"/>
      <c r="ML228" s="5207"/>
      <c r="MM228" s="5207"/>
      <c r="MN228" s="5207"/>
      <c r="MO228" s="5207"/>
      <c r="MP228" s="5207"/>
      <c r="MQ228" s="5207"/>
      <c r="MR228" s="5207"/>
      <c r="MS228" s="5207"/>
      <c r="MT228" s="5207"/>
      <c r="MU228" s="5207"/>
      <c r="MV228" s="5207"/>
      <c r="MW228" s="5207"/>
      <c r="MX228" s="5207"/>
      <c r="MY228" s="5207"/>
      <c r="MZ228" s="5207"/>
      <c r="NA228" s="5207"/>
      <c r="NB228" s="5207"/>
      <c r="NC228" s="5207"/>
      <c r="ND228" s="5207"/>
      <c r="NE228" s="5207"/>
      <c r="NF228" s="5207"/>
      <c r="NG228" s="5207"/>
      <c r="NH228" s="5207"/>
      <c r="NI228" s="5207"/>
      <c r="NJ228" s="5207"/>
      <c r="NK228" s="5207"/>
      <c r="NL228" s="5207"/>
      <c r="NM228" s="5207"/>
      <c r="NN228" s="5207"/>
      <c r="NO228" s="5207"/>
      <c r="NP228" s="5207"/>
      <c r="NQ228" s="5207"/>
      <c r="NR228" s="5207"/>
      <c r="NS228" s="5207"/>
      <c r="NT228" s="5207"/>
      <c r="NU228" s="5207"/>
      <c r="NV228" s="5207"/>
      <c r="NW228" s="5207"/>
      <c r="NX228" s="5207"/>
      <c r="NY228" s="5207"/>
      <c r="NZ228" s="5207"/>
      <c r="OA228" s="5207"/>
      <c r="OB228" s="5207"/>
      <c r="OC228" s="5207"/>
      <c r="OD228" s="5207"/>
      <c r="OE228" s="5207"/>
      <c r="OF228" s="5207"/>
      <c r="OG228" s="5207"/>
      <c r="OH228" s="5207"/>
      <c r="OI228" s="5207"/>
      <c r="OJ228" s="5207"/>
      <c r="OK228" s="5207"/>
      <c r="OL228" s="5207"/>
      <c r="OM228" s="5207"/>
      <c r="ON228" s="5207"/>
      <c r="OO228" s="5207"/>
      <c r="OP228" s="5207"/>
      <c r="OQ228" s="5207"/>
      <c r="OR228" s="5207"/>
      <c r="OS228" s="5207"/>
      <c r="OT228" s="5207"/>
      <c r="OU228" s="5207"/>
      <c r="OV228" s="5207"/>
      <c r="OW228" s="5207"/>
      <c r="OX228" s="5207"/>
      <c r="OY228" s="5207"/>
      <c r="OZ228" s="5207"/>
      <c r="PA228" s="5207"/>
      <c r="PB228" s="5207"/>
      <c r="PC228" s="5207"/>
      <c r="PD228" s="5207"/>
      <c r="PE228" s="5207"/>
      <c r="PF228" s="5207"/>
      <c r="PG228" s="5207"/>
      <c r="PH228" s="5207"/>
      <c r="PI228" s="5207"/>
      <c r="PJ228" s="5207"/>
      <c r="PK228" s="5207"/>
      <c r="PL228" s="5207"/>
      <c r="PM228" s="5207"/>
      <c r="PN228" s="5207"/>
      <c r="PO228" s="5207"/>
      <c r="PP228" s="5207"/>
      <c r="PQ228" s="5207"/>
      <c r="PR228" s="5207"/>
      <c r="PS228" s="5207"/>
      <c r="PT228" s="5207"/>
      <c r="PU228" s="5207"/>
      <c r="PV228" s="5207"/>
      <c r="PW228" s="5207"/>
      <c r="PX228" s="5207"/>
      <c r="PY228" s="5207"/>
      <c r="PZ228" s="5207"/>
      <c r="QA228" s="5207"/>
      <c r="QB228" s="5207"/>
      <c r="QC228" s="5207"/>
      <c r="QD228" s="5207"/>
      <c r="QE228" s="5207"/>
      <c r="QF228" s="5207"/>
      <c r="QG228" s="5207"/>
      <c r="QH228" s="5207"/>
      <c r="QI228" s="5207"/>
      <c r="QJ228" s="5207"/>
      <c r="QK228" s="5207"/>
      <c r="QL228" s="5207"/>
      <c r="QM228" s="5207"/>
      <c r="QN228" s="5207"/>
      <c r="QO228" s="5207"/>
      <c r="QP228" s="5207"/>
      <c r="QQ228" s="5207"/>
      <c r="QR228" s="5207"/>
      <c r="QS228" s="5207"/>
      <c r="QT228" s="5207"/>
      <c r="QU228" s="5207"/>
      <c r="QV228" s="5207"/>
      <c r="QW228" s="5207"/>
      <c r="QX228" s="5207"/>
      <c r="QY228" s="5207"/>
      <c r="QZ228" s="5207"/>
      <c r="RA228" s="5207"/>
      <c r="RB228" s="5207"/>
      <c r="RC228" s="5207"/>
      <c r="RD228" s="5207"/>
      <c r="RE228" s="5207"/>
      <c r="RF228" s="5207"/>
      <c r="RG228" s="5207"/>
      <c r="RH228" s="5207"/>
      <c r="RI228" s="5207"/>
      <c r="RJ228" s="5207"/>
      <c r="RK228" s="5207"/>
      <c r="RL228" s="5207"/>
      <c r="RM228" s="5207"/>
      <c r="RN228" s="5207"/>
      <c r="RO228" s="5207"/>
      <c r="RP228" s="5207"/>
      <c r="RQ228" s="5207"/>
      <c r="RR228" s="5207"/>
      <c r="RS228" s="5207"/>
      <c r="RT228" s="5207"/>
      <c r="RU228" s="5207"/>
      <c r="RV228" s="5207"/>
      <c r="RW228" s="5207"/>
      <c r="RX228" s="5207"/>
      <c r="RY228" s="5207"/>
      <c r="RZ228" s="5207"/>
      <c r="SA228" s="5207"/>
      <c r="SB228" s="5207"/>
      <c r="SC228" s="5207"/>
      <c r="SD228" s="5207"/>
      <c r="SE228" s="5207"/>
      <c r="SF228" s="5207"/>
      <c r="SG228" s="5207"/>
      <c r="SH228" s="5207"/>
      <c r="SI228" s="5207"/>
      <c r="SJ228" s="5207"/>
      <c r="SK228" s="5207"/>
      <c r="SL228" s="5207"/>
      <c r="SM228" s="5207"/>
      <c r="SN228" s="5207"/>
      <c r="SO228" s="5207"/>
      <c r="SP228" s="5207"/>
      <c r="SQ228" s="5207"/>
      <c r="SR228" s="5207"/>
      <c r="SS228" s="5207"/>
      <c r="ST228" s="5207"/>
      <c r="SU228" s="5207"/>
      <c r="SV228" s="5207"/>
      <c r="SW228" s="5207"/>
      <c r="SX228" s="5207"/>
      <c r="SY228" s="5207"/>
      <c r="SZ228" s="5207"/>
      <c r="TA228" s="5207"/>
      <c r="TB228" s="5207"/>
      <c r="TC228" s="5207"/>
      <c r="TD228" s="5207"/>
      <c r="TE228" s="5207"/>
      <c r="TF228" s="5207"/>
      <c r="TG228" s="5207"/>
      <c r="TH228" s="5207"/>
      <c r="TI228" s="5207"/>
      <c r="TJ228" s="5207"/>
      <c r="TK228" s="5207"/>
      <c r="TL228" s="5207"/>
      <c r="TM228" s="5207"/>
      <c r="TN228" s="5207"/>
      <c r="TO228" s="5207"/>
      <c r="TP228" s="5207"/>
      <c r="TQ228" s="5207"/>
      <c r="TR228" s="5207"/>
      <c r="TS228" s="5207"/>
      <c r="TT228" s="5207"/>
      <c r="TU228" s="5207"/>
      <c r="TV228" s="5207"/>
      <c r="TW228" s="5207"/>
      <c r="TX228" s="5207"/>
      <c r="TY228" s="5207"/>
      <c r="TZ228" s="5207"/>
      <c r="UA228" s="5207"/>
      <c r="UB228" s="5207"/>
      <c r="UC228" s="5207"/>
      <c r="UD228" s="5207"/>
      <c r="UE228" s="5207"/>
      <c r="UF228" s="5207"/>
      <c r="UG228" s="5207"/>
      <c r="UH228" s="5207"/>
      <c r="UI228" s="5207"/>
      <c r="UJ228" s="5207"/>
      <c r="UK228" s="5207"/>
      <c r="UL228" s="5207"/>
      <c r="UM228" s="5207"/>
      <c r="UN228" s="5207"/>
      <c r="UO228" s="5207"/>
      <c r="UP228" s="5207"/>
      <c r="UQ228" s="5207"/>
      <c r="UR228" s="5207"/>
      <c r="US228" s="5207"/>
      <c r="UT228" s="5207"/>
      <c r="UU228" s="5207"/>
      <c r="UV228" s="5207"/>
      <c r="UW228" s="5207"/>
      <c r="UX228" s="5207"/>
      <c r="UY228" s="5207"/>
      <c r="UZ228" s="5207"/>
      <c r="VA228" s="5207"/>
      <c r="VB228" s="5207"/>
      <c r="VC228" s="5207"/>
      <c r="VD228" s="5207"/>
      <c r="VE228" s="5207"/>
      <c r="VF228" s="5207"/>
      <c r="VG228" s="5207"/>
      <c r="VH228" s="5207"/>
      <c r="VI228" s="5207"/>
      <c r="VJ228" s="5207"/>
      <c r="VK228" s="5207"/>
      <c r="VL228" s="5207"/>
      <c r="VM228" s="5207"/>
      <c r="VN228" s="5207"/>
      <c r="VO228" s="5207"/>
      <c r="VP228" s="5207"/>
      <c r="VQ228" s="5207"/>
      <c r="VR228" s="5207"/>
      <c r="VS228" s="5207"/>
      <c r="VT228" s="5207"/>
      <c r="VU228" s="5207"/>
      <c r="VV228" s="5207"/>
      <c r="VW228" s="5207"/>
      <c r="VX228" s="5207"/>
      <c r="VY228" s="5207"/>
      <c r="VZ228" s="5207"/>
      <c r="WA228" s="5207"/>
      <c r="WB228" s="5207"/>
      <c r="WC228" s="5207"/>
      <c r="WD228" s="5207"/>
      <c r="WE228" s="5207"/>
      <c r="WF228" s="5207"/>
      <c r="WG228" s="5207"/>
      <c r="WH228" s="5207"/>
      <c r="WI228" s="5207"/>
      <c r="WJ228" s="5207"/>
      <c r="WK228" s="5207"/>
      <c r="WL228" s="5207"/>
      <c r="WM228" s="5207"/>
      <c r="WN228" s="5207"/>
      <c r="WO228" s="5207"/>
      <c r="WP228" s="5207"/>
      <c r="WQ228" s="5207"/>
      <c r="WR228" s="5207"/>
      <c r="WS228" s="5207"/>
      <c r="WT228" s="5207"/>
      <c r="WU228" s="5207"/>
      <c r="WV228" s="5207"/>
      <c r="WW228" s="5207"/>
      <c r="WX228" s="5207"/>
      <c r="WY228" s="5207"/>
      <c r="WZ228" s="5207"/>
      <c r="XA228" s="5207"/>
      <c r="XB228" s="5207"/>
      <c r="XC228" s="5207"/>
      <c r="XD228" s="5207"/>
      <c r="XE228" s="5207"/>
      <c r="XF228" s="5207"/>
      <c r="XG228" s="5207"/>
      <c r="XH228" s="5207"/>
      <c r="XI228" s="5207"/>
      <c r="XJ228" s="5207"/>
      <c r="XK228" s="5207"/>
      <c r="XL228" s="5207"/>
      <c r="XM228" s="5207"/>
      <c r="XN228" s="5207"/>
      <c r="XO228" s="5207"/>
      <c r="XP228" s="5207"/>
      <c r="XQ228" s="5207"/>
      <c r="XR228" s="5207"/>
      <c r="XS228" s="5207"/>
      <c r="XT228" s="5207"/>
      <c r="XU228" s="5207"/>
      <c r="XV228" s="5207"/>
      <c r="XW228" s="5207"/>
      <c r="XX228" s="5207"/>
      <c r="XY228" s="5207"/>
      <c r="XZ228" s="5207"/>
      <c r="YA228" s="5207"/>
      <c r="YB228" s="5207"/>
      <c r="YC228" s="5207"/>
      <c r="YD228" s="5207"/>
      <c r="YE228" s="5207"/>
      <c r="YF228" s="5207"/>
      <c r="YG228" s="5207"/>
      <c r="YH228" s="5207"/>
      <c r="YI228" s="5207"/>
      <c r="YJ228" s="5207"/>
      <c r="YK228" s="5207"/>
      <c r="YL228" s="5207"/>
      <c r="YM228" s="5207"/>
      <c r="YN228" s="5207"/>
      <c r="YO228" s="5207"/>
      <c r="YP228" s="5207"/>
      <c r="YQ228" s="5207"/>
      <c r="YR228" s="5207"/>
      <c r="YS228" s="5207"/>
      <c r="YT228" s="5207"/>
      <c r="YU228" s="5207"/>
      <c r="YV228" s="5207"/>
      <c r="YW228" s="5207"/>
      <c r="YX228" s="5207"/>
      <c r="YY228" s="5207"/>
      <c r="YZ228" s="5207"/>
      <c r="ZA228" s="5207"/>
      <c r="ZB228" s="5207"/>
      <c r="ZC228" s="5207"/>
      <c r="ZD228" s="5207"/>
      <c r="ZE228" s="5207"/>
      <c r="ZF228" s="5207"/>
      <c r="ZG228" s="5207"/>
      <c r="ZH228" s="5207"/>
      <c r="ZI228" s="5207"/>
      <c r="ZJ228" s="5207"/>
      <c r="ZK228" s="5207"/>
      <c r="ZL228" s="5207"/>
      <c r="ZM228" s="5207"/>
      <c r="ZN228" s="5207"/>
      <c r="ZO228" s="5207"/>
      <c r="ZP228" s="5207"/>
      <c r="ZQ228" s="5207"/>
      <c r="ZR228" s="5207"/>
      <c r="ZS228" s="5207"/>
      <c r="ZT228" s="5207"/>
      <c r="ZU228" s="5207"/>
      <c r="ZV228" s="5207"/>
      <c r="ZW228" s="5207"/>
      <c r="ZX228" s="5207"/>
      <c r="ZY228" s="5207"/>
      <c r="ZZ228" s="5207"/>
      <c r="AAA228" s="5207"/>
      <c r="AAB228" s="5207"/>
      <c r="AAC228" s="5207"/>
      <c r="AAD228" s="5207"/>
      <c r="AAE228" s="5207"/>
      <c r="AAF228" s="5207"/>
      <c r="AAG228" s="5207"/>
      <c r="AAH228" s="5207"/>
      <c r="AAI228" s="5207"/>
      <c r="AAJ228" s="5207"/>
      <c r="AAK228" s="5207"/>
      <c r="AAL228" s="5207"/>
      <c r="AAM228" s="5207"/>
      <c r="AAN228" s="5207"/>
      <c r="AAO228" s="5207"/>
      <c r="AAP228" s="5207"/>
      <c r="AAQ228" s="5207"/>
      <c r="AAR228" s="5207"/>
      <c r="AAS228" s="5207"/>
      <c r="AAT228" s="5207"/>
      <c r="AAU228" s="5207"/>
      <c r="AAV228" s="5207"/>
      <c r="AAW228" s="5207"/>
      <c r="AAX228" s="5207"/>
      <c r="AAY228" s="5207"/>
      <c r="AAZ228" s="5207"/>
      <c r="ABA228" s="5207"/>
      <c r="ABB228" s="5207"/>
      <c r="ABC228" s="5207"/>
      <c r="ABD228" s="5207"/>
      <c r="ABE228" s="5207"/>
      <c r="ABF228" s="5207"/>
      <c r="ABG228" s="5207"/>
      <c r="ABH228" s="5207"/>
      <c r="ABI228" s="5207"/>
      <c r="ABJ228" s="5207"/>
      <c r="ABK228" s="5207"/>
      <c r="ABL228" s="5207"/>
      <c r="ABM228" s="5207"/>
      <c r="ABN228" s="5207"/>
      <c r="ABO228" s="5207"/>
      <c r="ABP228" s="5207"/>
      <c r="ABQ228" s="5207"/>
      <c r="ABR228" s="5207"/>
      <c r="ABS228" s="5207"/>
      <c r="ABT228" s="5207"/>
      <c r="ABU228" s="5207"/>
      <c r="ABV228" s="5207"/>
      <c r="ABW228" s="5207"/>
      <c r="ABX228" s="5207"/>
      <c r="ABY228" s="5207"/>
      <c r="ABZ228" s="5207"/>
      <c r="ACA228" s="5207"/>
      <c r="ACB228" s="5207"/>
      <c r="ACC228" s="5207"/>
      <c r="ACD228" s="5207"/>
      <c r="ACE228" s="5207"/>
      <c r="ACF228" s="5207"/>
      <c r="ACG228" s="5207"/>
      <c r="ACH228" s="5207"/>
      <c r="ACI228" s="5207"/>
      <c r="ACJ228" s="5207"/>
      <c r="ACK228" s="5207"/>
      <c r="ACL228" s="5207"/>
      <c r="ACM228" s="5207"/>
      <c r="ACN228" s="5207"/>
      <c r="ACO228" s="5207"/>
      <c r="ACP228" s="5207"/>
      <c r="ACQ228" s="5207"/>
      <c r="ACR228" s="5207"/>
      <c r="ACS228" s="5207"/>
      <c r="ACT228" s="5207"/>
      <c r="ACU228" s="5207"/>
      <c r="ACV228" s="5207"/>
      <c r="ACW228" s="5207"/>
      <c r="ACX228" s="5207"/>
      <c r="ACY228" s="5207"/>
      <c r="ACZ228" s="5207"/>
      <c r="ADA228" s="5207"/>
      <c r="ADB228" s="5207"/>
      <c r="ADC228" s="5207"/>
      <c r="ADD228" s="5207"/>
      <c r="ADE228" s="5207"/>
      <c r="ADF228" s="5207"/>
      <c r="ADG228" s="5207"/>
      <c r="ADH228" s="5207"/>
      <c r="ADI228" s="5207"/>
      <c r="ADJ228" s="5207"/>
      <c r="ADK228" s="5207"/>
      <c r="ADL228" s="5207"/>
      <c r="ADM228" s="5207"/>
      <c r="ADN228" s="5207"/>
      <c r="ADO228" s="5207"/>
      <c r="ADP228" s="5207"/>
      <c r="ADQ228" s="5207"/>
      <c r="ADR228" s="5207"/>
      <c r="ADS228" s="5207"/>
      <c r="ADT228" s="5207"/>
      <c r="ADU228" s="5207"/>
      <c r="ADV228" s="5207"/>
      <c r="ADW228" s="5207"/>
      <c r="ADX228" s="5207"/>
      <c r="ADY228" s="5207"/>
      <c r="ADZ228" s="5207"/>
      <c r="AEA228" s="5207"/>
      <c r="AEB228" s="5207"/>
      <c r="AEC228" s="5207"/>
      <c r="AED228" s="5207"/>
      <c r="AEE228" s="5207"/>
      <c r="AEF228" s="5207"/>
      <c r="AEG228" s="5207"/>
      <c r="AEH228" s="5207"/>
      <c r="AEI228" s="5207"/>
      <c r="AEJ228" s="5207"/>
      <c r="AEK228" s="5207"/>
      <c r="AEL228" s="5207"/>
      <c r="AEM228" s="5207"/>
      <c r="AEN228" s="5207"/>
      <c r="AEO228" s="5207"/>
      <c r="AEP228" s="5207"/>
      <c r="AEQ228" s="5207"/>
      <c r="AER228" s="5207"/>
      <c r="AES228" s="5207"/>
      <c r="AET228" s="5207"/>
      <c r="AEU228" s="5207"/>
      <c r="AEV228" s="5207"/>
      <c r="AEW228" s="5207"/>
      <c r="AEX228" s="5207"/>
      <c r="AEY228" s="5207"/>
      <c r="AEZ228" s="5207"/>
      <c r="AFA228" s="5207"/>
      <c r="AFB228" s="5207"/>
      <c r="AFC228" s="5207"/>
      <c r="AFD228" s="5207"/>
      <c r="AFE228" s="5207"/>
      <c r="AFF228" s="5207"/>
      <c r="AFG228" s="5207"/>
      <c r="AFH228" s="5207"/>
      <c r="AFI228" s="5207"/>
      <c r="AFJ228" s="5207"/>
      <c r="AFK228" s="5207"/>
      <c r="AFL228" s="5207"/>
      <c r="AFM228" s="5207"/>
      <c r="AFN228" s="5207"/>
      <c r="AFO228" s="5207"/>
      <c r="AFP228" s="5207"/>
      <c r="AFQ228" s="5207"/>
      <c r="AFR228" s="5207"/>
      <c r="AFS228" s="5207"/>
      <c r="AFT228" s="5207"/>
      <c r="AFU228" s="5207"/>
      <c r="AFV228" s="5207"/>
      <c r="AFW228" s="5207"/>
      <c r="AFX228" s="5207"/>
      <c r="AFY228" s="5207"/>
      <c r="AFZ228" s="5207"/>
      <c r="AGA228" s="5207"/>
      <c r="AGB228" s="5207"/>
      <c r="AGC228" s="5207"/>
      <c r="AGD228" s="5207"/>
      <c r="AGE228" s="5207"/>
      <c r="AGF228" s="5207"/>
      <c r="AGG228" s="5207"/>
      <c r="AGH228" s="5207"/>
      <c r="AGI228" s="5207"/>
      <c r="AGJ228" s="5207"/>
      <c r="AGK228" s="5207"/>
      <c r="AGL228" s="5207"/>
      <c r="AGM228" s="5207"/>
      <c r="AGN228" s="5207"/>
      <c r="AGO228" s="5207"/>
      <c r="AGP228" s="5207"/>
      <c r="AGQ228" s="5207"/>
      <c r="AGR228" s="5207"/>
      <c r="AGS228" s="5207"/>
      <c r="AGT228" s="5207"/>
      <c r="AGU228" s="5207"/>
      <c r="AGV228" s="5207"/>
      <c r="AGW228" s="5207"/>
      <c r="AGX228" s="5207"/>
      <c r="AGY228" s="5207"/>
      <c r="AGZ228" s="5207"/>
      <c r="AHA228" s="5207"/>
      <c r="AHB228" s="5207"/>
      <c r="AHC228" s="5207"/>
      <c r="AHD228" s="5207"/>
      <c r="AHE228" s="5207"/>
      <c r="AHF228" s="5207"/>
      <c r="AHG228" s="5207"/>
      <c r="AHH228" s="5207"/>
      <c r="AHI228" s="5207"/>
      <c r="AHJ228" s="5207"/>
      <c r="AHK228" s="5207"/>
      <c r="AHL228" s="5207"/>
      <c r="AHM228" s="5207"/>
      <c r="AHN228" s="5207"/>
      <c r="AHO228" s="5207"/>
      <c r="AHP228" s="5207"/>
      <c r="AHQ228" s="5207"/>
      <c r="AHR228" s="5207"/>
      <c r="AHS228" s="5207"/>
      <c r="AHT228" s="5207"/>
      <c r="AHU228" s="5207"/>
      <c r="AHV228" s="5207"/>
      <c r="AHW228" s="5207"/>
      <c r="AHX228" s="5207"/>
      <c r="AHY228" s="5207"/>
      <c r="AHZ228" s="5207"/>
      <c r="AIA228" s="5207"/>
      <c r="AIB228" s="5207"/>
      <c r="AIC228" s="5207"/>
      <c r="AID228" s="5207"/>
      <c r="AIE228" s="5207"/>
      <c r="AIF228" s="5207"/>
      <c r="AIG228" s="5207"/>
      <c r="AIH228" s="5207"/>
      <c r="AII228" s="5207"/>
      <c r="AIJ228" s="5207"/>
      <c r="AIK228" s="5207"/>
      <c r="AIL228" s="5207"/>
      <c r="AIM228" s="5207"/>
      <c r="AIN228" s="5207"/>
      <c r="AIO228" s="5207"/>
      <c r="AIP228" s="5207"/>
      <c r="AIQ228" s="5207"/>
      <c r="AIR228" s="5207"/>
      <c r="AIS228" s="5207"/>
      <c r="AIT228" s="5207"/>
      <c r="AIU228" s="5207"/>
      <c r="AIV228" s="5207"/>
      <c r="AIW228" s="5207"/>
      <c r="AIX228" s="5207"/>
      <c r="AIY228" s="5207"/>
      <c r="AIZ228" s="5207"/>
      <c r="AJA228" s="5207"/>
      <c r="AJB228" s="5207"/>
      <c r="AJC228" s="5207"/>
      <c r="AJD228" s="5207"/>
      <c r="AJE228" s="5207"/>
      <c r="AJF228" s="5207"/>
      <c r="AJG228" s="5207"/>
      <c r="AJH228" s="5207"/>
      <c r="AJI228" s="5207"/>
      <c r="AJJ228" s="5207"/>
      <c r="AJK228" s="5207"/>
      <c r="AJL228" s="5207"/>
      <c r="AJM228" s="5207"/>
      <c r="AJN228" s="5207"/>
      <c r="AJO228" s="5207"/>
      <c r="AJP228" s="5207"/>
      <c r="AJQ228" s="5207"/>
      <c r="AJR228" s="5207"/>
      <c r="AJS228" s="5207"/>
      <c r="AJT228" s="5207"/>
      <c r="AJU228" s="5207"/>
      <c r="AJV228" s="5207"/>
      <c r="AJW228" s="5207"/>
      <c r="AJX228" s="5207"/>
      <c r="AJY228" s="5207"/>
      <c r="AJZ228" s="5207"/>
      <c r="AKA228" s="5207"/>
      <c r="AKB228" s="5207"/>
      <c r="AKC228" s="5207"/>
      <c r="AKD228" s="5207"/>
      <c r="AKE228" s="5207"/>
      <c r="AKF228" s="5207"/>
      <c r="AKG228" s="5207"/>
      <c r="AKH228" s="5207"/>
      <c r="AKI228" s="5207"/>
      <c r="AKJ228" s="5207"/>
      <c r="AKK228" s="5207"/>
      <c r="AKL228" s="5207"/>
      <c r="AKM228" s="5207"/>
      <c r="AKN228" s="5207"/>
      <c r="AKO228" s="5207"/>
      <c r="AKP228" s="5207"/>
      <c r="AKQ228" s="5207"/>
      <c r="AKR228" s="5207"/>
      <c r="AKS228" s="5207"/>
      <c r="AKT228" s="5207"/>
      <c r="AKU228" s="5207"/>
      <c r="AKV228" s="5207"/>
      <c r="AKW228" s="5207"/>
      <c r="AKX228" s="5207"/>
      <c r="AKY228" s="5207"/>
      <c r="AKZ228" s="5207"/>
      <c r="ALA228" s="5207"/>
      <c r="ALB228" s="5207"/>
      <c r="ALC228" s="5207"/>
      <c r="ALD228" s="5207"/>
      <c r="ALE228" s="5207"/>
      <c r="ALF228" s="5207"/>
      <c r="ALG228" s="5207"/>
      <c r="ALH228" s="5207"/>
      <c r="ALI228" s="5207"/>
      <c r="ALJ228" s="5207"/>
      <c r="ALK228" s="5207"/>
      <c r="ALL228" s="5207"/>
      <c r="ALM228" s="5207"/>
      <c r="ALN228" s="5207"/>
      <c r="ALO228" s="5207"/>
      <c r="ALP228" s="5207"/>
      <c r="ALQ228" s="5207"/>
      <c r="ALR228" s="5207"/>
      <c r="ALS228" s="5207"/>
      <c r="ALT228" s="5207"/>
      <c r="ALU228" s="5207"/>
      <c r="ALV228" s="5207"/>
      <c r="ALW228" s="5207"/>
      <c r="ALX228" s="5207"/>
      <c r="ALY228" s="5207"/>
      <c r="ALZ228" s="5207"/>
      <c r="AMA228" s="5207"/>
      <c r="AMB228" s="5207"/>
      <c r="AMC228" s="5207"/>
      <c r="AMD228" s="5207"/>
      <c r="AME228" s="5207"/>
      <c r="AMF228" s="5207"/>
      <c r="AMG228" s="5207"/>
      <c r="AMH228" s="5207"/>
      <c r="AMI228" s="5207"/>
      <c r="AMJ228" s="5207"/>
      <c r="AMK228" s="5207"/>
      <c r="AML228" s="5207"/>
      <c r="AMM228" s="5207"/>
      <c r="AMN228" s="5207"/>
      <c r="AMO228" s="5207"/>
      <c r="AMP228" s="5207"/>
      <c r="AMQ228" s="5207"/>
      <c r="AMR228" s="5207"/>
      <c r="AMS228" s="5207"/>
      <c r="AMT228" s="5207"/>
      <c r="AMU228" s="5207"/>
      <c r="AMV228" s="5207"/>
      <c r="AMW228" s="5207"/>
      <c r="AMX228" s="5207"/>
      <c r="AMY228" s="5207"/>
      <c r="AMZ228" s="5207"/>
      <c r="ANA228" s="5207"/>
      <c r="ANB228" s="5207"/>
      <c r="ANC228" s="5207"/>
      <c r="AND228" s="5207"/>
      <c r="ANE228" s="5207"/>
      <c r="ANF228" s="5207"/>
      <c r="ANG228" s="5207"/>
      <c r="ANH228" s="5207"/>
      <c r="ANI228" s="5207"/>
      <c r="ANJ228" s="5207"/>
      <c r="ANK228" s="5207"/>
      <c r="ANL228" s="5207"/>
      <c r="ANM228" s="5207"/>
      <c r="ANN228" s="5207"/>
      <c r="ANO228" s="5207"/>
      <c r="ANP228" s="5207"/>
      <c r="ANQ228" s="5207"/>
      <c r="ANR228" s="5207"/>
      <c r="ANS228" s="5207"/>
      <c r="ANT228" s="5207"/>
      <c r="ANU228" s="5207"/>
      <c r="ANV228" s="5207"/>
      <c r="ANW228" s="5207"/>
      <c r="ANX228" s="5207"/>
      <c r="ANY228" s="5207"/>
      <c r="ANZ228" s="5207"/>
      <c r="AOA228" s="5207"/>
      <c r="AOB228" s="5207"/>
      <c r="AOC228" s="5207"/>
      <c r="AOD228" s="5207"/>
      <c r="AOE228" s="5207"/>
      <c r="AOF228" s="5207"/>
      <c r="AOG228" s="5207"/>
      <c r="AOH228" s="5207"/>
      <c r="AOI228" s="5207"/>
      <c r="AOJ228" s="5207"/>
      <c r="AOK228" s="5207"/>
      <c r="AOL228" s="5207"/>
      <c r="AOM228" s="5207"/>
      <c r="AON228" s="5207"/>
      <c r="AOO228" s="5207"/>
      <c r="AOP228" s="5207"/>
      <c r="AOQ228" s="5207"/>
      <c r="AOR228" s="5207"/>
      <c r="AOS228" s="5207"/>
      <c r="AOT228" s="5207"/>
      <c r="AOU228" s="5207"/>
      <c r="AOV228" s="5207"/>
      <c r="AOW228" s="5207"/>
      <c r="AOX228" s="5207"/>
      <c r="AOY228" s="5207"/>
      <c r="AOZ228" s="5207"/>
      <c r="APA228" s="5207"/>
      <c r="APB228" s="5207"/>
      <c r="APC228" s="5207"/>
      <c r="APD228" s="5207"/>
      <c r="APE228" s="5207"/>
      <c r="APF228" s="5207"/>
      <c r="APG228" s="5207"/>
      <c r="APH228" s="5207"/>
      <c r="API228" s="5207"/>
      <c r="APJ228" s="5207"/>
      <c r="APK228" s="5207"/>
      <c r="APL228" s="5207"/>
      <c r="APM228" s="5207"/>
      <c r="APN228" s="5207"/>
      <c r="APO228" s="5207"/>
      <c r="APP228" s="5207"/>
      <c r="APQ228" s="5207"/>
      <c r="APR228" s="5207"/>
      <c r="APS228" s="5207"/>
      <c r="APT228" s="5207"/>
      <c r="APU228" s="5207"/>
      <c r="APV228" s="5207"/>
      <c r="APW228" s="5207"/>
      <c r="APX228" s="5207"/>
      <c r="APY228" s="5207"/>
      <c r="APZ228" s="5207"/>
      <c r="AQA228" s="5207"/>
      <c r="AQB228" s="5207"/>
      <c r="AQC228" s="5207"/>
      <c r="AQD228" s="5207"/>
      <c r="AQE228" s="5207"/>
      <c r="AQF228" s="5207"/>
      <c r="AQG228" s="5207"/>
      <c r="AQH228" s="5207"/>
      <c r="AQI228" s="5207"/>
      <c r="AQJ228" s="5207"/>
      <c r="AQK228" s="5207"/>
      <c r="AQL228" s="5207"/>
      <c r="AQM228" s="5207"/>
      <c r="AQN228" s="5207"/>
      <c r="AQO228" s="5207"/>
      <c r="AQP228" s="5207"/>
      <c r="AQQ228" s="5207"/>
      <c r="AQR228" s="5207"/>
      <c r="AQS228" s="5207"/>
      <c r="AQT228" s="5207"/>
      <c r="AQU228" s="5207"/>
      <c r="AQV228" s="5207"/>
      <c r="AQW228" s="5207"/>
      <c r="AQX228" s="5207"/>
      <c r="AQY228" s="5207"/>
      <c r="AQZ228" s="5207"/>
      <c r="ARA228" s="5207"/>
      <c r="ARB228" s="5207"/>
      <c r="ARC228" s="5207"/>
      <c r="ARD228" s="5207"/>
      <c r="ARE228" s="5207"/>
      <c r="ARF228" s="5207"/>
      <c r="ARG228" s="5207"/>
      <c r="ARH228" s="5207"/>
      <c r="ARI228" s="5207"/>
      <c r="ARJ228" s="5207"/>
      <c r="ARK228" s="5207"/>
      <c r="ARL228" s="5207"/>
      <c r="ARM228" s="5207"/>
      <c r="ARN228" s="5207"/>
      <c r="ARO228" s="5207"/>
      <c r="ARP228" s="5207"/>
      <c r="ARQ228" s="5207"/>
      <c r="ARR228" s="5207"/>
      <c r="ARS228" s="5207"/>
      <c r="ART228" s="5207"/>
      <c r="ARU228" s="5207"/>
      <c r="ARV228" s="5207"/>
      <c r="ARW228" s="5207"/>
      <c r="ARX228" s="5207"/>
      <c r="ARY228" s="5207"/>
      <c r="ARZ228" s="5207"/>
      <c r="ASA228" s="5207"/>
      <c r="ASB228" s="5207"/>
      <c r="ASC228" s="5207"/>
      <c r="ASD228" s="5207"/>
      <c r="ASE228" s="5207"/>
      <c r="ASF228" s="5207"/>
      <c r="ASG228" s="5207"/>
      <c r="ASH228" s="5207"/>
      <c r="ASI228" s="5207"/>
      <c r="ASJ228" s="5207"/>
      <c r="ASK228" s="5207"/>
      <c r="ASL228" s="5207"/>
      <c r="ASM228" s="5207"/>
      <c r="ASN228" s="5207"/>
      <c r="ASO228" s="5207"/>
      <c r="ASP228" s="5207"/>
      <c r="ASQ228" s="5207"/>
      <c r="ASR228" s="5207"/>
      <c r="ASS228" s="5207"/>
      <c r="AST228" s="5207"/>
      <c r="ASU228" s="5207"/>
      <c r="ASV228" s="5207"/>
      <c r="ASW228" s="5207"/>
      <c r="ASX228" s="5207"/>
      <c r="ASY228" s="5207"/>
      <c r="ASZ228" s="5207"/>
      <c r="ATA228" s="5207"/>
      <c r="ATB228" s="5207"/>
      <c r="ATC228" s="5207"/>
      <c r="ATD228" s="5207"/>
      <c r="ATE228" s="5207"/>
      <c r="ATF228" s="5207"/>
      <c r="ATG228" s="5207"/>
      <c r="ATH228" s="5207"/>
      <c r="ATI228" s="5207"/>
      <c r="ATJ228" s="5207"/>
      <c r="ATK228" s="5207"/>
      <c r="ATL228" s="5207"/>
      <c r="ATM228" s="5207"/>
      <c r="ATN228" s="5207"/>
      <c r="ATO228" s="5207"/>
      <c r="ATP228" s="5207"/>
      <c r="ATQ228" s="5207"/>
      <c r="ATR228" s="5207"/>
      <c r="ATS228" s="5207"/>
      <c r="ATT228" s="5207"/>
      <c r="ATU228" s="5207"/>
      <c r="ATV228" s="5207"/>
      <c r="ATW228" s="5207"/>
      <c r="ATX228" s="5207"/>
      <c r="ATY228" s="5207"/>
      <c r="ATZ228" s="5207"/>
      <c r="AUA228" s="5207"/>
      <c r="AUB228" s="5207"/>
      <c r="AUC228" s="5207"/>
      <c r="AUD228" s="5207"/>
      <c r="AUE228" s="5207"/>
      <c r="AUF228" s="5207"/>
      <c r="AUG228" s="5207"/>
      <c r="AUH228" s="5207"/>
      <c r="AUI228" s="5207"/>
      <c r="AUJ228" s="5207"/>
      <c r="AUK228" s="5207"/>
      <c r="AUL228" s="5207"/>
      <c r="AUM228" s="5207"/>
      <c r="AUN228" s="5207"/>
      <c r="AUO228" s="5207"/>
      <c r="AUP228" s="5207"/>
      <c r="AUQ228" s="5207"/>
      <c r="AUR228" s="5207"/>
      <c r="AUS228" s="5207"/>
      <c r="AUT228" s="5207"/>
      <c r="AUU228" s="5207"/>
      <c r="AUV228" s="5207"/>
      <c r="AUW228" s="5207"/>
      <c r="AUX228" s="5207"/>
      <c r="AUY228" s="5207"/>
      <c r="AUZ228" s="5207"/>
      <c r="AVA228" s="5207"/>
      <c r="AVB228" s="5207"/>
      <c r="AVC228" s="5207"/>
      <c r="AVD228" s="5207"/>
      <c r="AVE228" s="5207"/>
      <c r="AVF228" s="5207"/>
      <c r="AVG228" s="5207"/>
      <c r="AVH228" s="5207"/>
      <c r="AVI228" s="5207"/>
      <c r="AVJ228" s="5207"/>
      <c r="AVK228" s="5207"/>
      <c r="AVL228" s="5207"/>
      <c r="AVM228" s="5207"/>
      <c r="AVN228" s="5207"/>
      <c r="AVO228" s="5207"/>
      <c r="AVP228" s="5207"/>
      <c r="AVQ228" s="5207"/>
      <c r="AVR228" s="5207"/>
      <c r="AVS228" s="5207"/>
      <c r="AVT228" s="5207"/>
      <c r="AVU228" s="5207"/>
      <c r="AVV228" s="5207"/>
      <c r="AVW228" s="5207"/>
      <c r="AVX228" s="5207"/>
      <c r="AVY228" s="5207"/>
      <c r="AVZ228" s="5207"/>
      <c r="AWA228" s="5207"/>
      <c r="AWB228" s="5207"/>
      <c r="AWC228" s="5207"/>
      <c r="AWD228" s="5207"/>
      <c r="AWE228" s="5207"/>
      <c r="AWF228" s="5207"/>
      <c r="AWG228" s="5207"/>
      <c r="AWH228" s="5207"/>
      <c r="AWI228" s="5207"/>
      <c r="AWJ228" s="5207"/>
      <c r="AWK228" s="5207"/>
      <c r="AWL228" s="5207"/>
      <c r="AWM228" s="5207"/>
      <c r="AWN228" s="5207"/>
      <c r="AWO228" s="5207"/>
      <c r="AWP228" s="5207"/>
      <c r="AWQ228" s="5207"/>
      <c r="AWR228" s="5207"/>
      <c r="AWS228" s="5207"/>
      <c r="AWT228" s="5207"/>
      <c r="AWU228" s="5207"/>
      <c r="AWV228" s="5207"/>
      <c r="AWW228" s="5207"/>
      <c r="AWX228" s="5207"/>
      <c r="AWY228" s="5207"/>
      <c r="AWZ228" s="5207"/>
      <c r="AXA228" s="5207"/>
      <c r="AXB228" s="5207"/>
      <c r="AXC228" s="5207"/>
      <c r="AXD228" s="5207"/>
      <c r="AXE228" s="5207"/>
      <c r="AXF228" s="5207"/>
      <c r="AXG228" s="5207"/>
      <c r="AXH228" s="5207"/>
      <c r="AXI228" s="5207"/>
      <c r="AXJ228" s="5207"/>
    </row>
    <row r="229" spans="1:1310" s="5208" customFormat="1" ht="23.25" customHeight="1">
      <c r="A229" s="5209"/>
      <c r="B229" s="5212" t="s">
        <v>884</v>
      </c>
      <c r="C229" s="5212"/>
      <c r="D229" s="5212"/>
      <c r="E229" s="5212"/>
      <c r="F229" s="5214"/>
      <c r="G229" s="5212" t="s">
        <v>885</v>
      </c>
      <c r="H229" s="5212"/>
      <c r="I229" s="5212"/>
      <c r="J229" s="5214"/>
      <c r="K229" s="5212" t="s">
        <v>886</v>
      </c>
      <c r="L229" s="5212"/>
      <c r="M229" s="5212"/>
      <c r="N229" s="5214"/>
      <c r="O229" s="5212" t="s">
        <v>883</v>
      </c>
      <c r="P229" s="5212"/>
      <c r="Q229" s="5214"/>
      <c r="R229" s="95"/>
      <c r="S229" s="95"/>
      <c r="T229" s="95"/>
      <c r="U229" s="95"/>
      <c r="V229" s="95"/>
      <c r="W229" s="95"/>
      <c r="X229" s="95"/>
      <c r="Y229" s="95"/>
      <c r="Z229" s="95"/>
      <c r="AA229" s="95"/>
      <c r="AB229" s="95"/>
      <c r="AC229" s="95"/>
      <c r="AD229" s="5207"/>
      <c r="AE229" s="5207"/>
      <c r="AF229" s="5207"/>
      <c r="AG229" s="5207"/>
      <c r="AH229" s="5207"/>
      <c r="AI229" s="5207"/>
      <c r="AJ229" s="5207"/>
      <c r="AK229" s="5207"/>
      <c r="AL229" s="5207"/>
      <c r="AM229" s="5207"/>
      <c r="AN229" s="5207"/>
      <c r="AO229" s="5207"/>
      <c r="AP229" s="5207"/>
      <c r="AQ229" s="5207"/>
      <c r="AR229" s="5207"/>
      <c r="AS229" s="5207"/>
      <c r="AT229" s="5207"/>
      <c r="AU229" s="5207"/>
      <c r="AV229" s="5207"/>
      <c r="AW229" s="5207"/>
      <c r="AX229" s="5207"/>
      <c r="AY229" s="5207"/>
      <c r="AZ229" s="5207"/>
      <c r="BA229" s="5207"/>
      <c r="BB229" s="5207"/>
      <c r="BC229" s="5207"/>
      <c r="BD229" s="5207"/>
      <c r="BE229" s="5207"/>
      <c r="BF229" s="5207"/>
      <c r="BG229" s="5207"/>
      <c r="BH229" s="5207"/>
      <c r="BI229" s="5207"/>
      <c r="BJ229" s="5207"/>
      <c r="BK229" s="5207"/>
      <c r="BL229" s="5207"/>
      <c r="BM229" s="5207"/>
      <c r="BN229" s="5207"/>
      <c r="BO229" s="5207"/>
      <c r="BP229" s="5207"/>
      <c r="BQ229" s="5207"/>
      <c r="BR229" s="5207"/>
      <c r="BS229" s="5207"/>
      <c r="BT229" s="5207"/>
      <c r="BU229" s="5207"/>
      <c r="BV229" s="5207"/>
      <c r="BW229" s="5207"/>
      <c r="BX229" s="5207"/>
      <c r="BY229" s="5207"/>
      <c r="BZ229" s="5207"/>
      <c r="CA229" s="5207"/>
      <c r="CB229" s="5207"/>
      <c r="CC229" s="5207"/>
      <c r="CD229" s="5207"/>
      <c r="CE229" s="5207"/>
      <c r="CF229" s="5207"/>
      <c r="CG229" s="5207"/>
      <c r="CH229" s="5207"/>
      <c r="CI229" s="5207"/>
      <c r="CJ229" s="5207"/>
      <c r="CK229" s="5207"/>
      <c r="CL229" s="5207"/>
      <c r="CM229" s="5207"/>
      <c r="CN229" s="5207"/>
      <c r="CO229" s="5207"/>
      <c r="CP229" s="5207"/>
      <c r="CQ229" s="5207"/>
      <c r="CR229" s="5207"/>
      <c r="CS229" s="5207"/>
      <c r="CT229" s="5207"/>
      <c r="CU229" s="5207"/>
      <c r="CV229" s="5207"/>
      <c r="CW229" s="5207"/>
      <c r="CX229" s="5207"/>
      <c r="CY229" s="5207"/>
      <c r="CZ229" s="5207"/>
      <c r="DA229" s="5207"/>
      <c r="DB229" s="5207"/>
      <c r="DC229" s="5207"/>
      <c r="DD229" s="5207"/>
      <c r="DE229" s="5207"/>
      <c r="DF229" s="5207"/>
      <c r="DG229" s="5207"/>
      <c r="DH229" s="5207"/>
      <c r="DI229" s="5207"/>
      <c r="DJ229" s="5207"/>
      <c r="DK229" s="5207"/>
      <c r="DL229" s="5207"/>
      <c r="DM229" s="5207"/>
      <c r="DN229" s="5207"/>
      <c r="DO229" s="5207"/>
      <c r="DP229" s="5207"/>
      <c r="DQ229" s="5207"/>
      <c r="DR229" s="5207"/>
      <c r="DS229" s="5207"/>
      <c r="DT229" s="5207"/>
      <c r="DU229" s="5207"/>
      <c r="DV229" s="5207"/>
      <c r="DW229" s="5207"/>
      <c r="DX229" s="5207"/>
      <c r="DY229" s="5207"/>
      <c r="DZ229" s="5207"/>
      <c r="EA229" s="5207"/>
      <c r="EB229" s="5207"/>
      <c r="EC229" s="5207"/>
      <c r="ED229" s="5207"/>
      <c r="EE229" s="5207"/>
      <c r="EF229" s="5207"/>
      <c r="EG229" s="5207"/>
      <c r="EH229" s="5207"/>
      <c r="EI229" s="5207"/>
      <c r="EJ229" s="5207"/>
      <c r="EK229" s="5207"/>
      <c r="EL229" s="5207"/>
      <c r="EM229" s="5207"/>
      <c r="EN229" s="5207"/>
      <c r="EO229" s="5207"/>
      <c r="EP229" s="5207"/>
      <c r="EQ229" s="5207"/>
      <c r="ER229" s="5207"/>
      <c r="ES229" s="5207"/>
      <c r="ET229" s="5207"/>
      <c r="EU229" s="5207"/>
      <c r="EV229" s="5207"/>
      <c r="EW229" s="5207"/>
      <c r="EX229" s="5207"/>
      <c r="EY229" s="5207"/>
      <c r="EZ229" s="5207"/>
      <c r="FA229" s="5207"/>
      <c r="FB229" s="5207"/>
      <c r="FC229" s="5207"/>
      <c r="FD229" s="5207"/>
      <c r="FE229" s="5207"/>
      <c r="FF229" s="5207"/>
      <c r="FG229" s="5207"/>
      <c r="FH229" s="5207"/>
      <c r="FI229" s="5207"/>
      <c r="FJ229" s="5207"/>
      <c r="FK229" s="5207"/>
      <c r="FL229" s="5207"/>
      <c r="FM229" s="5207"/>
      <c r="FN229" s="5207"/>
      <c r="FO229" s="5207"/>
      <c r="FP229" s="5207"/>
      <c r="FQ229" s="5207"/>
      <c r="FR229" s="5207"/>
      <c r="FS229" s="5207"/>
      <c r="FT229" s="5207"/>
      <c r="FU229" s="5207"/>
      <c r="FV229" s="5207"/>
      <c r="FW229" s="5207"/>
      <c r="FX229" s="5207"/>
      <c r="FY229" s="5207"/>
      <c r="FZ229" s="5207"/>
      <c r="GA229" s="5207"/>
      <c r="GB229" s="5207"/>
      <c r="GC229" s="5207"/>
      <c r="GD229" s="5207"/>
      <c r="GE229" s="5207"/>
      <c r="GF229" s="5207"/>
      <c r="GG229" s="5207"/>
      <c r="GH229" s="5207"/>
      <c r="GI229" s="5207"/>
      <c r="GJ229" s="5207"/>
      <c r="GK229" s="5207"/>
      <c r="GL229" s="5207"/>
      <c r="GM229" s="5207"/>
      <c r="GN229" s="5207"/>
      <c r="GO229" s="5207"/>
      <c r="GP229" s="5207"/>
      <c r="GQ229" s="5207"/>
      <c r="GR229" s="5207"/>
      <c r="GS229" s="5207"/>
      <c r="GT229" s="5207"/>
      <c r="GU229" s="5207"/>
      <c r="GV229" s="5207"/>
      <c r="GW229" s="5207"/>
      <c r="GX229" s="5207"/>
      <c r="GY229" s="5207"/>
      <c r="GZ229" s="5207"/>
      <c r="HA229" s="5207"/>
      <c r="HB229" s="5207"/>
      <c r="HC229" s="5207"/>
      <c r="HD229" s="5207"/>
      <c r="HE229" s="5207"/>
      <c r="HF229" s="5207"/>
      <c r="HG229" s="5207"/>
      <c r="HH229" s="5207"/>
      <c r="HI229" s="5207"/>
      <c r="HJ229" s="5207"/>
      <c r="HK229" s="5207"/>
      <c r="HL229" s="5207"/>
      <c r="HM229" s="5207"/>
      <c r="HN229" s="5207"/>
      <c r="HO229" s="5207"/>
      <c r="HP229" s="5207"/>
      <c r="HQ229" s="5207"/>
      <c r="HR229" s="5207"/>
      <c r="HS229" s="5207"/>
      <c r="HT229" s="5207"/>
      <c r="HU229" s="5207"/>
      <c r="HV229" s="5207"/>
      <c r="HW229" s="5207"/>
      <c r="HX229" s="5207"/>
      <c r="HY229" s="5207"/>
      <c r="HZ229" s="5207"/>
      <c r="IA229" s="5207"/>
      <c r="IB229" s="5207"/>
      <c r="IC229" s="5207"/>
      <c r="ID229" s="5207"/>
      <c r="IE229" s="5207"/>
      <c r="IF229" s="5207"/>
      <c r="IG229" s="5207"/>
      <c r="IH229" s="5207"/>
      <c r="II229" s="5207"/>
      <c r="IJ229" s="5207"/>
      <c r="IK229" s="5207"/>
      <c r="IL229" s="5207"/>
      <c r="IM229" s="5207"/>
      <c r="IN229" s="5207"/>
      <c r="IO229" s="5207"/>
      <c r="IP229" s="5207"/>
      <c r="IQ229" s="5207"/>
      <c r="IR229" s="5207"/>
      <c r="IS229" s="5207"/>
      <c r="IT229" s="5207"/>
      <c r="IU229" s="5207"/>
      <c r="IV229" s="5207"/>
      <c r="IW229" s="5207"/>
      <c r="IX229" s="5207"/>
      <c r="IY229" s="5207"/>
      <c r="IZ229" s="5207"/>
      <c r="JA229" s="5207"/>
      <c r="JB229" s="5207"/>
      <c r="JC229" s="5207"/>
      <c r="JD229" s="5207"/>
      <c r="JE229" s="5207"/>
      <c r="JF229" s="5207"/>
      <c r="JG229" s="5207"/>
      <c r="JH229" s="5207"/>
      <c r="JI229" s="5207"/>
      <c r="JJ229" s="5207"/>
      <c r="JK229" s="5207"/>
      <c r="JL229" s="5207"/>
      <c r="JM229" s="5207"/>
      <c r="JN229" s="5207"/>
      <c r="JO229" s="5207"/>
      <c r="JP229" s="5207"/>
      <c r="JQ229" s="5207"/>
      <c r="JR229" s="5207"/>
      <c r="JS229" s="5207"/>
      <c r="JT229" s="5207"/>
      <c r="JU229" s="5207"/>
      <c r="JV229" s="5207"/>
      <c r="JW229" s="5207"/>
      <c r="JX229" s="5207"/>
      <c r="JY229" s="5207"/>
      <c r="JZ229" s="5207"/>
      <c r="KA229" s="5207"/>
      <c r="KB229" s="5207"/>
      <c r="KC229" s="5207"/>
      <c r="KD229" s="5207"/>
      <c r="KE229" s="5207"/>
      <c r="KF229" s="5207"/>
      <c r="KG229" s="5207"/>
      <c r="KH229" s="5207"/>
      <c r="KI229" s="5207"/>
      <c r="KJ229" s="5207"/>
      <c r="KK229" s="5207"/>
      <c r="KL229" s="5207"/>
      <c r="KM229" s="5207"/>
      <c r="KN229" s="5207"/>
      <c r="KO229" s="5207"/>
      <c r="KP229" s="5207"/>
      <c r="KQ229" s="5207"/>
      <c r="KR229" s="5207"/>
      <c r="KS229" s="5207"/>
      <c r="KT229" s="5207"/>
      <c r="KU229" s="5207"/>
      <c r="KV229" s="5207"/>
      <c r="KW229" s="5207"/>
      <c r="KX229" s="5207"/>
      <c r="KY229" s="5207"/>
      <c r="KZ229" s="5207"/>
      <c r="LA229" s="5207"/>
      <c r="LB229" s="5207"/>
      <c r="LC229" s="5207"/>
      <c r="LD229" s="5207"/>
      <c r="LE229" s="5207"/>
      <c r="LF229" s="5207"/>
      <c r="LG229" s="5207"/>
      <c r="LH229" s="5207"/>
      <c r="LI229" s="5207"/>
      <c r="LJ229" s="5207"/>
      <c r="LK229" s="5207"/>
      <c r="LL229" s="5207"/>
      <c r="LM229" s="5207"/>
      <c r="LN229" s="5207"/>
      <c r="LO229" s="5207"/>
      <c r="LP229" s="5207"/>
      <c r="LQ229" s="5207"/>
      <c r="LR229" s="5207"/>
      <c r="LS229" s="5207"/>
      <c r="LT229" s="5207"/>
      <c r="LU229" s="5207"/>
      <c r="LV229" s="5207"/>
      <c r="LW229" s="5207"/>
      <c r="LX229" s="5207"/>
      <c r="LY229" s="5207"/>
      <c r="LZ229" s="5207"/>
      <c r="MA229" s="5207"/>
      <c r="MB229" s="5207"/>
      <c r="MC229" s="5207"/>
      <c r="MD229" s="5207"/>
      <c r="ME229" s="5207"/>
      <c r="MF229" s="5207"/>
      <c r="MG229" s="5207"/>
      <c r="MH229" s="5207"/>
      <c r="MI229" s="5207"/>
      <c r="MJ229" s="5207"/>
      <c r="MK229" s="5207"/>
      <c r="ML229" s="5207"/>
      <c r="MM229" s="5207"/>
      <c r="MN229" s="5207"/>
      <c r="MO229" s="5207"/>
      <c r="MP229" s="5207"/>
      <c r="MQ229" s="5207"/>
      <c r="MR229" s="5207"/>
      <c r="MS229" s="5207"/>
      <c r="MT229" s="5207"/>
      <c r="MU229" s="5207"/>
      <c r="MV229" s="5207"/>
      <c r="MW229" s="5207"/>
      <c r="MX229" s="5207"/>
      <c r="MY229" s="5207"/>
      <c r="MZ229" s="5207"/>
      <c r="NA229" s="5207"/>
      <c r="NB229" s="5207"/>
      <c r="NC229" s="5207"/>
      <c r="ND229" s="5207"/>
      <c r="NE229" s="5207"/>
      <c r="NF229" s="5207"/>
      <c r="NG229" s="5207"/>
      <c r="NH229" s="5207"/>
      <c r="NI229" s="5207"/>
      <c r="NJ229" s="5207"/>
      <c r="NK229" s="5207"/>
      <c r="NL229" s="5207"/>
      <c r="NM229" s="5207"/>
      <c r="NN229" s="5207"/>
      <c r="NO229" s="5207"/>
      <c r="NP229" s="5207"/>
      <c r="NQ229" s="5207"/>
      <c r="NR229" s="5207"/>
      <c r="NS229" s="5207"/>
      <c r="NT229" s="5207"/>
      <c r="NU229" s="5207"/>
      <c r="NV229" s="5207"/>
      <c r="NW229" s="5207"/>
      <c r="NX229" s="5207"/>
      <c r="NY229" s="5207"/>
      <c r="NZ229" s="5207"/>
      <c r="OA229" s="5207"/>
      <c r="OB229" s="5207"/>
      <c r="OC229" s="5207"/>
      <c r="OD229" s="5207"/>
      <c r="OE229" s="5207"/>
      <c r="OF229" s="5207"/>
      <c r="OG229" s="5207"/>
      <c r="OH229" s="5207"/>
      <c r="OI229" s="5207"/>
      <c r="OJ229" s="5207"/>
      <c r="OK229" s="5207"/>
      <c r="OL229" s="5207"/>
      <c r="OM229" s="5207"/>
      <c r="ON229" s="5207"/>
      <c r="OO229" s="5207"/>
      <c r="OP229" s="5207"/>
      <c r="OQ229" s="5207"/>
      <c r="OR229" s="5207"/>
      <c r="OS229" s="5207"/>
      <c r="OT229" s="5207"/>
      <c r="OU229" s="5207"/>
      <c r="OV229" s="5207"/>
      <c r="OW229" s="5207"/>
      <c r="OX229" s="5207"/>
      <c r="OY229" s="5207"/>
      <c r="OZ229" s="5207"/>
      <c r="PA229" s="5207"/>
      <c r="PB229" s="5207"/>
      <c r="PC229" s="5207"/>
      <c r="PD229" s="5207"/>
      <c r="PE229" s="5207"/>
      <c r="PF229" s="5207"/>
      <c r="PG229" s="5207"/>
      <c r="PH229" s="5207"/>
      <c r="PI229" s="5207"/>
      <c r="PJ229" s="5207"/>
      <c r="PK229" s="5207"/>
      <c r="PL229" s="5207"/>
      <c r="PM229" s="5207"/>
      <c r="PN229" s="5207"/>
      <c r="PO229" s="5207"/>
      <c r="PP229" s="5207"/>
      <c r="PQ229" s="5207"/>
      <c r="PR229" s="5207"/>
      <c r="PS229" s="5207"/>
      <c r="PT229" s="5207"/>
      <c r="PU229" s="5207"/>
      <c r="PV229" s="5207"/>
      <c r="PW229" s="5207"/>
      <c r="PX229" s="5207"/>
      <c r="PY229" s="5207"/>
      <c r="PZ229" s="5207"/>
      <c r="QA229" s="5207"/>
      <c r="QB229" s="5207"/>
      <c r="QC229" s="5207"/>
      <c r="QD229" s="5207"/>
      <c r="QE229" s="5207"/>
      <c r="QF229" s="5207"/>
      <c r="QG229" s="5207"/>
      <c r="QH229" s="5207"/>
      <c r="QI229" s="5207"/>
      <c r="QJ229" s="5207"/>
      <c r="QK229" s="5207"/>
      <c r="QL229" s="5207"/>
      <c r="QM229" s="5207"/>
      <c r="QN229" s="5207"/>
      <c r="QO229" s="5207"/>
      <c r="QP229" s="5207"/>
      <c r="QQ229" s="5207"/>
      <c r="QR229" s="5207"/>
      <c r="QS229" s="5207"/>
      <c r="QT229" s="5207"/>
      <c r="QU229" s="5207"/>
      <c r="QV229" s="5207"/>
      <c r="QW229" s="5207"/>
      <c r="QX229" s="5207"/>
      <c r="QY229" s="5207"/>
      <c r="QZ229" s="5207"/>
      <c r="RA229" s="5207"/>
      <c r="RB229" s="5207"/>
      <c r="RC229" s="5207"/>
      <c r="RD229" s="5207"/>
      <c r="RE229" s="5207"/>
      <c r="RF229" s="5207"/>
      <c r="RG229" s="5207"/>
      <c r="RH229" s="5207"/>
      <c r="RI229" s="5207"/>
      <c r="RJ229" s="5207"/>
      <c r="RK229" s="5207"/>
      <c r="RL229" s="5207"/>
      <c r="RM229" s="5207"/>
      <c r="RN229" s="5207"/>
      <c r="RO229" s="5207"/>
      <c r="RP229" s="5207"/>
      <c r="RQ229" s="5207"/>
      <c r="RR229" s="5207"/>
      <c r="RS229" s="5207"/>
      <c r="RT229" s="5207"/>
      <c r="RU229" s="5207"/>
      <c r="RV229" s="5207"/>
      <c r="RW229" s="5207"/>
      <c r="RX229" s="5207"/>
      <c r="RY229" s="5207"/>
      <c r="RZ229" s="5207"/>
      <c r="SA229" s="5207"/>
      <c r="SB229" s="5207"/>
      <c r="SC229" s="5207"/>
      <c r="SD229" s="5207"/>
      <c r="SE229" s="5207"/>
      <c r="SF229" s="5207"/>
      <c r="SG229" s="5207"/>
      <c r="SH229" s="5207"/>
      <c r="SI229" s="5207"/>
      <c r="SJ229" s="5207"/>
      <c r="SK229" s="5207"/>
      <c r="SL229" s="5207"/>
      <c r="SM229" s="5207"/>
      <c r="SN229" s="5207"/>
      <c r="SO229" s="5207"/>
      <c r="SP229" s="5207"/>
      <c r="SQ229" s="5207"/>
      <c r="SR229" s="5207"/>
      <c r="SS229" s="5207"/>
      <c r="ST229" s="5207"/>
      <c r="SU229" s="5207"/>
      <c r="SV229" s="5207"/>
      <c r="SW229" s="5207"/>
      <c r="SX229" s="5207"/>
      <c r="SY229" s="5207"/>
      <c r="SZ229" s="5207"/>
      <c r="TA229" s="5207"/>
      <c r="TB229" s="5207"/>
      <c r="TC229" s="5207"/>
      <c r="TD229" s="5207"/>
      <c r="TE229" s="5207"/>
      <c r="TF229" s="5207"/>
      <c r="TG229" s="5207"/>
      <c r="TH229" s="5207"/>
      <c r="TI229" s="5207"/>
      <c r="TJ229" s="5207"/>
      <c r="TK229" s="5207"/>
      <c r="TL229" s="5207"/>
      <c r="TM229" s="5207"/>
      <c r="TN229" s="5207"/>
      <c r="TO229" s="5207"/>
      <c r="TP229" s="5207"/>
      <c r="TQ229" s="5207"/>
      <c r="TR229" s="5207"/>
      <c r="TS229" s="5207"/>
      <c r="TT229" s="5207"/>
      <c r="TU229" s="5207"/>
      <c r="TV229" s="5207"/>
      <c r="TW229" s="5207"/>
      <c r="TX229" s="5207"/>
      <c r="TY229" s="5207"/>
      <c r="TZ229" s="5207"/>
      <c r="UA229" s="5207"/>
      <c r="UB229" s="5207"/>
      <c r="UC229" s="5207"/>
      <c r="UD229" s="5207"/>
      <c r="UE229" s="5207"/>
      <c r="UF229" s="5207"/>
      <c r="UG229" s="5207"/>
      <c r="UH229" s="5207"/>
      <c r="UI229" s="5207"/>
      <c r="UJ229" s="5207"/>
      <c r="UK229" s="5207"/>
      <c r="UL229" s="5207"/>
      <c r="UM229" s="5207"/>
      <c r="UN229" s="5207"/>
      <c r="UO229" s="5207"/>
      <c r="UP229" s="5207"/>
      <c r="UQ229" s="5207"/>
      <c r="UR229" s="5207"/>
      <c r="US229" s="5207"/>
      <c r="UT229" s="5207"/>
      <c r="UU229" s="5207"/>
      <c r="UV229" s="5207"/>
      <c r="UW229" s="5207"/>
      <c r="UX229" s="5207"/>
      <c r="UY229" s="5207"/>
      <c r="UZ229" s="5207"/>
      <c r="VA229" s="5207"/>
      <c r="VB229" s="5207"/>
      <c r="VC229" s="5207"/>
      <c r="VD229" s="5207"/>
      <c r="VE229" s="5207"/>
      <c r="VF229" s="5207"/>
      <c r="VG229" s="5207"/>
      <c r="VH229" s="5207"/>
      <c r="VI229" s="5207"/>
      <c r="VJ229" s="5207"/>
      <c r="VK229" s="5207"/>
      <c r="VL229" s="5207"/>
      <c r="VM229" s="5207"/>
      <c r="VN229" s="5207"/>
      <c r="VO229" s="5207"/>
      <c r="VP229" s="5207"/>
      <c r="VQ229" s="5207"/>
      <c r="VR229" s="5207"/>
      <c r="VS229" s="5207"/>
      <c r="VT229" s="5207"/>
      <c r="VU229" s="5207"/>
      <c r="VV229" s="5207"/>
      <c r="VW229" s="5207"/>
      <c r="VX229" s="5207"/>
      <c r="VY229" s="5207"/>
      <c r="VZ229" s="5207"/>
      <c r="WA229" s="5207"/>
      <c r="WB229" s="5207"/>
      <c r="WC229" s="5207"/>
      <c r="WD229" s="5207"/>
      <c r="WE229" s="5207"/>
      <c r="WF229" s="5207"/>
      <c r="WG229" s="5207"/>
      <c r="WH229" s="5207"/>
      <c r="WI229" s="5207"/>
      <c r="WJ229" s="5207"/>
      <c r="WK229" s="5207"/>
      <c r="WL229" s="5207"/>
      <c r="WM229" s="5207"/>
      <c r="WN229" s="5207"/>
      <c r="WO229" s="5207"/>
      <c r="WP229" s="5207"/>
      <c r="WQ229" s="5207"/>
      <c r="WR229" s="5207"/>
      <c r="WS229" s="5207"/>
      <c r="WT229" s="5207"/>
      <c r="WU229" s="5207"/>
      <c r="WV229" s="5207"/>
      <c r="WW229" s="5207"/>
      <c r="WX229" s="5207"/>
      <c r="WY229" s="5207"/>
      <c r="WZ229" s="5207"/>
      <c r="XA229" s="5207"/>
      <c r="XB229" s="5207"/>
      <c r="XC229" s="5207"/>
      <c r="XD229" s="5207"/>
      <c r="XE229" s="5207"/>
      <c r="XF229" s="5207"/>
      <c r="XG229" s="5207"/>
      <c r="XH229" s="5207"/>
      <c r="XI229" s="5207"/>
      <c r="XJ229" s="5207"/>
      <c r="XK229" s="5207"/>
      <c r="XL229" s="5207"/>
      <c r="XM229" s="5207"/>
      <c r="XN229" s="5207"/>
      <c r="XO229" s="5207"/>
      <c r="XP229" s="5207"/>
      <c r="XQ229" s="5207"/>
      <c r="XR229" s="5207"/>
      <c r="XS229" s="5207"/>
      <c r="XT229" s="5207"/>
      <c r="XU229" s="5207"/>
      <c r="XV229" s="5207"/>
      <c r="XW229" s="5207"/>
      <c r="XX229" s="5207"/>
      <c r="XY229" s="5207"/>
      <c r="XZ229" s="5207"/>
      <c r="YA229" s="5207"/>
      <c r="YB229" s="5207"/>
      <c r="YC229" s="5207"/>
      <c r="YD229" s="5207"/>
      <c r="YE229" s="5207"/>
      <c r="YF229" s="5207"/>
      <c r="YG229" s="5207"/>
      <c r="YH229" s="5207"/>
      <c r="YI229" s="5207"/>
      <c r="YJ229" s="5207"/>
      <c r="YK229" s="5207"/>
      <c r="YL229" s="5207"/>
      <c r="YM229" s="5207"/>
      <c r="YN229" s="5207"/>
      <c r="YO229" s="5207"/>
      <c r="YP229" s="5207"/>
      <c r="YQ229" s="5207"/>
      <c r="YR229" s="5207"/>
      <c r="YS229" s="5207"/>
      <c r="YT229" s="5207"/>
      <c r="YU229" s="5207"/>
      <c r="YV229" s="5207"/>
      <c r="YW229" s="5207"/>
      <c r="YX229" s="5207"/>
      <c r="YY229" s="5207"/>
      <c r="YZ229" s="5207"/>
      <c r="ZA229" s="5207"/>
      <c r="ZB229" s="5207"/>
      <c r="ZC229" s="5207"/>
      <c r="ZD229" s="5207"/>
      <c r="ZE229" s="5207"/>
      <c r="ZF229" s="5207"/>
      <c r="ZG229" s="5207"/>
      <c r="ZH229" s="5207"/>
      <c r="ZI229" s="5207"/>
      <c r="ZJ229" s="5207"/>
      <c r="ZK229" s="5207"/>
      <c r="ZL229" s="5207"/>
      <c r="ZM229" s="5207"/>
      <c r="ZN229" s="5207"/>
      <c r="ZO229" s="5207"/>
      <c r="ZP229" s="5207"/>
      <c r="ZQ229" s="5207"/>
      <c r="ZR229" s="5207"/>
      <c r="ZS229" s="5207"/>
      <c r="ZT229" s="5207"/>
      <c r="ZU229" s="5207"/>
      <c r="ZV229" s="5207"/>
      <c r="ZW229" s="5207"/>
      <c r="ZX229" s="5207"/>
      <c r="ZY229" s="5207"/>
      <c r="ZZ229" s="5207"/>
      <c r="AAA229" s="5207"/>
      <c r="AAB229" s="5207"/>
      <c r="AAC229" s="5207"/>
      <c r="AAD229" s="5207"/>
      <c r="AAE229" s="5207"/>
      <c r="AAF229" s="5207"/>
      <c r="AAG229" s="5207"/>
      <c r="AAH229" s="5207"/>
      <c r="AAI229" s="5207"/>
      <c r="AAJ229" s="5207"/>
      <c r="AAK229" s="5207"/>
      <c r="AAL229" s="5207"/>
      <c r="AAM229" s="5207"/>
      <c r="AAN229" s="5207"/>
      <c r="AAO229" s="5207"/>
      <c r="AAP229" s="5207"/>
      <c r="AAQ229" s="5207"/>
      <c r="AAR229" s="5207"/>
      <c r="AAS229" s="5207"/>
      <c r="AAT229" s="5207"/>
      <c r="AAU229" s="5207"/>
      <c r="AAV229" s="5207"/>
      <c r="AAW229" s="5207"/>
      <c r="AAX229" s="5207"/>
      <c r="AAY229" s="5207"/>
      <c r="AAZ229" s="5207"/>
      <c r="ABA229" s="5207"/>
      <c r="ABB229" s="5207"/>
      <c r="ABC229" s="5207"/>
      <c r="ABD229" s="5207"/>
      <c r="ABE229" s="5207"/>
      <c r="ABF229" s="5207"/>
      <c r="ABG229" s="5207"/>
      <c r="ABH229" s="5207"/>
      <c r="ABI229" s="5207"/>
      <c r="ABJ229" s="5207"/>
      <c r="ABK229" s="5207"/>
      <c r="ABL229" s="5207"/>
      <c r="ABM229" s="5207"/>
      <c r="ABN229" s="5207"/>
      <c r="ABO229" s="5207"/>
      <c r="ABP229" s="5207"/>
      <c r="ABQ229" s="5207"/>
      <c r="ABR229" s="5207"/>
      <c r="ABS229" s="5207"/>
      <c r="ABT229" s="5207"/>
      <c r="ABU229" s="5207"/>
      <c r="ABV229" s="5207"/>
      <c r="ABW229" s="5207"/>
      <c r="ABX229" s="5207"/>
      <c r="ABY229" s="5207"/>
      <c r="ABZ229" s="5207"/>
      <c r="ACA229" s="5207"/>
      <c r="ACB229" s="5207"/>
      <c r="ACC229" s="5207"/>
      <c r="ACD229" s="5207"/>
      <c r="ACE229" s="5207"/>
      <c r="ACF229" s="5207"/>
      <c r="ACG229" s="5207"/>
      <c r="ACH229" s="5207"/>
      <c r="ACI229" s="5207"/>
      <c r="ACJ229" s="5207"/>
      <c r="ACK229" s="5207"/>
      <c r="ACL229" s="5207"/>
      <c r="ACM229" s="5207"/>
      <c r="ACN229" s="5207"/>
      <c r="ACO229" s="5207"/>
      <c r="ACP229" s="5207"/>
      <c r="ACQ229" s="5207"/>
      <c r="ACR229" s="5207"/>
      <c r="ACS229" s="5207"/>
      <c r="ACT229" s="5207"/>
      <c r="ACU229" s="5207"/>
      <c r="ACV229" s="5207"/>
      <c r="ACW229" s="5207"/>
      <c r="ACX229" s="5207"/>
      <c r="ACY229" s="5207"/>
      <c r="ACZ229" s="5207"/>
      <c r="ADA229" s="5207"/>
      <c r="ADB229" s="5207"/>
      <c r="ADC229" s="5207"/>
      <c r="ADD229" s="5207"/>
      <c r="ADE229" s="5207"/>
      <c r="ADF229" s="5207"/>
      <c r="ADG229" s="5207"/>
      <c r="ADH229" s="5207"/>
      <c r="ADI229" s="5207"/>
      <c r="ADJ229" s="5207"/>
      <c r="ADK229" s="5207"/>
      <c r="ADL229" s="5207"/>
      <c r="ADM229" s="5207"/>
      <c r="ADN229" s="5207"/>
      <c r="ADO229" s="5207"/>
      <c r="ADP229" s="5207"/>
      <c r="ADQ229" s="5207"/>
      <c r="ADR229" s="5207"/>
      <c r="ADS229" s="5207"/>
      <c r="ADT229" s="5207"/>
      <c r="ADU229" s="5207"/>
      <c r="ADV229" s="5207"/>
      <c r="ADW229" s="5207"/>
      <c r="ADX229" s="5207"/>
      <c r="ADY229" s="5207"/>
      <c r="ADZ229" s="5207"/>
      <c r="AEA229" s="5207"/>
      <c r="AEB229" s="5207"/>
      <c r="AEC229" s="5207"/>
      <c r="AED229" s="5207"/>
      <c r="AEE229" s="5207"/>
      <c r="AEF229" s="5207"/>
      <c r="AEG229" s="5207"/>
      <c r="AEH229" s="5207"/>
      <c r="AEI229" s="5207"/>
      <c r="AEJ229" s="5207"/>
      <c r="AEK229" s="5207"/>
      <c r="AEL229" s="5207"/>
      <c r="AEM229" s="5207"/>
      <c r="AEN229" s="5207"/>
      <c r="AEO229" s="5207"/>
      <c r="AEP229" s="5207"/>
      <c r="AEQ229" s="5207"/>
      <c r="AER229" s="5207"/>
      <c r="AES229" s="5207"/>
      <c r="AET229" s="5207"/>
      <c r="AEU229" s="5207"/>
      <c r="AEV229" s="5207"/>
      <c r="AEW229" s="5207"/>
      <c r="AEX229" s="5207"/>
      <c r="AEY229" s="5207"/>
      <c r="AEZ229" s="5207"/>
      <c r="AFA229" s="5207"/>
      <c r="AFB229" s="5207"/>
      <c r="AFC229" s="5207"/>
      <c r="AFD229" s="5207"/>
      <c r="AFE229" s="5207"/>
      <c r="AFF229" s="5207"/>
      <c r="AFG229" s="5207"/>
      <c r="AFH229" s="5207"/>
      <c r="AFI229" s="5207"/>
      <c r="AFJ229" s="5207"/>
      <c r="AFK229" s="5207"/>
      <c r="AFL229" s="5207"/>
      <c r="AFM229" s="5207"/>
      <c r="AFN229" s="5207"/>
      <c r="AFO229" s="5207"/>
      <c r="AFP229" s="5207"/>
      <c r="AFQ229" s="5207"/>
      <c r="AFR229" s="5207"/>
      <c r="AFS229" s="5207"/>
      <c r="AFT229" s="5207"/>
      <c r="AFU229" s="5207"/>
      <c r="AFV229" s="5207"/>
      <c r="AFW229" s="5207"/>
      <c r="AFX229" s="5207"/>
      <c r="AFY229" s="5207"/>
      <c r="AFZ229" s="5207"/>
      <c r="AGA229" s="5207"/>
      <c r="AGB229" s="5207"/>
      <c r="AGC229" s="5207"/>
      <c r="AGD229" s="5207"/>
      <c r="AGE229" s="5207"/>
      <c r="AGF229" s="5207"/>
      <c r="AGG229" s="5207"/>
      <c r="AGH229" s="5207"/>
      <c r="AGI229" s="5207"/>
      <c r="AGJ229" s="5207"/>
      <c r="AGK229" s="5207"/>
      <c r="AGL229" s="5207"/>
      <c r="AGM229" s="5207"/>
      <c r="AGN229" s="5207"/>
      <c r="AGO229" s="5207"/>
      <c r="AGP229" s="5207"/>
      <c r="AGQ229" s="5207"/>
      <c r="AGR229" s="5207"/>
      <c r="AGS229" s="5207"/>
      <c r="AGT229" s="5207"/>
      <c r="AGU229" s="5207"/>
      <c r="AGV229" s="5207"/>
      <c r="AGW229" s="5207"/>
      <c r="AGX229" s="5207"/>
      <c r="AGY229" s="5207"/>
      <c r="AGZ229" s="5207"/>
      <c r="AHA229" s="5207"/>
      <c r="AHB229" s="5207"/>
      <c r="AHC229" s="5207"/>
      <c r="AHD229" s="5207"/>
      <c r="AHE229" s="5207"/>
      <c r="AHF229" s="5207"/>
      <c r="AHG229" s="5207"/>
      <c r="AHH229" s="5207"/>
      <c r="AHI229" s="5207"/>
      <c r="AHJ229" s="5207"/>
      <c r="AHK229" s="5207"/>
      <c r="AHL229" s="5207"/>
      <c r="AHM229" s="5207"/>
      <c r="AHN229" s="5207"/>
      <c r="AHO229" s="5207"/>
      <c r="AHP229" s="5207"/>
      <c r="AHQ229" s="5207"/>
      <c r="AHR229" s="5207"/>
      <c r="AHS229" s="5207"/>
      <c r="AHT229" s="5207"/>
      <c r="AHU229" s="5207"/>
      <c r="AHV229" s="5207"/>
      <c r="AHW229" s="5207"/>
      <c r="AHX229" s="5207"/>
      <c r="AHY229" s="5207"/>
      <c r="AHZ229" s="5207"/>
      <c r="AIA229" s="5207"/>
      <c r="AIB229" s="5207"/>
      <c r="AIC229" s="5207"/>
      <c r="AID229" s="5207"/>
      <c r="AIE229" s="5207"/>
      <c r="AIF229" s="5207"/>
      <c r="AIG229" s="5207"/>
      <c r="AIH229" s="5207"/>
      <c r="AII229" s="5207"/>
      <c r="AIJ229" s="5207"/>
      <c r="AIK229" s="5207"/>
      <c r="AIL229" s="5207"/>
      <c r="AIM229" s="5207"/>
      <c r="AIN229" s="5207"/>
      <c r="AIO229" s="5207"/>
      <c r="AIP229" s="5207"/>
      <c r="AIQ229" s="5207"/>
      <c r="AIR229" s="5207"/>
      <c r="AIS229" s="5207"/>
      <c r="AIT229" s="5207"/>
      <c r="AIU229" s="5207"/>
      <c r="AIV229" s="5207"/>
      <c r="AIW229" s="5207"/>
      <c r="AIX229" s="5207"/>
      <c r="AIY229" s="5207"/>
      <c r="AIZ229" s="5207"/>
      <c r="AJA229" s="5207"/>
      <c r="AJB229" s="5207"/>
      <c r="AJC229" s="5207"/>
      <c r="AJD229" s="5207"/>
      <c r="AJE229" s="5207"/>
      <c r="AJF229" s="5207"/>
      <c r="AJG229" s="5207"/>
      <c r="AJH229" s="5207"/>
      <c r="AJI229" s="5207"/>
      <c r="AJJ229" s="5207"/>
      <c r="AJK229" s="5207"/>
      <c r="AJL229" s="5207"/>
      <c r="AJM229" s="5207"/>
      <c r="AJN229" s="5207"/>
      <c r="AJO229" s="5207"/>
      <c r="AJP229" s="5207"/>
      <c r="AJQ229" s="5207"/>
      <c r="AJR229" s="5207"/>
      <c r="AJS229" s="5207"/>
      <c r="AJT229" s="5207"/>
      <c r="AJU229" s="5207"/>
      <c r="AJV229" s="5207"/>
      <c r="AJW229" s="5207"/>
      <c r="AJX229" s="5207"/>
      <c r="AJY229" s="5207"/>
      <c r="AJZ229" s="5207"/>
      <c r="AKA229" s="5207"/>
      <c r="AKB229" s="5207"/>
      <c r="AKC229" s="5207"/>
      <c r="AKD229" s="5207"/>
      <c r="AKE229" s="5207"/>
      <c r="AKF229" s="5207"/>
      <c r="AKG229" s="5207"/>
      <c r="AKH229" s="5207"/>
      <c r="AKI229" s="5207"/>
      <c r="AKJ229" s="5207"/>
      <c r="AKK229" s="5207"/>
      <c r="AKL229" s="5207"/>
      <c r="AKM229" s="5207"/>
      <c r="AKN229" s="5207"/>
      <c r="AKO229" s="5207"/>
      <c r="AKP229" s="5207"/>
      <c r="AKQ229" s="5207"/>
      <c r="AKR229" s="5207"/>
      <c r="AKS229" s="5207"/>
      <c r="AKT229" s="5207"/>
      <c r="AKU229" s="5207"/>
      <c r="AKV229" s="5207"/>
      <c r="AKW229" s="5207"/>
      <c r="AKX229" s="5207"/>
      <c r="AKY229" s="5207"/>
      <c r="AKZ229" s="5207"/>
      <c r="ALA229" s="5207"/>
      <c r="ALB229" s="5207"/>
      <c r="ALC229" s="5207"/>
      <c r="ALD229" s="5207"/>
      <c r="ALE229" s="5207"/>
      <c r="ALF229" s="5207"/>
      <c r="ALG229" s="5207"/>
      <c r="ALH229" s="5207"/>
      <c r="ALI229" s="5207"/>
      <c r="ALJ229" s="5207"/>
      <c r="ALK229" s="5207"/>
      <c r="ALL229" s="5207"/>
      <c r="ALM229" s="5207"/>
      <c r="ALN229" s="5207"/>
      <c r="ALO229" s="5207"/>
      <c r="ALP229" s="5207"/>
      <c r="ALQ229" s="5207"/>
      <c r="ALR229" s="5207"/>
      <c r="ALS229" s="5207"/>
      <c r="ALT229" s="5207"/>
      <c r="ALU229" s="5207"/>
      <c r="ALV229" s="5207"/>
      <c r="ALW229" s="5207"/>
      <c r="ALX229" s="5207"/>
      <c r="ALY229" s="5207"/>
      <c r="ALZ229" s="5207"/>
      <c r="AMA229" s="5207"/>
      <c r="AMB229" s="5207"/>
      <c r="AMC229" s="5207"/>
      <c r="AMD229" s="5207"/>
      <c r="AME229" s="5207"/>
      <c r="AMF229" s="5207"/>
      <c r="AMG229" s="5207"/>
      <c r="AMH229" s="5207"/>
      <c r="AMI229" s="5207"/>
      <c r="AMJ229" s="5207"/>
      <c r="AMK229" s="5207"/>
      <c r="AML229" s="5207"/>
      <c r="AMM229" s="5207"/>
      <c r="AMN229" s="5207"/>
      <c r="AMO229" s="5207"/>
      <c r="AMP229" s="5207"/>
      <c r="AMQ229" s="5207"/>
      <c r="AMR229" s="5207"/>
      <c r="AMS229" s="5207"/>
      <c r="AMT229" s="5207"/>
      <c r="AMU229" s="5207"/>
      <c r="AMV229" s="5207"/>
      <c r="AMW229" s="5207"/>
      <c r="AMX229" s="5207"/>
      <c r="AMY229" s="5207"/>
      <c r="AMZ229" s="5207"/>
      <c r="ANA229" s="5207"/>
      <c r="ANB229" s="5207"/>
      <c r="ANC229" s="5207"/>
      <c r="AND229" s="5207"/>
      <c r="ANE229" s="5207"/>
      <c r="ANF229" s="5207"/>
      <c r="ANG229" s="5207"/>
      <c r="ANH229" s="5207"/>
      <c r="ANI229" s="5207"/>
      <c r="ANJ229" s="5207"/>
      <c r="ANK229" s="5207"/>
      <c r="ANL229" s="5207"/>
      <c r="ANM229" s="5207"/>
      <c r="ANN229" s="5207"/>
      <c r="ANO229" s="5207"/>
      <c r="ANP229" s="5207"/>
      <c r="ANQ229" s="5207"/>
      <c r="ANR229" s="5207"/>
      <c r="ANS229" s="5207"/>
      <c r="ANT229" s="5207"/>
      <c r="ANU229" s="5207"/>
      <c r="ANV229" s="5207"/>
      <c r="ANW229" s="5207"/>
      <c r="ANX229" s="5207"/>
      <c r="ANY229" s="5207"/>
      <c r="ANZ229" s="5207"/>
      <c r="AOA229" s="5207"/>
      <c r="AOB229" s="5207"/>
      <c r="AOC229" s="5207"/>
      <c r="AOD229" s="5207"/>
      <c r="AOE229" s="5207"/>
      <c r="AOF229" s="5207"/>
      <c r="AOG229" s="5207"/>
      <c r="AOH229" s="5207"/>
      <c r="AOI229" s="5207"/>
      <c r="AOJ229" s="5207"/>
      <c r="AOK229" s="5207"/>
      <c r="AOL229" s="5207"/>
      <c r="AOM229" s="5207"/>
      <c r="AON229" s="5207"/>
      <c r="AOO229" s="5207"/>
      <c r="AOP229" s="5207"/>
      <c r="AOQ229" s="5207"/>
      <c r="AOR229" s="5207"/>
      <c r="AOS229" s="5207"/>
      <c r="AOT229" s="5207"/>
      <c r="AOU229" s="5207"/>
      <c r="AOV229" s="5207"/>
      <c r="AOW229" s="5207"/>
      <c r="AOX229" s="5207"/>
      <c r="AOY229" s="5207"/>
      <c r="AOZ229" s="5207"/>
      <c r="APA229" s="5207"/>
      <c r="APB229" s="5207"/>
      <c r="APC229" s="5207"/>
      <c r="APD229" s="5207"/>
      <c r="APE229" s="5207"/>
      <c r="APF229" s="5207"/>
      <c r="APG229" s="5207"/>
      <c r="APH229" s="5207"/>
      <c r="API229" s="5207"/>
      <c r="APJ229" s="5207"/>
      <c r="APK229" s="5207"/>
      <c r="APL229" s="5207"/>
      <c r="APM229" s="5207"/>
      <c r="APN229" s="5207"/>
      <c r="APO229" s="5207"/>
      <c r="APP229" s="5207"/>
      <c r="APQ229" s="5207"/>
      <c r="APR229" s="5207"/>
      <c r="APS229" s="5207"/>
      <c r="APT229" s="5207"/>
      <c r="APU229" s="5207"/>
      <c r="APV229" s="5207"/>
      <c r="APW229" s="5207"/>
      <c r="APX229" s="5207"/>
      <c r="APY229" s="5207"/>
      <c r="APZ229" s="5207"/>
      <c r="AQA229" s="5207"/>
      <c r="AQB229" s="5207"/>
      <c r="AQC229" s="5207"/>
      <c r="AQD229" s="5207"/>
      <c r="AQE229" s="5207"/>
      <c r="AQF229" s="5207"/>
      <c r="AQG229" s="5207"/>
      <c r="AQH229" s="5207"/>
      <c r="AQI229" s="5207"/>
      <c r="AQJ229" s="5207"/>
      <c r="AQK229" s="5207"/>
      <c r="AQL229" s="5207"/>
      <c r="AQM229" s="5207"/>
      <c r="AQN229" s="5207"/>
      <c r="AQO229" s="5207"/>
      <c r="AQP229" s="5207"/>
      <c r="AQQ229" s="5207"/>
      <c r="AQR229" s="5207"/>
      <c r="AQS229" s="5207"/>
      <c r="AQT229" s="5207"/>
      <c r="AQU229" s="5207"/>
      <c r="AQV229" s="5207"/>
      <c r="AQW229" s="5207"/>
      <c r="AQX229" s="5207"/>
      <c r="AQY229" s="5207"/>
      <c r="AQZ229" s="5207"/>
      <c r="ARA229" s="5207"/>
      <c r="ARB229" s="5207"/>
      <c r="ARC229" s="5207"/>
      <c r="ARD229" s="5207"/>
      <c r="ARE229" s="5207"/>
      <c r="ARF229" s="5207"/>
      <c r="ARG229" s="5207"/>
      <c r="ARH229" s="5207"/>
      <c r="ARI229" s="5207"/>
      <c r="ARJ229" s="5207"/>
      <c r="ARK229" s="5207"/>
      <c r="ARL229" s="5207"/>
      <c r="ARM229" s="5207"/>
      <c r="ARN229" s="5207"/>
      <c r="ARO229" s="5207"/>
      <c r="ARP229" s="5207"/>
      <c r="ARQ229" s="5207"/>
      <c r="ARR229" s="5207"/>
      <c r="ARS229" s="5207"/>
      <c r="ART229" s="5207"/>
      <c r="ARU229" s="5207"/>
      <c r="ARV229" s="5207"/>
      <c r="ARW229" s="5207"/>
      <c r="ARX229" s="5207"/>
      <c r="ARY229" s="5207"/>
      <c r="ARZ229" s="5207"/>
      <c r="ASA229" s="5207"/>
      <c r="ASB229" s="5207"/>
      <c r="ASC229" s="5207"/>
      <c r="ASD229" s="5207"/>
      <c r="ASE229" s="5207"/>
      <c r="ASF229" s="5207"/>
      <c r="ASG229" s="5207"/>
      <c r="ASH229" s="5207"/>
      <c r="ASI229" s="5207"/>
      <c r="ASJ229" s="5207"/>
      <c r="ASK229" s="5207"/>
      <c r="ASL229" s="5207"/>
      <c r="ASM229" s="5207"/>
      <c r="ASN229" s="5207"/>
      <c r="ASO229" s="5207"/>
      <c r="ASP229" s="5207"/>
      <c r="ASQ229" s="5207"/>
      <c r="ASR229" s="5207"/>
      <c r="ASS229" s="5207"/>
      <c r="AST229" s="5207"/>
      <c r="ASU229" s="5207"/>
      <c r="ASV229" s="5207"/>
      <c r="ASW229" s="5207"/>
      <c r="ASX229" s="5207"/>
      <c r="ASY229" s="5207"/>
      <c r="ASZ229" s="5207"/>
      <c r="ATA229" s="5207"/>
      <c r="ATB229" s="5207"/>
      <c r="ATC229" s="5207"/>
      <c r="ATD229" s="5207"/>
      <c r="ATE229" s="5207"/>
      <c r="ATF229" s="5207"/>
      <c r="ATG229" s="5207"/>
      <c r="ATH229" s="5207"/>
      <c r="ATI229" s="5207"/>
      <c r="ATJ229" s="5207"/>
      <c r="ATK229" s="5207"/>
      <c r="ATL229" s="5207"/>
      <c r="ATM229" s="5207"/>
      <c r="ATN229" s="5207"/>
      <c r="ATO229" s="5207"/>
      <c r="ATP229" s="5207"/>
      <c r="ATQ229" s="5207"/>
      <c r="ATR229" s="5207"/>
      <c r="ATS229" s="5207"/>
      <c r="ATT229" s="5207"/>
      <c r="ATU229" s="5207"/>
      <c r="ATV229" s="5207"/>
      <c r="ATW229" s="5207"/>
      <c r="ATX229" s="5207"/>
      <c r="ATY229" s="5207"/>
      <c r="ATZ229" s="5207"/>
      <c r="AUA229" s="5207"/>
      <c r="AUB229" s="5207"/>
      <c r="AUC229" s="5207"/>
      <c r="AUD229" s="5207"/>
      <c r="AUE229" s="5207"/>
      <c r="AUF229" s="5207"/>
      <c r="AUG229" s="5207"/>
      <c r="AUH229" s="5207"/>
      <c r="AUI229" s="5207"/>
      <c r="AUJ229" s="5207"/>
      <c r="AUK229" s="5207"/>
      <c r="AUL229" s="5207"/>
      <c r="AUM229" s="5207"/>
      <c r="AUN229" s="5207"/>
      <c r="AUO229" s="5207"/>
      <c r="AUP229" s="5207"/>
      <c r="AUQ229" s="5207"/>
      <c r="AUR229" s="5207"/>
      <c r="AUS229" s="5207"/>
      <c r="AUT229" s="5207"/>
      <c r="AUU229" s="5207"/>
      <c r="AUV229" s="5207"/>
      <c r="AUW229" s="5207"/>
      <c r="AUX229" s="5207"/>
      <c r="AUY229" s="5207"/>
      <c r="AUZ229" s="5207"/>
      <c r="AVA229" s="5207"/>
      <c r="AVB229" s="5207"/>
      <c r="AVC229" s="5207"/>
      <c r="AVD229" s="5207"/>
      <c r="AVE229" s="5207"/>
      <c r="AVF229" s="5207"/>
      <c r="AVG229" s="5207"/>
      <c r="AVH229" s="5207"/>
      <c r="AVI229" s="5207"/>
      <c r="AVJ229" s="5207"/>
      <c r="AVK229" s="5207"/>
      <c r="AVL229" s="5207"/>
      <c r="AVM229" s="5207"/>
      <c r="AVN229" s="5207"/>
      <c r="AVO229" s="5207"/>
      <c r="AVP229" s="5207"/>
      <c r="AVQ229" s="5207"/>
      <c r="AVR229" s="5207"/>
      <c r="AVS229" s="5207"/>
      <c r="AVT229" s="5207"/>
      <c r="AVU229" s="5207"/>
      <c r="AVV229" s="5207"/>
      <c r="AVW229" s="5207"/>
      <c r="AVX229" s="5207"/>
      <c r="AVY229" s="5207"/>
      <c r="AVZ229" s="5207"/>
      <c r="AWA229" s="5207"/>
      <c r="AWB229" s="5207"/>
      <c r="AWC229" s="5207"/>
      <c r="AWD229" s="5207"/>
      <c r="AWE229" s="5207"/>
      <c r="AWF229" s="5207"/>
      <c r="AWG229" s="5207"/>
      <c r="AWH229" s="5207"/>
      <c r="AWI229" s="5207"/>
      <c r="AWJ229" s="5207"/>
      <c r="AWK229" s="5207"/>
      <c r="AWL229" s="5207"/>
      <c r="AWM229" s="5207"/>
      <c r="AWN229" s="5207"/>
      <c r="AWO229" s="5207"/>
      <c r="AWP229" s="5207"/>
      <c r="AWQ229" s="5207"/>
      <c r="AWR229" s="5207"/>
      <c r="AWS229" s="5207"/>
      <c r="AWT229" s="5207"/>
      <c r="AWU229" s="5207"/>
      <c r="AWV229" s="5207"/>
      <c r="AWW229" s="5207"/>
      <c r="AWX229" s="5207"/>
      <c r="AWY229" s="5207"/>
      <c r="AWZ229" s="5207"/>
      <c r="AXA229" s="5207"/>
      <c r="AXB229" s="5207"/>
      <c r="AXC229" s="5207"/>
      <c r="AXD229" s="5207"/>
      <c r="AXE229" s="5207"/>
      <c r="AXF229" s="5207"/>
      <c r="AXG229" s="5207"/>
      <c r="AXH229" s="5207"/>
      <c r="AXI229" s="5207"/>
      <c r="AXJ229" s="5207"/>
    </row>
    <row r="230" spans="1:1310" s="5208" customFormat="1" ht="23.25" customHeight="1">
      <c r="A230" s="5209"/>
      <c r="B230" s="5212" t="s">
        <v>887</v>
      </c>
      <c r="C230" s="5212"/>
      <c r="D230" s="5212"/>
      <c r="E230" s="5212"/>
      <c r="F230" s="5214"/>
      <c r="G230" s="5212" t="s">
        <v>888</v>
      </c>
      <c r="H230" s="5212"/>
      <c r="I230" s="5212"/>
      <c r="J230" s="5214"/>
      <c r="K230" s="5212" t="s">
        <v>889</v>
      </c>
      <c r="L230" s="5212"/>
      <c r="M230" s="5212"/>
      <c r="N230" s="5214"/>
      <c r="O230" s="5212" t="s">
        <v>890</v>
      </c>
      <c r="P230" s="5212"/>
      <c r="Q230" s="5214"/>
      <c r="R230" s="95"/>
      <c r="S230" s="95"/>
      <c r="T230" s="95"/>
      <c r="U230" s="95"/>
      <c r="V230" s="95"/>
      <c r="W230" s="95"/>
      <c r="X230" s="95"/>
      <c r="Y230" s="95"/>
      <c r="Z230" s="95"/>
      <c r="AA230" s="95"/>
      <c r="AB230" s="95"/>
      <c r="AC230" s="95"/>
      <c r="AD230" s="5207"/>
      <c r="AE230" s="5207"/>
      <c r="AF230" s="5207"/>
      <c r="AG230" s="5207"/>
      <c r="AH230" s="5207"/>
      <c r="AI230" s="5207"/>
      <c r="AJ230" s="5207"/>
      <c r="AK230" s="5207"/>
      <c r="AL230" s="5207"/>
      <c r="AM230" s="5207"/>
      <c r="AN230" s="5207"/>
      <c r="AO230" s="5207"/>
      <c r="AP230" s="5207"/>
      <c r="AQ230" s="5207"/>
      <c r="AR230" s="5207"/>
      <c r="AS230" s="5207"/>
      <c r="AT230" s="5207"/>
      <c r="AU230" s="5207"/>
      <c r="AV230" s="5207"/>
      <c r="AW230" s="5207"/>
      <c r="AX230" s="5207"/>
      <c r="AY230" s="5207"/>
      <c r="AZ230" s="5207"/>
      <c r="BA230" s="5207"/>
      <c r="BB230" s="5207"/>
      <c r="BC230" s="5207"/>
      <c r="BD230" s="5207"/>
      <c r="BE230" s="5207"/>
      <c r="BF230" s="5207"/>
      <c r="BG230" s="5207"/>
      <c r="BH230" s="5207"/>
      <c r="BI230" s="5207"/>
      <c r="BJ230" s="5207"/>
      <c r="BK230" s="5207"/>
      <c r="BL230" s="5207"/>
      <c r="BM230" s="5207"/>
      <c r="BN230" s="5207"/>
      <c r="BO230" s="5207"/>
      <c r="BP230" s="5207"/>
      <c r="BQ230" s="5207"/>
      <c r="BR230" s="5207"/>
      <c r="BS230" s="5207"/>
      <c r="BT230" s="5207"/>
      <c r="BU230" s="5207"/>
      <c r="BV230" s="5207"/>
      <c r="BW230" s="5207"/>
      <c r="BX230" s="5207"/>
      <c r="BY230" s="5207"/>
      <c r="BZ230" s="5207"/>
      <c r="CA230" s="5207"/>
      <c r="CB230" s="5207"/>
      <c r="CC230" s="5207"/>
      <c r="CD230" s="5207"/>
      <c r="CE230" s="5207"/>
      <c r="CF230" s="5207"/>
      <c r="CG230" s="5207"/>
      <c r="CH230" s="5207"/>
      <c r="CI230" s="5207"/>
      <c r="CJ230" s="5207"/>
      <c r="CK230" s="5207"/>
      <c r="CL230" s="5207"/>
      <c r="CM230" s="5207"/>
      <c r="CN230" s="5207"/>
      <c r="CO230" s="5207"/>
      <c r="CP230" s="5207"/>
      <c r="CQ230" s="5207"/>
      <c r="CR230" s="5207"/>
      <c r="CS230" s="5207"/>
      <c r="CT230" s="5207"/>
      <c r="CU230" s="5207"/>
      <c r="CV230" s="5207"/>
      <c r="CW230" s="5207"/>
      <c r="CX230" s="5207"/>
      <c r="CY230" s="5207"/>
      <c r="CZ230" s="5207"/>
      <c r="DA230" s="5207"/>
      <c r="DB230" s="5207"/>
      <c r="DC230" s="5207"/>
      <c r="DD230" s="5207"/>
      <c r="DE230" s="5207"/>
      <c r="DF230" s="5207"/>
      <c r="DG230" s="5207"/>
      <c r="DH230" s="5207"/>
      <c r="DI230" s="5207"/>
      <c r="DJ230" s="5207"/>
      <c r="DK230" s="5207"/>
      <c r="DL230" s="5207"/>
      <c r="DM230" s="5207"/>
      <c r="DN230" s="5207"/>
      <c r="DO230" s="5207"/>
      <c r="DP230" s="5207"/>
      <c r="DQ230" s="5207"/>
      <c r="DR230" s="5207"/>
      <c r="DS230" s="5207"/>
      <c r="DT230" s="5207"/>
      <c r="DU230" s="5207"/>
      <c r="DV230" s="5207"/>
      <c r="DW230" s="5207"/>
      <c r="DX230" s="5207"/>
      <c r="DY230" s="5207"/>
      <c r="DZ230" s="5207"/>
      <c r="EA230" s="5207"/>
      <c r="EB230" s="5207"/>
      <c r="EC230" s="5207"/>
      <c r="ED230" s="5207"/>
      <c r="EE230" s="5207"/>
      <c r="EF230" s="5207"/>
      <c r="EG230" s="5207"/>
      <c r="EH230" s="5207"/>
      <c r="EI230" s="5207"/>
      <c r="EJ230" s="5207"/>
      <c r="EK230" s="5207"/>
      <c r="EL230" s="5207"/>
      <c r="EM230" s="5207"/>
      <c r="EN230" s="5207"/>
      <c r="EO230" s="5207"/>
      <c r="EP230" s="5207"/>
      <c r="EQ230" s="5207"/>
      <c r="ER230" s="5207"/>
      <c r="ES230" s="5207"/>
      <c r="ET230" s="5207"/>
      <c r="EU230" s="5207"/>
      <c r="EV230" s="5207"/>
      <c r="EW230" s="5207"/>
      <c r="EX230" s="5207"/>
      <c r="EY230" s="5207"/>
      <c r="EZ230" s="5207"/>
      <c r="FA230" s="5207"/>
      <c r="FB230" s="5207"/>
      <c r="FC230" s="5207"/>
      <c r="FD230" s="5207"/>
      <c r="FE230" s="5207"/>
      <c r="FF230" s="5207"/>
      <c r="FG230" s="5207"/>
      <c r="FH230" s="5207"/>
      <c r="FI230" s="5207"/>
      <c r="FJ230" s="5207"/>
      <c r="FK230" s="5207"/>
      <c r="FL230" s="5207"/>
      <c r="FM230" s="5207"/>
      <c r="FN230" s="5207"/>
      <c r="FO230" s="5207"/>
      <c r="FP230" s="5207"/>
      <c r="FQ230" s="5207"/>
      <c r="FR230" s="5207"/>
      <c r="FS230" s="5207"/>
      <c r="FT230" s="5207"/>
      <c r="FU230" s="5207"/>
      <c r="FV230" s="5207"/>
      <c r="FW230" s="5207"/>
      <c r="FX230" s="5207"/>
      <c r="FY230" s="5207"/>
      <c r="FZ230" s="5207"/>
      <c r="GA230" s="5207"/>
      <c r="GB230" s="5207"/>
      <c r="GC230" s="5207"/>
      <c r="GD230" s="5207"/>
      <c r="GE230" s="5207"/>
      <c r="GF230" s="5207"/>
      <c r="GG230" s="5207"/>
      <c r="GH230" s="5207"/>
      <c r="GI230" s="5207"/>
      <c r="GJ230" s="5207"/>
      <c r="GK230" s="5207"/>
      <c r="GL230" s="5207"/>
      <c r="GM230" s="5207"/>
      <c r="GN230" s="5207"/>
      <c r="GO230" s="5207"/>
      <c r="GP230" s="5207"/>
      <c r="GQ230" s="5207"/>
      <c r="GR230" s="5207"/>
      <c r="GS230" s="5207"/>
      <c r="GT230" s="5207"/>
      <c r="GU230" s="5207"/>
      <c r="GV230" s="5207"/>
      <c r="GW230" s="5207"/>
      <c r="GX230" s="5207"/>
      <c r="GY230" s="5207"/>
      <c r="GZ230" s="5207"/>
      <c r="HA230" s="5207"/>
      <c r="HB230" s="5207"/>
      <c r="HC230" s="5207"/>
      <c r="HD230" s="5207"/>
      <c r="HE230" s="5207"/>
      <c r="HF230" s="5207"/>
      <c r="HG230" s="5207"/>
      <c r="HH230" s="5207"/>
      <c r="HI230" s="5207"/>
      <c r="HJ230" s="5207"/>
      <c r="HK230" s="5207"/>
      <c r="HL230" s="5207"/>
      <c r="HM230" s="5207"/>
      <c r="HN230" s="5207"/>
      <c r="HO230" s="5207"/>
      <c r="HP230" s="5207"/>
      <c r="HQ230" s="5207"/>
      <c r="HR230" s="5207"/>
      <c r="HS230" s="5207"/>
      <c r="HT230" s="5207"/>
      <c r="HU230" s="5207"/>
      <c r="HV230" s="5207"/>
      <c r="HW230" s="5207"/>
      <c r="HX230" s="5207"/>
      <c r="HY230" s="5207"/>
      <c r="HZ230" s="5207"/>
      <c r="IA230" s="5207"/>
      <c r="IB230" s="5207"/>
      <c r="IC230" s="5207"/>
      <c r="ID230" s="5207"/>
      <c r="IE230" s="5207"/>
      <c r="IF230" s="5207"/>
      <c r="IG230" s="5207"/>
      <c r="IH230" s="5207"/>
      <c r="II230" s="5207"/>
      <c r="IJ230" s="5207"/>
      <c r="IK230" s="5207"/>
      <c r="IL230" s="5207"/>
      <c r="IM230" s="5207"/>
      <c r="IN230" s="5207"/>
      <c r="IO230" s="5207"/>
      <c r="IP230" s="5207"/>
      <c r="IQ230" s="5207"/>
      <c r="IR230" s="5207"/>
      <c r="IS230" s="5207"/>
      <c r="IT230" s="5207"/>
      <c r="IU230" s="5207"/>
      <c r="IV230" s="5207"/>
      <c r="IW230" s="5207"/>
      <c r="IX230" s="5207"/>
      <c r="IY230" s="5207"/>
      <c r="IZ230" s="5207"/>
      <c r="JA230" s="5207"/>
      <c r="JB230" s="5207"/>
      <c r="JC230" s="5207"/>
      <c r="JD230" s="5207"/>
      <c r="JE230" s="5207"/>
      <c r="JF230" s="5207"/>
      <c r="JG230" s="5207"/>
      <c r="JH230" s="5207"/>
      <c r="JI230" s="5207"/>
      <c r="JJ230" s="5207"/>
      <c r="JK230" s="5207"/>
      <c r="JL230" s="5207"/>
      <c r="JM230" s="5207"/>
      <c r="JN230" s="5207"/>
      <c r="JO230" s="5207"/>
      <c r="JP230" s="5207"/>
      <c r="JQ230" s="5207"/>
      <c r="JR230" s="5207"/>
      <c r="JS230" s="5207"/>
      <c r="JT230" s="5207"/>
      <c r="JU230" s="5207"/>
      <c r="JV230" s="5207"/>
      <c r="JW230" s="5207"/>
      <c r="JX230" s="5207"/>
      <c r="JY230" s="5207"/>
      <c r="JZ230" s="5207"/>
      <c r="KA230" s="5207"/>
      <c r="KB230" s="5207"/>
      <c r="KC230" s="5207"/>
      <c r="KD230" s="5207"/>
      <c r="KE230" s="5207"/>
      <c r="KF230" s="5207"/>
      <c r="KG230" s="5207"/>
      <c r="KH230" s="5207"/>
      <c r="KI230" s="5207"/>
      <c r="KJ230" s="5207"/>
      <c r="KK230" s="5207"/>
      <c r="KL230" s="5207"/>
      <c r="KM230" s="5207"/>
      <c r="KN230" s="5207"/>
      <c r="KO230" s="5207"/>
      <c r="KP230" s="5207"/>
      <c r="KQ230" s="5207"/>
      <c r="KR230" s="5207"/>
      <c r="KS230" s="5207"/>
      <c r="KT230" s="5207"/>
      <c r="KU230" s="5207"/>
      <c r="KV230" s="5207"/>
      <c r="KW230" s="5207"/>
      <c r="KX230" s="5207"/>
      <c r="KY230" s="5207"/>
      <c r="KZ230" s="5207"/>
      <c r="LA230" s="5207"/>
      <c r="LB230" s="5207"/>
      <c r="LC230" s="5207"/>
      <c r="LD230" s="5207"/>
      <c r="LE230" s="5207"/>
      <c r="LF230" s="5207"/>
      <c r="LG230" s="5207"/>
      <c r="LH230" s="5207"/>
      <c r="LI230" s="5207"/>
      <c r="LJ230" s="5207"/>
      <c r="LK230" s="5207"/>
      <c r="LL230" s="5207"/>
      <c r="LM230" s="5207"/>
      <c r="LN230" s="5207"/>
      <c r="LO230" s="5207"/>
      <c r="LP230" s="5207"/>
      <c r="LQ230" s="5207"/>
      <c r="LR230" s="5207"/>
      <c r="LS230" s="5207"/>
      <c r="LT230" s="5207"/>
      <c r="LU230" s="5207"/>
      <c r="LV230" s="5207"/>
      <c r="LW230" s="5207"/>
      <c r="LX230" s="5207"/>
      <c r="LY230" s="5207"/>
      <c r="LZ230" s="5207"/>
      <c r="MA230" s="5207"/>
      <c r="MB230" s="5207"/>
      <c r="MC230" s="5207"/>
      <c r="MD230" s="5207"/>
      <c r="ME230" s="5207"/>
      <c r="MF230" s="5207"/>
      <c r="MG230" s="5207"/>
      <c r="MH230" s="5207"/>
      <c r="MI230" s="5207"/>
      <c r="MJ230" s="5207"/>
      <c r="MK230" s="5207"/>
      <c r="ML230" s="5207"/>
      <c r="MM230" s="5207"/>
      <c r="MN230" s="5207"/>
      <c r="MO230" s="5207"/>
      <c r="MP230" s="5207"/>
      <c r="MQ230" s="5207"/>
      <c r="MR230" s="5207"/>
      <c r="MS230" s="5207"/>
      <c r="MT230" s="5207"/>
      <c r="MU230" s="5207"/>
      <c r="MV230" s="5207"/>
      <c r="MW230" s="5207"/>
      <c r="MX230" s="5207"/>
      <c r="MY230" s="5207"/>
      <c r="MZ230" s="5207"/>
      <c r="NA230" s="5207"/>
      <c r="NB230" s="5207"/>
      <c r="NC230" s="5207"/>
      <c r="ND230" s="5207"/>
      <c r="NE230" s="5207"/>
      <c r="NF230" s="5207"/>
      <c r="NG230" s="5207"/>
      <c r="NH230" s="5207"/>
      <c r="NI230" s="5207"/>
      <c r="NJ230" s="5207"/>
      <c r="NK230" s="5207"/>
      <c r="NL230" s="5207"/>
      <c r="NM230" s="5207"/>
      <c r="NN230" s="5207"/>
      <c r="NO230" s="5207"/>
      <c r="NP230" s="5207"/>
      <c r="NQ230" s="5207"/>
      <c r="NR230" s="5207"/>
      <c r="NS230" s="5207"/>
      <c r="NT230" s="5207"/>
      <c r="NU230" s="5207"/>
      <c r="NV230" s="5207"/>
      <c r="NW230" s="5207"/>
      <c r="NX230" s="5207"/>
      <c r="NY230" s="5207"/>
      <c r="NZ230" s="5207"/>
      <c r="OA230" s="5207"/>
      <c r="OB230" s="5207"/>
      <c r="OC230" s="5207"/>
      <c r="OD230" s="5207"/>
      <c r="OE230" s="5207"/>
      <c r="OF230" s="5207"/>
      <c r="OG230" s="5207"/>
      <c r="OH230" s="5207"/>
      <c r="OI230" s="5207"/>
      <c r="OJ230" s="5207"/>
      <c r="OK230" s="5207"/>
      <c r="OL230" s="5207"/>
      <c r="OM230" s="5207"/>
      <c r="ON230" s="5207"/>
      <c r="OO230" s="5207"/>
      <c r="OP230" s="5207"/>
      <c r="OQ230" s="5207"/>
      <c r="OR230" s="5207"/>
      <c r="OS230" s="5207"/>
      <c r="OT230" s="5207"/>
      <c r="OU230" s="5207"/>
      <c r="OV230" s="5207"/>
      <c r="OW230" s="5207"/>
      <c r="OX230" s="5207"/>
      <c r="OY230" s="5207"/>
      <c r="OZ230" s="5207"/>
      <c r="PA230" s="5207"/>
      <c r="PB230" s="5207"/>
      <c r="PC230" s="5207"/>
      <c r="PD230" s="5207"/>
      <c r="PE230" s="5207"/>
      <c r="PF230" s="5207"/>
      <c r="PG230" s="5207"/>
      <c r="PH230" s="5207"/>
      <c r="PI230" s="5207"/>
      <c r="PJ230" s="5207"/>
      <c r="PK230" s="5207"/>
      <c r="PL230" s="5207"/>
      <c r="PM230" s="5207"/>
      <c r="PN230" s="5207"/>
      <c r="PO230" s="5207"/>
      <c r="PP230" s="5207"/>
      <c r="PQ230" s="5207"/>
      <c r="PR230" s="5207"/>
      <c r="PS230" s="5207"/>
      <c r="PT230" s="5207"/>
      <c r="PU230" s="5207"/>
      <c r="PV230" s="5207"/>
      <c r="PW230" s="5207"/>
      <c r="PX230" s="5207"/>
      <c r="PY230" s="5207"/>
      <c r="PZ230" s="5207"/>
      <c r="QA230" s="5207"/>
      <c r="QB230" s="5207"/>
      <c r="QC230" s="5207"/>
      <c r="QD230" s="5207"/>
      <c r="QE230" s="5207"/>
      <c r="QF230" s="5207"/>
      <c r="QG230" s="5207"/>
      <c r="QH230" s="5207"/>
      <c r="QI230" s="5207"/>
      <c r="QJ230" s="5207"/>
      <c r="QK230" s="5207"/>
      <c r="QL230" s="5207"/>
      <c r="QM230" s="5207"/>
      <c r="QN230" s="5207"/>
      <c r="QO230" s="5207"/>
      <c r="QP230" s="5207"/>
      <c r="QQ230" s="5207"/>
      <c r="QR230" s="5207"/>
      <c r="QS230" s="5207"/>
      <c r="QT230" s="5207"/>
      <c r="QU230" s="5207"/>
      <c r="QV230" s="5207"/>
      <c r="QW230" s="5207"/>
      <c r="QX230" s="5207"/>
      <c r="QY230" s="5207"/>
      <c r="QZ230" s="5207"/>
      <c r="RA230" s="5207"/>
      <c r="RB230" s="5207"/>
      <c r="RC230" s="5207"/>
      <c r="RD230" s="5207"/>
      <c r="RE230" s="5207"/>
      <c r="RF230" s="5207"/>
      <c r="RG230" s="5207"/>
      <c r="RH230" s="5207"/>
      <c r="RI230" s="5207"/>
      <c r="RJ230" s="5207"/>
      <c r="RK230" s="5207"/>
      <c r="RL230" s="5207"/>
      <c r="RM230" s="5207"/>
      <c r="RN230" s="5207"/>
      <c r="RO230" s="5207"/>
      <c r="RP230" s="5207"/>
      <c r="RQ230" s="5207"/>
      <c r="RR230" s="5207"/>
      <c r="RS230" s="5207"/>
      <c r="RT230" s="5207"/>
      <c r="RU230" s="5207"/>
      <c r="RV230" s="5207"/>
      <c r="RW230" s="5207"/>
      <c r="RX230" s="5207"/>
      <c r="RY230" s="5207"/>
      <c r="RZ230" s="5207"/>
      <c r="SA230" s="5207"/>
      <c r="SB230" s="5207"/>
      <c r="SC230" s="5207"/>
      <c r="SD230" s="5207"/>
      <c r="SE230" s="5207"/>
      <c r="SF230" s="5207"/>
      <c r="SG230" s="5207"/>
      <c r="SH230" s="5207"/>
      <c r="SI230" s="5207"/>
      <c r="SJ230" s="5207"/>
      <c r="SK230" s="5207"/>
      <c r="SL230" s="5207"/>
      <c r="SM230" s="5207"/>
      <c r="SN230" s="5207"/>
      <c r="SO230" s="5207"/>
      <c r="SP230" s="5207"/>
      <c r="SQ230" s="5207"/>
      <c r="SR230" s="5207"/>
      <c r="SS230" s="5207"/>
      <c r="ST230" s="5207"/>
      <c r="SU230" s="5207"/>
      <c r="SV230" s="5207"/>
      <c r="SW230" s="5207"/>
      <c r="SX230" s="5207"/>
      <c r="SY230" s="5207"/>
      <c r="SZ230" s="5207"/>
      <c r="TA230" s="5207"/>
      <c r="TB230" s="5207"/>
      <c r="TC230" s="5207"/>
      <c r="TD230" s="5207"/>
      <c r="TE230" s="5207"/>
      <c r="TF230" s="5207"/>
      <c r="TG230" s="5207"/>
      <c r="TH230" s="5207"/>
      <c r="TI230" s="5207"/>
      <c r="TJ230" s="5207"/>
      <c r="TK230" s="5207"/>
      <c r="TL230" s="5207"/>
      <c r="TM230" s="5207"/>
      <c r="TN230" s="5207"/>
      <c r="TO230" s="5207"/>
      <c r="TP230" s="5207"/>
      <c r="TQ230" s="5207"/>
      <c r="TR230" s="5207"/>
      <c r="TS230" s="5207"/>
      <c r="TT230" s="5207"/>
      <c r="TU230" s="5207"/>
      <c r="TV230" s="5207"/>
      <c r="TW230" s="5207"/>
      <c r="TX230" s="5207"/>
      <c r="TY230" s="5207"/>
      <c r="TZ230" s="5207"/>
      <c r="UA230" s="5207"/>
      <c r="UB230" s="5207"/>
      <c r="UC230" s="5207"/>
      <c r="UD230" s="5207"/>
      <c r="UE230" s="5207"/>
      <c r="UF230" s="5207"/>
      <c r="UG230" s="5207"/>
      <c r="UH230" s="5207"/>
      <c r="UI230" s="5207"/>
      <c r="UJ230" s="5207"/>
      <c r="UK230" s="5207"/>
      <c r="UL230" s="5207"/>
      <c r="UM230" s="5207"/>
      <c r="UN230" s="5207"/>
      <c r="UO230" s="5207"/>
      <c r="UP230" s="5207"/>
      <c r="UQ230" s="5207"/>
      <c r="UR230" s="5207"/>
      <c r="US230" s="5207"/>
      <c r="UT230" s="5207"/>
      <c r="UU230" s="5207"/>
      <c r="UV230" s="5207"/>
      <c r="UW230" s="5207"/>
      <c r="UX230" s="5207"/>
      <c r="UY230" s="5207"/>
      <c r="UZ230" s="5207"/>
      <c r="VA230" s="5207"/>
      <c r="VB230" s="5207"/>
      <c r="VC230" s="5207"/>
      <c r="VD230" s="5207"/>
      <c r="VE230" s="5207"/>
      <c r="VF230" s="5207"/>
      <c r="VG230" s="5207"/>
      <c r="VH230" s="5207"/>
      <c r="VI230" s="5207"/>
      <c r="VJ230" s="5207"/>
      <c r="VK230" s="5207"/>
      <c r="VL230" s="5207"/>
      <c r="VM230" s="5207"/>
      <c r="VN230" s="5207"/>
      <c r="VO230" s="5207"/>
      <c r="VP230" s="5207"/>
      <c r="VQ230" s="5207"/>
      <c r="VR230" s="5207"/>
      <c r="VS230" s="5207"/>
      <c r="VT230" s="5207"/>
      <c r="VU230" s="5207"/>
      <c r="VV230" s="5207"/>
      <c r="VW230" s="5207"/>
      <c r="VX230" s="5207"/>
      <c r="VY230" s="5207"/>
      <c r="VZ230" s="5207"/>
      <c r="WA230" s="5207"/>
      <c r="WB230" s="5207"/>
      <c r="WC230" s="5207"/>
      <c r="WD230" s="5207"/>
      <c r="WE230" s="5207"/>
      <c r="WF230" s="5207"/>
      <c r="WG230" s="5207"/>
      <c r="WH230" s="5207"/>
      <c r="WI230" s="5207"/>
      <c r="WJ230" s="5207"/>
      <c r="WK230" s="5207"/>
      <c r="WL230" s="5207"/>
      <c r="WM230" s="5207"/>
      <c r="WN230" s="5207"/>
      <c r="WO230" s="5207"/>
      <c r="WP230" s="5207"/>
      <c r="WQ230" s="5207"/>
      <c r="WR230" s="5207"/>
      <c r="WS230" s="5207"/>
      <c r="WT230" s="5207"/>
      <c r="WU230" s="5207"/>
      <c r="WV230" s="5207"/>
      <c r="WW230" s="5207"/>
      <c r="WX230" s="5207"/>
      <c r="WY230" s="5207"/>
      <c r="WZ230" s="5207"/>
      <c r="XA230" s="5207"/>
      <c r="XB230" s="5207"/>
      <c r="XC230" s="5207"/>
      <c r="XD230" s="5207"/>
      <c r="XE230" s="5207"/>
      <c r="XF230" s="5207"/>
      <c r="XG230" s="5207"/>
      <c r="XH230" s="5207"/>
      <c r="XI230" s="5207"/>
      <c r="XJ230" s="5207"/>
      <c r="XK230" s="5207"/>
      <c r="XL230" s="5207"/>
      <c r="XM230" s="5207"/>
      <c r="XN230" s="5207"/>
      <c r="XO230" s="5207"/>
      <c r="XP230" s="5207"/>
      <c r="XQ230" s="5207"/>
      <c r="XR230" s="5207"/>
      <c r="XS230" s="5207"/>
      <c r="XT230" s="5207"/>
      <c r="XU230" s="5207"/>
      <c r="XV230" s="5207"/>
      <c r="XW230" s="5207"/>
      <c r="XX230" s="5207"/>
      <c r="XY230" s="5207"/>
      <c r="XZ230" s="5207"/>
      <c r="YA230" s="5207"/>
      <c r="YB230" s="5207"/>
      <c r="YC230" s="5207"/>
      <c r="YD230" s="5207"/>
      <c r="YE230" s="5207"/>
      <c r="YF230" s="5207"/>
      <c r="YG230" s="5207"/>
      <c r="YH230" s="5207"/>
      <c r="YI230" s="5207"/>
      <c r="YJ230" s="5207"/>
      <c r="YK230" s="5207"/>
      <c r="YL230" s="5207"/>
      <c r="YM230" s="5207"/>
      <c r="YN230" s="5207"/>
      <c r="YO230" s="5207"/>
      <c r="YP230" s="5207"/>
      <c r="YQ230" s="5207"/>
      <c r="YR230" s="5207"/>
      <c r="YS230" s="5207"/>
      <c r="YT230" s="5207"/>
      <c r="YU230" s="5207"/>
      <c r="YV230" s="5207"/>
      <c r="YW230" s="5207"/>
      <c r="YX230" s="5207"/>
      <c r="YY230" s="5207"/>
      <c r="YZ230" s="5207"/>
      <c r="ZA230" s="5207"/>
      <c r="ZB230" s="5207"/>
      <c r="ZC230" s="5207"/>
      <c r="ZD230" s="5207"/>
      <c r="ZE230" s="5207"/>
      <c r="ZF230" s="5207"/>
      <c r="ZG230" s="5207"/>
      <c r="ZH230" s="5207"/>
      <c r="ZI230" s="5207"/>
      <c r="ZJ230" s="5207"/>
      <c r="ZK230" s="5207"/>
      <c r="ZL230" s="5207"/>
      <c r="ZM230" s="5207"/>
      <c r="ZN230" s="5207"/>
      <c r="ZO230" s="5207"/>
      <c r="ZP230" s="5207"/>
      <c r="ZQ230" s="5207"/>
      <c r="ZR230" s="5207"/>
      <c r="ZS230" s="5207"/>
      <c r="ZT230" s="5207"/>
      <c r="ZU230" s="5207"/>
      <c r="ZV230" s="5207"/>
      <c r="ZW230" s="5207"/>
      <c r="ZX230" s="5207"/>
      <c r="ZY230" s="5207"/>
      <c r="ZZ230" s="5207"/>
      <c r="AAA230" s="5207"/>
      <c r="AAB230" s="5207"/>
      <c r="AAC230" s="5207"/>
      <c r="AAD230" s="5207"/>
      <c r="AAE230" s="5207"/>
      <c r="AAF230" s="5207"/>
      <c r="AAG230" s="5207"/>
      <c r="AAH230" s="5207"/>
      <c r="AAI230" s="5207"/>
      <c r="AAJ230" s="5207"/>
      <c r="AAK230" s="5207"/>
      <c r="AAL230" s="5207"/>
      <c r="AAM230" s="5207"/>
      <c r="AAN230" s="5207"/>
      <c r="AAO230" s="5207"/>
      <c r="AAP230" s="5207"/>
      <c r="AAQ230" s="5207"/>
      <c r="AAR230" s="5207"/>
      <c r="AAS230" s="5207"/>
      <c r="AAT230" s="5207"/>
      <c r="AAU230" s="5207"/>
      <c r="AAV230" s="5207"/>
      <c r="AAW230" s="5207"/>
      <c r="AAX230" s="5207"/>
      <c r="AAY230" s="5207"/>
      <c r="AAZ230" s="5207"/>
      <c r="ABA230" s="5207"/>
      <c r="ABB230" s="5207"/>
      <c r="ABC230" s="5207"/>
      <c r="ABD230" s="5207"/>
      <c r="ABE230" s="5207"/>
      <c r="ABF230" s="5207"/>
      <c r="ABG230" s="5207"/>
      <c r="ABH230" s="5207"/>
      <c r="ABI230" s="5207"/>
      <c r="ABJ230" s="5207"/>
      <c r="ABK230" s="5207"/>
      <c r="ABL230" s="5207"/>
      <c r="ABM230" s="5207"/>
      <c r="ABN230" s="5207"/>
      <c r="ABO230" s="5207"/>
      <c r="ABP230" s="5207"/>
      <c r="ABQ230" s="5207"/>
      <c r="ABR230" s="5207"/>
      <c r="ABS230" s="5207"/>
      <c r="ABT230" s="5207"/>
      <c r="ABU230" s="5207"/>
      <c r="ABV230" s="5207"/>
      <c r="ABW230" s="5207"/>
      <c r="ABX230" s="5207"/>
      <c r="ABY230" s="5207"/>
      <c r="ABZ230" s="5207"/>
      <c r="ACA230" s="5207"/>
      <c r="ACB230" s="5207"/>
      <c r="ACC230" s="5207"/>
      <c r="ACD230" s="5207"/>
      <c r="ACE230" s="5207"/>
      <c r="ACF230" s="5207"/>
      <c r="ACG230" s="5207"/>
      <c r="ACH230" s="5207"/>
      <c r="ACI230" s="5207"/>
      <c r="ACJ230" s="5207"/>
      <c r="ACK230" s="5207"/>
      <c r="ACL230" s="5207"/>
      <c r="ACM230" s="5207"/>
      <c r="ACN230" s="5207"/>
      <c r="ACO230" s="5207"/>
      <c r="ACP230" s="5207"/>
      <c r="ACQ230" s="5207"/>
      <c r="ACR230" s="5207"/>
      <c r="ACS230" s="5207"/>
      <c r="ACT230" s="5207"/>
      <c r="ACU230" s="5207"/>
      <c r="ACV230" s="5207"/>
      <c r="ACW230" s="5207"/>
      <c r="ACX230" s="5207"/>
      <c r="ACY230" s="5207"/>
      <c r="ACZ230" s="5207"/>
      <c r="ADA230" s="5207"/>
      <c r="ADB230" s="5207"/>
      <c r="ADC230" s="5207"/>
      <c r="ADD230" s="5207"/>
      <c r="ADE230" s="5207"/>
      <c r="ADF230" s="5207"/>
      <c r="ADG230" s="5207"/>
      <c r="ADH230" s="5207"/>
      <c r="ADI230" s="5207"/>
      <c r="ADJ230" s="5207"/>
      <c r="ADK230" s="5207"/>
      <c r="ADL230" s="5207"/>
      <c r="ADM230" s="5207"/>
      <c r="ADN230" s="5207"/>
      <c r="ADO230" s="5207"/>
      <c r="ADP230" s="5207"/>
      <c r="ADQ230" s="5207"/>
      <c r="ADR230" s="5207"/>
      <c r="ADS230" s="5207"/>
      <c r="ADT230" s="5207"/>
      <c r="ADU230" s="5207"/>
      <c r="ADV230" s="5207"/>
      <c r="ADW230" s="5207"/>
      <c r="ADX230" s="5207"/>
      <c r="ADY230" s="5207"/>
      <c r="ADZ230" s="5207"/>
      <c r="AEA230" s="5207"/>
      <c r="AEB230" s="5207"/>
      <c r="AEC230" s="5207"/>
      <c r="AED230" s="5207"/>
      <c r="AEE230" s="5207"/>
      <c r="AEF230" s="5207"/>
      <c r="AEG230" s="5207"/>
      <c r="AEH230" s="5207"/>
      <c r="AEI230" s="5207"/>
      <c r="AEJ230" s="5207"/>
      <c r="AEK230" s="5207"/>
      <c r="AEL230" s="5207"/>
      <c r="AEM230" s="5207"/>
      <c r="AEN230" s="5207"/>
      <c r="AEO230" s="5207"/>
      <c r="AEP230" s="5207"/>
      <c r="AEQ230" s="5207"/>
      <c r="AER230" s="5207"/>
      <c r="AES230" s="5207"/>
      <c r="AET230" s="5207"/>
      <c r="AEU230" s="5207"/>
      <c r="AEV230" s="5207"/>
      <c r="AEW230" s="5207"/>
      <c r="AEX230" s="5207"/>
      <c r="AEY230" s="5207"/>
      <c r="AEZ230" s="5207"/>
      <c r="AFA230" s="5207"/>
      <c r="AFB230" s="5207"/>
      <c r="AFC230" s="5207"/>
      <c r="AFD230" s="5207"/>
      <c r="AFE230" s="5207"/>
      <c r="AFF230" s="5207"/>
      <c r="AFG230" s="5207"/>
      <c r="AFH230" s="5207"/>
      <c r="AFI230" s="5207"/>
      <c r="AFJ230" s="5207"/>
      <c r="AFK230" s="5207"/>
      <c r="AFL230" s="5207"/>
      <c r="AFM230" s="5207"/>
      <c r="AFN230" s="5207"/>
      <c r="AFO230" s="5207"/>
      <c r="AFP230" s="5207"/>
      <c r="AFQ230" s="5207"/>
      <c r="AFR230" s="5207"/>
      <c r="AFS230" s="5207"/>
      <c r="AFT230" s="5207"/>
      <c r="AFU230" s="5207"/>
      <c r="AFV230" s="5207"/>
      <c r="AFW230" s="5207"/>
      <c r="AFX230" s="5207"/>
      <c r="AFY230" s="5207"/>
      <c r="AFZ230" s="5207"/>
      <c r="AGA230" s="5207"/>
      <c r="AGB230" s="5207"/>
      <c r="AGC230" s="5207"/>
      <c r="AGD230" s="5207"/>
      <c r="AGE230" s="5207"/>
      <c r="AGF230" s="5207"/>
      <c r="AGG230" s="5207"/>
      <c r="AGH230" s="5207"/>
      <c r="AGI230" s="5207"/>
      <c r="AGJ230" s="5207"/>
      <c r="AGK230" s="5207"/>
      <c r="AGL230" s="5207"/>
      <c r="AGM230" s="5207"/>
      <c r="AGN230" s="5207"/>
      <c r="AGO230" s="5207"/>
      <c r="AGP230" s="5207"/>
      <c r="AGQ230" s="5207"/>
      <c r="AGR230" s="5207"/>
      <c r="AGS230" s="5207"/>
      <c r="AGT230" s="5207"/>
      <c r="AGU230" s="5207"/>
      <c r="AGV230" s="5207"/>
      <c r="AGW230" s="5207"/>
      <c r="AGX230" s="5207"/>
      <c r="AGY230" s="5207"/>
      <c r="AGZ230" s="5207"/>
      <c r="AHA230" s="5207"/>
      <c r="AHB230" s="5207"/>
      <c r="AHC230" s="5207"/>
      <c r="AHD230" s="5207"/>
      <c r="AHE230" s="5207"/>
      <c r="AHF230" s="5207"/>
      <c r="AHG230" s="5207"/>
      <c r="AHH230" s="5207"/>
      <c r="AHI230" s="5207"/>
      <c r="AHJ230" s="5207"/>
      <c r="AHK230" s="5207"/>
      <c r="AHL230" s="5207"/>
      <c r="AHM230" s="5207"/>
      <c r="AHN230" s="5207"/>
      <c r="AHO230" s="5207"/>
      <c r="AHP230" s="5207"/>
      <c r="AHQ230" s="5207"/>
      <c r="AHR230" s="5207"/>
      <c r="AHS230" s="5207"/>
      <c r="AHT230" s="5207"/>
      <c r="AHU230" s="5207"/>
      <c r="AHV230" s="5207"/>
      <c r="AHW230" s="5207"/>
      <c r="AHX230" s="5207"/>
      <c r="AHY230" s="5207"/>
      <c r="AHZ230" s="5207"/>
      <c r="AIA230" s="5207"/>
      <c r="AIB230" s="5207"/>
      <c r="AIC230" s="5207"/>
      <c r="AID230" s="5207"/>
      <c r="AIE230" s="5207"/>
      <c r="AIF230" s="5207"/>
      <c r="AIG230" s="5207"/>
      <c r="AIH230" s="5207"/>
      <c r="AII230" s="5207"/>
      <c r="AIJ230" s="5207"/>
      <c r="AIK230" s="5207"/>
      <c r="AIL230" s="5207"/>
      <c r="AIM230" s="5207"/>
      <c r="AIN230" s="5207"/>
      <c r="AIO230" s="5207"/>
      <c r="AIP230" s="5207"/>
      <c r="AIQ230" s="5207"/>
      <c r="AIR230" s="5207"/>
      <c r="AIS230" s="5207"/>
      <c r="AIT230" s="5207"/>
      <c r="AIU230" s="5207"/>
      <c r="AIV230" s="5207"/>
      <c r="AIW230" s="5207"/>
      <c r="AIX230" s="5207"/>
      <c r="AIY230" s="5207"/>
      <c r="AIZ230" s="5207"/>
      <c r="AJA230" s="5207"/>
      <c r="AJB230" s="5207"/>
      <c r="AJC230" s="5207"/>
      <c r="AJD230" s="5207"/>
      <c r="AJE230" s="5207"/>
      <c r="AJF230" s="5207"/>
      <c r="AJG230" s="5207"/>
      <c r="AJH230" s="5207"/>
      <c r="AJI230" s="5207"/>
      <c r="AJJ230" s="5207"/>
      <c r="AJK230" s="5207"/>
      <c r="AJL230" s="5207"/>
      <c r="AJM230" s="5207"/>
      <c r="AJN230" s="5207"/>
      <c r="AJO230" s="5207"/>
      <c r="AJP230" s="5207"/>
      <c r="AJQ230" s="5207"/>
      <c r="AJR230" s="5207"/>
      <c r="AJS230" s="5207"/>
      <c r="AJT230" s="5207"/>
      <c r="AJU230" s="5207"/>
      <c r="AJV230" s="5207"/>
      <c r="AJW230" s="5207"/>
      <c r="AJX230" s="5207"/>
      <c r="AJY230" s="5207"/>
      <c r="AJZ230" s="5207"/>
      <c r="AKA230" s="5207"/>
      <c r="AKB230" s="5207"/>
      <c r="AKC230" s="5207"/>
      <c r="AKD230" s="5207"/>
      <c r="AKE230" s="5207"/>
      <c r="AKF230" s="5207"/>
      <c r="AKG230" s="5207"/>
      <c r="AKH230" s="5207"/>
      <c r="AKI230" s="5207"/>
      <c r="AKJ230" s="5207"/>
      <c r="AKK230" s="5207"/>
      <c r="AKL230" s="5207"/>
      <c r="AKM230" s="5207"/>
      <c r="AKN230" s="5207"/>
      <c r="AKO230" s="5207"/>
      <c r="AKP230" s="5207"/>
      <c r="AKQ230" s="5207"/>
      <c r="AKR230" s="5207"/>
      <c r="AKS230" s="5207"/>
      <c r="AKT230" s="5207"/>
      <c r="AKU230" s="5207"/>
      <c r="AKV230" s="5207"/>
      <c r="AKW230" s="5207"/>
      <c r="AKX230" s="5207"/>
      <c r="AKY230" s="5207"/>
      <c r="AKZ230" s="5207"/>
      <c r="ALA230" s="5207"/>
      <c r="ALB230" s="5207"/>
      <c r="ALC230" s="5207"/>
      <c r="ALD230" s="5207"/>
      <c r="ALE230" s="5207"/>
      <c r="ALF230" s="5207"/>
      <c r="ALG230" s="5207"/>
      <c r="ALH230" s="5207"/>
      <c r="ALI230" s="5207"/>
      <c r="ALJ230" s="5207"/>
      <c r="ALK230" s="5207"/>
      <c r="ALL230" s="5207"/>
      <c r="ALM230" s="5207"/>
      <c r="ALN230" s="5207"/>
      <c r="ALO230" s="5207"/>
      <c r="ALP230" s="5207"/>
      <c r="ALQ230" s="5207"/>
      <c r="ALR230" s="5207"/>
      <c r="ALS230" s="5207"/>
      <c r="ALT230" s="5207"/>
      <c r="ALU230" s="5207"/>
      <c r="ALV230" s="5207"/>
      <c r="ALW230" s="5207"/>
      <c r="ALX230" s="5207"/>
      <c r="ALY230" s="5207"/>
      <c r="ALZ230" s="5207"/>
      <c r="AMA230" s="5207"/>
      <c r="AMB230" s="5207"/>
      <c r="AMC230" s="5207"/>
      <c r="AMD230" s="5207"/>
      <c r="AME230" s="5207"/>
      <c r="AMF230" s="5207"/>
      <c r="AMG230" s="5207"/>
      <c r="AMH230" s="5207"/>
      <c r="AMI230" s="5207"/>
      <c r="AMJ230" s="5207"/>
      <c r="AMK230" s="5207"/>
      <c r="AML230" s="5207"/>
      <c r="AMM230" s="5207"/>
      <c r="AMN230" s="5207"/>
      <c r="AMO230" s="5207"/>
      <c r="AMP230" s="5207"/>
      <c r="AMQ230" s="5207"/>
      <c r="AMR230" s="5207"/>
      <c r="AMS230" s="5207"/>
      <c r="AMT230" s="5207"/>
      <c r="AMU230" s="5207"/>
      <c r="AMV230" s="5207"/>
      <c r="AMW230" s="5207"/>
      <c r="AMX230" s="5207"/>
      <c r="AMY230" s="5207"/>
      <c r="AMZ230" s="5207"/>
      <c r="ANA230" s="5207"/>
      <c r="ANB230" s="5207"/>
      <c r="ANC230" s="5207"/>
      <c r="AND230" s="5207"/>
      <c r="ANE230" s="5207"/>
      <c r="ANF230" s="5207"/>
      <c r="ANG230" s="5207"/>
      <c r="ANH230" s="5207"/>
      <c r="ANI230" s="5207"/>
      <c r="ANJ230" s="5207"/>
      <c r="ANK230" s="5207"/>
      <c r="ANL230" s="5207"/>
      <c r="ANM230" s="5207"/>
      <c r="ANN230" s="5207"/>
      <c r="ANO230" s="5207"/>
      <c r="ANP230" s="5207"/>
      <c r="ANQ230" s="5207"/>
      <c r="ANR230" s="5207"/>
      <c r="ANS230" s="5207"/>
      <c r="ANT230" s="5207"/>
      <c r="ANU230" s="5207"/>
      <c r="ANV230" s="5207"/>
      <c r="ANW230" s="5207"/>
      <c r="ANX230" s="5207"/>
      <c r="ANY230" s="5207"/>
      <c r="ANZ230" s="5207"/>
      <c r="AOA230" s="5207"/>
      <c r="AOB230" s="5207"/>
      <c r="AOC230" s="5207"/>
      <c r="AOD230" s="5207"/>
      <c r="AOE230" s="5207"/>
      <c r="AOF230" s="5207"/>
      <c r="AOG230" s="5207"/>
      <c r="AOH230" s="5207"/>
      <c r="AOI230" s="5207"/>
      <c r="AOJ230" s="5207"/>
      <c r="AOK230" s="5207"/>
      <c r="AOL230" s="5207"/>
      <c r="AOM230" s="5207"/>
      <c r="AON230" s="5207"/>
      <c r="AOO230" s="5207"/>
      <c r="AOP230" s="5207"/>
      <c r="AOQ230" s="5207"/>
      <c r="AOR230" s="5207"/>
      <c r="AOS230" s="5207"/>
      <c r="AOT230" s="5207"/>
      <c r="AOU230" s="5207"/>
      <c r="AOV230" s="5207"/>
      <c r="AOW230" s="5207"/>
      <c r="AOX230" s="5207"/>
      <c r="AOY230" s="5207"/>
      <c r="AOZ230" s="5207"/>
      <c r="APA230" s="5207"/>
      <c r="APB230" s="5207"/>
      <c r="APC230" s="5207"/>
      <c r="APD230" s="5207"/>
      <c r="APE230" s="5207"/>
      <c r="APF230" s="5207"/>
      <c r="APG230" s="5207"/>
      <c r="APH230" s="5207"/>
      <c r="API230" s="5207"/>
      <c r="APJ230" s="5207"/>
      <c r="APK230" s="5207"/>
      <c r="APL230" s="5207"/>
      <c r="APM230" s="5207"/>
      <c r="APN230" s="5207"/>
      <c r="APO230" s="5207"/>
      <c r="APP230" s="5207"/>
      <c r="APQ230" s="5207"/>
      <c r="APR230" s="5207"/>
      <c r="APS230" s="5207"/>
      <c r="APT230" s="5207"/>
      <c r="APU230" s="5207"/>
      <c r="APV230" s="5207"/>
      <c r="APW230" s="5207"/>
      <c r="APX230" s="5207"/>
      <c r="APY230" s="5207"/>
      <c r="APZ230" s="5207"/>
      <c r="AQA230" s="5207"/>
      <c r="AQB230" s="5207"/>
      <c r="AQC230" s="5207"/>
      <c r="AQD230" s="5207"/>
      <c r="AQE230" s="5207"/>
      <c r="AQF230" s="5207"/>
      <c r="AQG230" s="5207"/>
      <c r="AQH230" s="5207"/>
      <c r="AQI230" s="5207"/>
      <c r="AQJ230" s="5207"/>
      <c r="AQK230" s="5207"/>
      <c r="AQL230" s="5207"/>
      <c r="AQM230" s="5207"/>
      <c r="AQN230" s="5207"/>
      <c r="AQO230" s="5207"/>
      <c r="AQP230" s="5207"/>
      <c r="AQQ230" s="5207"/>
      <c r="AQR230" s="5207"/>
      <c r="AQS230" s="5207"/>
      <c r="AQT230" s="5207"/>
      <c r="AQU230" s="5207"/>
      <c r="AQV230" s="5207"/>
      <c r="AQW230" s="5207"/>
      <c r="AQX230" s="5207"/>
      <c r="AQY230" s="5207"/>
      <c r="AQZ230" s="5207"/>
      <c r="ARA230" s="5207"/>
      <c r="ARB230" s="5207"/>
      <c r="ARC230" s="5207"/>
      <c r="ARD230" s="5207"/>
      <c r="ARE230" s="5207"/>
      <c r="ARF230" s="5207"/>
      <c r="ARG230" s="5207"/>
      <c r="ARH230" s="5207"/>
      <c r="ARI230" s="5207"/>
      <c r="ARJ230" s="5207"/>
      <c r="ARK230" s="5207"/>
      <c r="ARL230" s="5207"/>
      <c r="ARM230" s="5207"/>
      <c r="ARN230" s="5207"/>
      <c r="ARO230" s="5207"/>
      <c r="ARP230" s="5207"/>
      <c r="ARQ230" s="5207"/>
      <c r="ARR230" s="5207"/>
      <c r="ARS230" s="5207"/>
      <c r="ART230" s="5207"/>
      <c r="ARU230" s="5207"/>
      <c r="ARV230" s="5207"/>
      <c r="ARW230" s="5207"/>
      <c r="ARX230" s="5207"/>
      <c r="ARY230" s="5207"/>
      <c r="ARZ230" s="5207"/>
      <c r="ASA230" s="5207"/>
      <c r="ASB230" s="5207"/>
      <c r="ASC230" s="5207"/>
      <c r="ASD230" s="5207"/>
      <c r="ASE230" s="5207"/>
      <c r="ASF230" s="5207"/>
      <c r="ASG230" s="5207"/>
      <c r="ASH230" s="5207"/>
      <c r="ASI230" s="5207"/>
      <c r="ASJ230" s="5207"/>
      <c r="ASK230" s="5207"/>
      <c r="ASL230" s="5207"/>
      <c r="ASM230" s="5207"/>
      <c r="ASN230" s="5207"/>
      <c r="ASO230" s="5207"/>
      <c r="ASP230" s="5207"/>
      <c r="ASQ230" s="5207"/>
      <c r="ASR230" s="5207"/>
      <c r="ASS230" s="5207"/>
      <c r="AST230" s="5207"/>
      <c r="ASU230" s="5207"/>
      <c r="ASV230" s="5207"/>
      <c r="ASW230" s="5207"/>
      <c r="ASX230" s="5207"/>
      <c r="ASY230" s="5207"/>
      <c r="ASZ230" s="5207"/>
      <c r="ATA230" s="5207"/>
      <c r="ATB230" s="5207"/>
      <c r="ATC230" s="5207"/>
      <c r="ATD230" s="5207"/>
      <c r="ATE230" s="5207"/>
      <c r="ATF230" s="5207"/>
      <c r="ATG230" s="5207"/>
      <c r="ATH230" s="5207"/>
      <c r="ATI230" s="5207"/>
      <c r="ATJ230" s="5207"/>
      <c r="ATK230" s="5207"/>
      <c r="ATL230" s="5207"/>
      <c r="ATM230" s="5207"/>
      <c r="ATN230" s="5207"/>
      <c r="ATO230" s="5207"/>
      <c r="ATP230" s="5207"/>
      <c r="ATQ230" s="5207"/>
      <c r="ATR230" s="5207"/>
      <c r="ATS230" s="5207"/>
      <c r="ATT230" s="5207"/>
      <c r="ATU230" s="5207"/>
      <c r="ATV230" s="5207"/>
      <c r="ATW230" s="5207"/>
      <c r="ATX230" s="5207"/>
      <c r="ATY230" s="5207"/>
      <c r="ATZ230" s="5207"/>
      <c r="AUA230" s="5207"/>
      <c r="AUB230" s="5207"/>
      <c r="AUC230" s="5207"/>
      <c r="AUD230" s="5207"/>
      <c r="AUE230" s="5207"/>
      <c r="AUF230" s="5207"/>
      <c r="AUG230" s="5207"/>
      <c r="AUH230" s="5207"/>
      <c r="AUI230" s="5207"/>
      <c r="AUJ230" s="5207"/>
      <c r="AUK230" s="5207"/>
      <c r="AUL230" s="5207"/>
      <c r="AUM230" s="5207"/>
      <c r="AUN230" s="5207"/>
      <c r="AUO230" s="5207"/>
      <c r="AUP230" s="5207"/>
      <c r="AUQ230" s="5207"/>
      <c r="AUR230" s="5207"/>
      <c r="AUS230" s="5207"/>
      <c r="AUT230" s="5207"/>
      <c r="AUU230" s="5207"/>
      <c r="AUV230" s="5207"/>
      <c r="AUW230" s="5207"/>
      <c r="AUX230" s="5207"/>
      <c r="AUY230" s="5207"/>
      <c r="AUZ230" s="5207"/>
      <c r="AVA230" s="5207"/>
      <c r="AVB230" s="5207"/>
      <c r="AVC230" s="5207"/>
      <c r="AVD230" s="5207"/>
      <c r="AVE230" s="5207"/>
      <c r="AVF230" s="5207"/>
      <c r="AVG230" s="5207"/>
      <c r="AVH230" s="5207"/>
      <c r="AVI230" s="5207"/>
      <c r="AVJ230" s="5207"/>
      <c r="AVK230" s="5207"/>
      <c r="AVL230" s="5207"/>
      <c r="AVM230" s="5207"/>
      <c r="AVN230" s="5207"/>
      <c r="AVO230" s="5207"/>
      <c r="AVP230" s="5207"/>
      <c r="AVQ230" s="5207"/>
      <c r="AVR230" s="5207"/>
      <c r="AVS230" s="5207"/>
      <c r="AVT230" s="5207"/>
      <c r="AVU230" s="5207"/>
      <c r="AVV230" s="5207"/>
      <c r="AVW230" s="5207"/>
      <c r="AVX230" s="5207"/>
      <c r="AVY230" s="5207"/>
      <c r="AVZ230" s="5207"/>
      <c r="AWA230" s="5207"/>
      <c r="AWB230" s="5207"/>
      <c r="AWC230" s="5207"/>
      <c r="AWD230" s="5207"/>
      <c r="AWE230" s="5207"/>
      <c r="AWF230" s="5207"/>
      <c r="AWG230" s="5207"/>
      <c r="AWH230" s="5207"/>
      <c r="AWI230" s="5207"/>
      <c r="AWJ230" s="5207"/>
      <c r="AWK230" s="5207"/>
      <c r="AWL230" s="5207"/>
      <c r="AWM230" s="5207"/>
      <c r="AWN230" s="5207"/>
      <c r="AWO230" s="5207"/>
      <c r="AWP230" s="5207"/>
      <c r="AWQ230" s="5207"/>
      <c r="AWR230" s="5207"/>
      <c r="AWS230" s="5207"/>
      <c r="AWT230" s="5207"/>
      <c r="AWU230" s="5207"/>
      <c r="AWV230" s="5207"/>
      <c r="AWW230" s="5207"/>
      <c r="AWX230" s="5207"/>
      <c r="AWY230" s="5207"/>
      <c r="AWZ230" s="5207"/>
      <c r="AXA230" s="5207"/>
      <c r="AXB230" s="5207"/>
      <c r="AXC230" s="5207"/>
      <c r="AXD230" s="5207"/>
      <c r="AXE230" s="5207"/>
      <c r="AXF230" s="5207"/>
      <c r="AXG230" s="5207"/>
      <c r="AXH230" s="5207"/>
      <c r="AXI230" s="5207"/>
      <c r="AXJ230" s="5207"/>
    </row>
    <row r="231" spans="1:1310" s="5208" customFormat="1" ht="23.25" customHeight="1">
      <c r="A231" s="5209"/>
      <c r="B231" s="5212" t="s">
        <v>891</v>
      </c>
      <c r="C231" s="5212"/>
      <c r="D231" s="5212"/>
      <c r="E231" s="5212"/>
      <c r="F231" s="5214"/>
      <c r="G231" s="5212" t="s">
        <v>892</v>
      </c>
      <c r="H231" s="5212"/>
      <c r="I231" s="5212"/>
      <c r="J231" s="5214"/>
      <c r="K231" s="5212" t="s">
        <v>893</v>
      </c>
      <c r="L231" s="5212"/>
      <c r="M231" s="5212"/>
      <c r="N231" s="5214"/>
      <c r="O231" s="5212" t="s">
        <v>894</v>
      </c>
      <c r="P231" s="5212"/>
      <c r="Q231" s="5214"/>
      <c r="R231" s="95"/>
      <c r="S231" s="95"/>
      <c r="T231" s="95"/>
      <c r="U231" s="95"/>
      <c r="V231" s="95"/>
      <c r="W231" s="95"/>
      <c r="X231" s="95"/>
      <c r="Y231" s="95"/>
      <c r="Z231" s="95"/>
      <c r="AA231" s="95"/>
      <c r="AB231" s="95"/>
      <c r="AC231" s="95"/>
      <c r="AD231" s="5207"/>
      <c r="AE231" s="5207"/>
      <c r="AF231" s="5207"/>
      <c r="AG231" s="5207"/>
      <c r="AH231" s="5207"/>
      <c r="AI231" s="5207"/>
      <c r="AJ231" s="5207"/>
      <c r="AK231" s="5207"/>
      <c r="AL231" s="5207"/>
      <c r="AM231" s="5207"/>
      <c r="AN231" s="5207"/>
      <c r="AO231" s="5207"/>
      <c r="AP231" s="5207"/>
      <c r="AQ231" s="5207"/>
      <c r="AR231" s="5207"/>
      <c r="AS231" s="5207"/>
      <c r="AT231" s="5207"/>
      <c r="AU231" s="5207"/>
      <c r="AV231" s="5207"/>
      <c r="AW231" s="5207"/>
      <c r="AX231" s="5207"/>
      <c r="AY231" s="5207"/>
      <c r="AZ231" s="5207"/>
      <c r="BA231" s="5207"/>
      <c r="BB231" s="5207"/>
      <c r="BC231" s="5207"/>
      <c r="BD231" s="5207"/>
      <c r="BE231" s="5207"/>
      <c r="BF231" s="5207"/>
      <c r="BG231" s="5207"/>
      <c r="BH231" s="5207"/>
      <c r="BI231" s="5207"/>
      <c r="BJ231" s="5207"/>
      <c r="BK231" s="5207"/>
      <c r="BL231" s="5207"/>
      <c r="BM231" s="5207"/>
      <c r="BN231" s="5207"/>
      <c r="BO231" s="5207"/>
      <c r="BP231" s="5207"/>
      <c r="BQ231" s="5207"/>
      <c r="BR231" s="5207"/>
      <c r="BS231" s="5207"/>
      <c r="BT231" s="5207"/>
      <c r="BU231" s="5207"/>
      <c r="BV231" s="5207"/>
      <c r="BW231" s="5207"/>
      <c r="BX231" s="5207"/>
      <c r="BY231" s="5207"/>
      <c r="BZ231" s="5207"/>
      <c r="CA231" s="5207"/>
      <c r="CB231" s="5207"/>
      <c r="CC231" s="5207"/>
      <c r="CD231" s="5207"/>
      <c r="CE231" s="5207"/>
      <c r="CF231" s="5207"/>
      <c r="CG231" s="5207"/>
      <c r="CH231" s="5207"/>
      <c r="CI231" s="5207"/>
      <c r="CJ231" s="5207"/>
      <c r="CK231" s="5207"/>
      <c r="CL231" s="5207"/>
      <c r="CM231" s="5207"/>
      <c r="CN231" s="5207"/>
      <c r="CO231" s="5207"/>
      <c r="CP231" s="5207"/>
      <c r="CQ231" s="5207"/>
      <c r="CR231" s="5207"/>
      <c r="CS231" s="5207"/>
      <c r="CT231" s="5207"/>
      <c r="CU231" s="5207"/>
      <c r="CV231" s="5207"/>
      <c r="CW231" s="5207"/>
      <c r="CX231" s="5207"/>
      <c r="CY231" s="5207"/>
      <c r="CZ231" s="5207"/>
      <c r="DA231" s="5207"/>
      <c r="DB231" s="5207"/>
      <c r="DC231" s="5207"/>
      <c r="DD231" s="5207"/>
      <c r="DE231" s="5207"/>
      <c r="DF231" s="5207"/>
      <c r="DG231" s="5207"/>
      <c r="DH231" s="5207"/>
      <c r="DI231" s="5207"/>
      <c r="DJ231" s="5207"/>
      <c r="DK231" s="5207"/>
      <c r="DL231" s="5207"/>
      <c r="DM231" s="5207"/>
      <c r="DN231" s="5207"/>
      <c r="DO231" s="5207"/>
      <c r="DP231" s="5207"/>
      <c r="DQ231" s="5207"/>
      <c r="DR231" s="5207"/>
      <c r="DS231" s="5207"/>
      <c r="DT231" s="5207"/>
      <c r="DU231" s="5207"/>
      <c r="DV231" s="5207"/>
      <c r="DW231" s="5207"/>
      <c r="DX231" s="5207"/>
      <c r="DY231" s="5207"/>
      <c r="DZ231" s="5207"/>
      <c r="EA231" s="5207"/>
      <c r="EB231" s="5207"/>
      <c r="EC231" s="5207"/>
      <c r="ED231" s="5207"/>
      <c r="EE231" s="5207"/>
      <c r="EF231" s="5207"/>
      <c r="EG231" s="5207"/>
      <c r="EH231" s="5207"/>
      <c r="EI231" s="5207"/>
      <c r="EJ231" s="5207"/>
      <c r="EK231" s="5207"/>
      <c r="EL231" s="5207"/>
      <c r="EM231" s="5207"/>
      <c r="EN231" s="5207"/>
      <c r="EO231" s="5207"/>
      <c r="EP231" s="5207"/>
      <c r="EQ231" s="5207"/>
      <c r="ER231" s="5207"/>
      <c r="ES231" s="5207"/>
      <c r="ET231" s="5207"/>
      <c r="EU231" s="5207"/>
      <c r="EV231" s="5207"/>
      <c r="EW231" s="5207"/>
      <c r="EX231" s="5207"/>
      <c r="EY231" s="5207"/>
      <c r="EZ231" s="5207"/>
      <c r="FA231" s="5207"/>
      <c r="FB231" s="5207"/>
      <c r="FC231" s="5207"/>
      <c r="FD231" s="5207"/>
      <c r="FE231" s="5207"/>
      <c r="FF231" s="5207"/>
      <c r="FG231" s="5207"/>
      <c r="FH231" s="5207"/>
      <c r="FI231" s="5207"/>
      <c r="FJ231" s="5207"/>
      <c r="FK231" s="5207"/>
      <c r="FL231" s="5207"/>
      <c r="FM231" s="5207"/>
      <c r="FN231" s="5207"/>
      <c r="FO231" s="5207"/>
      <c r="FP231" s="5207"/>
      <c r="FQ231" s="5207"/>
      <c r="FR231" s="5207"/>
      <c r="FS231" s="5207"/>
      <c r="FT231" s="5207"/>
      <c r="FU231" s="5207"/>
      <c r="FV231" s="5207"/>
      <c r="FW231" s="5207"/>
      <c r="FX231" s="5207"/>
      <c r="FY231" s="5207"/>
      <c r="FZ231" s="5207"/>
      <c r="GA231" s="5207"/>
      <c r="GB231" s="5207"/>
      <c r="GC231" s="5207"/>
      <c r="GD231" s="5207"/>
      <c r="GE231" s="5207"/>
      <c r="GF231" s="5207"/>
      <c r="GG231" s="5207"/>
      <c r="GH231" s="5207"/>
      <c r="GI231" s="5207"/>
      <c r="GJ231" s="5207"/>
      <c r="GK231" s="5207"/>
      <c r="GL231" s="5207"/>
      <c r="GM231" s="5207"/>
      <c r="GN231" s="5207"/>
      <c r="GO231" s="5207"/>
      <c r="GP231" s="5207"/>
      <c r="GQ231" s="5207"/>
      <c r="GR231" s="5207"/>
      <c r="GS231" s="5207"/>
      <c r="GT231" s="5207"/>
      <c r="GU231" s="5207"/>
      <c r="GV231" s="5207"/>
      <c r="GW231" s="5207"/>
      <c r="GX231" s="5207"/>
      <c r="GY231" s="5207"/>
      <c r="GZ231" s="5207"/>
      <c r="HA231" s="5207"/>
      <c r="HB231" s="5207"/>
      <c r="HC231" s="5207"/>
      <c r="HD231" s="5207"/>
      <c r="HE231" s="5207"/>
      <c r="HF231" s="5207"/>
      <c r="HG231" s="5207"/>
      <c r="HH231" s="5207"/>
      <c r="HI231" s="5207"/>
      <c r="HJ231" s="5207"/>
      <c r="HK231" s="5207"/>
      <c r="HL231" s="5207"/>
      <c r="HM231" s="5207"/>
      <c r="HN231" s="5207"/>
      <c r="HO231" s="5207"/>
      <c r="HP231" s="5207"/>
      <c r="HQ231" s="5207"/>
      <c r="HR231" s="5207"/>
      <c r="HS231" s="5207"/>
      <c r="HT231" s="5207"/>
      <c r="HU231" s="5207"/>
      <c r="HV231" s="5207"/>
      <c r="HW231" s="5207"/>
      <c r="HX231" s="5207"/>
      <c r="HY231" s="5207"/>
      <c r="HZ231" s="5207"/>
      <c r="IA231" s="5207"/>
      <c r="IB231" s="5207"/>
      <c r="IC231" s="5207"/>
      <c r="ID231" s="5207"/>
      <c r="IE231" s="5207"/>
      <c r="IF231" s="5207"/>
      <c r="IG231" s="5207"/>
      <c r="IH231" s="5207"/>
      <c r="II231" s="5207"/>
      <c r="IJ231" s="5207"/>
      <c r="IK231" s="5207"/>
      <c r="IL231" s="5207"/>
      <c r="IM231" s="5207"/>
      <c r="IN231" s="5207"/>
      <c r="IO231" s="5207"/>
      <c r="IP231" s="5207"/>
      <c r="IQ231" s="5207"/>
      <c r="IR231" s="5207"/>
      <c r="IS231" s="5207"/>
      <c r="IT231" s="5207"/>
      <c r="IU231" s="5207"/>
      <c r="IV231" s="5207"/>
      <c r="IW231" s="5207"/>
      <c r="IX231" s="5207"/>
      <c r="IY231" s="5207"/>
      <c r="IZ231" s="5207"/>
      <c r="JA231" s="5207"/>
      <c r="JB231" s="5207"/>
      <c r="JC231" s="5207"/>
      <c r="JD231" s="5207"/>
      <c r="JE231" s="5207"/>
      <c r="JF231" s="5207"/>
      <c r="JG231" s="5207"/>
      <c r="JH231" s="5207"/>
      <c r="JI231" s="5207"/>
      <c r="JJ231" s="5207"/>
      <c r="JK231" s="5207"/>
      <c r="JL231" s="5207"/>
      <c r="JM231" s="5207"/>
      <c r="JN231" s="5207"/>
      <c r="JO231" s="5207"/>
      <c r="JP231" s="5207"/>
      <c r="JQ231" s="5207"/>
      <c r="JR231" s="5207"/>
      <c r="JS231" s="5207"/>
      <c r="JT231" s="5207"/>
      <c r="JU231" s="5207"/>
      <c r="JV231" s="5207"/>
      <c r="JW231" s="5207"/>
      <c r="JX231" s="5207"/>
      <c r="JY231" s="5207"/>
      <c r="JZ231" s="5207"/>
      <c r="KA231" s="5207"/>
      <c r="KB231" s="5207"/>
      <c r="KC231" s="5207"/>
      <c r="KD231" s="5207"/>
      <c r="KE231" s="5207"/>
      <c r="KF231" s="5207"/>
      <c r="KG231" s="5207"/>
      <c r="KH231" s="5207"/>
      <c r="KI231" s="5207"/>
      <c r="KJ231" s="5207"/>
      <c r="KK231" s="5207"/>
      <c r="KL231" s="5207"/>
      <c r="KM231" s="5207"/>
      <c r="KN231" s="5207"/>
      <c r="KO231" s="5207"/>
      <c r="KP231" s="5207"/>
      <c r="KQ231" s="5207"/>
      <c r="KR231" s="5207"/>
      <c r="KS231" s="5207"/>
      <c r="KT231" s="5207"/>
      <c r="KU231" s="5207"/>
      <c r="KV231" s="5207"/>
      <c r="KW231" s="5207"/>
      <c r="KX231" s="5207"/>
      <c r="KY231" s="5207"/>
      <c r="KZ231" s="5207"/>
      <c r="LA231" s="5207"/>
      <c r="LB231" s="5207"/>
      <c r="LC231" s="5207"/>
      <c r="LD231" s="5207"/>
      <c r="LE231" s="5207"/>
      <c r="LF231" s="5207"/>
      <c r="LG231" s="5207"/>
      <c r="LH231" s="5207"/>
      <c r="LI231" s="5207"/>
      <c r="LJ231" s="5207"/>
      <c r="LK231" s="5207"/>
      <c r="LL231" s="5207"/>
      <c r="LM231" s="5207"/>
      <c r="LN231" s="5207"/>
      <c r="LO231" s="5207"/>
      <c r="LP231" s="5207"/>
      <c r="LQ231" s="5207"/>
      <c r="LR231" s="5207"/>
      <c r="LS231" s="5207"/>
      <c r="LT231" s="5207"/>
      <c r="LU231" s="5207"/>
      <c r="LV231" s="5207"/>
      <c r="LW231" s="5207"/>
      <c r="LX231" s="5207"/>
      <c r="LY231" s="5207"/>
      <c r="LZ231" s="5207"/>
      <c r="MA231" s="5207"/>
      <c r="MB231" s="5207"/>
      <c r="MC231" s="5207"/>
      <c r="MD231" s="5207"/>
      <c r="ME231" s="5207"/>
      <c r="MF231" s="5207"/>
      <c r="MG231" s="5207"/>
      <c r="MH231" s="5207"/>
      <c r="MI231" s="5207"/>
      <c r="MJ231" s="5207"/>
      <c r="MK231" s="5207"/>
      <c r="ML231" s="5207"/>
      <c r="MM231" s="5207"/>
      <c r="MN231" s="5207"/>
      <c r="MO231" s="5207"/>
      <c r="MP231" s="5207"/>
      <c r="MQ231" s="5207"/>
      <c r="MR231" s="5207"/>
      <c r="MS231" s="5207"/>
      <c r="MT231" s="5207"/>
      <c r="MU231" s="5207"/>
      <c r="MV231" s="5207"/>
      <c r="MW231" s="5207"/>
      <c r="MX231" s="5207"/>
      <c r="MY231" s="5207"/>
      <c r="MZ231" s="5207"/>
      <c r="NA231" s="5207"/>
      <c r="NB231" s="5207"/>
      <c r="NC231" s="5207"/>
      <c r="ND231" s="5207"/>
      <c r="NE231" s="5207"/>
      <c r="NF231" s="5207"/>
      <c r="NG231" s="5207"/>
      <c r="NH231" s="5207"/>
      <c r="NI231" s="5207"/>
      <c r="NJ231" s="5207"/>
      <c r="NK231" s="5207"/>
      <c r="NL231" s="5207"/>
      <c r="NM231" s="5207"/>
      <c r="NN231" s="5207"/>
      <c r="NO231" s="5207"/>
      <c r="NP231" s="5207"/>
      <c r="NQ231" s="5207"/>
      <c r="NR231" s="5207"/>
      <c r="NS231" s="5207"/>
      <c r="NT231" s="5207"/>
      <c r="NU231" s="5207"/>
      <c r="NV231" s="5207"/>
      <c r="NW231" s="5207"/>
      <c r="NX231" s="5207"/>
      <c r="NY231" s="5207"/>
      <c r="NZ231" s="5207"/>
      <c r="OA231" s="5207"/>
      <c r="OB231" s="5207"/>
      <c r="OC231" s="5207"/>
      <c r="OD231" s="5207"/>
      <c r="OE231" s="5207"/>
      <c r="OF231" s="5207"/>
      <c r="OG231" s="5207"/>
      <c r="OH231" s="5207"/>
      <c r="OI231" s="5207"/>
      <c r="OJ231" s="5207"/>
      <c r="OK231" s="5207"/>
      <c r="OL231" s="5207"/>
      <c r="OM231" s="5207"/>
      <c r="ON231" s="5207"/>
      <c r="OO231" s="5207"/>
      <c r="OP231" s="5207"/>
      <c r="OQ231" s="5207"/>
      <c r="OR231" s="5207"/>
      <c r="OS231" s="5207"/>
      <c r="OT231" s="5207"/>
      <c r="OU231" s="5207"/>
      <c r="OV231" s="5207"/>
      <c r="OW231" s="5207"/>
      <c r="OX231" s="5207"/>
      <c r="OY231" s="5207"/>
      <c r="OZ231" s="5207"/>
      <c r="PA231" s="5207"/>
      <c r="PB231" s="5207"/>
      <c r="PC231" s="5207"/>
      <c r="PD231" s="5207"/>
      <c r="PE231" s="5207"/>
      <c r="PF231" s="5207"/>
      <c r="PG231" s="5207"/>
      <c r="PH231" s="5207"/>
      <c r="PI231" s="5207"/>
      <c r="PJ231" s="5207"/>
      <c r="PK231" s="5207"/>
      <c r="PL231" s="5207"/>
      <c r="PM231" s="5207"/>
      <c r="PN231" s="5207"/>
      <c r="PO231" s="5207"/>
      <c r="PP231" s="5207"/>
      <c r="PQ231" s="5207"/>
      <c r="PR231" s="5207"/>
      <c r="PS231" s="5207"/>
      <c r="PT231" s="5207"/>
      <c r="PU231" s="5207"/>
      <c r="PV231" s="5207"/>
      <c r="PW231" s="5207"/>
      <c r="PX231" s="5207"/>
      <c r="PY231" s="5207"/>
      <c r="PZ231" s="5207"/>
      <c r="QA231" s="5207"/>
      <c r="QB231" s="5207"/>
      <c r="QC231" s="5207"/>
      <c r="QD231" s="5207"/>
      <c r="QE231" s="5207"/>
      <c r="QF231" s="5207"/>
      <c r="QG231" s="5207"/>
      <c r="QH231" s="5207"/>
      <c r="QI231" s="5207"/>
      <c r="QJ231" s="5207"/>
      <c r="QK231" s="5207"/>
      <c r="QL231" s="5207"/>
      <c r="QM231" s="5207"/>
      <c r="QN231" s="5207"/>
      <c r="QO231" s="5207"/>
      <c r="QP231" s="5207"/>
      <c r="QQ231" s="5207"/>
      <c r="QR231" s="5207"/>
      <c r="QS231" s="5207"/>
      <c r="QT231" s="5207"/>
      <c r="QU231" s="5207"/>
      <c r="QV231" s="5207"/>
      <c r="QW231" s="5207"/>
      <c r="QX231" s="5207"/>
      <c r="QY231" s="5207"/>
      <c r="QZ231" s="5207"/>
      <c r="RA231" s="5207"/>
      <c r="RB231" s="5207"/>
      <c r="RC231" s="5207"/>
      <c r="RD231" s="5207"/>
      <c r="RE231" s="5207"/>
      <c r="RF231" s="5207"/>
      <c r="RG231" s="5207"/>
      <c r="RH231" s="5207"/>
      <c r="RI231" s="5207"/>
      <c r="RJ231" s="5207"/>
      <c r="RK231" s="5207"/>
      <c r="RL231" s="5207"/>
      <c r="RM231" s="5207"/>
      <c r="RN231" s="5207"/>
      <c r="RO231" s="5207"/>
      <c r="RP231" s="5207"/>
      <c r="RQ231" s="5207"/>
      <c r="RR231" s="5207"/>
      <c r="RS231" s="5207"/>
      <c r="RT231" s="5207"/>
      <c r="RU231" s="5207"/>
      <c r="RV231" s="5207"/>
      <c r="RW231" s="5207"/>
      <c r="RX231" s="5207"/>
      <c r="RY231" s="5207"/>
      <c r="RZ231" s="5207"/>
      <c r="SA231" s="5207"/>
      <c r="SB231" s="5207"/>
      <c r="SC231" s="5207"/>
      <c r="SD231" s="5207"/>
      <c r="SE231" s="5207"/>
      <c r="SF231" s="5207"/>
      <c r="SG231" s="5207"/>
      <c r="SH231" s="5207"/>
      <c r="SI231" s="5207"/>
      <c r="SJ231" s="5207"/>
      <c r="SK231" s="5207"/>
      <c r="SL231" s="5207"/>
      <c r="SM231" s="5207"/>
      <c r="SN231" s="5207"/>
      <c r="SO231" s="5207"/>
      <c r="SP231" s="5207"/>
      <c r="SQ231" s="5207"/>
      <c r="SR231" s="5207"/>
      <c r="SS231" s="5207"/>
      <c r="ST231" s="5207"/>
      <c r="SU231" s="5207"/>
      <c r="SV231" s="5207"/>
      <c r="SW231" s="5207"/>
      <c r="SX231" s="5207"/>
      <c r="SY231" s="5207"/>
      <c r="SZ231" s="5207"/>
      <c r="TA231" s="5207"/>
      <c r="TB231" s="5207"/>
      <c r="TC231" s="5207"/>
      <c r="TD231" s="5207"/>
      <c r="TE231" s="5207"/>
      <c r="TF231" s="5207"/>
      <c r="TG231" s="5207"/>
      <c r="TH231" s="5207"/>
      <c r="TI231" s="5207"/>
      <c r="TJ231" s="5207"/>
      <c r="TK231" s="5207"/>
      <c r="TL231" s="5207"/>
      <c r="TM231" s="5207"/>
      <c r="TN231" s="5207"/>
      <c r="TO231" s="5207"/>
      <c r="TP231" s="5207"/>
      <c r="TQ231" s="5207"/>
      <c r="TR231" s="5207"/>
      <c r="TS231" s="5207"/>
      <c r="TT231" s="5207"/>
      <c r="TU231" s="5207"/>
      <c r="TV231" s="5207"/>
      <c r="TW231" s="5207"/>
      <c r="TX231" s="5207"/>
      <c r="TY231" s="5207"/>
      <c r="TZ231" s="5207"/>
      <c r="UA231" s="5207"/>
      <c r="UB231" s="5207"/>
      <c r="UC231" s="5207"/>
      <c r="UD231" s="5207"/>
      <c r="UE231" s="5207"/>
      <c r="UF231" s="5207"/>
      <c r="UG231" s="5207"/>
      <c r="UH231" s="5207"/>
      <c r="UI231" s="5207"/>
      <c r="UJ231" s="5207"/>
      <c r="UK231" s="5207"/>
      <c r="UL231" s="5207"/>
      <c r="UM231" s="5207"/>
      <c r="UN231" s="5207"/>
      <c r="UO231" s="5207"/>
      <c r="UP231" s="5207"/>
      <c r="UQ231" s="5207"/>
      <c r="UR231" s="5207"/>
      <c r="US231" s="5207"/>
      <c r="UT231" s="5207"/>
      <c r="UU231" s="5207"/>
      <c r="UV231" s="5207"/>
      <c r="UW231" s="5207"/>
      <c r="UX231" s="5207"/>
      <c r="UY231" s="5207"/>
      <c r="UZ231" s="5207"/>
      <c r="VA231" s="5207"/>
      <c r="VB231" s="5207"/>
      <c r="VC231" s="5207"/>
      <c r="VD231" s="5207"/>
      <c r="VE231" s="5207"/>
      <c r="VF231" s="5207"/>
      <c r="VG231" s="5207"/>
      <c r="VH231" s="5207"/>
      <c r="VI231" s="5207"/>
      <c r="VJ231" s="5207"/>
      <c r="VK231" s="5207"/>
      <c r="VL231" s="5207"/>
      <c r="VM231" s="5207"/>
      <c r="VN231" s="5207"/>
      <c r="VO231" s="5207"/>
      <c r="VP231" s="5207"/>
      <c r="VQ231" s="5207"/>
      <c r="VR231" s="5207"/>
      <c r="VS231" s="5207"/>
      <c r="VT231" s="5207"/>
      <c r="VU231" s="5207"/>
      <c r="VV231" s="5207"/>
      <c r="VW231" s="5207"/>
      <c r="VX231" s="5207"/>
      <c r="VY231" s="5207"/>
      <c r="VZ231" s="5207"/>
      <c r="WA231" s="5207"/>
      <c r="WB231" s="5207"/>
      <c r="WC231" s="5207"/>
      <c r="WD231" s="5207"/>
      <c r="WE231" s="5207"/>
      <c r="WF231" s="5207"/>
      <c r="WG231" s="5207"/>
      <c r="WH231" s="5207"/>
      <c r="WI231" s="5207"/>
      <c r="WJ231" s="5207"/>
      <c r="WK231" s="5207"/>
      <c r="WL231" s="5207"/>
      <c r="WM231" s="5207"/>
      <c r="WN231" s="5207"/>
      <c r="WO231" s="5207"/>
      <c r="WP231" s="5207"/>
      <c r="WQ231" s="5207"/>
      <c r="WR231" s="5207"/>
      <c r="WS231" s="5207"/>
      <c r="WT231" s="5207"/>
      <c r="WU231" s="5207"/>
      <c r="WV231" s="5207"/>
      <c r="WW231" s="5207"/>
      <c r="WX231" s="5207"/>
      <c r="WY231" s="5207"/>
      <c r="WZ231" s="5207"/>
      <c r="XA231" s="5207"/>
      <c r="XB231" s="5207"/>
      <c r="XC231" s="5207"/>
      <c r="XD231" s="5207"/>
      <c r="XE231" s="5207"/>
      <c r="XF231" s="5207"/>
      <c r="XG231" s="5207"/>
      <c r="XH231" s="5207"/>
      <c r="XI231" s="5207"/>
      <c r="XJ231" s="5207"/>
      <c r="XK231" s="5207"/>
      <c r="XL231" s="5207"/>
      <c r="XM231" s="5207"/>
      <c r="XN231" s="5207"/>
      <c r="XO231" s="5207"/>
      <c r="XP231" s="5207"/>
      <c r="XQ231" s="5207"/>
      <c r="XR231" s="5207"/>
      <c r="XS231" s="5207"/>
      <c r="XT231" s="5207"/>
      <c r="XU231" s="5207"/>
      <c r="XV231" s="5207"/>
      <c r="XW231" s="5207"/>
      <c r="XX231" s="5207"/>
      <c r="XY231" s="5207"/>
      <c r="XZ231" s="5207"/>
      <c r="YA231" s="5207"/>
      <c r="YB231" s="5207"/>
      <c r="YC231" s="5207"/>
      <c r="YD231" s="5207"/>
      <c r="YE231" s="5207"/>
      <c r="YF231" s="5207"/>
      <c r="YG231" s="5207"/>
      <c r="YH231" s="5207"/>
      <c r="YI231" s="5207"/>
      <c r="YJ231" s="5207"/>
      <c r="YK231" s="5207"/>
      <c r="YL231" s="5207"/>
      <c r="YM231" s="5207"/>
      <c r="YN231" s="5207"/>
      <c r="YO231" s="5207"/>
      <c r="YP231" s="5207"/>
      <c r="YQ231" s="5207"/>
      <c r="YR231" s="5207"/>
      <c r="YS231" s="5207"/>
      <c r="YT231" s="5207"/>
      <c r="YU231" s="5207"/>
      <c r="YV231" s="5207"/>
      <c r="YW231" s="5207"/>
      <c r="YX231" s="5207"/>
      <c r="YY231" s="5207"/>
      <c r="YZ231" s="5207"/>
      <c r="ZA231" s="5207"/>
      <c r="ZB231" s="5207"/>
      <c r="ZC231" s="5207"/>
      <c r="ZD231" s="5207"/>
      <c r="ZE231" s="5207"/>
      <c r="ZF231" s="5207"/>
      <c r="ZG231" s="5207"/>
      <c r="ZH231" s="5207"/>
      <c r="ZI231" s="5207"/>
      <c r="ZJ231" s="5207"/>
      <c r="ZK231" s="5207"/>
      <c r="ZL231" s="5207"/>
      <c r="ZM231" s="5207"/>
      <c r="ZN231" s="5207"/>
      <c r="ZO231" s="5207"/>
      <c r="ZP231" s="5207"/>
      <c r="ZQ231" s="5207"/>
      <c r="ZR231" s="5207"/>
      <c r="ZS231" s="5207"/>
      <c r="ZT231" s="5207"/>
      <c r="ZU231" s="5207"/>
      <c r="ZV231" s="5207"/>
      <c r="ZW231" s="5207"/>
      <c r="ZX231" s="5207"/>
      <c r="ZY231" s="5207"/>
      <c r="ZZ231" s="5207"/>
      <c r="AAA231" s="5207"/>
      <c r="AAB231" s="5207"/>
      <c r="AAC231" s="5207"/>
      <c r="AAD231" s="5207"/>
      <c r="AAE231" s="5207"/>
      <c r="AAF231" s="5207"/>
      <c r="AAG231" s="5207"/>
      <c r="AAH231" s="5207"/>
      <c r="AAI231" s="5207"/>
      <c r="AAJ231" s="5207"/>
      <c r="AAK231" s="5207"/>
      <c r="AAL231" s="5207"/>
      <c r="AAM231" s="5207"/>
      <c r="AAN231" s="5207"/>
      <c r="AAO231" s="5207"/>
      <c r="AAP231" s="5207"/>
      <c r="AAQ231" s="5207"/>
      <c r="AAR231" s="5207"/>
      <c r="AAS231" s="5207"/>
      <c r="AAT231" s="5207"/>
      <c r="AAU231" s="5207"/>
      <c r="AAV231" s="5207"/>
      <c r="AAW231" s="5207"/>
      <c r="AAX231" s="5207"/>
      <c r="AAY231" s="5207"/>
      <c r="AAZ231" s="5207"/>
      <c r="ABA231" s="5207"/>
      <c r="ABB231" s="5207"/>
      <c r="ABC231" s="5207"/>
      <c r="ABD231" s="5207"/>
      <c r="ABE231" s="5207"/>
      <c r="ABF231" s="5207"/>
      <c r="ABG231" s="5207"/>
      <c r="ABH231" s="5207"/>
      <c r="ABI231" s="5207"/>
      <c r="ABJ231" s="5207"/>
      <c r="ABK231" s="5207"/>
      <c r="ABL231" s="5207"/>
      <c r="ABM231" s="5207"/>
      <c r="ABN231" s="5207"/>
      <c r="ABO231" s="5207"/>
      <c r="ABP231" s="5207"/>
      <c r="ABQ231" s="5207"/>
      <c r="ABR231" s="5207"/>
      <c r="ABS231" s="5207"/>
      <c r="ABT231" s="5207"/>
      <c r="ABU231" s="5207"/>
      <c r="ABV231" s="5207"/>
      <c r="ABW231" s="5207"/>
      <c r="ABX231" s="5207"/>
      <c r="ABY231" s="5207"/>
      <c r="ABZ231" s="5207"/>
      <c r="ACA231" s="5207"/>
      <c r="ACB231" s="5207"/>
      <c r="ACC231" s="5207"/>
      <c r="ACD231" s="5207"/>
      <c r="ACE231" s="5207"/>
      <c r="ACF231" s="5207"/>
      <c r="ACG231" s="5207"/>
      <c r="ACH231" s="5207"/>
      <c r="ACI231" s="5207"/>
      <c r="ACJ231" s="5207"/>
      <c r="ACK231" s="5207"/>
      <c r="ACL231" s="5207"/>
      <c r="ACM231" s="5207"/>
      <c r="ACN231" s="5207"/>
      <c r="ACO231" s="5207"/>
      <c r="ACP231" s="5207"/>
      <c r="ACQ231" s="5207"/>
      <c r="ACR231" s="5207"/>
      <c r="ACS231" s="5207"/>
      <c r="ACT231" s="5207"/>
      <c r="ACU231" s="5207"/>
      <c r="ACV231" s="5207"/>
      <c r="ACW231" s="5207"/>
      <c r="ACX231" s="5207"/>
      <c r="ACY231" s="5207"/>
      <c r="ACZ231" s="5207"/>
      <c r="ADA231" s="5207"/>
      <c r="ADB231" s="5207"/>
      <c r="ADC231" s="5207"/>
      <c r="ADD231" s="5207"/>
      <c r="ADE231" s="5207"/>
      <c r="ADF231" s="5207"/>
      <c r="ADG231" s="5207"/>
      <c r="ADH231" s="5207"/>
      <c r="ADI231" s="5207"/>
      <c r="ADJ231" s="5207"/>
      <c r="ADK231" s="5207"/>
      <c r="ADL231" s="5207"/>
      <c r="ADM231" s="5207"/>
      <c r="ADN231" s="5207"/>
      <c r="ADO231" s="5207"/>
      <c r="ADP231" s="5207"/>
      <c r="ADQ231" s="5207"/>
      <c r="ADR231" s="5207"/>
      <c r="ADS231" s="5207"/>
      <c r="ADT231" s="5207"/>
      <c r="ADU231" s="5207"/>
      <c r="ADV231" s="5207"/>
      <c r="ADW231" s="5207"/>
      <c r="ADX231" s="5207"/>
      <c r="ADY231" s="5207"/>
      <c r="ADZ231" s="5207"/>
      <c r="AEA231" s="5207"/>
      <c r="AEB231" s="5207"/>
      <c r="AEC231" s="5207"/>
      <c r="AED231" s="5207"/>
      <c r="AEE231" s="5207"/>
      <c r="AEF231" s="5207"/>
      <c r="AEG231" s="5207"/>
      <c r="AEH231" s="5207"/>
      <c r="AEI231" s="5207"/>
      <c r="AEJ231" s="5207"/>
      <c r="AEK231" s="5207"/>
      <c r="AEL231" s="5207"/>
      <c r="AEM231" s="5207"/>
      <c r="AEN231" s="5207"/>
      <c r="AEO231" s="5207"/>
      <c r="AEP231" s="5207"/>
      <c r="AEQ231" s="5207"/>
      <c r="AER231" s="5207"/>
      <c r="AES231" s="5207"/>
      <c r="AET231" s="5207"/>
      <c r="AEU231" s="5207"/>
      <c r="AEV231" s="5207"/>
      <c r="AEW231" s="5207"/>
      <c r="AEX231" s="5207"/>
      <c r="AEY231" s="5207"/>
      <c r="AEZ231" s="5207"/>
      <c r="AFA231" s="5207"/>
      <c r="AFB231" s="5207"/>
      <c r="AFC231" s="5207"/>
      <c r="AFD231" s="5207"/>
      <c r="AFE231" s="5207"/>
      <c r="AFF231" s="5207"/>
      <c r="AFG231" s="5207"/>
      <c r="AFH231" s="5207"/>
      <c r="AFI231" s="5207"/>
      <c r="AFJ231" s="5207"/>
      <c r="AFK231" s="5207"/>
      <c r="AFL231" s="5207"/>
      <c r="AFM231" s="5207"/>
      <c r="AFN231" s="5207"/>
      <c r="AFO231" s="5207"/>
      <c r="AFP231" s="5207"/>
      <c r="AFQ231" s="5207"/>
      <c r="AFR231" s="5207"/>
      <c r="AFS231" s="5207"/>
      <c r="AFT231" s="5207"/>
      <c r="AFU231" s="5207"/>
      <c r="AFV231" s="5207"/>
      <c r="AFW231" s="5207"/>
      <c r="AFX231" s="5207"/>
      <c r="AFY231" s="5207"/>
      <c r="AFZ231" s="5207"/>
      <c r="AGA231" s="5207"/>
      <c r="AGB231" s="5207"/>
      <c r="AGC231" s="5207"/>
      <c r="AGD231" s="5207"/>
      <c r="AGE231" s="5207"/>
      <c r="AGF231" s="5207"/>
      <c r="AGG231" s="5207"/>
      <c r="AGH231" s="5207"/>
      <c r="AGI231" s="5207"/>
      <c r="AGJ231" s="5207"/>
      <c r="AGK231" s="5207"/>
      <c r="AGL231" s="5207"/>
      <c r="AGM231" s="5207"/>
      <c r="AGN231" s="5207"/>
      <c r="AGO231" s="5207"/>
      <c r="AGP231" s="5207"/>
      <c r="AGQ231" s="5207"/>
      <c r="AGR231" s="5207"/>
      <c r="AGS231" s="5207"/>
      <c r="AGT231" s="5207"/>
      <c r="AGU231" s="5207"/>
      <c r="AGV231" s="5207"/>
      <c r="AGW231" s="5207"/>
      <c r="AGX231" s="5207"/>
      <c r="AGY231" s="5207"/>
      <c r="AGZ231" s="5207"/>
      <c r="AHA231" s="5207"/>
      <c r="AHB231" s="5207"/>
      <c r="AHC231" s="5207"/>
      <c r="AHD231" s="5207"/>
      <c r="AHE231" s="5207"/>
      <c r="AHF231" s="5207"/>
      <c r="AHG231" s="5207"/>
      <c r="AHH231" s="5207"/>
      <c r="AHI231" s="5207"/>
      <c r="AHJ231" s="5207"/>
      <c r="AHK231" s="5207"/>
      <c r="AHL231" s="5207"/>
      <c r="AHM231" s="5207"/>
      <c r="AHN231" s="5207"/>
      <c r="AHO231" s="5207"/>
      <c r="AHP231" s="5207"/>
      <c r="AHQ231" s="5207"/>
      <c r="AHR231" s="5207"/>
      <c r="AHS231" s="5207"/>
      <c r="AHT231" s="5207"/>
      <c r="AHU231" s="5207"/>
      <c r="AHV231" s="5207"/>
      <c r="AHW231" s="5207"/>
      <c r="AHX231" s="5207"/>
      <c r="AHY231" s="5207"/>
      <c r="AHZ231" s="5207"/>
      <c r="AIA231" s="5207"/>
      <c r="AIB231" s="5207"/>
      <c r="AIC231" s="5207"/>
      <c r="AID231" s="5207"/>
      <c r="AIE231" s="5207"/>
      <c r="AIF231" s="5207"/>
      <c r="AIG231" s="5207"/>
      <c r="AIH231" s="5207"/>
      <c r="AII231" s="5207"/>
      <c r="AIJ231" s="5207"/>
      <c r="AIK231" s="5207"/>
      <c r="AIL231" s="5207"/>
      <c r="AIM231" s="5207"/>
      <c r="AIN231" s="5207"/>
      <c r="AIO231" s="5207"/>
      <c r="AIP231" s="5207"/>
      <c r="AIQ231" s="5207"/>
      <c r="AIR231" s="5207"/>
      <c r="AIS231" s="5207"/>
      <c r="AIT231" s="5207"/>
      <c r="AIU231" s="5207"/>
      <c r="AIV231" s="5207"/>
      <c r="AIW231" s="5207"/>
      <c r="AIX231" s="5207"/>
      <c r="AIY231" s="5207"/>
      <c r="AIZ231" s="5207"/>
      <c r="AJA231" s="5207"/>
      <c r="AJB231" s="5207"/>
      <c r="AJC231" s="5207"/>
      <c r="AJD231" s="5207"/>
      <c r="AJE231" s="5207"/>
      <c r="AJF231" s="5207"/>
      <c r="AJG231" s="5207"/>
      <c r="AJH231" s="5207"/>
      <c r="AJI231" s="5207"/>
      <c r="AJJ231" s="5207"/>
      <c r="AJK231" s="5207"/>
      <c r="AJL231" s="5207"/>
      <c r="AJM231" s="5207"/>
      <c r="AJN231" s="5207"/>
      <c r="AJO231" s="5207"/>
      <c r="AJP231" s="5207"/>
      <c r="AJQ231" s="5207"/>
      <c r="AJR231" s="5207"/>
      <c r="AJS231" s="5207"/>
      <c r="AJT231" s="5207"/>
      <c r="AJU231" s="5207"/>
      <c r="AJV231" s="5207"/>
      <c r="AJW231" s="5207"/>
      <c r="AJX231" s="5207"/>
      <c r="AJY231" s="5207"/>
      <c r="AJZ231" s="5207"/>
      <c r="AKA231" s="5207"/>
      <c r="AKB231" s="5207"/>
      <c r="AKC231" s="5207"/>
      <c r="AKD231" s="5207"/>
      <c r="AKE231" s="5207"/>
      <c r="AKF231" s="5207"/>
      <c r="AKG231" s="5207"/>
      <c r="AKH231" s="5207"/>
      <c r="AKI231" s="5207"/>
      <c r="AKJ231" s="5207"/>
      <c r="AKK231" s="5207"/>
      <c r="AKL231" s="5207"/>
      <c r="AKM231" s="5207"/>
      <c r="AKN231" s="5207"/>
      <c r="AKO231" s="5207"/>
      <c r="AKP231" s="5207"/>
      <c r="AKQ231" s="5207"/>
      <c r="AKR231" s="5207"/>
      <c r="AKS231" s="5207"/>
      <c r="AKT231" s="5207"/>
      <c r="AKU231" s="5207"/>
      <c r="AKV231" s="5207"/>
      <c r="AKW231" s="5207"/>
      <c r="AKX231" s="5207"/>
      <c r="AKY231" s="5207"/>
      <c r="AKZ231" s="5207"/>
      <c r="ALA231" s="5207"/>
      <c r="ALB231" s="5207"/>
      <c r="ALC231" s="5207"/>
      <c r="ALD231" s="5207"/>
      <c r="ALE231" s="5207"/>
      <c r="ALF231" s="5207"/>
      <c r="ALG231" s="5207"/>
      <c r="ALH231" s="5207"/>
      <c r="ALI231" s="5207"/>
      <c r="ALJ231" s="5207"/>
      <c r="ALK231" s="5207"/>
      <c r="ALL231" s="5207"/>
      <c r="ALM231" s="5207"/>
      <c r="ALN231" s="5207"/>
      <c r="ALO231" s="5207"/>
      <c r="ALP231" s="5207"/>
      <c r="ALQ231" s="5207"/>
      <c r="ALR231" s="5207"/>
      <c r="ALS231" s="5207"/>
      <c r="ALT231" s="5207"/>
      <c r="ALU231" s="5207"/>
      <c r="ALV231" s="5207"/>
      <c r="ALW231" s="5207"/>
      <c r="ALX231" s="5207"/>
      <c r="ALY231" s="5207"/>
      <c r="ALZ231" s="5207"/>
      <c r="AMA231" s="5207"/>
      <c r="AMB231" s="5207"/>
      <c r="AMC231" s="5207"/>
      <c r="AMD231" s="5207"/>
      <c r="AME231" s="5207"/>
      <c r="AMF231" s="5207"/>
      <c r="AMG231" s="5207"/>
      <c r="AMH231" s="5207"/>
      <c r="AMI231" s="5207"/>
      <c r="AMJ231" s="5207"/>
      <c r="AMK231" s="5207"/>
      <c r="AML231" s="5207"/>
      <c r="AMM231" s="5207"/>
      <c r="AMN231" s="5207"/>
      <c r="AMO231" s="5207"/>
      <c r="AMP231" s="5207"/>
      <c r="AMQ231" s="5207"/>
      <c r="AMR231" s="5207"/>
      <c r="AMS231" s="5207"/>
      <c r="AMT231" s="5207"/>
      <c r="AMU231" s="5207"/>
      <c r="AMV231" s="5207"/>
      <c r="AMW231" s="5207"/>
      <c r="AMX231" s="5207"/>
      <c r="AMY231" s="5207"/>
      <c r="AMZ231" s="5207"/>
      <c r="ANA231" s="5207"/>
      <c r="ANB231" s="5207"/>
      <c r="ANC231" s="5207"/>
      <c r="AND231" s="5207"/>
      <c r="ANE231" s="5207"/>
      <c r="ANF231" s="5207"/>
      <c r="ANG231" s="5207"/>
      <c r="ANH231" s="5207"/>
      <c r="ANI231" s="5207"/>
      <c r="ANJ231" s="5207"/>
      <c r="ANK231" s="5207"/>
      <c r="ANL231" s="5207"/>
      <c r="ANM231" s="5207"/>
      <c r="ANN231" s="5207"/>
      <c r="ANO231" s="5207"/>
      <c r="ANP231" s="5207"/>
      <c r="ANQ231" s="5207"/>
      <c r="ANR231" s="5207"/>
      <c r="ANS231" s="5207"/>
      <c r="ANT231" s="5207"/>
      <c r="ANU231" s="5207"/>
      <c r="ANV231" s="5207"/>
      <c r="ANW231" s="5207"/>
      <c r="ANX231" s="5207"/>
      <c r="ANY231" s="5207"/>
      <c r="ANZ231" s="5207"/>
      <c r="AOA231" s="5207"/>
      <c r="AOB231" s="5207"/>
      <c r="AOC231" s="5207"/>
      <c r="AOD231" s="5207"/>
      <c r="AOE231" s="5207"/>
      <c r="AOF231" s="5207"/>
      <c r="AOG231" s="5207"/>
      <c r="AOH231" s="5207"/>
      <c r="AOI231" s="5207"/>
      <c r="AOJ231" s="5207"/>
      <c r="AOK231" s="5207"/>
      <c r="AOL231" s="5207"/>
      <c r="AOM231" s="5207"/>
      <c r="AON231" s="5207"/>
      <c r="AOO231" s="5207"/>
      <c r="AOP231" s="5207"/>
      <c r="AOQ231" s="5207"/>
      <c r="AOR231" s="5207"/>
      <c r="AOS231" s="5207"/>
      <c r="AOT231" s="5207"/>
      <c r="AOU231" s="5207"/>
      <c r="AOV231" s="5207"/>
      <c r="AOW231" s="5207"/>
      <c r="AOX231" s="5207"/>
      <c r="AOY231" s="5207"/>
      <c r="AOZ231" s="5207"/>
      <c r="APA231" s="5207"/>
      <c r="APB231" s="5207"/>
      <c r="APC231" s="5207"/>
      <c r="APD231" s="5207"/>
      <c r="APE231" s="5207"/>
      <c r="APF231" s="5207"/>
      <c r="APG231" s="5207"/>
      <c r="APH231" s="5207"/>
      <c r="API231" s="5207"/>
      <c r="APJ231" s="5207"/>
      <c r="APK231" s="5207"/>
      <c r="APL231" s="5207"/>
      <c r="APM231" s="5207"/>
      <c r="APN231" s="5207"/>
      <c r="APO231" s="5207"/>
      <c r="APP231" s="5207"/>
      <c r="APQ231" s="5207"/>
      <c r="APR231" s="5207"/>
      <c r="APS231" s="5207"/>
      <c r="APT231" s="5207"/>
      <c r="APU231" s="5207"/>
      <c r="APV231" s="5207"/>
      <c r="APW231" s="5207"/>
      <c r="APX231" s="5207"/>
      <c r="APY231" s="5207"/>
      <c r="APZ231" s="5207"/>
      <c r="AQA231" s="5207"/>
      <c r="AQB231" s="5207"/>
      <c r="AQC231" s="5207"/>
      <c r="AQD231" s="5207"/>
      <c r="AQE231" s="5207"/>
      <c r="AQF231" s="5207"/>
      <c r="AQG231" s="5207"/>
      <c r="AQH231" s="5207"/>
      <c r="AQI231" s="5207"/>
      <c r="AQJ231" s="5207"/>
      <c r="AQK231" s="5207"/>
      <c r="AQL231" s="5207"/>
      <c r="AQM231" s="5207"/>
      <c r="AQN231" s="5207"/>
      <c r="AQO231" s="5207"/>
      <c r="AQP231" s="5207"/>
      <c r="AQQ231" s="5207"/>
      <c r="AQR231" s="5207"/>
      <c r="AQS231" s="5207"/>
      <c r="AQT231" s="5207"/>
      <c r="AQU231" s="5207"/>
      <c r="AQV231" s="5207"/>
      <c r="AQW231" s="5207"/>
      <c r="AQX231" s="5207"/>
      <c r="AQY231" s="5207"/>
      <c r="AQZ231" s="5207"/>
      <c r="ARA231" s="5207"/>
      <c r="ARB231" s="5207"/>
      <c r="ARC231" s="5207"/>
      <c r="ARD231" s="5207"/>
      <c r="ARE231" s="5207"/>
      <c r="ARF231" s="5207"/>
      <c r="ARG231" s="5207"/>
      <c r="ARH231" s="5207"/>
      <c r="ARI231" s="5207"/>
      <c r="ARJ231" s="5207"/>
      <c r="ARK231" s="5207"/>
      <c r="ARL231" s="5207"/>
      <c r="ARM231" s="5207"/>
      <c r="ARN231" s="5207"/>
      <c r="ARO231" s="5207"/>
      <c r="ARP231" s="5207"/>
      <c r="ARQ231" s="5207"/>
      <c r="ARR231" s="5207"/>
      <c r="ARS231" s="5207"/>
      <c r="ART231" s="5207"/>
      <c r="ARU231" s="5207"/>
      <c r="ARV231" s="5207"/>
      <c r="ARW231" s="5207"/>
      <c r="ARX231" s="5207"/>
      <c r="ARY231" s="5207"/>
      <c r="ARZ231" s="5207"/>
      <c r="ASA231" s="5207"/>
      <c r="ASB231" s="5207"/>
      <c r="ASC231" s="5207"/>
      <c r="ASD231" s="5207"/>
      <c r="ASE231" s="5207"/>
      <c r="ASF231" s="5207"/>
      <c r="ASG231" s="5207"/>
      <c r="ASH231" s="5207"/>
      <c r="ASI231" s="5207"/>
      <c r="ASJ231" s="5207"/>
      <c r="ASK231" s="5207"/>
      <c r="ASL231" s="5207"/>
      <c r="ASM231" s="5207"/>
      <c r="ASN231" s="5207"/>
      <c r="ASO231" s="5207"/>
      <c r="ASP231" s="5207"/>
      <c r="ASQ231" s="5207"/>
      <c r="ASR231" s="5207"/>
      <c r="ASS231" s="5207"/>
      <c r="AST231" s="5207"/>
      <c r="ASU231" s="5207"/>
      <c r="ASV231" s="5207"/>
      <c r="ASW231" s="5207"/>
      <c r="ASX231" s="5207"/>
      <c r="ASY231" s="5207"/>
      <c r="ASZ231" s="5207"/>
      <c r="ATA231" s="5207"/>
      <c r="ATB231" s="5207"/>
      <c r="ATC231" s="5207"/>
      <c r="ATD231" s="5207"/>
      <c r="ATE231" s="5207"/>
      <c r="ATF231" s="5207"/>
      <c r="ATG231" s="5207"/>
      <c r="ATH231" s="5207"/>
      <c r="ATI231" s="5207"/>
      <c r="ATJ231" s="5207"/>
      <c r="ATK231" s="5207"/>
      <c r="ATL231" s="5207"/>
      <c r="ATM231" s="5207"/>
      <c r="ATN231" s="5207"/>
      <c r="ATO231" s="5207"/>
      <c r="ATP231" s="5207"/>
      <c r="ATQ231" s="5207"/>
      <c r="ATR231" s="5207"/>
      <c r="ATS231" s="5207"/>
      <c r="ATT231" s="5207"/>
      <c r="ATU231" s="5207"/>
      <c r="ATV231" s="5207"/>
      <c r="ATW231" s="5207"/>
      <c r="ATX231" s="5207"/>
      <c r="ATY231" s="5207"/>
      <c r="ATZ231" s="5207"/>
      <c r="AUA231" s="5207"/>
      <c r="AUB231" s="5207"/>
      <c r="AUC231" s="5207"/>
      <c r="AUD231" s="5207"/>
      <c r="AUE231" s="5207"/>
      <c r="AUF231" s="5207"/>
      <c r="AUG231" s="5207"/>
      <c r="AUH231" s="5207"/>
      <c r="AUI231" s="5207"/>
      <c r="AUJ231" s="5207"/>
      <c r="AUK231" s="5207"/>
      <c r="AUL231" s="5207"/>
      <c r="AUM231" s="5207"/>
      <c r="AUN231" s="5207"/>
      <c r="AUO231" s="5207"/>
      <c r="AUP231" s="5207"/>
      <c r="AUQ231" s="5207"/>
      <c r="AUR231" s="5207"/>
      <c r="AUS231" s="5207"/>
      <c r="AUT231" s="5207"/>
      <c r="AUU231" s="5207"/>
      <c r="AUV231" s="5207"/>
      <c r="AUW231" s="5207"/>
      <c r="AUX231" s="5207"/>
      <c r="AUY231" s="5207"/>
      <c r="AUZ231" s="5207"/>
      <c r="AVA231" s="5207"/>
      <c r="AVB231" s="5207"/>
      <c r="AVC231" s="5207"/>
      <c r="AVD231" s="5207"/>
      <c r="AVE231" s="5207"/>
      <c r="AVF231" s="5207"/>
      <c r="AVG231" s="5207"/>
      <c r="AVH231" s="5207"/>
      <c r="AVI231" s="5207"/>
      <c r="AVJ231" s="5207"/>
      <c r="AVK231" s="5207"/>
      <c r="AVL231" s="5207"/>
      <c r="AVM231" s="5207"/>
      <c r="AVN231" s="5207"/>
      <c r="AVO231" s="5207"/>
      <c r="AVP231" s="5207"/>
      <c r="AVQ231" s="5207"/>
      <c r="AVR231" s="5207"/>
      <c r="AVS231" s="5207"/>
      <c r="AVT231" s="5207"/>
      <c r="AVU231" s="5207"/>
      <c r="AVV231" s="5207"/>
      <c r="AVW231" s="5207"/>
      <c r="AVX231" s="5207"/>
      <c r="AVY231" s="5207"/>
      <c r="AVZ231" s="5207"/>
      <c r="AWA231" s="5207"/>
      <c r="AWB231" s="5207"/>
      <c r="AWC231" s="5207"/>
      <c r="AWD231" s="5207"/>
      <c r="AWE231" s="5207"/>
      <c r="AWF231" s="5207"/>
      <c r="AWG231" s="5207"/>
      <c r="AWH231" s="5207"/>
      <c r="AWI231" s="5207"/>
      <c r="AWJ231" s="5207"/>
      <c r="AWK231" s="5207"/>
      <c r="AWL231" s="5207"/>
      <c r="AWM231" s="5207"/>
      <c r="AWN231" s="5207"/>
      <c r="AWO231" s="5207"/>
      <c r="AWP231" s="5207"/>
      <c r="AWQ231" s="5207"/>
      <c r="AWR231" s="5207"/>
      <c r="AWS231" s="5207"/>
      <c r="AWT231" s="5207"/>
      <c r="AWU231" s="5207"/>
      <c r="AWV231" s="5207"/>
      <c r="AWW231" s="5207"/>
      <c r="AWX231" s="5207"/>
      <c r="AWY231" s="5207"/>
      <c r="AWZ231" s="5207"/>
      <c r="AXA231" s="5207"/>
      <c r="AXB231" s="5207"/>
      <c r="AXC231" s="5207"/>
      <c r="AXD231" s="5207"/>
      <c r="AXE231" s="5207"/>
      <c r="AXF231" s="5207"/>
      <c r="AXG231" s="5207"/>
      <c r="AXH231" s="5207"/>
      <c r="AXI231" s="5207"/>
      <c r="AXJ231" s="5207"/>
    </row>
    <row r="232" spans="1:1310" s="5208" customFormat="1" ht="23.25" customHeight="1">
      <c r="A232" s="5209"/>
      <c r="B232" s="5212" t="s">
        <v>895</v>
      </c>
      <c r="C232" s="5212"/>
      <c r="D232" s="5212"/>
      <c r="E232" s="5212"/>
      <c r="F232" s="5214"/>
      <c r="G232" s="5212" t="s">
        <v>896</v>
      </c>
      <c r="H232" s="5212"/>
      <c r="I232" s="5212"/>
      <c r="J232" s="5214"/>
      <c r="K232" s="5216" t="s">
        <v>897</v>
      </c>
      <c r="L232" s="5216"/>
      <c r="M232" s="5216"/>
      <c r="N232" s="5214"/>
      <c r="O232" s="5212" t="s">
        <v>898</v>
      </c>
      <c r="P232" s="5212"/>
      <c r="Q232" s="5214"/>
      <c r="R232" s="95"/>
      <c r="S232" s="95"/>
      <c r="T232" s="95"/>
      <c r="U232" s="95"/>
      <c r="V232" s="95"/>
      <c r="W232" s="95"/>
      <c r="X232" s="95"/>
      <c r="Y232" s="95"/>
      <c r="Z232" s="95"/>
      <c r="AA232" s="95"/>
      <c r="AB232" s="95"/>
      <c r="AC232" s="95"/>
      <c r="AD232" s="5207"/>
      <c r="AE232" s="5207"/>
      <c r="AF232" s="5207"/>
      <c r="AG232" s="5207"/>
      <c r="AH232" s="5207"/>
      <c r="AI232" s="5207"/>
      <c r="AJ232" s="5207"/>
      <c r="AK232" s="5207"/>
      <c r="AL232" s="5207"/>
      <c r="AM232" s="5207"/>
      <c r="AN232" s="5207"/>
      <c r="AO232" s="5207"/>
      <c r="AP232" s="5207"/>
      <c r="AQ232" s="5207"/>
      <c r="AR232" s="5207"/>
      <c r="AS232" s="5207"/>
      <c r="AT232" s="5207"/>
      <c r="AU232" s="5207"/>
      <c r="AV232" s="5207"/>
      <c r="AW232" s="5207"/>
      <c r="AX232" s="5207"/>
      <c r="AY232" s="5207"/>
      <c r="AZ232" s="5207"/>
      <c r="BA232" s="5207"/>
      <c r="BB232" s="5207"/>
      <c r="BC232" s="5207"/>
      <c r="BD232" s="5207"/>
      <c r="BE232" s="5207"/>
      <c r="BF232" s="5207"/>
      <c r="BG232" s="5207"/>
      <c r="BH232" s="5207"/>
      <c r="BI232" s="5207"/>
      <c r="BJ232" s="5207"/>
      <c r="BK232" s="5207"/>
      <c r="BL232" s="5207"/>
      <c r="BM232" s="5207"/>
      <c r="BN232" s="5207"/>
      <c r="BO232" s="5207"/>
      <c r="BP232" s="5207"/>
      <c r="BQ232" s="5207"/>
      <c r="BR232" s="5207"/>
      <c r="BS232" s="5207"/>
      <c r="BT232" s="5207"/>
      <c r="BU232" s="5207"/>
      <c r="BV232" s="5207"/>
      <c r="BW232" s="5207"/>
      <c r="BX232" s="5207"/>
      <c r="BY232" s="5207"/>
      <c r="BZ232" s="5207"/>
      <c r="CA232" s="5207"/>
      <c r="CB232" s="5207"/>
      <c r="CC232" s="5207"/>
      <c r="CD232" s="5207"/>
      <c r="CE232" s="5207"/>
      <c r="CF232" s="5207"/>
      <c r="CG232" s="5207"/>
      <c r="CH232" s="5207"/>
      <c r="CI232" s="5207"/>
      <c r="CJ232" s="5207"/>
      <c r="CK232" s="5207"/>
      <c r="CL232" s="5207"/>
      <c r="CM232" s="5207"/>
      <c r="CN232" s="5207"/>
      <c r="CO232" s="5207"/>
      <c r="CP232" s="5207"/>
      <c r="CQ232" s="5207"/>
      <c r="CR232" s="5207"/>
      <c r="CS232" s="5207"/>
      <c r="CT232" s="5207"/>
      <c r="CU232" s="5207"/>
      <c r="CV232" s="5207"/>
      <c r="CW232" s="5207"/>
      <c r="CX232" s="5207"/>
      <c r="CY232" s="5207"/>
      <c r="CZ232" s="5207"/>
      <c r="DA232" s="5207"/>
      <c r="DB232" s="5207"/>
      <c r="DC232" s="5207"/>
      <c r="DD232" s="5207"/>
      <c r="DE232" s="5207"/>
      <c r="DF232" s="5207"/>
      <c r="DG232" s="5207"/>
      <c r="DH232" s="5207"/>
      <c r="DI232" s="5207"/>
      <c r="DJ232" s="5207"/>
      <c r="DK232" s="5207"/>
      <c r="DL232" s="5207"/>
      <c r="DM232" s="5207"/>
      <c r="DN232" s="5207"/>
      <c r="DO232" s="5207"/>
      <c r="DP232" s="5207"/>
      <c r="DQ232" s="5207"/>
      <c r="DR232" s="5207"/>
      <c r="DS232" s="5207"/>
      <c r="DT232" s="5207"/>
      <c r="DU232" s="5207"/>
      <c r="DV232" s="5207"/>
      <c r="DW232" s="5207"/>
      <c r="DX232" s="5207"/>
      <c r="DY232" s="5207"/>
      <c r="DZ232" s="5207"/>
      <c r="EA232" s="5207"/>
      <c r="EB232" s="5207"/>
      <c r="EC232" s="5207"/>
      <c r="ED232" s="5207"/>
      <c r="EE232" s="5207"/>
      <c r="EF232" s="5207"/>
      <c r="EG232" s="5207"/>
      <c r="EH232" s="5207"/>
      <c r="EI232" s="5207"/>
      <c r="EJ232" s="5207"/>
      <c r="EK232" s="5207"/>
      <c r="EL232" s="5207"/>
      <c r="EM232" s="5207"/>
      <c r="EN232" s="5207"/>
      <c r="EO232" s="5207"/>
      <c r="EP232" s="5207"/>
      <c r="EQ232" s="5207"/>
      <c r="ER232" s="5207"/>
      <c r="ES232" s="5207"/>
      <c r="ET232" s="5207"/>
      <c r="EU232" s="5207"/>
      <c r="EV232" s="5207"/>
      <c r="EW232" s="5207"/>
      <c r="EX232" s="5207"/>
      <c r="EY232" s="5207"/>
      <c r="EZ232" s="5207"/>
      <c r="FA232" s="5207"/>
      <c r="FB232" s="5207"/>
      <c r="FC232" s="5207"/>
      <c r="FD232" s="5207"/>
      <c r="FE232" s="5207"/>
      <c r="FF232" s="5207"/>
      <c r="FG232" s="5207"/>
      <c r="FH232" s="5207"/>
      <c r="FI232" s="5207"/>
      <c r="FJ232" s="5207"/>
      <c r="FK232" s="5207"/>
      <c r="FL232" s="5207"/>
      <c r="FM232" s="5207"/>
      <c r="FN232" s="5207"/>
      <c r="FO232" s="5207"/>
      <c r="FP232" s="5207"/>
      <c r="FQ232" s="5207"/>
      <c r="FR232" s="5207"/>
      <c r="FS232" s="5207"/>
      <c r="FT232" s="5207"/>
      <c r="FU232" s="5207"/>
      <c r="FV232" s="5207"/>
      <c r="FW232" s="5207"/>
      <c r="FX232" s="5207"/>
      <c r="FY232" s="5207"/>
      <c r="FZ232" s="5207"/>
      <c r="GA232" s="5207"/>
      <c r="GB232" s="5207"/>
      <c r="GC232" s="5207"/>
      <c r="GD232" s="5207"/>
      <c r="GE232" s="5207"/>
      <c r="GF232" s="5207"/>
      <c r="GG232" s="5207"/>
      <c r="GH232" s="5207"/>
      <c r="GI232" s="5207"/>
      <c r="GJ232" s="5207"/>
      <c r="GK232" s="5207"/>
      <c r="GL232" s="5207"/>
      <c r="GM232" s="5207"/>
      <c r="GN232" s="5207"/>
      <c r="GO232" s="5207"/>
      <c r="GP232" s="5207"/>
      <c r="GQ232" s="5207"/>
      <c r="GR232" s="5207"/>
      <c r="GS232" s="5207"/>
      <c r="GT232" s="5207"/>
      <c r="GU232" s="5207"/>
      <c r="GV232" s="5207"/>
      <c r="GW232" s="5207"/>
      <c r="GX232" s="5207"/>
      <c r="GY232" s="5207"/>
      <c r="GZ232" s="5207"/>
      <c r="HA232" s="5207"/>
      <c r="HB232" s="5207"/>
      <c r="HC232" s="5207"/>
      <c r="HD232" s="5207"/>
      <c r="HE232" s="5207"/>
      <c r="HF232" s="5207"/>
      <c r="HG232" s="5207"/>
      <c r="HH232" s="5207"/>
      <c r="HI232" s="5207"/>
      <c r="HJ232" s="5207"/>
      <c r="HK232" s="5207"/>
      <c r="HL232" s="5207"/>
      <c r="HM232" s="5207"/>
      <c r="HN232" s="5207"/>
      <c r="HO232" s="5207"/>
      <c r="HP232" s="5207"/>
      <c r="HQ232" s="5207"/>
      <c r="HR232" s="5207"/>
      <c r="HS232" s="5207"/>
      <c r="HT232" s="5207"/>
      <c r="HU232" s="5207"/>
      <c r="HV232" s="5207"/>
      <c r="HW232" s="5207"/>
      <c r="HX232" s="5207"/>
      <c r="HY232" s="5207"/>
      <c r="HZ232" s="5207"/>
      <c r="IA232" s="5207"/>
      <c r="IB232" s="5207"/>
      <c r="IC232" s="5207"/>
      <c r="ID232" s="5207"/>
      <c r="IE232" s="5207"/>
      <c r="IF232" s="5207"/>
      <c r="IG232" s="5207"/>
      <c r="IH232" s="5207"/>
      <c r="II232" s="5207"/>
      <c r="IJ232" s="5207"/>
      <c r="IK232" s="5207"/>
      <c r="IL232" s="5207"/>
      <c r="IM232" s="5207"/>
      <c r="IN232" s="5207"/>
      <c r="IO232" s="5207"/>
      <c r="IP232" s="5207"/>
      <c r="IQ232" s="5207"/>
      <c r="IR232" s="5207"/>
      <c r="IS232" s="5207"/>
      <c r="IT232" s="5207"/>
      <c r="IU232" s="5207"/>
      <c r="IV232" s="5207"/>
      <c r="IW232" s="5207"/>
      <c r="IX232" s="5207"/>
      <c r="IY232" s="5207"/>
      <c r="IZ232" s="5207"/>
      <c r="JA232" s="5207"/>
      <c r="JB232" s="5207"/>
      <c r="JC232" s="5207"/>
      <c r="JD232" s="5207"/>
      <c r="JE232" s="5207"/>
      <c r="JF232" s="5207"/>
      <c r="JG232" s="5207"/>
      <c r="JH232" s="5207"/>
      <c r="JI232" s="5207"/>
      <c r="JJ232" s="5207"/>
      <c r="JK232" s="5207"/>
      <c r="JL232" s="5207"/>
      <c r="JM232" s="5207"/>
      <c r="JN232" s="5207"/>
      <c r="JO232" s="5207"/>
      <c r="JP232" s="5207"/>
      <c r="JQ232" s="5207"/>
      <c r="JR232" s="5207"/>
      <c r="JS232" s="5207"/>
      <c r="JT232" s="5207"/>
      <c r="JU232" s="5207"/>
      <c r="JV232" s="5207"/>
      <c r="JW232" s="5207"/>
      <c r="JX232" s="5207"/>
      <c r="JY232" s="5207"/>
      <c r="JZ232" s="5207"/>
      <c r="KA232" s="5207"/>
      <c r="KB232" s="5207"/>
      <c r="KC232" s="5207"/>
      <c r="KD232" s="5207"/>
      <c r="KE232" s="5207"/>
      <c r="KF232" s="5207"/>
      <c r="KG232" s="5207"/>
      <c r="KH232" s="5207"/>
      <c r="KI232" s="5207"/>
      <c r="KJ232" s="5207"/>
      <c r="KK232" s="5207"/>
      <c r="KL232" s="5207"/>
      <c r="KM232" s="5207"/>
      <c r="KN232" s="5207"/>
      <c r="KO232" s="5207"/>
      <c r="KP232" s="5207"/>
      <c r="KQ232" s="5207"/>
      <c r="KR232" s="5207"/>
      <c r="KS232" s="5207"/>
      <c r="KT232" s="5207"/>
      <c r="KU232" s="5207"/>
      <c r="KV232" s="5207"/>
      <c r="KW232" s="5207"/>
      <c r="KX232" s="5207"/>
      <c r="KY232" s="5207"/>
      <c r="KZ232" s="5207"/>
      <c r="LA232" s="5207"/>
      <c r="LB232" s="5207"/>
      <c r="LC232" s="5207"/>
      <c r="LD232" s="5207"/>
      <c r="LE232" s="5207"/>
      <c r="LF232" s="5207"/>
      <c r="LG232" s="5207"/>
      <c r="LH232" s="5207"/>
      <c r="LI232" s="5207"/>
      <c r="LJ232" s="5207"/>
      <c r="LK232" s="5207"/>
      <c r="LL232" s="5207"/>
      <c r="LM232" s="5207"/>
      <c r="LN232" s="5207"/>
      <c r="LO232" s="5207"/>
      <c r="LP232" s="5207"/>
      <c r="LQ232" s="5207"/>
      <c r="LR232" s="5207"/>
      <c r="LS232" s="5207"/>
      <c r="LT232" s="5207"/>
      <c r="LU232" s="5207"/>
      <c r="LV232" s="5207"/>
      <c r="LW232" s="5207"/>
      <c r="LX232" s="5207"/>
      <c r="LY232" s="5207"/>
      <c r="LZ232" s="5207"/>
      <c r="MA232" s="5207"/>
      <c r="MB232" s="5207"/>
      <c r="MC232" s="5207"/>
      <c r="MD232" s="5207"/>
      <c r="ME232" s="5207"/>
      <c r="MF232" s="5207"/>
      <c r="MG232" s="5207"/>
      <c r="MH232" s="5207"/>
      <c r="MI232" s="5207"/>
      <c r="MJ232" s="5207"/>
      <c r="MK232" s="5207"/>
      <c r="ML232" s="5207"/>
      <c r="MM232" s="5207"/>
      <c r="MN232" s="5207"/>
      <c r="MO232" s="5207"/>
      <c r="MP232" s="5207"/>
      <c r="MQ232" s="5207"/>
      <c r="MR232" s="5207"/>
      <c r="MS232" s="5207"/>
      <c r="MT232" s="5207"/>
      <c r="MU232" s="5207"/>
      <c r="MV232" s="5207"/>
      <c r="MW232" s="5207"/>
      <c r="MX232" s="5207"/>
      <c r="MY232" s="5207"/>
      <c r="MZ232" s="5207"/>
      <c r="NA232" s="5207"/>
      <c r="NB232" s="5207"/>
      <c r="NC232" s="5207"/>
      <c r="ND232" s="5207"/>
      <c r="NE232" s="5207"/>
      <c r="NF232" s="5207"/>
      <c r="NG232" s="5207"/>
      <c r="NH232" s="5207"/>
      <c r="NI232" s="5207"/>
      <c r="NJ232" s="5207"/>
      <c r="NK232" s="5207"/>
      <c r="NL232" s="5207"/>
      <c r="NM232" s="5207"/>
      <c r="NN232" s="5207"/>
      <c r="NO232" s="5207"/>
      <c r="NP232" s="5207"/>
      <c r="NQ232" s="5207"/>
      <c r="NR232" s="5207"/>
      <c r="NS232" s="5207"/>
      <c r="NT232" s="5207"/>
      <c r="NU232" s="5207"/>
      <c r="NV232" s="5207"/>
      <c r="NW232" s="5207"/>
      <c r="NX232" s="5207"/>
      <c r="NY232" s="5207"/>
      <c r="NZ232" s="5207"/>
      <c r="OA232" s="5207"/>
      <c r="OB232" s="5207"/>
      <c r="OC232" s="5207"/>
      <c r="OD232" s="5207"/>
      <c r="OE232" s="5207"/>
      <c r="OF232" s="5207"/>
      <c r="OG232" s="5207"/>
      <c r="OH232" s="5207"/>
      <c r="OI232" s="5207"/>
      <c r="OJ232" s="5207"/>
      <c r="OK232" s="5207"/>
      <c r="OL232" s="5207"/>
      <c r="OM232" s="5207"/>
      <c r="ON232" s="5207"/>
      <c r="OO232" s="5207"/>
      <c r="OP232" s="5207"/>
      <c r="OQ232" s="5207"/>
      <c r="OR232" s="5207"/>
      <c r="OS232" s="5207"/>
      <c r="OT232" s="5207"/>
      <c r="OU232" s="5207"/>
      <c r="OV232" s="5207"/>
      <c r="OW232" s="5207"/>
      <c r="OX232" s="5207"/>
      <c r="OY232" s="5207"/>
      <c r="OZ232" s="5207"/>
      <c r="PA232" s="5207"/>
      <c r="PB232" s="5207"/>
      <c r="PC232" s="5207"/>
      <c r="PD232" s="5207"/>
      <c r="PE232" s="5207"/>
      <c r="PF232" s="5207"/>
      <c r="PG232" s="5207"/>
      <c r="PH232" s="5207"/>
      <c r="PI232" s="5207"/>
      <c r="PJ232" s="5207"/>
      <c r="PK232" s="5207"/>
      <c r="PL232" s="5207"/>
      <c r="PM232" s="5207"/>
      <c r="PN232" s="5207"/>
      <c r="PO232" s="5207"/>
      <c r="PP232" s="5207"/>
      <c r="PQ232" s="5207"/>
      <c r="PR232" s="5207"/>
      <c r="PS232" s="5207"/>
      <c r="PT232" s="5207"/>
      <c r="PU232" s="5207"/>
      <c r="PV232" s="5207"/>
      <c r="PW232" s="5207"/>
      <c r="PX232" s="5207"/>
      <c r="PY232" s="5207"/>
      <c r="PZ232" s="5207"/>
      <c r="QA232" s="5207"/>
      <c r="QB232" s="5207"/>
      <c r="QC232" s="5207"/>
      <c r="QD232" s="5207"/>
      <c r="QE232" s="5207"/>
      <c r="QF232" s="5207"/>
      <c r="QG232" s="5207"/>
      <c r="QH232" s="5207"/>
      <c r="QI232" s="5207"/>
      <c r="QJ232" s="5207"/>
      <c r="QK232" s="5207"/>
      <c r="QL232" s="5207"/>
      <c r="QM232" s="5207"/>
      <c r="QN232" s="5207"/>
      <c r="QO232" s="5207"/>
      <c r="QP232" s="5207"/>
      <c r="QQ232" s="5207"/>
      <c r="QR232" s="5207"/>
      <c r="QS232" s="5207"/>
      <c r="QT232" s="5207"/>
      <c r="QU232" s="5207"/>
      <c r="QV232" s="5207"/>
      <c r="QW232" s="5207"/>
      <c r="QX232" s="5207"/>
      <c r="QY232" s="5207"/>
      <c r="QZ232" s="5207"/>
      <c r="RA232" s="5207"/>
      <c r="RB232" s="5207"/>
      <c r="RC232" s="5207"/>
      <c r="RD232" s="5207"/>
      <c r="RE232" s="5207"/>
      <c r="RF232" s="5207"/>
      <c r="RG232" s="5207"/>
      <c r="RH232" s="5207"/>
      <c r="RI232" s="5207"/>
      <c r="RJ232" s="5207"/>
      <c r="RK232" s="5207"/>
      <c r="RL232" s="5207"/>
      <c r="RM232" s="5207"/>
      <c r="RN232" s="5207"/>
      <c r="RO232" s="5207"/>
      <c r="RP232" s="5207"/>
      <c r="RQ232" s="5207"/>
      <c r="RR232" s="5207"/>
      <c r="RS232" s="5207"/>
      <c r="RT232" s="5207"/>
      <c r="RU232" s="5207"/>
      <c r="RV232" s="5207"/>
      <c r="RW232" s="5207"/>
      <c r="RX232" s="5207"/>
      <c r="RY232" s="5207"/>
      <c r="RZ232" s="5207"/>
      <c r="SA232" s="5207"/>
      <c r="SB232" s="5207"/>
      <c r="SC232" s="5207"/>
      <c r="SD232" s="5207"/>
      <c r="SE232" s="5207"/>
      <c r="SF232" s="5207"/>
      <c r="SG232" s="5207"/>
      <c r="SH232" s="5207"/>
      <c r="SI232" s="5207"/>
      <c r="SJ232" s="5207"/>
      <c r="SK232" s="5207"/>
      <c r="SL232" s="5207"/>
      <c r="SM232" s="5207"/>
      <c r="SN232" s="5207"/>
      <c r="SO232" s="5207"/>
      <c r="SP232" s="5207"/>
      <c r="SQ232" s="5207"/>
      <c r="SR232" s="5207"/>
      <c r="SS232" s="5207"/>
      <c r="ST232" s="5207"/>
      <c r="SU232" s="5207"/>
      <c r="SV232" s="5207"/>
      <c r="SW232" s="5207"/>
      <c r="SX232" s="5207"/>
      <c r="SY232" s="5207"/>
      <c r="SZ232" s="5207"/>
      <c r="TA232" s="5207"/>
      <c r="TB232" s="5207"/>
      <c r="TC232" s="5207"/>
      <c r="TD232" s="5207"/>
      <c r="TE232" s="5207"/>
      <c r="TF232" s="5207"/>
      <c r="TG232" s="5207"/>
      <c r="TH232" s="5207"/>
      <c r="TI232" s="5207"/>
      <c r="TJ232" s="5207"/>
      <c r="TK232" s="5207"/>
      <c r="TL232" s="5207"/>
      <c r="TM232" s="5207"/>
      <c r="TN232" s="5207"/>
      <c r="TO232" s="5207"/>
      <c r="TP232" s="5207"/>
      <c r="TQ232" s="5207"/>
      <c r="TR232" s="5207"/>
      <c r="TS232" s="5207"/>
      <c r="TT232" s="5207"/>
      <c r="TU232" s="5207"/>
      <c r="TV232" s="5207"/>
      <c r="TW232" s="5207"/>
      <c r="TX232" s="5207"/>
      <c r="TY232" s="5207"/>
      <c r="TZ232" s="5207"/>
      <c r="UA232" s="5207"/>
      <c r="UB232" s="5207"/>
      <c r="UC232" s="5207"/>
      <c r="UD232" s="5207"/>
      <c r="UE232" s="5207"/>
      <c r="UF232" s="5207"/>
      <c r="UG232" s="5207"/>
      <c r="UH232" s="5207"/>
      <c r="UI232" s="5207"/>
      <c r="UJ232" s="5207"/>
      <c r="UK232" s="5207"/>
      <c r="UL232" s="5207"/>
      <c r="UM232" s="5207"/>
      <c r="UN232" s="5207"/>
      <c r="UO232" s="5207"/>
      <c r="UP232" s="5207"/>
      <c r="UQ232" s="5207"/>
      <c r="UR232" s="5207"/>
      <c r="US232" s="5207"/>
      <c r="UT232" s="5207"/>
      <c r="UU232" s="5207"/>
      <c r="UV232" s="5207"/>
      <c r="UW232" s="5207"/>
      <c r="UX232" s="5207"/>
      <c r="UY232" s="5207"/>
      <c r="UZ232" s="5207"/>
      <c r="VA232" s="5207"/>
      <c r="VB232" s="5207"/>
      <c r="VC232" s="5207"/>
      <c r="VD232" s="5207"/>
      <c r="VE232" s="5207"/>
      <c r="VF232" s="5207"/>
      <c r="VG232" s="5207"/>
      <c r="VH232" s="5207"/>
      <c r="VI232" s="5207"/>
      <c r="VJ232" s="5207"/>
      <c r="VK232" s="5207"/>
      <c r="VL232" s="5207"/>
      <c r="VM232" s="5207"/>
      <c r="VN232" s="5207"/>
      <c r="VO232" s="5207"/>
      <c r="VP232" s="5207"/>
      <c r="VQ232" s="5207"/>
      <c r="VR232" s="5207"/>
      <c r="VS232" s="5207"/>
      <c r="VT232" s="5207"/>
      <c r="VU232" s="5207"/>
      <c r="VV232" s="5207"/>
      <c r="VW232" s="5207"/>
      <c r="VX232" s="5207"/>
      <c r="VY232" s="5207"/>
      <c r="VZ232" s="5207"/>
      <c r="WA232" s="5207"/>
      <c r="WB232" s="5207"/>
      <c r="WC232" s="5207"/>
      <c r="WD232" s="5207"/>
      <c r="WE232" s="5207"/>
      <c r="WF232" s="5207"/>
      <c r="WG232" s="5207"/>
      <c r="WH232" s="5207"/>
      <c r="WI232" s="5207"/>
      <c r="WJ232" s="5207"/>
      <c r="WK232" s="5207"/>
      <c r="WL232" s="5207"/>
      <c r="WM232" s="5207"/>
      <c r="WN232" s="5207"/>
      <c r="WO232" s="5207"/>
      <c r="WP232" s="5207"/>
      <c r="WQ232" s="5207"/>
      <c r="WR232" s="5207"/>
      <c r="WS232" s="5207"/>
      <c r="WT232" s="5207"/>
      <c r="WU232" s="5207"/>
      <c r="WV232" s="5207"/>
      <c r="WW232" s="5207"/>
      <c r="WX232" s="5207"/>
      <c r="WY232" s="5207"/>
      <c r="WZ232" s="5207"/>
      <c r="XA232" s="5207"/>
      <c r="XB232" s="5207"/>
      <c r="XC232" s="5207"/>
      <c r="XD232" s="5207"/>
      <c r="XE232" s="5207"/>
      <c r="XF232" s="5207"/>
      <c r="XG232" s="5207"/>
      <c r="XH232" s="5207"/>
      <c r="XI232" s="5207"/>
      <c r="XJ232" s="5207"/>
      <c r="XK232" s="5207"/>
      <c r="XL232" s="5207"/>
      <c r="XM232" s="5207"/>
      <c r="XN232" s="5207"/>
      <c r="XO232" s="5207"/>
      <c r="XP232" s="5207"/>
      <c r="XQ232" s="5207"/>
      <c r="XR232" s="5207"/>
      <c r="XS232" s="5207"/>
      <c r="XT232" s="5207"/>
      <c r="XU232" s="5207"/>
      <c r="XV232" s="5207"/>
      <c r="XW232" s="5207"/>
      <c r="XX232" s="5207"/>
      <c r="XY232" s="5207"/>
      <c r="XZ232" s="5207"/>
      <c r="YA232" s="5207"/>
      <c r="YB232" s="5207"/>
      <c r="YC232" s="5207"/>
      <c r="YD232" s="5207"/>
      <c r="YE232" s="5207"/>
      <c r="YF232" s="5207"/>
      <c r="YG232" s="5207"/>
      <c r="YH232" s="5207"/>
      <c r="YI232" s="5207"/>
      <c r="YJ232" s="5207"/>
      <c r="YK232" s="5207"/>
      <c r="YL232" s="5207"/>
      <c r="YM232" s="5207"/>
      <c r="YN232" s="5207"/>
      <c r="YO232" s="5207"/>
      <c r="YP232" s="5207"/>
      <c r="YQ232" s="5207"/>
      <c r="YR232" s="5207"/>
      <c r="YS232" s="5207"/>
      <c r="YT232" s="5207"/>
      <c r="YU232" s="5207"/>
      <c r="YV232" s="5207"/>
      <c r="YW232" s="5207"/>
      <c r="YX232" s="5207"/>
      <c r="YY232" s="5207"/>
      <c r="YZ232" s="5207"/>
      <c r="ZA232" s="5207"/>
      <c r="ZB232" s="5207"/>
      <c r="ZC232" s="5207"/>
      <c r="ZD232" s="5207"/>
      <c r="ZE232" s="5207"/>
      <c r="ZF232" s="5207"/>
      <c r="ZG232" s="5207"/>
      <c r="ZH232" s="5207"/>
      <c r="ZI232" s="5207"/>
      <c r="ZJ232" s="5207"/>
      <c r="ZK232" s="5207"/>
      <c r="ZL232" s="5207"/>
      <c r="ZM232" s="5207"/>
      <c r="ZN232" s="5207"/>
      <c r="ZO232" s="5207"/>
      <c r="ZP232" s="5207"/>
      <c r="ZQ232" s="5207"/>
      <c r="ZR232" s="5207"/>
      <c r="ZS232" s="5207"/>
      <c r="ZT232" s="5207"/>
      <c r="ZU232" s="5207"/>
      <c r="ZV232" s="5207"/>
      <c r="ZW232" s="5207"/>
      <c r="ZX232" s="5207"/>
      <c r="ZY232" s="5207"/>
      <c r="ZZ232" s="5207"/>
      <c r="AAA232" s="5207"/>
      <c r="AAB232" s="5207"/>
      <c r="AAC232" s="5207"/>
      <c r="AAD232" s="5207"/>
      <c r="AAE232" s="5207"/>
      <c r="AAF232" s="5207"/>
      <c r="AAG232" s="5207"/>
      <c r="AAH232" s="5207"/>
      <c r="AAI232" s="5207"/>
      <c r="AAJ232" s="5207"/>
      <c r="AAK232" s="5207"/>
      <c r="AAL232" s="5207"/>
      <c r="AAM232" s="5207"/>
      <c r="AAN232" s="5207"/>
      <c r="AAO232" s="5207"/>
      <c r="AAP232" s="5207"/>
      <c r="AAQ232" s="5207"/>
      <c r="AAR232" s="5207"/>
      <c r="AAS232" s="5207"/>
      <c r="AAT232" s="5207"/>
      <c r="AAU232" s="5207"/>
      <c r="AAV232" s="5207"/>
      <c r="AAW232" s="5207"/>
      <c r="AAX232" s="5207"/>
      <c r="AAY232" s="5207"/>
      <c r="AAZ232" s="5207"/>
      <c r="ABA232" s="5207"/>
      <c r="ABB232" s="5207"/>
      <c r="ABC232" s="5207"/>
      <c r="ABD232" s="5207"/>
      <c r="ABE232" s="5207"/>
      <c r="ABF232" s="5207"/>
      <c r="ABG232" s="5207"/>
      <c r="ABH232" s="5207"/>
      <c r="ABI232" s="5207"/>
      <c r="ABJ232" s="5207"/>
      <c r="ABK232" s="5207"/>
      <c r="ABL232" s="5207"/>
      <c r="ABM232" s="5207"/>
      <c r="ABN232" s="5207"/>
      <c r="ABO232" s="5207"/>
      <c r="ABP232" s="5207"/>
      <c r="ABQ232" s="5207"/>
      <c r="ABR232" s="5207"/>
      <c r="ABS232" s="5207"/>
      <c r="ABT232" s="5207"/>
      <c r="ABU232" s="5207"/>
      <c r="ABV232" s="5207"/>
      <c r="ABW232" s="5207"/>
      <c r="ABX232" s="5207"/>
      <c r="ABY232" s="5207"/>
      <c r="ABZ232" s="5207"/>
      <c r="ACA232" s="5207"/>
      <c r="ACB232" s="5207"/>
      <c r="ACC232" s="5207"/>
      <c r="ACD232" s="5207"/>
      <c r="ACE232" s="5207"/>
      <c r="ACF232" s="5207"/>
      <c r="ACG232" s="5207"/>
      <c r="ACH232" s="5207"/>
      <c r="ACI232" s="5207"/>
      <c r="ACJ232" s="5207"/>
      <c r="ACK232" s="5207"/>
      <c r="ACL232" s="5207"/>
      <c r="ACM232" s="5207"/>
      <c r="ACN232" s="5207"/>
      <c r="ACO232" s="5207"/>
      <c r="ACP232" s="5207"/>
      <c r="ACQ232" s="5207"/>
      <c r="ACR232" s="5207"/>
      <c r="ACS232" s="5207"/>
      <c r="ACT232" s="5207"/>
      <c r="ACU232" s="5207"/>
      <c r="ACV232" s="5207"/>
      <c r="ACW232" s="5207"/>
      <c r="ACX232" s="5207"/>
      <c r="ACY232" s="5207"/>
      <c r="ACZ232" s="5207"/>
      <c r="ADA232" s="5207"/>
      <c r="ADB232" s="5207"/>
      <c r="ADC232" s="5207"/>
      <c r="ADD232" s="5207"/>
      <c r="ADE232" s="5207"/>
      <c r="ADF232" s="5207"/>
      <c r="ADG232" s="5207"/>
      <c r="ADH232" s="5207"/>
      <c r="ADI232" s="5207"/>
      <c r="ADJ232" s="5207"/>
      <c r="ADK232" s="5207"/>
      <c r="ADL232" s="5207"/>
      <c r="ADM232" s="5207"/>
      <c r="ADN232" s="5207"/>
      <c r="ADO232" s="5207"/>
      <c r="ADP232" s="5207"/>
      <c r="ADQ232" s="5207"/>
      <c r="ADR232" s="5207"/>
      <c r="ADS232" s="5207"/>
      <c r="ADT232" s="5207"/>
      <c r="ADU232" s="5207"/>
      <c r="ADV232" s="5207"/>
      <c r="ADW232" s="5207"/>
      <c r="ADX232" s="5207"/>
      <c r="ADY232" s="5207"/>
      <c r="ADZ232" s="5207"/>
      <c r="AEA232" s="5207"/>
      <c r="AEB232" s="5207"/>
      <c r="AEC232" s="5207"/>
      <c r="AED232" s="5207"/>
      <c r="AEE232" s="5207"/>
      <c r="AEF232" s="5207"/>
      <c r="AEG232" s="5207"/>
      <c r="AEH232" s="5207"/>
      <c r="AEI232" s="5207"/>
      <c r="AEJ232" s="5207"/>
      <c r="AEK232" s="5207"/>
      <c r="AEL232" s="5207"/>
      <c r="AEM232" s="5207"/>
      <c r="AEN232" s="5207"/>
      <c r="AEO232" s="5207"/>
      <c r="AEP232" s="5207"/>
      <c r="AEQ232" s="5207"/>
      <c r="AER232" s="5207"/>
      <c r="AES232" s="5207"/>
      <c r="AET232" s="5207"/>
      <c r="AEU232" s="5207"/>
      <c r="AEV232" s="5207"/>
      <c r="AEW232" s="5207"/>
      <c r="AEX232" s="5207"/>
      <c r="AEY232" s="5207"/>
      <c r="AEZ232" s="5207"/>
      <c r="AFA232" s="5207"/>
      <c r="AFB232" s="5207"/>
      <c r="AFC232" s="5207"/>
      <c r="AFD232" s="5207"/>
      <c r="AFE232" s="5207"/>
      <c r="AFF232" s="5207"/>
      <c r="AFG232" s="5207"/>
      <c r="AFH232" s="5207"/>
      <c r="AFI232" s="5207"/>
      <c r="AFJ232" s="5207"/>
      <c r="AFK232" s="5207"/>
      <c r="AFL232" s="5207"/>
      <c r="AFM232" s="5207"/>
      <c r="AFN232" s="5207"/>
      <c r="AFO232" s="5207"/>
      <c r="AFP232" s="5207"/>
      <c r="AFQ232" s="5207"/>
      <c r="AFR232" s="5207"/>
      <c r="AFS232" s="5207"/>
      <c r="AFT232" s="5207"/>
      <c r="AFU232" s="5207"/>
      <c r="AFV232" s="5207"/>
      <c r="AFW232" s="5207"/>
      <c r="AFX232" s="5207"/>
      <c r="AFY232" s="5207"/>
      <c r="AFZ232" s="5207"/>
      <c r="AGA232" s="5207"/>
      <c r="AGB232" s="5207"/>
      <c r="AGC232" s="5207"/>
      <c r="AGD232" s="5207"/>
      <c r="AGE232" s="5207"/>
      <c r="AGF232" s="5207"/>
      <c r="AGG232" s="5207"/>
      <c r="AGH232" s="5207"/>
      <c r="AGI232" s="5207"/>
      <c r="AGJ232" s="5207"/>
      <c r="AGK232" s="5207"/>
      <c r="AGL232" s="5207"/>
      <c r="AGM232" s="5207"/>
      <c r="AGN232" s="5207"/>
      <c r="AGO232" s="5207"/>
      <c r="AGP232" s="5207"/>
      <c r="AGQ232" s="5207"/>
      <c r="AGR232" s="5207"/>
      <c r="AGS232" s="5207"/>
      <c r="AGT232" s="5207"/>
      <c r="AGU232" s="5207"/>
      <c r="AGV232" s="5207"/>
      <c r="AGW232" s="5207"/>
      <c r="AGX232" s="5207"/>
      <c r="AGY232" s="5207"/>
      <c r="AGZ232" s="5207"/>
      <c r="AHA232" s="5207"/>
      <c r="AHB232" s="5207"/>
      <c r="AHC232" s="5207"/>
      <c r="AHD232" s="5207"/>
      <c r="AHE232" s="5207"/>
      <c r="AHF232" s="5207"/>
      <c r="AHG232" s="5207"/>
      <c r="AHH232" s="5207"/>
      <c r="AHI232" s="5207"/>
      <c r="AHJ232" s="5207"/>
      <c r="AHK232" s="5207"/>
      <c r="AHL232" s="5207"/>
      <c r="AHM232" s="5207"/>
      <c r="AHN232" s="5207"/>
      <c r="AHO232" s="5207"/>
      <c r="AHP232" s="5207"/>
      <c r="AHQ232" s="5207"/>
      <c r="AHR232" s="5207"/>
      <c r="AHS232" s="5207"/>
      <c r="AHT232" s="5207"/>
      <c r="AHU232" s="5207"/>
      <c r="AHV232" s="5207"/>
      <c r="AHW232" s="5207"/>
      <c r="AHX232" s="5207"/>
      <c r="AHY232" s="5207"/>
      <c r="AHZ232" s="5207"/>
      <c r="AIA232" s="5207"/>
      <c r="AIB232" s="5207"/>
      <c r="AIC232" s="5207"/>
      <c r="AID232" s="5207"/>
      <c r="AIE232" s="5207"/>
      <c r="AIF232" s="5207"/>
      <c r="AIG232" s="5207"/>
      <c r="AIH232" s="5207"/>
      <c r="AII232" s="5207"/>
      <c r="AIJ232" s="5207"/>
      <c r="AIK232" s="5207"/>
      <c r="AIL232" s="5207"/>
      <c r="AIM232" s="5207"/>
      <c r="AIN232" s="5207"/>
      <c r="AIO232" s="5207"/>
      <c r="AIP232" s="5207"/>
      <c r="AIQ232" s="5207"/>
      <c r="AIR232" s="5207"/>
      <c r="AIS232" s="5207"/>
      <c r="AIT232" s="5207"/>
      <c r="AIU232" s="5207"/>
      <c r="AIV232" s="5207"/>
      <c r="AIW232" s="5207"/>
      <c r="AIX232" s="5207"/>
      <c r="AIY232" s="5207"/>
      <c r="AIZ232" s="5207"/>
      <c r="AJA232" s="5207"/>
      <c r="AJB232" s="5207"/>
      <c r="AJC232" s="5207"/>
      <c r="AJD232" s="5207"/>
      <c r="AJE232" s="5207"/>
      <c r="AJF232" s="5207"/>
      <c r="AJG232" s="5207"/>
      <c r="AJH232" s="5207"/>
      <c r="AJI232" s="5207"/>
      <c r="AJJ232" s="5207"/>
      <c r="AJK232" s="5207"/>
      <c r="AJL232" s="5207"/>
      <c r="AJM232" s="5207"/>
      <c r="AJN232" s="5207"/>
      <c r="AJO232" s="5207"/>
      <c r="AJP232" s="5207"/>
      <c r="AJQ232" s="5207"/>
      <c r="AJR232" s="5207"/>
      <c r="AJS232" s="5207"/>
      <c r="AJT232" s="5207"/>
      <c r="AJU232" s="5207"/>
      <c r="AJV232" s="5207"/>
      <c r="AJW232" s="5207"/>
      <c r="AJX232" s="5207"/>
      <c r="AJY232" s="5207"/>
      <c r="AJZ232" s="5207"/>
      <c r="AKA232" s="5207"/>
      <c r="AKB232" s="5207"/>
      <c r="AKC232" s="5207"/>
      <c r="AKD232" s="5207"/>
      <c r="AKE232" s="5207"/>
      <c r="AKF232" s="5207"/>
      <c r="AKG232" s="5207"/>
      <c r="AKH232" s="5207"/>
      <c r="AKI232" s="5207"/>
      <c r="AKJ232" s="5207"/>
      <c r="AKK232" s="5207"/>
      <c r="AKL232" s="5207"/>
      <c r="AKM232" s="5207"/>
      <c r="AKN232" s="5207"/>
      <c r="AKO232" s="5207"/>
      <c r="AKP232" s="5207"/>
      <c r="AKQ232" s="5207"/>
      <c r="AKR232" s="5207"/>
      <c r="AKS232" s="5207"/>
      <c r="AKT232" s="5207"/>
      <c r="AKU232" s="5207"/>
      <c r="AKV232" s="5207"/>
      <c r="AKW232" s="5207"/>
      <c r="AKX232" s="5207"/>
      <c r="AKY232" s="5207"/>
      <c r="AKZ232" s="5207"/>
      <c r="ALA232" s="5207"/>
      <c r="ALB232" s="5207"/>
      <c r="ALC232" s="5207"/>
      <c r="ALD232" s="5207"/>
      <c r="ALE232" s="5207"/>
      <c r="ALF232" s="5207"/>
      <c r="ALG232" s="5207"/>
      <c r="ALH232" s="5207"/>
      <c r="ALI232" s="5207"/>
      <c r="ALJ232" s="5207"/>
      <c r="ALK232" s="5207"/>
      <c r="ALL232" s="5207"/>
      <c r="ALM232" s="5207"/>
      <c r="ALN232" s="5207"/>
      <c r="ALO232" s="5207"/>
      <c r="ALP232" s="5207"/>
      <c r="ALQ232" s="5207"/>
      <c r="ALR232" s="5207"/>
      <c r="ALS232" s="5207"/>
      <c r="ALT232" s="5207"/>
      <c r="ALU232" s="5207"/>
      <c r="ALV232" s="5207"/>
      <c r="ALW232" s="5207"/>
      <c r="ALX232" s="5207"/>
      <c r="ALY232" s="5207"/>
      <c r="ALZ232" s="5207"/>
      <c r="AMA232" s="5207"/>
      <c r="AMB232" s="5207"/>
      <c r="AMC232" s="5207"/>
      <c r="AMD232" s="5207"/>
      <c r="AME232" s="5207"/>
      <c r="AMF232" s="5207"/>
      <c r="AMG232" s="5207"/>
      <c r="AMH232" s="5207"/>
      <c r="AMI232" s="5207"/>
      <c r="AMJ232" s="5207"/>
      <c r="AMK232" s="5207"/>
      <c r="AML232" s="5207"/>
      <c r="AMM232" s="5207"/>
      <c r="AMN232" s="5207"/>
      <c r="AMO232" s="5207"/>
      <c r="AMP232" s="5207"/>
      <c r="AMQ232" s="5207"/>
      <c r="AMR232" s="5207"/>
      <c r="AMS232" s="5207"/>
      <c r="AMT232" s="5207"/>
      <c r="AMU232" s="5207"/>
      <c r="AMV232" s="5207"/>
      <c r="AMW232" s="5207"/>
      <c r="AMX232" s="5207"/>
      <c r="AMY232" s="5207"/>
      <c r="AMZ232" s="5207"/>
      <c r="ANA232" s="5207"/>
      <c r="ANB232" s="5207"/>
      <c r="ANC232" s="5207"/>
      <c r="AND232" s="5207"/>
      <c r="ANE232" s="5207"/>
      <c r="ANF232" s="5207"/>
      <c r="ANG232" s="5207"/>
      <c r="ANH232" s="5207"/>
      <c r="ANI232" s="5207"/>
      <c r="ANJ232" s="5207"/>
      <c r="ANK232" s="5207"/>
      <c r="ANL232" s="5207"/>
      <c r="ANM232" s="5207"/>
      <c r="ANN232" s="5207"/>
      <c r="ANO232" s="5207"/>
      <c r="ANP232" s="5207"/>
      <c r="ANQ232" s="5207"/>
      <c r="ANR232" s="5207"/>
      <c r="ANS232" s="5207"/>
      <c r="ANT232" s="5207"/>
      <c r="ANU232" s="5207"/>
      <c r="ANV232" s="5207"/>
      <c r="ANW232" s="5207"/>
      <c r="ANX232" s="5207"/>
      <c r="ANY232" s="5207"/>
      <c r="ANZ232" s="5207"/>
      <c r="AOA232" s="5207"/>
      <c r="AOB232" s="5207"/>
      <c r="AOC232" s="5207"/>
      <c r="AOD232" s="5207"/>
      <c r="AOE232" s="5207"/>
      <c r="AOF232" s="5207"/>
      <c r="AOG232" s="5207"/>
      <c r="AOH232" s="5207"/>
      <c r="AOI232" s="5207"/>
      <c r="AOJ232" s="5207"/>
      <c r="AOK232" s="5207"/>
      <c r="AOL232" s="5207"/>
      <c r="AOM232" s="5207"/>
      <c r="AON232" s="5207"/>
      <c r="AOO232" s="5207"/>
      <c r="AOP232" s="5207"/>
      <c r="AOQ232" s="5207"/>
      <c r="AOR232" s="5207"/>
      <c r="AOS232" s="5207"/>
      <c r="AOT232" s="5207"/>
      <c r="AOU232" s="5207"/>
      <c r="AOV232" s="5207"/>
      <c r="AOW232" s="5207"/>
      <c r="AOX232" s="5207"/>
      <c r="AOY232" s="5207"/>
      <c r="AOZ232" s="5207"/>
      <c r="APA232" s="5207"/>
      <c r="APB232" s="5207"/>
      <c r="APC232" s="5207"/>
      <c r="APD232" s="5207"/>
      <c r="APE232" s="5207"/>
      <c r="APF232" s="5207"/>
      <c r="APG232" s="5207"/>
      <c r="APH232" s="5207"/>
      <c r="API232" s="5207"/>
      <c r="APJ232" s="5207"/>
      <c r="APK232" s="5207"/>
      <c r="APL232" s="5207"/>
      <c r="APM232" s="5207"/>
      <c r="APN232" s="5207"/>
      <c r="APO232" s="5207"/>
      <c r="APP232" s="5207"/>
      <c r="APQ232" s="5207"/>
      <c r="APR232" s="5207"/>
      <c r="APS232" s="5207"/>
      <c r="APT232" s="5207"/>
      <c r="APU232" s="5207"/>
      <c r="APV232" s="5207"/>
      <c r="APW232" s="5207"/>
      <c r="APX232" s="5207"/>
      <c r="APY232" s="5207"/>
      <c r="APZ232" s="5207"/>
      <c r="AQA232" s="5207"/>
      <c r="AQB232" s="5207"/>
      <c r="AQC232" s="5207"/>
      <c r="AQD232" s="5207"/>
      <c r="AQE232" s="5207"/>
      <c r="AQF232" s="5207"/>
      <c r="AQG232" s="5207"/>
      <c r="AQH232" s="5207"/>
      <c r="AQI232" s="5207"/>
      <c r="AQJ232" s="5207"/>
      <c r="AQK232" s="5207"/>
      <c r="AQL232" s="5207"/>
      <c r="AQM232" s="5207"/>
      <c r="AQN232" s="5207"/>
      <c r="AQO232" s="5207"/>
      <c r="AQP232" s="5207"/>
      <c r="AQQ232" s="5207"/>
      <c r="AQR232" s="5207"/>
      <c r="AQS232" s="5207"/>
      <c r="AQT232" s="5207"/>
      <c r="AQU232" s="5207"/>
      <c r="AQV232" s="5207"/>
      <c r="AQW232" s="5207"/>
      <c r="AQX232" s="5207"/>
      <c r="AQY232" s="5207"/>
      <c r="AQZ232" s="5207"/>
      <c r="ARA232" s="5207"/>
      <c r="ARB232" s="5207"/>
      <c r="ARC232" s="5207"/>
      <c r="ARD232" s="5207"/>
      <c r="ARE232" s="5207"/>
      <c r="ARF232" s="5207"/>
      <c r="ARG232" s="5207"/>
      <c r="ARH232" s="5207"/>
      <c r="ARI232" s="5207"/>
      <c r="ARJ232" s="5207"/>
      <c r="ARK232" s="5207"/>
      <c r="ARL232" s="5207"/>
      <c r="ARM232" s="5207"/>
      <c r="ARN232" s="5207"/>
      <c r="ARO232" s="5207"/>
      <c r="ARP232" s="5207"/>
      <c r="ARQ232" s="5207"/>
      <c r="ARR232" s="5207"/>
      <c r="ARS232" s="5207"/>
      <c r="ART232" s="5207"/>
      <c r="ARU232" s="5207"/>
      <c r="ARV232" s="5207"/>
      <c r="ARW232" s="5207"/>
      <c r="ARX232" s="5207"/>
      <c r="ARY232" s="5207"/>
      <c r="ARZ232" s="5207"/>
      <c r="ASA232" s="5207"/>
      <c r="ASB232" s="5207"/>
      <c r="ASC232" s="5207"/>
      <c r="ASD232" s="5207"/>
      <c r="ASE232" s="5207"/>
      <c r="ASF232" s="5207"/>
      <c r="ASG232" s="5207"/>
      <c r="ASH232" s="5207"/>
      <c r="ASI232" s="5207"/>
      <c r="ASJ232" s="5207"/>
      <c r="ASK232" s="5207"/>
      <c r="ASL232" s="5207"/>
      <c r="ASM232" s="5207"/>
      <c r="ASN232" s="5207"/>
      <c r="ASO232" s="5207"/>
      <c r="ASP232" s="5207"/>
      <c r="ASQ232" s="5207"/>
      <c r="ASR232" s="5207"/>
      <c r="ASS232" s="5207"/>
      <c r="AST232" s="5207"/>
      <c r="ASU232" s="5207"/>
      <c r="ASV232" s="5207"/>
      <c r="ASW232" s="5207"/>
      <c r="ASX232" s="5207"/>
      <c r="ASY232" s="5207"/>
      <c r="ASZ232" s="5207"/>
      <c r="ATA232" s="5207"/>
      <c r="ATB232" s="5207"/>
      <c r="ATC232" s="5207"/>
      <c r="ATD232" s="5207"/>
      <c r="ATE232" s="5207"/>
      <c r="ATF232" s="5207"/>
      <c r="ATG232" s="5207"/>
      <c r="ATH232" s="5207"/>
      <c r="ATI232" s="5207"/>
      <c r="ATJ232" s="5207"/>
      <c r="ATK232" s="5207"/>
      <c r="ATL232" s="5207"/>
      <c r="ATM232" s="5207"/>
      <c r="ATN232" s="5207"/>
      <c r="ATO232" s="5207"/>
      <c r="ATP232" s="5207"/>
      <c r="ATQ232" s="5207"/>
      <c r="ATR232" s="5207"/>
      <c r="ATS232" s="5207"/>
      <c r="ATT232" s="5207"/>
      <c r="ATU232" s="5207"/>
      <c r="ATV232" s="5207"/>
      <c r="ATW232" s="5207"/>
      <c r="ATX232" s="5207"/>
      <c r="ATY232" s="5207"/>
      <c r="ATZ232" s="5207"/>
      <c r="AUA232" s="5207"/>
      <c r="AUB232" s="5207"/>
      <c r="AUC232" s="5207"/>
      <c r="AUD232" s="5207"/>
      <c r="AUE232" s="5207"/>
      <c r="AUF232" s="5207"/>
      <c r="AUG232" s="5207"/>
      <c r="AUH232" s="5207"/>
      <c r="AUI232" s="5207"/>
      <c r="AUJ232" s="5207"/>
      <c r="AUK232" s="5207"/>
      <c r="AUL232" s="5207"/>
      <c r="AUM232" s="5207"/>
      <c r="AUN232" s="5207"/>
      <c r="AUO232" s="5207"/>
      <c r="AUP232" s="5207"/>
      <c r="AUQ232" s="5207"/>
      <c r="AUR232" s="5207"/>
      <c r="AUS232" s="5207"/>
      <c r="AUT232" s="5207"/>
      <c r="AUU232" s="5207"/>
      <c r="AUV232" s="5207"/>
      <c r="AUW232" s="5207"/>
      <c r="AUX232" s="5207"/>
      <c r="AUY232" s="5207"/>
      <c r="AUZ232" s="5207"/>
      <c r="AVA232" s="5207"/>
      <c r="AVB232" s="5207"/>
      <c r="AVC232" s="5207"/>
      <c r="AVD232" s="5207"/>
      <c r="AVE232" s="5207"/>
      <c r="AVF232" s="5207"/>
      <c r="AVG232" s="5207"/>
      <c r="AVH232" s="5207"/>
      <c r="AVI232" s="5207"/>
      <c r="AVJ232" s="5207"/>
      <c r="AVK232" s="5207"/>
      <c r="AVL232" s="5207"/>
      <c r="AVM232" s="5207"/>
      <c r="AVN232" s="5207"/>
      <c r="AVO232" s="5207"/>
      <c r="AVP232" s="5207"/>
      <c r="AVQ232" s="5207"/>
      <c r="AVR232" s="5207"/>
      <c r="AVS232" s="5207"/>
      <c r="AVT232" s="5207"/>
      <c r="AVU232" s="5207"/>
      <c r="AVV232" s="5207"/>
      <c r="AVW232" s="5207"/>
      <c r="AVX232" s="5207"/>
      <c r="AVY232" s="5207"/>
      <c r="AVZ232" s="5207"/>
      <c r="AWA232" s="5207"/>
      <c r="AWB232" s="5207"/>
      <c r="AWC232" s="5207"/>
      <c r="AWD232" s="5207"/>
      <c r="AWE232" s="5207"/>
      <c r="AWF232" s="5207"/>
      <c r="AWG232" s="5207"/>
      <c r="AWH232" s="5207"/>
      <c r="AWI232" s="5207"/>
      <c r="AWJ232" s="5207"/>
      <c r="AWK232" s="5207"/>
      <c r="AWL232" s="5207"/>
      <c r="AWM232" s="5207"/>
      <c r="AWN232" s="5207"/>
      <c r="AWO232" s="5207"/>
      <c r="AWP232" s="5207"/>
      <c r="AWQ232" s="5207"/>
      <c r="AWR232" s="5207"/>
      <c r="AWS232" s="5207"/>
      <c r="AWT232" s="5207"/>
      <c r="AWU232" s="5207"/>
      <c r="AWV232" s="5207"/>
      <c r="AWW232" s="5207"/>
      <c r="AWX232" s="5207"/>
      <c r="AWY232" s="5207"/>
      <c r="AWZ232" s="5207"/>
      <c r="AXA232" s="5207"/>
      <c r="AXB232" s="5207"/>
      <c r="AXC232" s="5207"/>
      <c r="AXD232" s="5207"/>
      <c r="AXE232" s="5207"/>
      <c r="AXF232" s="5207"/>
      <c r="AXG232" s="5207"/>
      <c r="AXH232" s="5207"/>
      <c r="AXI232" s="5207"/>
      <c r="AXJ232" s="5207"/>
    </row>
    <row r="233" spans="1:1310" s="5208" customFormat="1" ht="23.25" customHeight="1">
      <c r="A233" s="5209"/>
      <c r="B233" s="5217"/>
      <c r="C233" s="5217"/>
      <c r="D233" s="5217"/>
      <c r="E233" s="5217"/>
      <c r="F233" s="5214"/>
      <c r="G233" s="5218"/>
      <c r="H233" s="5218"/>
      <c r="I233" s="5218"/>
      <c r="J233" s="5219"/>
      <c r="K233" s="5218"/>
      <c r="L233" s="5218"/>
      <c r="M233" s="5218"/>
      <c r="N233" s="5219"/>
      <c r="O233" s="5212" t="s">
        <v>899</v>
      </c>
      <c r="P233" s="5212"/>
      <c r="Q233" s="5219"/>
      <c r="R233" s="95"/>
      <c r="S233" s="95"/>
      <c r="T233" s="95"/>
      <c r="U233" s="95"/>
      <c r="V233" s="95"/>
      <c r="W233" s="95"/>
      <c r="X233" s="95"/>
      <c r="Y233" s="95"/>
      <c r="Z233" s="95"/>
      <c r="AA233" s="95"/>
      <c r="AB233" s="95"/>
      <c r="AC233" s="95"/>
      <c r="AD233" s="5207"/>
      <c r="AE233" s="5207"/>
      <c r="AF233" s="5207"/>
      <c r="AG233" s="5207"/>
      <c r="AH233" s="5207"/>
      <c r="AI233" s="5207"/>
      <c r="AJ233" s="5207"/>
      <c r="AK233" s="5207"/>
      <c r="AL233" s="5207"/>
      <c r="AM233" s="5207"/>
      <c r="AN233" s="5207"/>
      <c r="AO233" s="5207"/>
      <c r="AP233" s="5207"/>
      <c r="AQ233" s="5207"/>
      <c r="AR233" s="5207"/>
      <c r="AS233" s="5207"/>
      <c r="AT233" s="5207"/>
      <c r="AU233" s="5207"/>
      <c r="AV233" s="5207"/>
      <c r="AW233" s="5207"/>
      <c r="AX233" s="5207"/>
      <c r="AY233" s="5207"/>
      <c r="AZ233" s="5207"/>
      <c r="BA233" s="5207"/>
      <c r="BB233" s="5207"/>
      <c r="BC233" s="5207"/>
      <c r="BD233" s="5207"/>
      <c r="BE233" s="5207"/>
      <c r="BF233" s="5207"/>
      <c r="BG233" s="5207"/>
      <c r="BH233" s="5207"/>
      <c r="BI233" s="5207"/>
      <c r="BJ233" s="5207"/>
      <c r="BK233" s="5207"/>
      <c r="BL233" s="5207"/>
      <c r="BM233" s="5207"/>
      <c r="BN233" s="5207"/>
      <c r="BO233" s="5207"/>
      <c r="BP233" s="5207"/>
      <c r="BQ233" s="5207"/>
      <c r="BR233" s="5207"/>
      <c r="BS233" s="5207"/>
      <c r="BT233" s="5207"/>
      <c r="BU233" s="5207"/>
      <c r="BV233" s="5207"/>
      <c r="BW233" s="5207"/>
      <c r="BX233" s="5207"/>
      <c r="BY233" s="5207"/>
      <c r="BZ233" s="5207"/>
      <c r="CA233" s="5207"/>
      <c r="CB233" s="5207"/>
      <c r="CC233" s="5207"/>
      <c r="CD233" s="5207"/>
      <c r="CE233" s="5207"/>
      <c r="CF233" s="5207"/>
      <c r="CG233" s="5207"/>
      <c r="CH233" s="5207"/>
      <c r="CI233" s="5207"/>
      <c r="CJ233" s="5207"/>
      <c r="CK233" s="5207"/>
      <c r="CL233" s="5207"/>
      <c r="CM233" s="5207"/>
      <c r="CN233" s="5207"/>
      <c r="CO233" s="5207"/>
      <c r="CP233" s="5207"/>
      <c r="CQ233" s="5207"/>
      <c r="CR233" s="5207"/>
      <c r="CS233" s="5207"/>
      <c r="CT233" s="5207"/>
      <c r="CU233" s="5207"/>
      <c r="CV233" s="5207"/>
      <c r="CW233" s="5207"/>
      <c r="CX233" s="5207"/>
      <c r="CY233" s="5207"/>
      <c r="CZ233" s="5207"/>
      <c r="DA233" s="5207"/>
      <c r="DB233" s="5207"/>
      <c r="DC233" s="5207"/>
      <c r="DD233" s="5207"/>
      <c r="DE233" s="5207"/>
      <c r="DF233" s="5207"/>
      <c r="DG233" s="5207"/>
      <c r="DH233" s="5207"/>
      <c r="DI233" s="5207"/>
      <c r="DJ233" s="5207"/>
      <c r="DK233" s="5207"/>
      <c r="DL233" s="5207"/>
      <c r="DM233" s="5207"/>
      <c r="DN233" s="5207"/>
      <c r="DO233" s="5207"/>
      <c r="DP233" s="5207"/>
      <c r="DQ233" s="5207"/>
      <c r="DR233" s="5207"/>
      <c r="DS233" s="5207"/>
      <c r="DT233" s="5207"/>
      <c r="DU233" s="5207"/>
      <c r="DV233" s="5207"/>
      <c r="DW233" s="5207"/>
      <c r="DX233" s="5207"/>
      <c r="DY233" s="5207"/>
      <c r="DZ233" s="5207"/>
      <c r="EA233" s="5207"/>
      <c r="EB233" s="5207"/>
      <c r="EC233" s="5207"/>
      <c r="ED233" s="5207"/>
      <c r="EE233" s="5207"/>
      <c r="EF233" s="5207"/>
      <c r="EG233" s="5207"/>
      <c r="EH233" s="5207"/>
      <c r="EI233" s="5207"/>
      <c r="EJ233" s="5207"/>
      <c r="EK233" s="5207"/>
      <c r="EL233" s="5207"/>
      <c r="EM233" s="5207"/>
      <c r="EN233" s="5207"/>
      <c r="EO233" s="5207"/>
      <c r="EP233" s="5207"/>
      <c r="EQ233" s="5207"/>
      <c r="ER233" s="5207"/>
      <c r="ES233" s="5207"/>
      <c r="ET233" s="5207"/>
      <c r="EU233" s="5207"/>
      <c r="EV233" s="5207"/>
      <c r="EW233" s="5207"/>
      <c r="EX233" s="5207"/>
      <c r="EY233" s="5207"/>
      <c r="EZ233" s="5207"/>
      <c r="FA233" s="5207"/>
      <c r="FB233" s="5207"/>
      <c r="FC233" s="5207"/>
      <c r="FD233" s="5207"/>
      <c r="FE233" s="5207"/>
      <c r="FF233" s="5207"/>
      <c r="FG233" s="5207"/>
      <c r="FH233" s="5207"/>
      <c r="FI233" s="5207"/>
      <c r="FJ233" s="5207"/>
      <c r="FK233" s="5207"/>
      <c r="FL233" s="5207"/>
      <c r="FM233" s="5207"/>
      <c r="FN233" s="5207"/>
      <c r="FO233" s="5207"/>
      <c r="FP233" s="5207"/>
      <c r="FQ233" s="5207"/>
      <c r="FR233" s="5207"/>
      <c r="FS233" s="5207"/>
      <c r="FT233" s="5207"/>
      <c r="FU233" s="5207"/>
      <c r="FV233" s="5207"/>
      <c r="FW233" s="5207"/>
      <c r="FX233" s="5207"/>
      <c r="FY233" s="5207"/>
      <c r="FZ233" s="5207"/>
      <c r="GA233" s="5207"/>
      <c r="GB233" s="5207"/>
      <c r="GC233" s="5207"/>
      <c r="GD233" s="5207"/>
      <c r="GE233" s="5207"/>
      <c r="GF233" s="5207"/>
      <c r="GG233" s="5207"/>
      <c r="GH233" s="5207"/>
      <c r="GI233" s="5207"/>
      <c r="GJ233" s="5207"/>
      <c r="GK233" s="5207"/>
      <c r="GL233" s="5207"/>
      <c r="GM233" s="5207"/>
      <c r="GN233" s="5207"/>
      <c r="GO233" s="5207"/>
      <c r="GP233" s="5207"/>
      <c r="GQ233" s="5207"/>
      <c r="GR233" s="5207"/>
      <c r="GS233" s="5207"/>
      <c r="GT233" s="5207"/>
      <c r="GU233" s="5207"/>
      <c r="GV233" s="5207"/>
      <c r="GW233" s="5207"/>
      <c r="GX233" s="5207"/>
      <c r="GY233" s="5207"/>
      <c r="GZ233" s="5207"/>
      <c r="HA233" s="5207"/>
      <c r="HB233" s="5207"/>
      <c r="HC233" s="5207"/>
      <c r="HD233" s="5207"/>
      <c r="HE233" s="5207"/>
      <c r="HF233" s="5207"/>
      <c r="HG233" s="5207"/>
      <c r="HH233" s="5207"/>
      <c r="HI233" s="5207"/>
      <c r="HJ233" s="5207"/>
      <c r="HK233" s="5207"/>
      <c r="HL233" s="5207"/>
      <c r="HM233" s="5207"/>
      <c r="HN233" s="5207"/>
      <c r="HO233" s="5207"/>
      <c r="HP233" s="5207"/>
      <c r="HQ233" s="5207"/>
      <c r="HR233" s="5207"/>
      <c r="HS233" s="5207"/>
      <c r="HT233" s="5207"/>
      <c r="HU233" s="5207"/>
      <c r="HV233" s="5207"/>
      <c r="HW233" s="5207"/>
      <c r="HX233" s="5207"/>
      <c r="HY233" s="5207"/>
      <c r="HZ233" s="5207"/>
      <c r="IA233" s="5207"/>
      <c r="IB233" s="5207"/>
      <c r="IC233" s="5207"/>
      <c r="ID233" s="5207"/>
      <c r="IE233" s="5207"/>
      <c r="IF233" s="5207"/>
      <c r="IG233" s="5207"/>
      <c r="IH233" s="5207"/>
      <c r="II233" s="5207"/>
      <c r="IJ233" s="5207"/>
      <c r="IK233" s="5207"/>
      <c r="IL233" s="5207"/>
      <c r="IM233" s="5207"/>
      <c r="IN233" s="5207"/>
      <c r="IO233" s="5207"/>
      <c r="IP233" s="5207"/>
      <c r="IQ233" s="5207"/>
      <c r="IR233" s="5207"/>
      <c r="IS233" s="5207"/>
      <c r="IT233" s="5207"/>
      <c r="IU233" s="5207"/>
      <c r="IV233" s="5207"/>
      <c r="IW233" s="5207"/>
      <c r="IX233" s="5207"/>
      <c r="IY233" s="5207"/>
      <c r="IZ233" s="5207"/>
      <c r="JA233" s="5207"/>
      <c r="JB233" s="5207"/>
      <c r="JC233" s="5207"/>
      <c r="JD233" s="5207"/>
      <c r="JE233" s="5207"/>
      <c r="JF233" s="5207"/>
      <c r="JG233" s="5207"/>
      <c r="JH233" s="5207"/>
      <c r="JI233" s="5207"/>
      <c r="JJ233" s="5207"/>
      <c r="JK233" s="5207"/>
      <c r="JL233" s="5207"/>
      <c r="JM233" s="5207"/>
      <c r="JN233" s="5207"/>
      <c r="JO233" s="5207"/>
      <c r="JP233" s="5207"/>
      <c r="JQ233" s="5207"/>
      <c r="JR233" s="5207"/>
      <c r="JS233" s="5207"/>
      <c r="JT233" s="5207"/>
      <c r="JU233" s="5207"/>
      <c r="JV233" s="5207"/>
      <c r="JW233" s="5207"/>
      <c r="JX233" s="5207"/>
      <c r="JY233" s="5207"/>
      <c r="JZ233" s="5207"/>
      <c r="KA233" s="5207"/>
      <c r="KB233" s="5207"/>
      <c r="KC233" s="5207"/>
      <c r="KD233" s="5207"/>
      <c r="KE233" s="5207"/>
      <c r="KF233" s="5207"/>
      <c r="KG233" s="5207"/>
      <c r="KH233" s="5207"/>
      <c r="KI233" s="5207"/>
      <c r="KJ233" s="5207"/>
      <c r="KK233" s="5207"/>
      <c r="KL233" s="5207"/>
      <c r="KM233" s="5207"/>
      <c r="KN233" s="5207"/>
      <c r="KO233" s="5207"/>
      <c r="KP233" s="5207"/>
      <c r="KQ233" s="5207"/>
      <c r="KR233" s="5207"/>
      <c r="KS233" s="5207"/>
      <c r="KT233" s="5207"/>
      <c r="KU233" s="5207"/>
      <c r="KV233" s="5207"/>
      <c r="KW233" s="5207"/>
      <c r="KX233" s="5207"/>
      <c r="KY233" s="5207"/>
      <c r="KZ233" s="5207"/>
      <c r="LA233" s="5207"/>
      <c r="LB233" s="5207"/>
      <c r="LC233" s="5207"/>
      <c r="LD233" s="5207"/>
      <c r="LE233" s="5207"/>
      <c r="LF233" s="5207"/>
      <c r="LG233" s="5207"/>
      <c r="LH233" s="5207"/>
      <c r="LI233" s="5207"/>
      <c r="LJ233" s="5207"/>
      <c r="LK233" s="5207"/>
      <c r="LL233" s="5207"/>
      <c r="LM233" s="5207"/>
      <c r="LN233" s="5207"/>
      <c r="LO233" s="5207"/>
      <c r="LP233" s="5207"/>
      <c r="LQ233" s="5207"/>
      <c r="LR233" s="5207"/>
      <c r="LS233" s="5207"/>
      <c r="LT233" s="5207"/>
      <c r="LU233" s="5207"/>
      <c r="LV233" s="5207"/>
      <c r="LW233" s="5207"/>
      <c r="LX233" s="5207"/>
      <c r="LY233" s="5207"/>
      <c r="LZ233" s="5207"/>
      <c r="MA233" s="5207"/>
      <c r="MB233" s="5207"/>
      <c r="MC233" s="5207"/>
      <c r="MD233" s="5207"/>
      <c r="ME233" s="5207"/>
      <c r="MF233" s="5207"/>
      <c r="MG233" s="5207"/>
      <c r="MH233" s="5207"/>
      <c r="MI233" s="5207"/>
      <c r="MJ233" s="5207"/>
      <c r="MK233" s="5207"/>
      <c r="ML233" s="5207"/>
      <c r="MM233" s="5207"/>
      <c r="MN233" s="5207"/>
      <c r="MO233" s="5207"/>
      <c r="MP233" s="5207"/>
      <c r="MQ233" s="5207"/>
      <c r="MR233" s="5207"/>
      <c r="MS233" s="5207"/>
      <c r="MT233" s="5207"/>
      <c r="MU233" s="5207"/>
      <c r="MV233" s="5207"/>
      <c r="MW233" s="5207"/>
      <c r="MX233" s="5207"/>
      <c r="MY233" s="5207"/>
      <c r="MZ233" s="5207"/>
      <c r="NA233" s="5207"/>
      <c r="NB233" s="5207"/>
      <c r="NC233" s="5207"/>
      <c r="ND233" s="5207"/>
      <c r="NE233" s="5207"/>
      <c r="NF233" s="5207"/>
      <c r="NG233" s="5207"/>
      <c r="NH233" s="5207"/>
      <c r="NI233" s="5207"/>
      <c r="NJ233" s="5207"/>
      <c r="NK233" s="5207"/>
      <c r="NL233" s="5207"/>
      <c r="NM233" s="5207"/>
      <c r="NN233" s="5207"/>
      <c r="NO233" s="5207"/>
      <c r="NP233" s="5207"/>
      <c r="NQ233" s="5207"/>
      <c r="NR233" s="5207"/>
      <c r="NS233" s="5207"/>
      <c r="NT233" s="5207"/>
      <c r="NU233" s="5207"/>
      <c r="NV233" s="5207"/>
      <c r="NW233" s="5207"/>
      <c r="NX233" s="5207"/>
      <c r="NY233" s="5207"/>
      <c r="NZ233" s="5207"/>
      <c r="OA233" s="5207"/>
      <c r="OB233" s="5207"/>
      <c r="OC233" s="5207"/>
      <c r="OD233" s="5207"/>
      <c r="OE233" s="5207"/>
      <c r="OF233" s="5207"/>
      <c r="OG233" s="5207"/>
      <c r="OH233" s="5207"/>
      <c r="OI233" s="5207"/>
      <c r="OJ233" s="5207"/>
      <c r="OK233" s="5207"/>
      <c r="OL233" s="5207"/>
      <c r="OM233" s="5207"/>
      <c r="ON233" s="5207"/>
      <c r="OO233" s="5207"/>
      <c r="OP233" s="5207"/>
      <c r="OQ233" s="5207"/>
      <c r="OR233" s="5207"/>
      <c r="OS233" s="5207"/>
      <c r="OT233" s="5207"/>
      <c r="OU233" s="5207"/>
      <c r="OV233" s="5207"/>
      <c r="OW233" s="5207"/>
      <c r="OX233" s="5207"/>
      <c r="OY233" s="5207"/>
      <c r="OZ233" s="5207"/>
      <c r="PA233" s="5207"/>
      <c r="PB233" s="5207"/>
      <c r="PC233" s="5207"/>
      <c r="PD233" s="5207"/>
      <c r="PE233" s="5207"/>
      <c r="PF233" s="5207"/>
      <c r="PG233" s="5207"/>
      <c r="PH233" s="5207"/>
      <c r="PI233" s="5207"/>
      <c r="PJ233" s="5207"/>
      <c r="PK233" s="5207"/>
      <c r="PL233" s="5207"/>
      <c r="PM233" s="5207"/>
      <c r="PN233" s="5207"/>
      <c r="PO233" s="5207"/>
      <c r="PP233" s="5207"/>
      <c r="PQ233" s="5207"/>
      <c r="PR233" s="5207"/>
      <c r="PS233" s="5207"/>
      <c r="PT233" s="5207"/>
      <c r="PU233" s="5207"/>
      <c r="PV233" s="5207"/>
      <c r="PW233" s="5207"/>
      <c r="PX233" s="5207"/>
      <c r="PY233" s="5207"/>
      <c r="PZ233" s="5207"/>
      <c r="QA233" s="5207"/>
      <c r="QB233" s="5207"/>
      <c r="QC233" s="5207"/>
      <c r="QD233" s="5207"/>
      <c r="QE233" s="5207"/>
      <c r="QF233" s="5207"/>
      <c r="QG233" s="5207"/>
      <c r="QH233" s="5207"/>
      <c r="QI233" s="5207"/>
      <c r="QJ233" s="5207"/>
      <c r="QK233" s="5207"/>
      <c r="QL233" s="5207"/>
      <c r="QM233" s="5207"/>
      <c r="QN233" s="5207"/>
      <c r="QO233" s="5207"/>
      <c r="QP233" s="5207"/>
      <c r="QQ233" s="5207"/>
      <c r="QR233" s="5207"/>
      <c r="QS233" s="5207"/>
      <c r="QT233" s="5207"/>
      <c r="QU233" s="5207"/>
      <c r="QV233" s="5207"/>
      <c r="QW233" s="5207"/>
      <c r="QX233" s="5207"/>
      <c r="QY233" s="5207"/>
      <c r="QZ233" s="5207"/>
      <c r="RA233" s="5207"/>
      <c r="RB233" s="5207"/>
      <c r="RC233" s="5207"/>
      <c r="RD233" s="5207"/>
      <c r="RE233" s="5207"/>
      <c r="RF233" s="5207"/>
      <c r="RG233" s="5207"/>
      <c r="RH233" s="5207"/>
      <c r="RI233" s="5207"/>
      <c r="RJ233" s="5207"/>
      <c r="RK233" s="5207"/>
      <c r="RL233" s="5207"/>
      <c r="RM233" s="5207"/>
      <c r="RN233" s="5207"/>
      <c r="RO233" s="5207"/>
      <c r="RP233" s="5207"/>
      <c r="RQ233" s="5207"/>
      <c r="RR233" s="5207"/>
      <c r="RS233" s="5207"/>
      <c r="RT233" s="5207"/>
      <c r="RU233" s="5207"/>
      <c r="RV233" s="5207"/>
      <c r="RW233" s="5207"/>
      <c r="RX233" s="5207"/>
      <c r="RY233" s="5207"/>
      <c r="RZ233" s="5207"/>
      <c r="SA233" s="5207"/>
      <c r="SB233" s="5207"/>
      <c r="SC233" s="5207"/>
      <c r="SD233" s="5207"/>
      <c r="SE233" s="5207"/>
      <c r="SF233" s="5207"/>
      <c r="SG233" s="5207"/>
      <c r="SH233" s="5207"/>
      <c r="SI233" s="5207"/>
      <c r="SJ233" s="5207"/>
      <c r="SK233" s="5207"/>
      <c r="SL233" s="5207"/>
      <c r="SM233" s="5207"/>
      <c r="SN233" s="5207"/>
      <c r="SO233" s="5207"/>
      <c r="SP233" s="5207"/>
      <c r="SQ233" s="5207"/>
      <c r="SR233" s="5207"/>
      <c r="SS233" s="5207"/>
      <c r="ST233" s="5207"/>
      <c r="SU233" s="5207"/>
      <c r="SV233" s="5207"/>
      <c r="SW233" s="5207"/>
      <c r="SX233" s="5207"/>
      <c r="SY233" s="5207"/>
      <c r="SZ233" s="5207"/>
      <c r="TA233" s="5207"/>
      <c r="TB233" s="5207"/>
      <c r="TC233" s="5207"/>
      <c r="TD233" s="5207"/>
      <c r="TE233" s="5207"/>
      <c r="TF233" s="5207"/>
      <c r="TG233" s="5207"/>
      <c r="TH233" s="5207"/>
      <c r="TI233" s="5207"/>
      <c r="TJ233" s="5207"/>
      <c r="TK233" s="5207"/>
      <c r="TL233" s="5207"/>
      <c r="TM233" s="5207"/>
      <c r="TN233" s="5207"/>
      <c r="TO233" s="5207"/>
      <c r="TP233" s="5207"/>
      <c r="TQ233" s="5207"/>
      <c r="TR233" s="5207"/>
      <c r="TS233" s="5207"/>
      <c r="TT233" s="5207"/>
      <c r="TU233" s="5207"/>
      <c r="TV233" s="5207"/>
      <c r="TW233" s="5207"/>
      <c r="TX233" s="5207"/>
      <c r="TY233" s="5207"/>
      <c r="TZ233" s="5207"/>
      <c r="UA233" s="5207"/>
      <c r="UB233" s="5207"/>
      <c r="UC233" s="5207"/>
      <c r="UD233" s="5207"/>
      <c r="UE233" s="5207"/>
      <c r="UF233" s="5207"/>
      <c r="UG233" s="5207"/>
      <c r="UH233" s="5207"/>
      <c r="UI233" s="5207"/>
      <c r="UJ233" s="5207"/>
      <c r="UK233" s="5207"/>
      <c r="UL233" s="5207"/>
      <c r="UM233" s="5207"/>
      <c r="UN233" s="5207"/>
      <c r="UO233" s="5207"/>
      <c r="UP233" s="5207"/>
      <c r="UQ233" s="5207"/>
      <c r="UR233" s="5207"/>
      <c r="US233" s="5207"/>
      <c r="UT233" s="5207"/>
      <c r="UU233" s="5207"/>
      <c r="UV233" s="5207"/>
      <c r="UW233" s="5207"/>
      <c r="UX233" s="5207"/>
      <c r="UY233" s="5207"/>
      <c r="UZ233" s="5207"/>
      <c r="VA233" s="5207"/>
      <c r="VB233" s="5207"/>
      <c r="VC233" s="5207"/>
      <c r="VD233" s="5207"/>
      <c r="VE233" s="5207"/>
      <c r="VF233" s="5207"/>
      <c r="VG233" s="5207"/>
      <c r="VH233" s="5207"/>
      <c r="VI233" s="5207"/>
      <c r="VJ233" s="5207"/>
      <c r="VK233" s="5207"/>
      <c r="VL233" s="5207"/>
      <c r="VM233" s="5207"/>
      <c r="VN233" s="5207"/>
      <c r="VO233" s="5207"/>
      <c r="VP233" s="5207"/>
      <c r="VQ233" s="5207"/>
      <c r="VR233" s="5207"/>
      <c r="VS233" s="5207"/>
      <c r="VT233" s="5207"/>
      <c r="VU233" s="5207"/>
      <c r="VV233" s="5207"/>
      <c r="VW233" s="5207"/>
      <c r="VX233" s="5207"/>
      <c r="VY233" s="5207"/>
      <c r="VZ233" s="5207"/>
      <c r="WA233" s="5207"/>
      <c r="WB233" s="5207"/>
      <c r="WC233" s="5207"/>
      <c r="WD233" s="5207"/>
      <c r="WE233" s="5207"/>
      <c r="WF233" s="5207"/>
      <c r="WG233" s="5207"/>
      <c r="WH233" s="5207"/>
      <c r="WI233" s="5207"/>
      <c r="WJ233" s="5207"/>
      <c r="WK233" s="5207"/>
      <c r="WL233" s="5207"/>
      <c r="WM233" s="5207"/>
      <c r="WN233" s="5207"/>
      <c r="WO233" s="5207"/>
      <c r="WP233" s="5207"/>
      <c r="WQ233" s="5207"/>
      <c r="WR233" s="5207"/>
      <c r="WS233" s="5207"/>
      <c r="WT233" s="5207"/>
      <c r="WU233" s="5207"/>
      <c r="WV233" s="5207"/>
      <c r="WW233" s="5207"/>
      <c r="WX233" s="5207"/>
      <c r="WY233" s="5207"/>
      <c r="WZ233" s="5207"/>
      <c r="XA233" s="5207"/>
      <c r="XB233" s="5207"/>
      <c r="XC233" s="5207"/>
      <c r="XD233" s="5207"/>
      <c r="XE233" s="5207"/>
      <c r="XF233" s="5207"/>
      <c r="XG233" s="5207"/>
      <c r="XH233" s="5207"/>
      <c r="XI233" s="5207"/>
      <c r="XJ233" s="5207"/>
      <c r="XK233" s="5207"/>
      <c r="XL233" s="5207"/>
      <c r="XM233" s="5207"/>
      <c r="XN233" s="5207"/>
      <c r="XO233" s="5207"/>
      <c r="XP233" s="5207"/>
      <c r="XQ233" s="5207"/>
      <c r="XR233" s="5207"/>
      <c r="XS233" s="5207"/>
      <c r="XT233" s="5207"/>
      <c r="XU233" s="5207"/>
      <c r="XV233" s="5207"/>
      <c r="XW233" s="5207"/>
      <c r="XX233" s="5207"/>
      <c r="XY233" s="5207"/>
      <c r="XZ233" s="5207"/>
      <c r="YA233" s="5207"/>
      <c r="YB233" s="5207"/>
      <c r="YC233" s="5207"/>
      <c r="YD233" s="5207"/>
      <c r="YE233" s="5207"/>
      <c r="YF233" s="5207"/>
      <c r="YG233" s="5207"/>
      <c r="YH233" s="5207"/>
      <c r="YI233" s="5207"/>
      <c r="YJ233" s="5207"/>
      <c r="YK233" s="5207"/>
      <c r="YL233" s="5207"/>
      <c r="YM233" s="5207"/>
      <c r="YN233" s="5207"/>
      <c r="YO233" s="5207"/>
      <c r="YP233" s="5207"/>
      <c r="YQ233" s="5207"/>
      <c r="YR233" s="5207"/>
      <c r="YS233" s="5207"/>
      <c r="YT233" s="5207"/>
      <c r="YU233" s="5207"/>
      <c r="YV233" s="5207"/>
      <c r="YW233" s="5207"/>
      <c r="YX233" s="5207"/>
      <c r="YY233" s="5207"/>
      <c r="YZ233" s="5207"/>
      <c r="ZA233" s="5207"/>
      <c r="ZB233" s="5207"/>
      <c r="ZC233" s="5207"/>
      <c r="ZD233" s="5207"/>
      <c r="ZE233" s="5207"/>
      <c r="ZF233" s="5207"/>
      <c r="ZG233" s="5207"/>
      <c r="ZH233" s="5207"/>
      <c r="ZI233" s="5207"/>
      <c r="ZJ233" s="5207"/>
      <c r="ZK233" s="5207"/>
      <c r="ZL233" s="5207"/>
      <c r="ZM233" s="5207"/>
      <c r="ZN233" s="5207"/>
      <c r="ZO233" s="5207"/>
      <c r="ZP233" s="5207"/>
      <c r="ZQ233" s="5207"/>
      <c r="ZR233" s="5207"/>
      <c r="ZS233" s="5207"/>
      <c r="ZT233" s="5207"/>
      <c r="ZU233" s="5207"/>
      <c r="ZV233" s="5207"/>
      <c r="ZW233" s="5207"/>
      <c r="ZX233" s="5207"/>
      <c r="ZY233" s="5207"/>
      <c r="ZZ233" s="5207"/>
      <c r="AAA233" s="5207"/>
      <c r="AAB233" s="5207"/>
      <c r="AAC233" s="5207"/>
      <c r="AAD233" s="5207"/>
      <c r="AAE233" s="5207"/>
      <c r="AAF233" s="5207"/>
      <c r="AAG233" s="5207"/>
      <c r="AAH233" s="5207"/>
      <c r="AAI233" s="5207"/>
      <c r="AAJ233" s="5207"/>
      <c r="AAK233" s="5207"/>
      <c r="AAL233" s="5207"/>
      <c r="AAM233" s="5207"/>
      <c r="AAN233" s="5207"/>
      <c r="AAO233" s="5207"/>
      <c r="AAP233" s="5207"/>
      <c r="AAQ233" s="5207"/>
      <c r="AAR233" s="5207"/>
      <c r="AAS233" s="5207"/>
      <c r="AAT233" s="5207"/>
      <c r="AAU233" s="5207"/>
      <c r="AAV233" s="5207"/>
      <c r="AAW233" s="5207"/>
      <c r="AAX233" s="5207"/>
      <c r="AAY233" s="5207"/>
      <c r="AAZ233" s="5207"/>
      <c r="ABA233" s="5207"/>
      <c r="ABB233" s="5207"/>
      <c r="ABC233" s="5207"/>
      <c r="ABD233" s="5207"/>
      <c r="ABE233" s="5207"/>
      <c r="ABF233" s="5207"/>
      <c r="ABG233" s="5207"/>
      <c r="ABH233" s="5207"/>
      <c r="ABI233" s="5207"/>
      <c r="ABJ233" s="5207"/>
      <c r="ABK233" s="5207"/>
      <c r="ABL233" s="5207"/>
      <c r="ABM233" s="5207"/>
      <c r="ABN233" s="5207"/>
      <c r="ABO233" s="5207"/>
      <c r="ABP233" s="5207"/>
      <c r="ABQ233" s="5207"/>
      <c r="ABR233" s="5207"/>
      <c r="ABS233" s="5207"/>
      <c r="ABT233" s="5207"/>
      <c r="ABU233" s="5207"/>
      <c r="ABV233" s="5207"/>
      <c r="ABW233" s="5207"/>
      <c r="ABX233" s="5207"/>
      <c r="ABY233" s="5207"/>
      <c r="ABZ233" s="5207"/>
      <c r="ACA233" s="5207"/>
      <c r="ACB233" s="5207"/>
      <c r="ACC233" s="5207"/>
      <c r="ACD233" s="5207"/>
      <c r="ACE233" s="5207"/>
      <c r="ACF233" s="5207"/>
      <c r="ACG233" s="5207"/>
      <c r="ACH233" s="5207"/>
      <c r="ACI233" s="5207"/>
      <c r="ACJ233" s="5207"/>
      <c r="ACK233" s="5207"/>
      <c r="ACL233" s="5207"/>
      <c r="ACM233" s="5207"/>
      <c r="ACN233" s="5207"/>
      <c r="ACO233" s="5207"/>
      <c r="ACP233" s="5207"/>
      <c r="ACQ233" s="5207"/>
      <c r="ACR233" s="5207"/>
      <c r="ACS233" s="5207"/>
      <c r="ACT233" s="5207"/>
      <c r="ACU233" s="5207"/>
      <c r="ACV233" s="5207"/>
      <c r="ACW233" s="5207"/>
      <c r="ACX233" s="5207"/>
      <c r="ACY233" s="5207"/>
      <c r="ACZ233" s="5207"/>
      <c r="ADA233" s="5207"/>
      <c r="ADB233" s="5207"/>
      <c r="ADC233" s="5207"/>
      <c r="ADD233" s="5207"/>
      <c r="ADE233" s="5207"/>
      <c r="ADF233" s="5207"/>
      <c r="ADG233" s="5207"/>
      <c r="ADH233" s="5207"/>
      <c r="ADI233" s="5207"/>
      <c r="ADJ233" s="5207"/>
      <c r="ADK233" s="5207"/>
      <c r="ADL233" s="5207"/>
      <c r="ADM233" s="5207"/>
      <c r="ADN233" s="5207"/>
      <c r="ADO233" s="5207"/>
      <c r="ADP233" s="5207"/>
      <c r="ADQ233" s="5207"/>
      <c r="ADR233" s="5207"/>
      <c r="ADS233" s="5207"/>
      <c r="ADT233" s="5207"/>
      <c r="ADU233" s="5207"/>
      <c r="ADV233" s="5207"/>
      <c r="ADW233" s="5207"/>
      <c r="ADX233" s="5207"/>
      <c r="ADY233" s="5207"/>
      <c r="ADZ233" s="5207"/>
      <c r="AEA233" s="5207"/>
      <c r="AEB233" s="5207"/>
      <c r="AEC233" s="5207"/>
      <c r="AED233" s="5207"/>
      <c r="AEE233" s="5207"/>
      <c r="AEF233" s="5207"/>
      <c r="AEG233" s="5207"/>
      <c r="AEH233" s="5207"/>
      <c r="AEI233" s="5207"/>
      <c r="AEJ233" s="5207"/>
      <c r="AEK233" s="5207"/>
      <c r="AEL233" s="5207"/>
      <c r="AEM233" s="5207"/>
      <c r="AEN233" s="5207"/>
      <c r="AEO233" s="5207"/>
      <c r="AEP233" s="5207"/>
      <c r="AEQ233" s="5207"/>
      <c r="AER233" s="5207"/>
      <c r="AES233" s="5207"/>
      <c r="AET233" s="5207"/>
      <c r="AEU233" s="5207"/>
      <c r="AEV233" s="5207"/>
      <c r="AEW233" s="5207"/>
      <c r="AEX233" s="5207"/>
      <c r="AEY233" s="5207"/>
      <c r="AEZ233" s="5207"/>
      <c r="AFA233" s="5207"/>
      <c r="AFB233" s="5207"/>
      <c r="AFC233" s="5207"/>
      <c r="AFD233" s="5207"/>
      <c r="AFE233" s="5207"/>
      <c r="AFF233" s="5207"/>
      <c r="AFG233" s="5207"/>
      <c r="AFH233" s="5207"/>
      <c r="AFI233" s="5207"/>
      <c r="AFJ233" s="5207"/>
      <c r="AFK233" s="5207"/>
      <c r="AFL233" s="5207"/>
      <c r="AFM233" s="5207"/>
      <c r="AFN233" s="5207"/>
      <c r="AFO233" s="5207"/>
      <c r="AFP233" s="5207"/>
      <c r="AFQ233" s="5207"/>
      <c r="AFR233" s="5207"/>
      <c r="AFS233" s="5207"/>
      <c r="AFT233" s="5207"/>
      <c r="AFU233" s="5207"/>
      <c r="AFV233" s="5207"/>
      <c r="AFW233" s="5207"/>
      <c r="AFX233" s="5207"/>
      <c r="AFY233" s="5207"/>
      <c r="AFZ233" s="5207"/>
      <c r="AGA233" s="5207"/>
      <c r="AGB233" s="5207"/>
      <c r="AGC233" s="5207"/>
      <c r="AGD233" s="5207"/>
      <c r="AGE233" s="5207"/>
      <c r="AGF233" s="5207"/>
      <c r="AGG233" s="5207"/>
      <c r="AGH233" s="5207"/>
      <c r="AGI233" s="5207"/>
      <c r="AGJ233" s="5207"/>
      <c r="AGK233" s="5207"/>
      <c r="AGL233" s="5207"/>
      <c r="AGM233" s="5207"/>
      <c r="AGN233" s="5207"/>
      <c r="AGO233" s="5207"/>
      <c r="AGP233" s="5207"/>
      <c r="AGQ233" s="5207"/>
      <c r="AGR233" s="5207"/>
      <c r="AGS233" s="5207"/>
      <c r="AGT233" s="5207"/>
      <c r="AGU233" s="5207"/>
      <c r="AGV233" s="5207"/>
      <c r="AGW233" s="5207"/>
      <c r="AGX233" s="5207"/>
      <c r="AGY233" s="5207"/>
      <c r="AGZ233" s="5207"/>
      <c r="AHA233" s="5207"/>
      <c r="AHB233" s="5207"/>
      <c r="AHC233" s="5207"/>
      <c r="AHD233" s="5207"/>
      <c r="AHE233" s="5207"/>
      <c r="AHF233" s="5207"/>
      <c r="AHG233" s="5207"/>
      <c r="AHH233" s="5207"/>
      <c r="AHI233" s="5207"/>
      <c r="AHJ233" s="5207"/>
      <c r="AHK233" s="5207"/>
      <c r="AHL233" s="5207"/>
      <c r="AHM233" s="5207"/>
      <c r="AHN233" s="5207"/>
      <c r="AHO233" s="5207"/>
      <c r="AHP233" s="5207"/>
      <c r="AHQ233" s="5207"/>
      <c r="AHR233" s="5207"/>
      <c r="AHS233" s="5207"/>
      <c r="AHT233" s="5207"/>
      <c r="AHU233" s="5207"/>
      <c r="AHV233" s="5207"/>
      <c r="AHW233" s="5207"/>
      <c r="AHX233" s="5207"/>
      <c r="AHY233" s="5207"/>
      <c r="AHZ233" s="5207"/>
      <c r="AIA233" s="5207"/>
      <c r="AIB233" s="5207"/>
      <c r="AIC233" s="5207"/>
      <c r="AID233" s="5207"/>
      <c r="AIE233" s="5207"/>
      <c r="AIF233" s="5207"/>
      <c r="AIG233" s="5207"/>
      <c r="AIH233" s="5207"/>
      <c r="AII233" s="5207"/>
      <c r="AIJ233" s="5207"/>
      <c r="AIK233" s="5207"/>
      <c r="AIL233" s="5207"/>
      <c r="AIM233" s="5207"/>
      <c r="AIN233" s="5207"/>
      <c r="AIO233" s="5207"/>
      <c r="AIP233" s="5207"/>
      <c r="AIQ233" s="5207"/>
      <c r="AIR233" s="5207"/>
      <c r="AIS233" s="5207"/>
      <c r="AIT233" s="5207"/>
      <c r="AIU233" s="5207"/>
      <c r="AIV233" s="5207"/>
      <c r="AIW233" s="5207"/>
      <c r="AIX233" s="5207"/>
      <c r="AIY233" s="5207"/>
      <c r="AIZ233" s="5207"/>
      <c r="AJA233" s="5207"/>
      <c r="AJB233" s="5207"/>
      <c r="AJC233" s="5207"/>
      <c r="AJD233" s="5207"/>
      <c r="AJE233" s="5207"/>
      <c r="AJF233" s="5207"/>
      <c r="AJG233" s="5207"/>
      <c r="AJH233" s="5207"/>
      <c r="AJI233" s="5207"/>
      <c r="AJJ233" s="5207"/>
      <c r="AJK233" s="5207"/>
      <c r="AJL233" s="5207"/>
      <c r="AJM233" s="5207"/>
      <c r="AJN233" s="5207"/>
      <c r="AJO233" s="5207"/>
      <c r="AJP233" s="5207"/>
      <c r="AJQ233" s="5207"/>
      <c r="AJR233" s="5207"/>
      <c r="AJS233" s="5207"/>
      <c r="AJT233" s="5207"/>
      <c r="AJU233" s="5207"/>
      <c r="AJV233" s="5207"/>
      <c r="AJW233" s="5207"/>
      <c r="AJX233" s="5207"/>
      <c r="AJY233" s="5207"/>
      <c r="AJZ233" s="5207"/>
      <c r="AKA233" s="5207"/>
      <c r="AKB233" s="5207"/>
      <c r="AKC233" s="5207"/>
      <c r="AKD233" s="5207"/>
      <c r="AKE233" s="5207"/>
      <c r="AKF233" s="5207"/>
      <c r="AKG233" s="5207"/>
      <c r="AKH233" s="5207"/>
      <c r="AKI233" s="5207"/>
      <c r="AKJ233" s="5207"/>
      <c r="AKK233" s="5207"/>
      <c r="AKL233" s="5207"/>
      <c r="AKM233" s="5207"/>
      <c r="AKN233" s="5207"/>
      <c r="AKO233" s="5207"/>
      <c r="AKP233" s="5207"/>
      <c r="AKQ233" s="5207"/>
      <c r="AKR233" s="5207"/>
      <c r="AKS233" s="5207"/>
      <c r="AKT233" s="5207"/>
      <c r="AKU233" s="5207"/>
      <c r="AKV233" s="5207"/>
      <c r="AKW233" s="5207"/>
      <c r="AKX233" s="5207"/>
      <c r="AKY233" s="5207"/>
      <c r="AKZ233" s="5207"/>
      <c r="ALA233" s="5207"/>
      <c r="ALB233" s="5207"/>
      <c r="ALC233" s="5207"/>
      <c r="ALD233" s="5207"/>
      <c r="ALE233" s="5207"/>
      <c r="ALF233" s="5207"/>
      <c r="ALG233" s="5207"/>
      <c r="ALH233" s="5207"/>
      <c r="ALI233" s="5207"/>
      <c r="ALJ233" s="5207"/>
      <c r="ALK233" s="5207"/>
      <c r="ALL233" s="5207"/>
      <c r="ALM233" s="5207"/>
      <c r="ALN233" s="5207"/>
      <c r="ALO233" s="5207"/>
      <c r="ALP233" s="5207"/>
      <c r="ALQ233" s="5207"/>
      <c r="ALR233" s="5207"/>
      <c r="ALS233" s="5207"/>
      <c r="ALT233" s="5207"/>
      <c r="ALU233" s="5207"/>
      <c r="ALV233" s="5207"/>
      <c r="ALW233" s="5207"/>
      <c r="ALX233" s="5207"/>
      <c r="ALY233" s="5207"/>
      <c r="ALZ233" s="5207"/>
      <c r="AMA233" s="5207"/>
      <c r="AMB233" s="5207"/>
      <c r="AMC233" s="5207"/>
      <c r="AMD233" s="5207"/>
      <c r="AME233" s="5207"/>
      <c r="AMF233" s="5207"/>
      <c r="AMG233" s="5207"/>
      <c r="AMH233" s="5207"/>
      <c r="AMI233" s="5207"/>
      <c r="AMJ233" s="5207"/>
      <c r="AMK233" s="5207"/>
      <c r="AML233" s="5207"/>
      <c r="AMM233" s="5207"/>
      <c r="AMN233" s="5207"/>
      <c r="AMO233" s="5207"/>
      <c r="AMP233" s="5207"/>
      <c r="AMQ233" s="5207"/>
      <c r="AMR233" s="5207"/>
      <c r="AMS233" s="5207"/>
      <c r="AMT233" s="5207"/>
      <c r="AMU233" s="5207"/>
      <c r="AMV233" s="5207"/>
      <c r="AMW233" s="5207"/>
      <c r="AMX233" s="5207"/>
      <c r="AMY233" s="5207"/>
      <c r="AMZ233" s="5207"/>
      <c r="ANA233" s="5207"/>
      <c r="ANB233" s="5207"/>
      <c r="ANC233" s="5207"/>
      <c r="AND233" s="5207"/>
      <c r="ANE233" s="5207"/>
      <c r="ANF233" s="5207"/>
      <c r="ANG233" s="5207"/>
      <c r="ANH233" s="5207"/>
      <c r="ANI233" s="5207"/>
      <c r="ANJ233" s="5207"/>
      <c r="ANK233" s="5207"/>
      <c r="ANL233" s="5207"/>
      <c r="ANM233" s="5207"/>
      <c r="ANN233" s="5207"/>
      <c r="ANO233" s="5207"/>
      <c r="ANP233" s="5207"/>
      <c r="ANQ233" s="5207"/>
      <c r="ANR233" s="5207"/>
      <c r="ANS233" s="5207"/>
      <c r="ANT233" s="5207"/>
      <c r="ANU233" s="5207"/>
      <c r="ANV233" s="5207"/>
      <c r="ANW233" s="5207"/>
      <c r="ANX233" s="5207"/>
      <c r="ANY233" s="5207"/>
      <c r="ANZ233" s="5207"/>
      <c r="AOA233" s="5207"/>
      <c r="AOB233" s="5207"/>
      <c r="AOC233" s="5207"/>
      <c r="AOD233" s="5207"/>
      <c r="AOE233" s="5207"/>
      <c r="AOF233" s="5207"/>
      <c r="AOG233" s="5207"/>
      <c r="AOH233" s="5207"/>
      <c r="AOI233" s="5207"/>
      <c r="AOJ233" s="5207"/>
      <c r="AOK233" s="5207"/>
      <c r="AOL233" s="5207"/>
      <c r="AOM233" s="5207"/>
      <c r="AON233" s="5207"/>
      <c r="AOO233" s="5207"/>
      <c r="AOP233" s="5207"/>
      <c r="AOQ233" s="5207"/>
      <c r="AOR233" s="5207"/>
      <c r="AOS233" s="5207"/>
      <c r="AOT233" s="5207"/>
      <c r="AOU233" s="5207"/>
      <c r="AOV233" s="5207"/>
      <c r="AOW233" s="5207"/>
      <c r="AOX233" s="5207"/>
      <c r="AOY233" s="5207"/>
      <c r="AOZ233" s="5207"/>
      <c r="APA233" s="5207"/>
      <c r="APB233" s="5207"/>
      <c r="APC233" s="5207"/>
      <c r="APD233" s="5207"/>
      <c r="APE233" s="5207"/>
      <c r="APF233" s="5207"/>
      <c r="APG233" s="5207"/>
      <c r="APH233" s="5207"/>
      <c r="API233" s="5207"/>
      <c r="APJ233" s="5207"/>
      <c r="APK233" s="5207"/>
      <c r="APL233" s="5207"/>
      <c r="APM233" s="5207"/>
      <c r="APN233" s="5207"/>
      <c r="APO233" s="5207"/>
      <c r="APP233" s="5207"/>
      <c r="APQ233" s="5207"/>
      <c r="APR233" s="5207"/>
      <c r="APS233" s="5207"/>
      <c r="APT233" s="5207"/>
      <c r="APU233" s="5207"/>
      <c r="APV233" s="5207"/>
      <c r="APW233" s="5207"/>
      <c r="APX233" s="5207"/>
      <c r="APY233" s="5207"/>
      <c r="APZ233" s="5207"/>
      <c r="AQA233" s="5207"/>
      <c r="AQB233" s="5207"/>
      <c r="AQC233" s="5207"/>
      <c r="AQD233" s="5207"/>
      <c r="AQE233" s="5207"/>
      <c r="AQF233" s="5207"/>
      <c r="AQG233" s="5207"/>
      <c r="AQH233" s="5207"/>
      <c r="AQI233" s="5207"/>
      <c r="AQJ233" s="5207"/>
      <c r="AQK233" s="5207"/>
      <c r="AQL233" s="5207"/>
      <c r="AQM233" s="5207"/>
      <c r="AQN233" s="5207"/>
      <c r="AQO233" s="5207"/>
      <c r="AQP233" s="5207"/>
      <c r="AQQ233" s="5207"/>
      <c r="AQR233" s="5207"/>
      <c r="AQS233" s="5207"/>
      <c r="AQT233" s="5207"/>
      <c r="AQU233" s="5207"/>
      <c r="AQV233" s="5207"/>
      <c r="AQW233" s="5207"/>
      <c r="AQX233" s="5207"/>
      <c r="AQY233" s="5207"/>
      <c r="AQZ233" s="5207"/>
      <c r="ARA233" s="5207"/>
      <c r="ARB233" s="5207"/>
      <c r="ARC233" s="5207"/>
      <c r="ARD233" s="5207"/>
      <c r="ARE233" s="5207"/>
      <c r="ARF233" s="5207"/>
      <c r="ARG233" s="5207"/>
      <c r="ARH233" s="5207"/>
      <c r="ARI233" s="5207"/>
      <c r="ARJ233" s="5207"/>
      <c r="ARK233" s="5207"/>
      <c r="ARL233" s="5207"/>
      <c r="ARM233" s="5207"/>
      <c r="ARN233" s="5207"/>
      <c r="ARO233" s="5207"/>
      <c r="ARP233" s="5207"/>
      <c r="ARQ233" s="5207"/>
      <c r="ARR233" s="5207"/>
      <c r="ARS233" s="5207"/>
      <c r="ART233" s="5207"/>
      <c r="ARU233" s="5207"/>
      <c r="ARV233" s="5207"/>
      <c r="ARW233" s="5207"/>
      <c r="ARX233" s="5207"/>
      <c r="ARY233" s="5207"/>
      <c r="ARZ233" s="5207"/>
      <c r="ASA233" s="5207"/>
      <c r="ASB233" s="5207"/>
      <c r="ASC233" s="5207"/>
      <c r="ASD233" s="5207"/>
      <c r="ASE233" s="5207"/>
      <c r="ASF233" s="5207"/>
      <c r="ASG233" s="5207"/>
      <c r="ASH233" s="5207"/>
      <c r="ASI233" s="5207"/>
      <c r="ASJ233" s="5207"/>
      <c r="ASK233" s="5207"/>
      <c r="ASL233" s="5207"/>
      <c r="ASM233" s="5207"/>
      <c r="ASN233" s="5207"/>
      <c r="ASO233" s="5207"/>
      <c r="ASP233" s="5207"/>
      <c r="ASQ233" s="5207"/>
      <c r="ASR233" s="5207"/>
      <c r="ASS233" s="5207"/>
      <c r="AST233" s="5207"/>
      <c r="ASU233" s="5207"/>
      <c r="ASV233" s="5207"/>
      <c r="ASW233" s="5207"/>
      <c r="ASX233" s="5207"/>
      <c r="ASY233" s="5207"/>
      <c r="ASZ233" s="5207"/>
      <c r="ATA233" s="5207"/>
      <c r="ATB233" s="5207"/>
      <c r="ATC233" s="5207"/>
      <c r="ATD233" s="5207"/>
      <c r="ATE233" s="5207"/>
      <c r="ATF233" s="5207"/>
      <c r="ATG233" s="5207"/>
      <c r="ATH233" s="5207"/>
      <c r="ATI233" s="5207"/>
      <c r="ATJ233" s="5207"/>
      <c r="ATK233" s="5207"/>
      <c r="ATL233" s="5207"/>
      <c r="ATM233" s="5207"/>
      <c r="ATN233" s="5207"/>
      <c r="ATO233" s="5207"/>
      <c r="ATP233" s="5207"/>
      <c r="ATQ233" s="5207"/>
      <c r="ATR233" s="5207"/>
      <c r="ATS233" s="5207"/>
      <c r="ATT233" s="5207"/>
      <c r="ATU233" s="5207"/>
      <c r="ATV233" s="5207"/>
      <c r="ATW233" s="5207"/>
      <c r="ATX233" s="5207"/>
      <c r="ATY233" s="5207"/>
      <c r="ATZ233" s="5207"/>
      <c r="AUA233" s="5207"/>
      <c r="AUB233" s="5207"/>
      <c r="AUC233" s="5207"/>
      <c r="AUD233" s="5207"/>
      <c r="AUE233" s="5207"/>
      <c r="AUF233" s="5207"/>
      <c r="AUG233" s="5207"/>
      <c r="AUH233" s="5207"/>
      <c r="AUI233" s="5207"/>
      <c r="AUJ233" s="5207"/>
      <c r="AUK233" s="5207"/>
      <c r="AUL233" s="5207"/>
      <c r="AUM233" s="5207"/>
      <c r="AUN233" s="5207"/>
      <c r="AUO233" s="5207"/>
      <c r="AUP233" s="5207"/>
      <c r="AUQ233" s="5207"/>
      <c r="AUR233" s="5207"/>
      <c r="AUS233" s="5207"/>
      <c r="AUT233" s="5207"/>
      <c r="AUU233" s="5207"/>
      <c r="AUV233" s="5207"/>
      <c r="AUW233" s="5207"/>
      <c r="AUX233" s="5207"/>
      <c r="AUY233" s="5207"/>
      <c r="AUZ233" s="5207"/>
      <c r="AVA233" s="5207"/>
      <c r="AVB233" s="5207"/>
      <c r="AVC233" s="5207"/>
      <c r="AVD233" s="5207"/>
      <c r="AVE233" s="5207"/>
      <c r="AVF233" s="5207"/>
      <c r="AVG233" s="5207"/>
      <c r="AVH233" s="5207"/>
      <c r="AVI233" s="5207"/>
      <c r="AVJ233" s="5207"/>
      <c r="AVK233" s="5207"/>
      <c r="AVL233" s="5207"/>
      <c r="AVM233" s="5207"/>
      <c r="AVN233" s="5207"/>
      <c r="AVO233" s="5207"/>
      <c r="AVP233" s="5207"/>
      <c r="AVQ233" s="5207"/>
      <c r="AVR233" s="5207"/>
      <c r="AVS233" s="5207"/>
      <c r="AVT233" s="5207"/>
      <c r="AVU233" s="5207"/>
      <c r="AVV233" s="5207"/>
      <c r="AVW233" s="5207"/>
      <c r="AVX233" s="5207"/>
      <c r="AVY233" s="5207"/>
      <c r="AVZ233" s="5207"/>
      <c r="AWA233" s="5207"/>
      <c r="AWB233" s="5207"/>
      <c r="AWC233" s="5207"/>
      <c r="AWD233" s="5207"/>
      <c r="AWE233" s="5207"/>
      <c r="AWF233" s="5207"/>
      <c r="AWG233" s="5207"/>
      <c r="AWH233" s="5207"/>
      <c r="AWI233" s="5207"/>
      <c r="AWJ233" s="5207"/>
      <c r="AWK233" s="5207"/>
      <c r="AWL233" s="5207"/>
      <c r="AWM233" s="5207"/>
      <c r="AWN233" s="5207"/>
      <c r="AWO233" s="5207"/>
      <c r="AWP233" s="5207"/>
      <c r="AWQ233" s="5207"/>
      <c r="AWR233" s="5207"/>
      <c r="AWS233" s="5207"/>
      <c r="AWT233" s="5207"/>
      <c r="AWU233" s="5207"/>
      <c r="AWV233" s="5207"/>
      <c r="AWW233" s="5207"/>
      <c r="AWX233" s="5207"/>
      <c r="AWY233" s="5207"/>
      <c r="AWZ233" s="5207"/>
      <c r="AXA233" s="5207"/>
      <c r="AXB233" s="5207"/>
      <c r="AXC233" s="5207"/>
      <c r="AXD233" s="5207"/>
      <c r="AXE233" s="5207"/>
      <c r="AXF233" s="5207"/>
      <c r="AXG233" s="5207"/>
      <c r="AXH233" s="5207"/>
      <c r="AXI233" s="5207"/>
      <c r="AXJ233" s="5207"/>
    </row>
    <row r="234" spans="1:1310" s="5208" customFormat="1" ht="23.25" customHeight="1">
      <c r="A234" s="5209"/>
      <c r="B234" s="5220"/>
      <c r="C234" s="5221"/>
      <c r="D234" s="5221"/>
      <c r="E234" s="5221"/>
      <c r="F234" s="5222"/>
      <c r="G234" s="5221"/>
      <c r="H234" s="5221"/>
      <c r="I234" s="5221"/>
      <c r="J234" s="5223"/>
      <c r="K234" s="5221"/>
      <c r="L234" s="5221"/>
      <c r="M234" s="5221"/>
      <c r="N234" s="5221"/>
      <c r="O234" s="5221"/>
      <c r="P234" s="5221"/>
      <c r="Q234" s="5221"/>
      <c r="R234" s="95"/>
      <c r="S234" s="95"/>
      <c r="T234" s="95"/>
      <c r="U234" s="95"/>
      <c r="V234" s="95"/>
      <c r="W234" s="95"/>
      <c r="X234" s="95"/>
      <c r="Y234" s="95"/>
      <c r="Z234" s="95"/>
      <c r="AA234" s="95"/>
      <c r="AB234" s="95"/>
      <c r="AC234" s="95"/>
      <c r="AD234" s="5207"/>
      <c r="AE234" s="5207"/>
      <c r="AF234" s="5207"/>
      <c r="AG234" s="5207"/>
      <c r="AH234" s="5207"/>
      <c r="AI234" s="5207"/>
      <c r="AJ234" s="5207"/>
      <c r="AK234" s="5207"/>
      <c r="AL234" s="5207"/>
      <c r="AM234" s="5207"/>
      <c r="AN234" s="5207"/>
      <c r="AO234" s="5207"/>
      <c r="AP234" s="5207"/>
      <c r="AQ234" s="5207"/>
      <c r="AR234" s="5207"/>
      <c r="AS234" s="5207"/>
      <c r="AT234" s="5207"/>
      <c r="AU234" s="5207"/>
      <c r="AV234" s="5207"/>
      <c r="AW234" s="5207"/>
      <c r="AX234" s="5207"/>
      <c r="AY234" s="5207"/>
      <c r="AZ234" s="5207"/>
      <c r="BA234" s="5207"/>
      <c r="BB234" s="5207"/>
      <c r="BC234" s="5207"/>
      <c r="BD234" s="5207"/>
      <c r="BE234" s="5207"/>
      <c r="BF234" s="5207"/>
      <c r="BG234" s="5207"/>
      <c r="BH234" s="5207"/>
      <c r="BI234" s="5207"/>
      <c r="BJ234" s="5207"/>
      <c r="BK234" s="5207"/>
      <c r="BL234" s="5207"/>
      <c r="BM234" s="5207"/>
      <c r="BN234" s="5207"/>
      <c r="BO234" s="5207"/>
      <c r="BP234" s="5207"/>
      <c r="BQ234" s="5207"/>
      <c r="BR234" s="5207"/>
      <c r="BS234" s="5207"/>
      <c r="BT234" s="5207"/>
      <c r="BU234" s="5207"/>
      <c r="BV234" s="5207"/>
      <c r="BW234" s="5207"/>
      <c r="BX234" s="5207"/>
      <c r="BY234" s="5207"/>
      <c r="BZ234" s="5207"/>
      <c r="CA234" s="5207"/>
      <c r="CB234" s="5207"/>
      <c r="CC234" s="5207"/>
      <c r="CD234" s="5207"/>
      <c r="CE234" s="5207"/>
      <c r="CF234" s="5207"/>
      <c r="CG234" s="5207"/>
      <c r="CH234" s="5207"/>
      <c r="CI234" s="5207"/>
      <c r="CJ234" s="5207"/>
      <c r="CK234" s="5207"/>
      <c r="CL234" s="5207"/>
      <c r="CM234" s="5207"/>
      <c r="CN234" s="5207"/>
      <c r="CO234" s="5207"/>
      <c r="CP234" s="5207"/>
      <c r="CQ234" s="5207"/>
      <c r="CR234" s="5207"/>
      <c r="CS234" s="5207"/>
      <c r="CT234" s="5207"/>
      <c r="CU234" s="5207"/>
      <c r="CV234" s="5207"/>
      <c r="CW234" s="5207"/>
      <c r="CX234" s="5207"/>
      <c r="CY234" s="5207"/>
      <c r="CZ234" s="5207"/>
      <c r="DA234" s="5207"/>
      <c r="DB234" s="5207"/>
      <c r="DC234" s="5207"/>
      <c r="DD234" s="5207"/>
      <c r="DE234" s="5207"/>
      <c r="DF234" s="5207"/>
      <c r="DG234" s="5207"/>
      <c r="DH234" s="5207"/>
      <c r="DI234" s="5207"/>
      <c r="DJ234" s="5207"/>
      <c r="DK234" s="5207"/>
      <c r="DL234" s="5207"/>
      <c r="DM234" s="5207"/>
      <c r="DN234" s="5207"/>
      <c r="DO234" s="5207"/>
      <c r="DP234" s="5207"/>
      <c r="DQ234" s="5207"/>
      <c r="DR234" s="5207"/>
      <c r="DS234" s="5207"/>
      <c r="DT234" s="5207"/>
      <c r="DU234" s="5207"/>
      <c r="DV234" s="5207"/>
      <c r="DW234" s="5207"/>
      <c r="DX234" s="5207"/>
      <c r="DY234" s="5207"/>
      <c r="DZ234" s="5207"/>
      <c r="EA234" s="5207"/>
      <c r="EB234" s="5207"/>
      <c r="EC234" s="5207"/>
      <c r="ED234" s="5207"/>
      <c r="EE234" s="5207"/>
      <c r="EF234" s="5207"/>
      <c r="EG234" s="5207"/>
      <c r="EH234" s="5207"/>
      <c r="EI234" s="5207"/>
      <c r="EJ234" s="5207"/>
      <c r="EK234" s="5207"/>
      <c r="EL234" s="5207"/>
      <c r="EM234" s="5207"/>
      <c r="EN234" s="5207"/>
      <c r="EO234" s="5207"/>
      <c r="EP234" s="5207"/>
      <c r="EQ234" s="5207"/>
      <c r="ER234" s="5207"/>
      <c r="ES234" s="5207"/>
      <c r="ET234" s="5207"/>
      <c r="EU234" s="5207"/>
      <c r="EV234" s="5207"/>
      <c r="EW234" s="5207"/>
      <c r="EX234" s="5207"/>
      <c r="EY234" s="5207"/>
      <c r="EZ234" s="5207"/>
      <c r="FA234" s="5207"/>
      <c r="FB234" s="5207"/>
      <c r="FC234" s="5207"/>
      <c r="FD234" s="5207"/>
      <c r="FE234" s="5207"/>
      <c r="FF234" s="5207"/>
      <c r="FG234" s="5207"/>
      <c r="FH234" s="5207"/>
      <c r="FI234" s="5207"/>
      <c r="FJ234" s="5207"/>
      <c r="FK234" s="5207"/>
      <c r="FL234" s="5207"/>
      <c r="FM234" s="5207"/>
      <c r="FN234" s="5207"/>
      <c r="FO234" s="5207"/>
      <c r="FP234" s="5207"/>
      <c r="FQ234" s="5207"/>
      <c r="FR234" s="5207"/>
      <c r="FS234" s="5207"/>
      <c r="FT234" s="5207"/>
      <c r="FU234" s="5207"/>
      <c r="FV234" s="5207"/>
      <c r="FW234" s="5207"/>
      <c r="FX234" s="5207"/>
      <c r="FY234" s="5207"/>
      <c r="FZ234" s="5207"/>
      <c r="GA234" s="5207"/>
      <c r="GB234" s="5207"/>
      <c r="GC234" s="5207"/>
      <c r="GD234" s="5207"/>
      <c r="GE234" s="5207"/>
      <c r="GF234" s="5207"/>
      <c r="GG234" s="5207"/>
      <c r="GH234" s="5207"/>
      <c r="GI234" s="5207"/>
      <c r="GJ234" s="5207"/>
      <c r="GK234" s="5207"/>
      <c r="GL234" s="5207"/>
      <c r="GM234" s="5207"/>
      <c r="GN234" s="5207"/>
      <c r="GO234" s="5207"/>
      <c r="GP234" s="5207"/>
      <c r="GQ234" s="5207"/>
      <c r="GR234" s="5207"/>
      <c r="GS234" s="5207"/>
      <c r="GT234" s="5207"/>
      <c r="GU234" s="5207"/>
      <c r="GV234" s="5207"/>
      <c r="GW234" s="5207"/>
      <c r="GX234" s="5207"/>
      <c r="GY234" s="5207"/>
      <c r="GZ234" s="5207"/>
      <c r="HA234" s="5207"/>
      <c r="HB234" s="5207"/>
      <c r="HC234" s="5207"/>
      <c r="HD234" s="5207"/>
      <c r="HE234" s="5207"/>
      <c r="HF234" s="5207"/>
      <c r="HG234" s="5207"/>
      <c r="HH234" s="5207"/>
      <c r="HI234" s="5207"/>
      <c r="HJ234" s="5207"/>
      <c r="HK234" s="5207"/>
      <c r="HL234" s="5207"/>
      <c r="HM234" s="5207"/>
      <c r="HN234" s="5207"/>
      <c r="HO234" s="5207"/>
      <c r="HP234" s="5207"/>
      <c r="HQ234" s="5207"/>
      <c r="HR234" s="5207"/>
      <c r="HS234" s="5207"/>
      <c r="HT234" s="5207"/>
      <c r="HU234" s="5207"/>
      <c r="HV234" s="5207"/>
      <c r="HW234" s="5207"/>
      <c r="HX234" s="5207"/>
      <c r="HY234" s="5207"/>
      <c r="HZ234" s="5207"/>
      <c r="IA234" s="5207"/>
      <c r="IB234" s="5207"/>
      <c r="IC234" s="5207"/>
      <c r="ID234" s="5207"/>
      <c r="IE234" s="5207"/>
      <c r="IF234" s="5207"/>
      <c r="IG234" s="5207"/>
      <c r="IH234" s="5207"/>
      <c r="II234" s="5207"/>
      <c r="IJ234" s="5207"/>
      <c r="IK234" s="5207"/>
      <c r="IL234" s="5207"/>
      <c r="IM234" s="5207"/>
      <c r="IN234" s="5207"/>
      <c r="IO234" s="5207"/>
      <c r="IP234" s="5207"/>
      <c r="IQ234" s="5207"/>
      <c r="IR234" s="5207"/>
      <c r="IS234" s="5207"/>
      <c r="IT234" s="5207"/>
      <c r="IU234" s="5207"/>
      <c r="IV234" s="5207"/>
      <c r="IW234" s="5207"/>
      <c r="IX234" s="5207"/>
      <c r="IY234" s="5207"/>
      <c r="IZ234" s="5207"/>
      <c r="JA234" s="5207"/>
      <c r="JB234" s="5207"/>
      <c r="JC234" s="5207"/>
      <c r="JD234" s="5207"/>
      <c r="JE234" s="5207"/>
      <c r="JF234" s="5207"/>
      <c r="JG234" s="5207"/>
      <c r="JH234" s="5207"/>
      <c r="JI234" s="5207"/>
      <c r="JJ234" s="5207"/>
      <c r="JK234" s="5207"/>
      <c r="JL234" s="5207"/>
      <c r="JM234" s="5207"/>
      <c r="JN234" s="5207"/>
      <c r="JO234" s="5207"/>
      <c r="JP234" s="5207"/>
      <c r="JQ234" s="5207"/>
      <c r="JR234" s="5207"/>
      <c r="JS234" s="5207"/>
      <c r="JT234" s="5207"/>
      <c r="JU234" s="5207"/>
      <c r="JV234" s="5207"/>
      <c r="JW234" s="5207"/>
      <c r="JX234" s="5207"/>
      <c r="JY234" s="5207"/>
      <c r="JZ234" s="5207"/>
      <c r="KA234" s="5207"/>
      <c r="KB234" s="5207"/>
      <c r="KC234" s="5207"/>
      <c r="KD234" s="5207"/>
      <c r="KE234" s="5207"/>
      <c r="KF234" s="5207"/>
      <c r="KG234" s="5207"/>
      <c r="KH234" s="5207"/>
      <c r="KI234" s="5207"/>
      <c r="KJ234" s="5207"/>
      <c r="KK234" s="5207"/>
      <c r="KL234" s="5207"/>
      <c r="KM234" s="5207"/>
      <c r="KN234" s="5207"/>
      <c r="KO234" s="5207"/>
      <c r="KP234" s="5207"/>
      <c r="KQ234" s="5207"/>
      <c r="KR234" s="5207"/>
      <c r="KS234" s="5207"/>
      <c r="KT234" s="5207"/>
      <c r="KU234" s="5207"/>
      <c r="KV234" s="5207"/>
      <c r="KW234" s="5207"/>
      <c r="KX234" s="5207"/>
      <c r="KY234" s="5207"/>
      <c r="KZ234" s="5207"/>
      <c r="LA234" s="5207"/>
      <c r="LB234" s="5207"/>
      <c r="LC234" s="5207"/>
      <c r="LD234" s="5207"/>
      <c r="LE234" s="5207"/>
      <c r="LF234" s="5207"/>
      <c r="LG234" s="5207"/>
      <c r="LH234" s="5207"/>
      <c r="LI234" s="5207"/>
      <c r="LJ234" s="5207"/>
      <c r="LK234" s="5207"/>
      <c r="LL234" s="5207"/>
      <c r="LM234" s="5207"/>
      <c r="LN234" s="5207"/>
      <c r="LO234" s="5207"/>
      <c r="LP234" s="5207"/>
      <c r="LQ234" s="5207"/>
      <c r="LR234" s="5207"/>
      <c r="LS234" s="5207"/>
      <c r="LT234" s="5207"/>
      <c r="LU234" s="5207"/>
      <c r="LV234" s="5207"/>
      <c r="LW234" s="5207"/>
      <c r="LX234" s="5207"/>
      <c r="LY234" s="5207"/>
      <c r="LZ234" s="5207"/>
      <c r="MA234" s="5207"/>
      <c r="MB234" s="5207"/>
      <c r="MC234" s="5207"/>
      <c r="MD234" s="5207"/>
      <c r="ME234" s="5207"/>
      <c r="MF234" s="5207"/>
      <c r="MG234" s="5207"/>
      <c r="MH234" s="5207"/>
      <c r="MI234" s="5207"/>
      <c r="MJ234" s="5207"/>
      <c r="MK234" s="5207"/>
      <c r="ML234" s="5207"/>
      <c r="MM234" s="5207"/>
      <c r="MN234" s="5207"/>
      <c r="MO234" s="5207"/>
      <c r="MP234" s="5207"/>
      <c r="MQ234" s="5207"/>
      <c r="MR234" s="5207"/>
      <c r="MS234" s="5207"/>
      <c r="MT234" s="5207"/>
      <c r="MU234" s="5207"/>
      <c r="MV234" s="5207"/>
      <c r="MW234" s="5207"/>
      <c r="MX234" s="5207"/>
      <c r="MY234" s="5207"/>
      <c r="MZ234" s="5207"/>
      <c r="NA234" s="5207"/>
      <c r="NB234" s="5207"/>
      <c r="NC234" s="5207"/>
      <c r="ND234" s="5207"/>
      <c r="NE234" s="5207"/>
      <c r="NF234" s="5207"/>
      <c r="NG234" s="5207"/>
      <c r="NH234" s="5207"/>
      <c r="NI234" s="5207"/>
      <c r="NJ234" s="5207"/>
      <c r="NK234" s="5207"/>
      <c r="NL234" s="5207"/>
      <c r="NM234" s="5207"/>
      <c r="NN234" s="5207"/>
      <c r="NO234" s="5207"/>
      <c r="NP234" s="5207"/>
      <c r="NQ234" s="5207"/>
      <c r="NR234" s="5207"/>
      <c r="NS234" s="5207"/>
      <c r="NT234" s="5207"/>
      <c r="NU234" s="5207"/>
      <c r="NV234" s="5207"/>
      <c r="NW234" s="5207"/>
      <c r="NX234" s="5207"/>
      <c r="NY234" s="5207"/>
      <c r="NZ234" s="5207"/>
      <c r="OA234" s="5207"/>
      <c r="OB234" s="5207"/>
      <c r="OC234" s="5207"/>
      <c r="OD234" s="5207"/>
      <c r="OE234" s="5207"/>
      <c r="OF234" s="5207"/>
      <c r="OG234" s="5207"/>
      <c r="OH234" s="5207"/>
      <c r="OI234" s="5207"/>
      <c r="OJ234" s="5207"/>
      <c r="OK234" s="5207"/>
      <c r="OL234" s="5207"/>
      <c r="OM234" s="5207"/>
      <c r="ON234" s="5207"/>
      <c r="OO234" s="5207"/>
      <c r="OP234" s="5207"/>
      <c r="OQ234" s="5207"/>
      <c r="OR234" s="5207"/>
      <c r="OS234" s="5207"/>
      <c r="OT234" s="5207"/>
      <c r="OU234" s="5207"/>
      <c r="OV234" s="5207"/>
      <c r="OW234" s="5207"/>
      <c r="OX234" s="5207"/>
      <c r="OY234" s="5207"/>
      <c r="OZ234" s="5207"/>
      <c r="PA234" s="5207"/>
      <c r="PB234" s="5207"/>
      <c r="PC234" s="5207"/>
      <c r="PD234" s="5207"/>
      <c r="PE234" s="5207"/>
      <c r="PF234" s="5207"/>
      <c r="PG234" s="5207"/>
      <c r="PH234" s="5207"/>
      <c r="PI234" s="5207"/>
      <c r="PJ234" s="5207"/>
      <c r="PK234" s="5207"/>
      <c r="PL234" s="5207"/>
      <c r="PM234" s="5207"/>
      <c r="PN234" s="5207"/>
      <c r="PO234" s="5207"/>
      <c r="PP234" s="5207"/>
      <c r="PQ234" s="5207"/>
      <c r="PR234" s="5207"/>
      <c r="PS234" s="5207"/>
      <c r="PT234" s="5207"/>
      <c r="PU234" s="5207"/>
      <c r="PV234" s="5207"/>
      <c r="PW234" s="5207"/>
      <c r="PX234" s="5207"/>
      <c r="PY234" s="5207"/>
      <c r="PZ234" s="5207"/>
      <c r="QA234" s="5207"/>
      <c r="QB234" s="5207"/>
      <c r="QC234" s="5207"/>
      <c r="QD234" s="5207"/>
      <c r="QE234" s="5207"/>
      <c r="QF234" s="5207"/>
      <c r="QG234" s="5207"/>
      <c r="QH234" s="5207"/>
      <c r="QI234" s="5207"/>
      <c r="QJ234" s="5207"/>
      <c r="QK234" s="5207"/>
      <c r="QL234" s="5207"/>
      <c r="QM234" s="5207"/>
      <c r="QN234" s="5207"/>
      <c r="QO234" s="5207"/>
      <c r="QP234" s="5207"/>
      <c r="QQ234" s="5207"/>
      <c r="QR234" s="5207"/>
      <c r="QS234" s="5207"/>
      <c r="QT234" s="5207"/>
      <c r="QU234" s="5207"/>
      <c r="QV234" s="5207"/>
      <c r="QW234" s="5207"/>
      <c r="QX234" s="5207"/>
      <c r="QY234" s="5207"/>
      <c r="QZ234" s="5207"/>
      <c r="RA234" s="5207"/>
      <c r="RB234" s="5207"/>
      <c r="RC234" s="5207"/>
      <c r="RD234" s="5207"/>
      <c r="RE234" s="5207"/>
      <c r="RF234" s="5207"/>
      <c r="RG234" s="5207"/>
      <c r="RH234" s="5207"/>
      <c r="RI234" s="5207"/>
      <c r="RJ234" s="5207"/>
      <c r="RK234" s="5207"/>
      <c r="RL234" s="5207"/>
      <c r="RM234" s="5207"/>
      <c r="RN234" s="5207"/>
      <c r="RO234" s="5207"/>
      <c r="RP234" s="5207"/>
      <c r="RQ234" s="5207"/>
      <c r="RR234" s="5207"/>
      <c r="RS234" s="5207"/>
      <c r="RT234" s="5207"/>
      <c r="RU234" s="5207"/>
      <c r="RV234" s="5207"/>
      <c r="RW234" s="5207"/>
      <c r="RX234" s="5207"/>
      <c r="RY234" s="5207"/>
      <c r="RZ234" s="5207"/>
      <c r="SA234" s="5207"/>
      <c r="SB234" s="5207"/>
      <c r="SC234" s="5207"/>
      <c r="SD234" s="5207"/>
      <c r="SE234" s="5207"/>
      <c r="SF234" s="5207"/>
      <c r="SG234" s="5207"/>
      <c r="SH234" s="5207"/>
      <c r="SI234" s="5207"/>
      <c r="SJ234" s="5207"/>
      <c r="SK234" s="5207"/>
      <c r="SL234" s="5207"/>
      <c r="SM234" s="5207"/>
      <c r="SN234" s="5207"/>
      <c r="SO234" s="5207"/>
      <c r="SP234" s="5207"/>
      <c r="SQ234" s="5207"/>
      <c r="SR234" s="5207"/>
      <c r="SS234" s="5207"/>
      <c r="ST234" s="5207"/>
      <c r="SU234" s="5207"/>
      <c r="SV234" s="5207"/>
      <c r="SW234" s="5207"/>
      <c r="SX234" s="5207"/>
      <c r="SY234" s="5207"/>
      <c r="SZ234" s="5207"/>
      <c r="TA234" s="5207"/>
      <c r="TB234" s="5207"/>
      <c r="TC234" s="5207"/>
      <c r="TD234" s="5207"/>
      <c r="TE234" s="5207"/>
      <c r="TF234" s="5207"/>
      <c r="TG234" s="5207"/>
      <c r="TH234" s="5207"/>
      <c r="TI234" s="5207"/>
      <c r="TJ234" s="5207"/>
      <c r="TK234" s="5207"/>
      <c r="TL234" s="5207"/>
      <c r="TM234" s="5207"/>
      <c r="TN234" s="5207"/>
      <c r="TO234" s="5207"/>
      <c r="TP234" s="5207"/>
      <c r="TQ234" s="5207"/>
      <c r="TR234" s="5207"/>
      <c r="TS234" s="5207"/>
      <c r="TT234" s="5207"/>
      <c r="TU234" s="5207"/>
      <c r="TV234" s="5207"/>
      <c r="TW234" s="5207"/>
      <c r="TX234" s="5207"/>
      <c r="TY234" s="5207"/>
      <c r="TZ234" s="5207"/>
      <c r="UA234" s="5207"/>
      <c r="UB234" s="5207"/>
      <c r="UC234" s="5207"/>
      <c r="UD234" s="5207"/>
      <c r="UE234" s="5207"/>
      <c r="UF234" s="5207"/>
      <c r="UG234" s="5207"/>
      <c r="UH234" s="5207"/>
      <c r="UI234" s="5207"/>
      <c r="UJ234" s="5207"/>
      <c r="UK234" s="5207"/>
      <c r="UL234" s="5207"/>
      <c r="UM234" s="5207"/>
      <c r="UN234" s="5207"/>
      <c r="UO234" s="5207"/>
      <c r="UP234" s="5207"/>
      <c r="UQ234" s="5207"/>
      <c r="UR234" s="5207"/>
      <c r="US234" s="5207"/>
      <c r="UT234" s="5207"/>
      <c r="UU234" s="5207"/>
      <c r="UV234" s="5207"/>
      <c r="UW234" s="5207"/>
      <c r="UX234" s="5207"/>
      <c r="UY234" s="5207"/>
      <c r="UZ234" s="5207"/>
      <c r="VA234" s="5207"/>
      <c r="VB234" s="5207"/>
      <c r="VC234" s="5207"/>
      <c r="VD234" s="5207"/>
      <c r="VE234" s="5207"/>
      <c r="VF234" s="5207"/>
      <c r="VG234" s="5207"/>
      <c r="VH234" s="5207"/>
      <c r="VI234" s="5207"/>
      <c r="VJ234" s="5207"/>
      <c r="VK234" s="5207"/>
      <c r="VL234" s="5207"/>
      <c r="VM234" s="5207"/>
      <c r="VN234" s="5207"/>
      <c r="VO234" s="5207"/>
      <c r="VP234" s="5207"/>
      <c r="VQ234" s="5207"/>
      <c r="VR234" s="5207"/>
      <c r="VS234" s="5207"/>
      <c r="VT234" s="5207"/>
      <c r="VU234" s="5207"/>
      <c r="VV234" s="5207"/>
      <c r="VW234" s="5207"/>
      <c r="VX234" s="5207"/>
      <c r="VY234" s="5207"/>
      <c r="VZ234" s="5207"/>
      <c r="WA234" s="5207"/>
      <c r="WB234" s="5207"/>
      <c r="WC234" s="5207"/>
      <c r="WD234" s="5207"/>
      <c r="WE234" s="5207"/>
      <c r="WF234" s="5207"/>
      <c r="WG234" s="5207"/>
      <c r="WH234" s="5207"/>
      <c r="WI234" s="5207"/>
      <c r="WJ234" s="5207"/>
      <c r="WK234" s="5207"/>
      <c r="WL234" s="5207"/>
      <c r="WM234" s="5207"/>
      <c r="WN234" s="5207"/>
      <c r="WO234" s="5207"/>
      <c r="WP234" s="5207"/>
      <c r="WQ234" s="5207"/>
      <c r="WR234" s="5207"/>
      <c r="WS234" s="5207"/>
      <c r="WT234" s="5207"/>
      <c r="WU234" s="5207"/>
      <c r="WV234" s="5207"/>
      <c r="WW234" s="5207"/>
      <c r="WX234" s="5207"/>
      <c r="WY234" s="5207"/>
      <c r="WZ234" s="5207"/>
      <c r="XA234" s="5207"/>
      <c r="XB234" s="5207"/>
      <c r="XC234" s="5207"/>
      <c r="XD234" s="5207"/>
      <c r="XE234" s="5207"/>
      <c r="XF234" s="5207"/>
      <c r="XG234" s="5207"/>
      <c r="XH234" s="5207"/>
      <c r="XI234" s="5207"/>
      <c r="XJ234" s="5207"/>
      <c r="XK234" s="5207"/>
      <c r="XL234" s="5207"/>
      <c r="XM234" s="5207"/>
      <c r="XN234" s="5207"/>
      <c r="XO234" s="5207"/>
      <c r="XP234" s="5207"/>
      <c r="XQ234" s="5207"/>
      <c r="XR234" s="5207"/>
      <c r="XS234" s="5207"/>
      <c r="XT234" s="5207"/>
      <c r="XU234" s="5207"/>
      <c r="XV234" s="5207"/>
      <c r="XW234" s="5207"/>
      <c r="XX234" s="5207"/>
      <c r="XY234" s="5207"/>
      <c r="XZ234" s="5207"/>
      <c r="YA234" s="5207"/>
      <c r="YB234" s="5207"/>
      <c r="YC234" s="5207"/>
      <c r="YD234" s="5207"/>
      <c r="YE234" s="5207"/>
      <c r="YF234" s="5207"/>
      <c r="YG234" s="5207"/>
      <c r="YH234" s="5207"/>
      <c r="YI234" s="5207"/>
      <c r="YJ234" s="5207"/>
      <c r="YK234" s="5207"/>
      <c r="YL234" s="5207"/>
      <c r="YM234" s="5207"/>
      <c r="YN234" s="5207"/>
      <c r="YO234" s="5207"/>
      <c r="YP234" s="5207"/>
      <c r="YQ234" s="5207"/>
      <c r="YR234" s="5207"/>
      <c r="YS234" s="5207"/>
      <c r="YT234" s="5207"/>
      <c r="YU234" s="5207"/>
      <c r="YV234" s="5207"/>
      <c r="YW234" s="5207"/>
      <c r="YX234" s="5207"/>
      <c r="YY234" s="5207"/>
      <c r="YZ234" s="5207"/>
      <c r="ZA234" s="5207"/>
      <c r="ZB234" s="5207"/>
      <c r="ZC234" s="5207"/>
      <c r="ZD234" s="5207"/>
      <c r="ZE234" s="5207"/>
      <c r="ZF234" s="5207"/>
      <c r="ZG234" s="5207"/>
      <c r="ZH234" s="5207"/>
      <c r="ZI234" s="5207"/>
      <c r="ZJ234" s="5207"/>
      <c r="ZK234" s="5207"/>
      <c r="ZL234" s="5207"/>
      <c r="ZM234" s="5207"/>
      <c r="ZN234" s="5207"/>
      <c r="ZO234" s="5207"/>
      <c r="ZP234" s="5207"/>
      <c r="ZQ234" s="5207"/>
      <c r="ZR234" s="5207"/>
      <c r="ZS234" s="5207"/>
      <c r="ZT234" s="5207"/>
      <c r="ZU234" s="5207"/>
      <c r="ZV234" s="5207"/>
      <c r="ZW234" s="5207"/>
      <c r="ZX234" s="5207"/>
      <c r="ZY234" s="5207"/>
      <c r="ZZ234" s="5207"/>
      <c r="AAA234" s="5207"/>
      <c r="AAB234" s="5207"/>
      <c r="AAC234" s="5207"/>
      <c r="AAD234" s="5207"/>
      <c r="AAE234" s="5207"/>
      <c r="AAF234" s="5207"/>
      <c r="AAG234" s="5207"/>
      <c r="AAH234" s="5207"/>
      <c r="AAI234" s="5207"/>
      <c r="AAJ234" s="5207"/>
      <c r="AAK234" s="5207"/>
      <c r="AAL234" s="5207"/>
      <c r="AAM234" s="5207"/>
      <c r="AAN234" s="5207"/>
      <c r="AAO234" s="5207"/>
      <c r="AAP234" s="5207"/>
      <c r="AAQ234" s="5207"/>
      <c r="AAR234" s="5207"/>
      <c r="AAS234" s="5207"/>
      <c r="AAT234" s="5207"/>
      <c r="AAU234" s="5207"/>
      <c r="AAV234" s="5207"/>
      <c r="AAW234" s="5207"/>
      <c r="AAX234" s="5207"/>
      <c r="AAY234" s="5207"/>
      <c r="AAZ234" s="5207"/>
      <c r="ABA234" s="5207"/>
      <c r="ABB234" s="5207"/>
      <c r="ABC234" s="5207"/>
      <c r="ABD234" s="5207"/>
      <c r="ABE234" s="5207"/>
      <c r="ABF234" s="5207"/>
      <c r="ABG234" s="5207"/>
      <c r="ABH234" s="5207"/>
      <c r="ABI234" s="5207"/>
      <c r="ABJ234" s="5207"/>
      <c r="ABK234" s="5207"/>
      <c r="ABL234" s="5207"/>
      <c r="ABM234" s="5207"/>
      <c r="ABN234" s="5207"/>
      <c r="ABO234" s="5207"/>
      <c r="ABP234" s="5207"/>
      <c r="ABQ234" s="5207"/>
      <c r="ABR234" s="5207"/>
      <c r="ABS234" s="5207"/>
      <c r="ABT234" s="5207"/>
      <c r="ABU234" s="5207"/>
      <c r="ABV234" s="5207"/>
      <c r="ABW234" s="5207"/>
      <c r="ABX234" s="5207"/>
      <c r="ABY234" s="5207"/>
      <c r="ABZ234" s="5207"/>
      <c r="ACA234" s="5207"/>
      <c r="ACB234" s="5207"/>
      <c r="ACC234" s="5207"/>
      <c r="ACD234" s="5207"/>
      <c r="ACE234" s="5207"/>
      <c r="ACF234" s="5207"/>
      <c r="ACG234" s="5207"/>
      <c r="ACH234" s="5207"/>
      <c r="ACI234" s="5207"/>
      <c r="ACJ234" s="5207"/>
      <c r="ACK234" s="5207"/>
      <c r="ACL234" s="5207"/>
      <c r="ACM234" s="5207"/>
      <c r="ACN234" s="5207"/>
      <c r="ACO234" s="5207"/>
      <c r="ACP234" s="5207"/>
      <c r="ACQ234" s="5207"/>
      <c r="ACR234" s="5207"/>
      <c r="ACS234" s="5207"/>
      <c r="ACT234" s="5207"/>
      <c r="ACU234" s="5207"/>
      <c r="ACV234" s="5207"/>
      <c r="ACW234" s="5207"/>
      <c r="ACX234" s="5207"/>
      <c r="ACY234" s="5207"/>
      <c r="ACZ234" s="5207"/>
      <c r="ADA234" s="5207"/>
      <c r="ADB234" s="5207"/>
      <c r="ADC234" s="5207"/>
      <c r="ADD234" s="5207"/>
      <c r="ADE234" s="5207"/>
      <c r="ADF234" s="5207"/>
      <c r="ADG234" s="5207"/>
      <c r="ADH234" s="5207"/>
      <c r="ADI234" s="5207"/>
      <c r="ADJ234" s="5207"/>
      <c r="ADK234" s="5207"/>
      <c r="ADL234" s="5207"/>
      <c r="ADM234" s="5207"/>
      <c r="ADN234" s="5207"/>
      <c r="ADO234" s="5207"/>
      <c r="ADP234" s="5207"/>
      <c r="ADQ234" s="5207"/>
      <c r="ADR234" s="5207"/>
      <c r="ADS234" s="5207"/>
      <c r="ADT234" s="5207"/>
      <c r="ADU234" s="5207"/>
      <c r="ADV234" s="5207"/>
      <c r="ADW234" s="5207"/>
      <c r="ADX234" s="5207"/>
      <c r="ADY234" s="5207"/>
      <c r="ADZ234" s="5207"/>
      <c r="AEA234" s="5207"/>
      <c r="AEB234" s="5207"/>
      <c r="AEC234" s="5207"/>
      <c r="AED234" s="5207"/>
      <c r="AEE234" s="5207"/>
      <c r="AEF234" s="5207"/>
      <c r="AEG234" s="5207"/>
      <c r="AEH234" s="5207"/>
      <c r="AEI234" s="5207"/>
      <c r="AEJ234" s="5207"/>
      <c r="AEK234" s="5207"/>
      <c r="AEL234" s="5207"/>
      <c r="AEM234" s="5207"/>
      <c r="AEN234" s="5207"/>
      <c r="AEO234" s="5207"/>
      <c r="AEP234" s="5207"/>
      <c r="AEQ234" s="5207"/>
      <c r="AER234" s="5207"/>
      <c r="AES234" s="5207"/>
      <c r="AET234" s="5207"/>
      <c r="AEU234" s="5207"/>
      <c r="AEV234" s="5207"/>
      <c r="AEW234" s="5207"/>
      <c r="AEX234" s="5207"/>
      <c r="AEY234" s="5207"/>
      <c r="AEZ234" s="5207"/>
      <c r="AFA234" s="5207"/>
      <c r="AFB234" s="5207"/>
      <c r="AFC234" s="5207"/>
      <c r="AFD234" s="5207"/>
      <c r="AFE234" s="5207"/>
      <c r="AFF234" s="5207"/>
      <c r="AFG234" s="5207"/>
      <c r="AFH234" s="5207"/>
      <c r="AFI234" s="5207"/>
      <c r="AFJ234" s="5207"/>
      <c r="AFK234" s="5207"/>
      <c r="AFL234" s="5207"/>
      <c r="AFM234" s="5207"/>
      <c r="AFN234" s="5207"/>
      <c r="AFO234" s="5207"/>
      <c r="AFP234" s="5207"/>
      <c r="AFQ234" s="5207"/>
      <c r="AFR234" s="5207"/>
      <c r="AFS234" s="5207"/>
      <c r="AFT234" s="5207"/>
      <c r="AFU234" s="5207"/>
      <c r="AFV234" s="5207"/>
      <c r="AFW234" s="5207"/>
      <c r="AFX234" s="5207"/>
      <c r="AFY234" s="5207"/>
      <c r="AFZ234" s="5207"/>
      <c r="AGA234" s="5207"/>
      <c r="AGB234" s="5207"/>
      <c r="AGC234" s="5207"/>
      <c r="AGD234" s="5207"/>
      <c r="AGE234" s="5207"/>
      <c r="AGF234" s="5207"/>
      <c r="AGG234" s="5207"/>
      <c r="AGH234" s="5207"/>
      <c r="AGI234" s="5207"/>
      <c r="AGJ234" s="5207"/>
      <c r="AGK234" s="5207"/>
      <c r="AGL234" s="5207"/>
      <c r="AGM234" s="5207"/>
      <c r="AGN234" s="5207"/>
      <c r="AGO234" s="5207"/>
      <c r="AGP234" s="5207"/>
      <c r="AGQ234" s="5207"/>
      <c r="AGR234" s="5207"/>
      <c r="AGS234" s="5207"/>
      <c r="AGT234" s="5207"/>
      <c r="AGU234" s="5207"/>
      <c r="AGV234" s="5207"/>
      <c r="AGW234" s="5207"/>
      <c r="AGX234" s="5207"/>
      <c r="AGY234" s="5207"/>
      <c r="AGZ234" s="5207"/>
      <c r="AHA234" s="5207"/>
      <c r="AHB234" s="5207"/>
      <c r="AHC234" s="5207"/>
      <c r="AHD234" s="5207"/>
      <c r="AHE234" s="5207"/>
      <c r="AHF234" s="5207"/>
      <c r="AHG234" s="5207"/>
      <c r="AHH234" s="5207"/>
      <c r="AHI234" s="5207"/>
      <c r="AHJ234" s="5207"/>
      <c r="AHK234" s="5207"/>
      <c r="AHL234" s="5207"/>
      <c r="AHM234" s="5207"/>
      <c r="AHN234" s="5207"/>
      <c r="AHO234" s="5207"/>
      <c r="AHP234" s="5207"/>
      <c r="AHQ234" s="5207"/>
      <c r="AHR234" s="5207"/>
      <c r="AHS234" s="5207"/>
      <c r="AHT234" s="5207"/>
      <c r="AHU234" s="5207"/>
      <c r="AHV234" s="5207"/>
      <c r="AHW234" s="5207"/>
      <c r="AHX234" s="5207"/>
      <c r="AHY234" s="5207"/>
      <c r="AHZ234" s="5207"/>
      <c r="AIA234" s="5207"/>
      <c r="AIB234" s="5207"/>
      <c r="AIC234" s="5207"/>
      <c r="AID234" s="5207"/>
      <c r="AIE234" s="5207"/>
      <c r="AIF234" s="5207"/>
      <c r="AIG234" s="5207"/>
      <c r="AIH234" s="5207"/>
      <c r="AII234" s="5207"/>
      <c r="AIJ234" s="5207"/>
      <c r="AIK234" s="5207"/>
      <c r="AIL234" s="5207"/>
      <c r="AIM234" s="5207"/>
      <c r="AIN234" s="5207"/>
      <c r="AIO234" s="5207"/>
      <c r="AIP234" s="5207"/>
      <c r="AIQ234" s="5207"/>
      <c r="AIR234" s="5207"/>
      <c r="AIS234" s="5207"/>
      <c r="AIT234" s="5207"/>
      <c r="AIU234" s="5207"/>
      <c r="AIV234" s="5207"/>
      <c r="AIW234" s="5207"/>
      <c r="AIX234" s="5207"/>
      <c r="AIY234" s="5207"/>
      <c r="AIZ234" s="5207"/>
      <c r="AJA234" s="5207"/>
      <c r="AJB234" s="5207"/>
      <c r="AJC234" s="5207"/>
      <c r="AJD234" s="5207"/>
      <c r="AJE234" s="5207"/>
      <c r="AJF234" s="5207"/>
      <c r="AJG234" s="5207"/>
      <c r="AJH234" s="5207"/>
      <c r="AJI234" s="5207"/>
      <c r="AJJ234" s="5207"/>
      <c r="AJK234" s="5207"/>
      <c r="AJL234" s="5207"/>
      <c r="AJM234" s="5207"/>
      <c r="AJN234" s="5207"/>
      <c r="AJO234" s="5207"/>
      <c r="AJP234" s="5207"/>
      <c r="AJQ234" s="5207"/>
      <c r="AJR234" s="5207"/>
      <c r="AJS234" s="5207"/>
      <c r="AJT234" s="5207"/>
      <c r="AJU234" s="5207"/>
      <c r="AJV234" s="5207"/>
      <c r="AJW234" s="5207"/>
      <c r="AJX234" s="5207"/>
      <c r="AJY234" s="5207"/>
      <c r="AJZ234" s="5207"/>
      <c r="AKA234" s="5207"/>
      <c r="AKB234" s="5207"/>
      <c r="AKC234" s="5207"/>
      <c r="AKD234" s="5207"/>
      <c r="AKE234" s="5207"/>
      <c r="AKF234" s="5207"/>
      <c r="AKG234" s="5207"/>
      <c r="AKH234" s="5207"/>
      <c r="AKI234" s="5207"/>
      <c r="AKJ234" s="5207"/>
      <c r="AKK234" s="5207"/>
      <c r="AKL234" s="5207"/>
      <c r="AKM234" s="5207"/>
      <c r="AKN234" s="5207"/>
      <c r="AKO234" s="5207"/>
      <c r="AKP234" s="5207"/>
      <c r="AKQ234" s="5207"/>
      <c r="AKR234" s="5207"/>
      <c r="AKS234" s="5207"/>
      <c r="AKT234" s="5207"/>
      <c r="AKU234" s="5207"/>
      <c r="AKV234" s="5207"/>
      <c r="AKW234" s="5207"/>
      <c r="AKX234" s="5207"/>
      <c r="AKY234" s="5207"/>
      <c r="AKZ234" s="5207"/>
      <c r="ALA234" s="5207"/>
      <c r="ALB234" s="5207"/>
      <c r="ALC234" s="5207"/>
      <c r="ALD234" s="5207"/>
      <c r="ALE234" s="5207"/>
      <c r="ALF234" s="5207"/>
      <c r="ALG234" s="5207"/>
      <c r="ALH234" s="5207"/>
      <c r="ALI234" s="5207"/>
      <c r="ALJ234" s="5207"/>
      <c r="ALK234" s="5207"/>
      <c r="ALL234" s="5207"/>
      <c r="ALM234" s="5207"/>
      <c r="ALN234" s="5207"/>
      <c r="ALO234" s="5207"/>
      <c r="ALP234" s="5207"/>
      <c r="ALQ234" s="5207"/>
      <c r="ALR234" s="5207"/>
      <c r="ALS234" s="5207"/>
      <c r="ALT234" s="5207"/>
      <c r="ALU234" s="5207"/>
      <c r="ALV234" s="5207"/>
      <c r="ALW234" s="5207"/>
      <c r="ALX234" s="5207"/>
      <c r="ALY234" s="5207"/>
      <c r="ALZ234" s="5207"/>
      <c r="AMA234" s="5207"/>
      <c r="AMB234" s="5207"/>
      <c r="AMC234" s="5207"/>
      <c r="AMD234" s="5207"/>
      <c r="AME234" s="5207"/>
      <c r="AMF234" s="5207"/>
      <c r="AMG234" s="5207"/>
      <c r="AMH234" s="5207"/>
      <c r="AMI234" s="5207"/>
      <c r="AMJ234" s="5207"/>
      <c r="AMK234" s="5207"/>
      <c r="AML234" s="5207"/>
      <c r="AMM234" s="5207"/>
      <c r="AMN234" s="5207"/>
      <c r="AMO234" s="5207"/>
      <c r="AMP234" s="5207"/>
      <c r="AMQ234" s="5207"/>
      <c r="AMR234" s="5207"/>
      <c r="AMS234" s="5207"/>
      <c r="AMT234" s="5207"/>
      <c r="AMU234" s="5207"/>
      <c r="AMV234" s="5207"/>
      <c r="AMW234" s="5207"/>
      <c r="AMX234" s="5207"/>
      <c r="AMY234" s="5207"/>
      <c r="AMZ234" s="5207"/>
      <c r="ANA234" s="5207"/>
      <c r="ANB234" s="5207"/>
      <c r="ANC234" s="5207"/>
      <c r="AND234" s="5207"/>
      <c r="ANE234" s="5207"/>
      <c r="ANF234" s="5207"/>
      <c r="ANG234" s="5207"/>
      <c r="ANH234" s="5207"/>
      <c r="ANI234" s="5207"/>
      <c r="ANJ234" s="5207"/>
      <c r="ANK234" s="5207"/>
      <c r="ANL234" s="5207"/>
      <c r="ANM234" s="5207"/>
      <c r="ANN234" s="5207"/>
      <c r="ANO234" s="5207"/>
      <c r="ANP234" s="5207"/>
      <c r="ANQ234" s="5207"/>
      <c r="ANR234" s="5207"/>
      <c r="ANS234" s="5207"/>
      <c r="ANT234" s="5207"/>
      <c r="ANU234" s="5207"/>
      <c r="ANV234" s="5207"/>
      <c r="ANW234" s="5207"/>
      <c r="ANX234" s="5207"/>
      <c r="ANY234" s="5207"/>
      <c r="ANZ234" s="5207"/>
      <c r="AOA234" s="5207"/>
      <c r="AOB234" s="5207"/>
      <c r="AOC234" s="5207"/>
      <c r="AOD234" s="5207"/>
      <c r="AOE234" s="5207"/>
      <c r="AOF234" s="5207"/>
      <c r="AOG234" s="5207"/>
      <c r="AOH234" s="5207"/>
      <c r="AOI234" s="5207"/>
      <c r="AOJ234" s="5207"/>
      <c r="AOK234" s="5207"/>
      <c r="AOL234" s="5207"/>
      <c r="AOM234" s="5207"/>
      <c r="AON234" s="5207"/>
      <c r="AOO234" s="5207"/>
      <c r="AOP234" s="5207"/>
      <c r="AOQ234" s="5207"/>
      <c r="AOR234" s="5207"/>
      <c r="AOS234" s="5207"/>
      <c r="AOT234" s="5207"/>
      <c r="AOU234" s="5207"/>
      <c r="AOV234" s="5207"/>
      <c r="AOW234" s="5207"/>
      <c r="AOX234" s="5207"/>
      <c r="AOY234" s="5207"/>
      <c r="AOZ234" s="5207"/>
      <c r="APA234" s="5207"/>
      <c r="APB234" s="5207"/>
      <c r="APC234" s="5207"/>
      <c r="APD234" s="5207"/>
      <c r="APE234" s="5207"/>
      <c r="APF234" s="5207"/>
      <c r="APG234" s="5207"/>
      <c r="APH234" s="5207"/>
      <c r="API234" s="5207"/>
      <c r="APJ234" s="5207"/>
      <c r="APK234" s="5207"/>
      <c r="APL234" s="5207"/>
      <c r="APM234" s="5207"/>
      <c r="APN234" s="5207"/>
      <c r="APO234" s="5207"/>
      <c r="APP234" s="5207"/>
      <c r="APQ234" s="5207"/>
      <c r="APR234" s="5207"/>
      <c r="APS234" s="5207"/>
      <c r="APT234" s="5207"/>
      <c r="APU234" s="5207"/>
      <c r="APV234" s="5207"/>
      <c r="APW234" s="5207"/>
      <c r="APX234" s="5207"/>
      <c r="APY234" s="5207"/>
      <c r="APZ234" s="5207"/>
      <c r="AQA234" s="5207"/>
      <c r="AQB234" s="5207"/>
      <c r="AQC234" s="5207"/>
      <c r="AQD234" s="5207"/>
      <c r="AQE234" s="5207"/>
      <c r="AQF234" s="5207"/>
      <c r="AQG234" s="5207"/>
      <c r="AQH234" s="5207"/>
      <c r="AQI234" s="5207"/>
      <c r="AQJ234" s="5207"/>
      <c r="AQK234" s="5207"/>
      <c r="AQL234" s="5207"/>
      <c r="AQM234" s="5207"/>
      <c r="AQN234" s="5207"/>
      <c r="AQO234" s="5207"/>
      <c r="AQP234" s="5207"/>
      <c r="AQQ234" s="5207"/>
      <c r="AQR234" s="5207"/>
      <c r="AQS234" s="5207"/>
      <c r="AQT234" s="5207"/>
      <c r="AQU234" s="5207"/>
      <c r="AQV234" s="5207"/>
      <c r="AQW234" s="5207"/>
      <c r="AQX234" s="5207"/>
      <c r="AQY234" s="5207"/>
      <c r="AQZ234" s="5207"/>
      <c r="ARA234" s="5207"/>
      <c r="ARB234" s="5207"/>
      <c r="ARC234" s="5207"/>
      <c r="ARD234" s="5207"/>
      <c r="ARE234" s="5207"/>
      <c r="ARF234" s="5207"/>
      <c r="ARG234" s="5207"/>
      <c r="ARH234" s="5207"/>
      <c r="ARI234" s="5207"/>
      <c r="ARJ234" s="5207"/>
      <c r="ARK234" s="5207"/>
      <c r="ARL234" s="5207"/>
      <c r="ARM234" s="5207"/>
      <c r="ARN234" s="5207"/>
      <c r="ARO234" s="5207"/>
      <c r="ARP234" s="5207"/>
      <c r="ARQ234" s="5207"/>
      <c r="ARR234" s="5207"/>
      <c r="ARS234" s="5207"/>
      <c r="ART234" s="5207"/>
      <c r="ARU234" s="5207"/>
      <c r="ARV234" s="5207"/>
      <c r="ARW234" s="5207"/>
      <c r="ARX234" s="5207"/>
      <c r="ARY234" s="5207"/>
      <c r="ARZ234" s="5207"/>
      <c r="ASA234" s="5207"/>
      <c r="ASB234" s="5207"/>
      <c r="ASC234" s="5207"/>
      <c r="ASD234" s="5207"/>
      <c r="ASE234" s="5207"/>
      <c r="ASF234" s="5207"/>
      <c r="ASG234" s="5207"/>
      <c r="ASH234" s="5207"/>
      <c r="ASI234" s="5207"/>
      <c r="ASJ234" s="5207"/>
      <c r="ASK234" s="5207"/>
      <c r="ASL234" s="5207"/>
      <c r="ASM234" s="5207"/>
      <c r="ASN234" s="5207"/>
      <c r="ASO234" s="5207"/>
      <c r="ASP234" s="5207"/>
      <c r="ASQ234" s="5207"/>
      <c r="ASR234" s="5207"/>
      <c r="ASS234" s="5207"/>
      <c r="AST234" s="5207"/>
      <c r="ASU234" s="5207"/>
      <c r="ASV234" s="5207"/>
      <c r="ASW234" s="5207"/>
      <c r="ASX234" s="5207"/>
      <c r="ASY234" s="5207"/>
      <c r="ASZ234" s="5207"/>
      <c r="ATA234" s="5207"/>
      <c r="ATB234" s="5207"/>
      <c r="ATC234" s="5207"/>
      <c r="ATD234" s="5207"/>
      <c r="ATE234" s="5207"/>
      <c r="ATF234" s="5207"/>
      <c r="ATG234" s="5207"/>
      <c r="ATH234" s="5207"/>
      <c r="ATI234" s="5207"/>
      <c r="ATJ234" s="5207"/>
      <c r="ATK234" s="5207"/>
      <c r="ATL234" s="5207"/>
      <c r="ATM234" s="5207"/>
      <c r="ATN234" s="5207"/>
      <c r="ATO234" s="5207"/>
      <c r="ATP234" s="5207"/>
      <c r="ATQ234" s="5207"/>
      <c r="ATR234" s="5207"/>
      <c r="ATS234" s="5207"/>
      <c r="ATT234" s="5207"/>
      <c r="ATU234" s="5207"/>
      <c r="ATV234" s="5207"/>
      <c r="ATW234" s="5207"/>
      <c r="ATX234" s="5207"/>
      <c r="ATY234" s="5207"/>
      <c r="ATZ234" s="5207"/>
      <c r="AUA234" s="5207"/>
      <c r="AUB234" s="5207"/>
      <c r="AUC234" s="5207"/>
      <c r="AUD234" s="5207"/>
      <c r="AUE234" s="5207"/>
      <c r="AUF234" s="5207"/>
      <c r="AUG234" s="5207"/>
      <c r="AUH234" s="5207"/>
      <c r="AUI234" s="5207"/>
      <c r="AUJ234" s="5207"/>
      <c r="AUK234" s="5207"/>
      <c r="AUL234" s="5207"/>
      <c r="AUM234" s="5207"/>
      <c r="AUN234" s="5207"/>
      <c r="AUO234" s="5207"/>
      <c r="AUP234" s="5207"/>
      <c r="AUQ234" s="5207"/>
      <c r="AUR234" s="5207"/>
      <c r="AUS234" s="5207"/>
      <c r="AUT234" s="5207"/>
      <c r="AUU234" s="5207"/>
      <c r="AUV234" s="5207"/>
      <c r="AUW234" s="5207"/>
      <c r="AUX234" s="5207"/>
      <c r="AUY234" s="5207"/>
      <c r="AUZ234" s="5207"/>
      <c r="AVA234" s="5207"/>
      <c r="AVB234" s="5207"/>
      <c r="AVC234" s="5207"/>
      <c r="AVD234" s="5207"/>
      <c r="AVE234" s="5207"/>
      <c r="AVF234" s="5207"/>
      <c r="AVG234" s="5207"/>
      <c r="AVH234" s="5207"/>
      <c r="AVI234" s="5207"/>
      <c r="AVJ234" s="5207"/>
      <c r="AVK234" s="5207"/>
      <c r="AVL234" s="5207"/>
      <c r="AVM234" s="5207"/>
      <c r="AVN234" s="5207"/>
      <c r="AVO234" s="5207"/>
      <c r="AVP234" s="5207"/>
      <c r="AVQ234" s="5207"/>
      <c r="AVR234" s="5207"/>
      <c r="AVS234" s="5207"/>
      <c r="AVT234" s="5207"/>
      <c r="AVU234" s="5207"/>
      <c r="AVV234" s="5207"/>
      <c r="AVW234" s="5207"/>
      <c r="AVX234" s="5207"/>
      <c r="AVY234" s="5207"/>
      <c r="AVZ234" s="5207"/>
      <c r="AWA234" s="5207"/>
      <c r="AWB234" s="5207"/>
      <c r="AWC234" s="5207"/>
      <c r="AWD234" s="5207"/>
      <c r="AWE234" s="5207"/>
      <c r="AWF234" s="5207"/>
      <c r="AWG234" s="5207"/>
      <c r="AWH234" s="5207"/>
      <c r="AWI234" s="5207"/>
      <c r="AWJ234" s="5207"/>
      <c r="AWK234" s="5207"/>
      <c r="AWL234" s="5207"/>
      <c r="AWM234" s="5207"/>
      <c r="AWN234" s="5207"/>
      <c r="AWO234" s="5207"/>
      <c r="AWP234" s="5207"/>
      <c r="AWQ234" s="5207"/>
      <c r="AWR234" s="5207"/>
      <c r="AWS234" s="5207"/>
      <c r="AWT234" s="5207"/>
      <c r="AWU234" s="5207"/>
      <c r="AWV234" s="5207"/>
      <c r="AWW234" s="5207"/>
      <c r="AWX234" s="5207"/>
      <c r="AWY234" s="5207"/>
      <c r="AWZ234" s="5207"/>
      <c r="AXA234" s="5207"/>
      <c r="AXB234" s="5207"/>
      <c r="AXC234" s="5207"/>
      <c r="AXD234" s="5207"/>
      <c r="AXE234" s="5207"/>
      <c r="AXF234" s="5207"/>
      <c r="AXG234" s="5207"/>
      <c r="AXH234" s="5207"/>
      <c r="AXI234" s="5207"/>
      <c r="AXJ234" s="5207"/>
    </row>
    <row r="235" spans="1:1310" s="5208" customFormat="1" ht="120.75" customHeight="1">
      <c r="A235" s="5209"/>
      <c r="B235" s="5224"/>
      <c r="C235" s="5224"/>
      <c r="D235" s="5224"/>
      <c r="E235" s="5224"/>
      <c r="F235" s="5225"/>
      <c r="G235" s="5226" t="s">
        <v>900</v>
      </c>
      <c r="H235" s="5226"/>
      <c r="I235" s="5226"/>
      <c r="J235" s="5217"/>
      <c r="K235" s="5227"/>
      <c r="L235" s="5224"/>
      <c r="M235" s="5224"/>
      <c r="N235" s="5224"/>
      <c r="O235" s="5224"/>
      <c r="P235" s="5224"/>
      <c r="Q235" s="5224"/>
      <c r="R235" s="95"/>
      <c r="S235" s="95"/>
      <c r="T235" s="95"/>
      <c r="U235" s="95"/>
      <c r="V235" s="95"/>
      <c r="W235" s="95"/>
      <c r="X235" s="95"/>
      <c r="Y235" s="95"/>
      <c r="Z235" s="95"/>
      <c r="AA235" s="95"/>
      <c r="AB235" s="95"/>
      <c r="AC235" s="95"/>
      <c r="AD235" s="5207"/>
      <c r="AE235" s="5207"/>
      <c r="AF235" s="5207"/>
      <c r="AG235" s="5207"/>
      <c r="AH235" s="5207"/>
      <c r="AI235" s="5207"/>
      <c r="AJ235" s="5207"/>
      <c r="AK235" s="5207"/>
      <c r="AL235" s="5207"/>
      <c r="AM235" s="5207"/>
      <c r="AN235" s="5207"/>
      <c r="AO235" s="5207"/>
      <c r="AP235" s="5207"/>
      <c r="AQ235" s="5207"/>
      <c r="AR235" s="5207"/>
      <c r="AS235" s="5207"/>
      <c r="AT235" s="5207"/>
      <c r="AU235" s="5207"/>
      <c r="AV235" s="5207"/>
      <c r="AW235" s="5207"/>
      <c r="AX235" s="5207"/>
      <c r="AY235" s="5207"/>
      <c r="AZ235" s="5207"/>
      <c r="BA235" s="5207"/>
      <c r="BB235" s="5207"/>
      <c r="BC235" s="5207"/>
      <c r="BD235" s="5207"/>
      <c r="BE235" s="5207"/>
      <c r="BF235" s="5207"/>
      <c r="BG235" s="5207"/>
      <c r="BH235" s="5207"/>
      <c r="BI235" s="5207"/>
      <c r="BJ235" s="5207"/>
      <c r="BK235" s="5207"/>
      <c r="BL235" s="5207"/>
      <c r="BM235" s="5207"/>
      <c r="BN235" s="5207"/>
      <c r="BO235" s="5207"/>
      <c r="BP235" s="5207"/>
      <c r="BQ235" s="5207"/>
      <c r="BR235" s="5207"/>
      <c r="BS235" s="5207"/>
      <c r="BT235" s="5207"/>
      <c r="BU235" s="5207"/>
      <c r="BV235" s="5207"/>
      <c r="BW235" s="5207"/>
      <c r="BX235" s="5207"/>
      <c r="BY235" s="5207"/>
      <c r="BZ235" s="5207"/>
      <c r="CA235" s="5207"/>
      <c r="CB235" s="5207"/>
      <c r="CC235" s="5207"/>
      <c r="CD235" s="5207"/>
      <c r="CE235" s="5207"/>
      <c r="CF235" s="5207"/>
      <c r="CG235" s="5207"/>
      <c r="CH235" s="5207"/>
      <c r="CI235" s="5207"/>
      <c r="CJ235" s="5207"/>
      <c r="CK235" s="5207"/>
      <c r="CL235" s="5207"/>
      <c r="CM235" s="5207"/>
      <c r="CN235" s="5207"/>
      <c r="CO235" s="5207"/>
      <c r="CP235" s="5207"/>
      <c r="CQ235" s="5207"/>
      <c r="CR235" s="5207"/>
      <c r="CS235" s="5207"/>
      <c r="CT235" s="5207"/>
      <c r="CU235" s="5207"/>
      <c r="CV235" s="5207"/>
      <c r="CW235" s="5207"/>
      <c r="CX235" s="5207"/>
      <c r="CY235" s="5207"/>
      <c r="CZ235" s="5207"/>
      <c r="DA235" s="5207"/>
      <c r="DB235" s="5207"/>
      <c r="DC235" s="5207"/>
      <c r="DD235" s="5207"/>
      <c r="DE235" s="5207"/>
      <c r="DF235" s="5207"/>
      <c r="DG235" s="5207"/>
      <c r="DH235" s="5207"/>
      <c r="DI235" s="5207"/>
      <c r="DJ235" s="5207"/>
      <c r="DK235" s="5207"/>
      <c r="DL235" s="5207"/>
      <c r="DM235" s="5207"/>
      <c r="DN235" s="5207"/>
      <c r="DO235" s="5207"/>
      <c r="DP235" s="5207"/>
      <c r="DQ235" s="5207"/>
      <c r="DR235" s="5207"/>
      <c r="DS235" s="5207"/>
      <c r="DT235" s="5207"/>
      <c r="DU235" s="5207"/>
      <c r="DV235" s="5207"/>
      <c r="DW235" s="5207"/>
      <c r="DX235" s="5207"/>
      <c r="DY235" s="5207"/>
      <c r="DZ235" s="5207"/>
      <c r="EA235" s="5207"/>
      <c r="EB235" s="5207"/>
      <c r="EC235" s="5207"/>
      <c r="ED235" s="5207"/>
      <c r="EE235" s="5207"/>
      <c r="EF235" s="5207"/>
      <c r="EG235" s="5207"/>
      <c r="EH235" s="5207"/>
      <c r="EI235" s="5207"/>
      <c r="EJ235" s="5207"/>
      <c r="EK235" s="5207"/>
      <c r="EL235" s="5207"/>
      <c r="EM235" s="5207"/>
      <c r="EN235" s="5207"/>
      <c r="EO235" s="5207"/>
      <c r="EP235" s="5207"/>
      <c r="EQ235" s="5207"/>
      <c r="ER235" s="5207"/>
      <c r="ES235" s="5207"/>
      <c r="ET235" s="5207"/>
      <c r="EU235" s="5207"/>
      <c r="EV235" s="5207"/>
      <c r="EW235" s="5207"/>
      <c r="EX235" s="5207"/>
      <c r="EY235" s="5207"/>
      <c r="EZ235" s="5207"/>
      <c r="FA235" s="5207"/>
      <c r="FB235" s="5207"/>
      <c r="FC235" s="5207"/>
      <c r="FD235" s="5207"/>
      <c r="FE235" s="5207"/>
      <c r="FF235" s="5207"/>
      <c r="FG235" s="5207"/>
      <c r="FH235" s="5207"/>
      <c r="FI235" s="5207"/>
      <c r="FJ235" s="5207"/>
      <c r="FK235" s="5207"/>
      <c r="FL235" s="5207"/>
      <c r="FM235" s="5207"/>
      <c r="FN235" s="5207"/>
      <c r="FO235" s="5207"/>
      <c r="FP235" s="5207"/>
      <c r="FQ235" s="5207"/>
      <c r="FR235" s="5207"/>
      <c r="FS235" s="5207"/>
      <c r="FT235" s="5207"/>
      <c r="FU235" s="5207"/>
      <c r="FV235" s="5207"/>
      <c r="FW235" s="5207"/>
      <c r="FX235" s="5207"/>
      <c r="FY235" s="5207"/>
      <c r="FZ235" s="5207"/>
      <c r="GA235" s="5207"/>
      <c r="GB235" s="5207"/>
      <c r="GC235" s="5207"/>
      <c r="GD235" s="5207"/>
      <c r="GE235" s="5207"/>
      <c r="GF235" s="5207"/>
      <c r="GG235" s="5207"/>
      <c r="GH235" s="5207"/>
      <c r="GI235" s="5207"/>
      <c r="GJ235" s="5207"/>
      <c r="GK235" s="5207"/>
      <c r="GL235" s="5207"/>
      <c r="GM235" s="5207"/>
      <c r="GN235" s="5207"/>
      <c r="GO235" s="5207"/>
      <c r="GP235" s="5207"/>
      <c r="GQ235" s="5207"/>
      <c r="GR235" s="5207"/>
      <c r="GS235" s="5207"/>
      <c r="GT235" s="5207"/>
      <c r="GU235" s="5207"/>
      <c r="GV235" s="5207"/>
      <c r="GW235" s="5207"/>
      <c r="GX235" s="5207"/>
      <c r="GY235" s="5207"/>
      <c r="GZ235" s="5207"/>
      <c r="HA235" s="5207"/>
      <c r="HB235" s="5207"/>
      <c r="HC235" s="5207"/>
      <c r="HD235" s="5207"/>
      <c r="HE235" s="5207"/>
      <c r="HF235" s="5207"/>
      <c r="HG235" s="5207"/>
      <c r="HH235" s="5207"/>
      <c r="HI235" s="5207"/>
      <c r="HJ235" s="5207"/>
      <c r="HK235" s="5207"/>
      <c r="HL235" s="5207"/>
      <c r="HM235" s="5207"/>
      <c r="HN235" s="5207"/>
      <c r="HO235" s="5207"/>
      <c r="HP235" s="5207"/>
      <c r="HQ235" s="5207"/>
      <c r="HR235" s="5207"/>
      <c r="HS235" s="5207"/>
      <c r="HT235" s="5207"/>
      <c r="HU235" s="5207"/>
      <c r="HV235" s="5207"/>
      <c r="HW235" s="5207"/>
      <c r="HX235" s="5207"/>
      <c r="HY235" s="5207"/>
      <c r="HZ235" s="5207"/>
      <c r="IA235" s="5207"/>
      <c r="IB235" s="5207"/>
      <c r="IC235" s="5207"/>
      <c r="ID235" s="5207"/>
      <c r="IE235" s="5207"/>
      <c r="IF235" s="5207"/>
      <c r="IG235" s="5207"/>
      <c r="IH235" s="5207"/>
      <c r="II235" s="5207"/>
      <c r="IJ235" s="5207"/>
      <c r="IK235" s="5207"/>
      <c r="IL235" s="5207"/>
      <c r="IM235" s="5207"/>
      <c r="IN235" s="5207"/>
      <c r="IO235" s="5207"/>
      <c r="IP235" s="5207"/>
      <c r="IQ235" s="5207"/>
      <c r="IR235" s="5207"/>
      <c r="IS235" s="5207"/>
      <c r="IT235" s="5207"/>
      <c r="IU235" s="5207"/>
      <c r="IV235" s="5207"/>
      <c r="IW235" s="5207"/>
      <c r="IX235" s="5207"/>
      <c r="IY235" s="5207"/>
      <c r="IZ235" s="5207"/>
      <c r="JA235" s="5207"/>
      <c r="JB235" s="5207"/>
      <c r="JC235" s="5207"/>
      <c r="JD235" s="5207"/>
      <c r="JE235" s="5207"/>
      <c r="JF235" s="5207"/>
      <c r="JG235" s="5207"/>
      <c r="JH235" s="5207"/>
      <c r="JI235" s="5207"/>
      <c r="JJ235" s="5207"/>
      <c r="JK235" s="5207"/>
      <c r="JL235" s="5207"/>
      <c r="JM235" s="5207"/>
      <c r="JN235" s="5207"/>
      <c r="JO235" s="5207"/>
      <c r="JP235" s="5207"/>
      <c r="JQ235" s="5207"/>
      <c r="JR235" s="5207"/>
      <c r="JS235" s="5207"/>
      <c r="JT235" s="5207"/>
      <c r="JU235" s="5207"/>
      <c r="JV235" s="5207"/>
      <c r="JW235" s="5207"/>
      <c r="JX235" s="5207"/>
      <c r="JY235" s="5207"/>
      <c r="JZ235" s="5207"/>
      <c r="KA235" s="5207"/>
      <c r="KB235" s="5207"/>
      <c r="KC235" s="5207"/>
      <c r="KD235" s="5207"/>
      <c r="KE235" s="5207"/>
      <c r="KF235" s="5207"/>
      <c r="KG235" s="5207"/>
      <c r="KH235" s="5207"/>
      <c r="KI235" s="5207"/>
      <c r="KJ235" s="5207"/>
      <c r="KK235" s="5207"/>
      <c r="KL235" s="5207"/>
      <c r="KM235" s="5207"/>
      <c r="KN235" s="5207"/>
      <c r="KO235" s="5207"/>
      <c r="KP235" s="5207"/>
      <c r="KQ235" s="5207"/>
      <c r="KR235" s="5207"/>
      <c r="KS235" s="5207"/>
      <c r="KT235" s="5207"/>
      <c r="KU235" s="5207"/>
      <c r="KV235" s="5207"/>
      <c r="KW235" s="5207"/>
      <c r="KX235" s="5207"/>
      <c r="KY235" s="5207"/>
      <c r="KZ235" s="5207"/>
      <c r="LA235" s="5207"/>
      <c r="LB235" s="5207"/>
      <c r="LC235" s="5207"/>
      <c r="LD235" s="5207"/>
      <c r="LE235" s="5207"/>
      <c r="LF235" s="5207"/>
      <c r="LG235" s="5207"/>
      <c r="LH235" s="5207"/>
      <c r="LI235" s="5207"/>
      <c r="LJ235" s="5207"/>
      <c r="LK235" s="5207"/>
      <c r="LL235" s="5207"/>
      <c r="LM235" s="5207"/>
      <c r="LN235" s="5207"/>
      <c r="LO235" s="5207"/>
      <c r="LP235" s="5207"/>
      <c r="LQ235" s="5207"/>
      <c r="LR235" s="5207"/>
      <c r="LS235" s="5207"/>
      <c r="LT235" s="5207"/>
      <c r="LU235" s="5207"/>
      <c r="LV235" s="5207"/>
      <c r="LW235" s="5207"/>
      <c r="LX235" s="5207"/>
      <c r="LY235" s="5207"/>
      <c r="LZ235" s="5207"/>
      <c r="MA235" s="5207"/>
      <c r="MB235" s="5207"/>
      <c r="MC235" s="5207"/>
      <c r="MD235" s="5207"/>
      <c r="ME235" s="5207"/>
      <c r="MF235" s="5207"/>
      <c r="MG235" s="5207"/>
      <c r="MH235" s="5207"/>
      <c r="MI235" s="5207"/>
      <c r="MJ235" s="5207"/>
      <c r="MK235" s="5207"/>
      <c r="ML235" s="5207"/>
      <c r="MM235" s="5207"/>
      <c r="MN235" s="5207"/>
      <c r="MO235" s="5207"/>
      <c r="MP235" s="5207"/>
      <c r="MQ235" s="5207"/>
      <c r="MR235" s="5207"/>
      <c r="MS235" s="5207"/>
      <c r="MT235" s="5207"/>
      <c r="MU235" s="5207"/>
      <c r="MV235" s="5207"/>
      <c r="MW235" s="5207"/>
      <c r="MX235" s="5207"/>
      <c r="MY235" s="5207"/>
      <c r="MZ235" s="5207"/>
      <c r="NA235" s="5207"/>
      <c r="NB235" s="5207"/>
      <c r="NC235" s="5207"/>
      <c r="ND235" s="5207"/>
      <c r="NE235" s="5207"/>
      <c r="NF235" s="5207"/>
      <c r="NG235" s="5207"/>
      <c r="NH235" s="5207"/>
      <c r="NI235" s="5207"/>
      <c r="NJ235" s="5207"/>
      <c r="NK235" s="5207"/>
      <c r="NL235" s="5207"/>
      <c r="NM235" s="5207"/>
      <c r="NN235" s="5207"/>
      <c r="NO235" s="5207"/>
      <c r="NP235" s="5207"/>
      <c r="NQ235" s="5207"/>
      <c r="NR235" s="5207"/>
      <c r="NS235" s="5207"/>
      <c r="NT235" s="5207"/>
      <c r="NU235" s="5207"/>
      <c r="NV235" s="5207"/>
      <c r="NW235" s="5207"/>
      <c r="NX235" s="5207"/>
      <c r="NY235" s="5207"/>
      <c r="NZ235" s="5207"/>
      <c r="OA235" s="5207"/>
      <c r="OB235" s="5207"/>
      <c r="OC235" s="5207"/>
      <c r="OD235" s="5207"/>
      <c r="OE235" s="5207"/>
      <c r="OF235" s="5207"/>
      <c r="OG235" s="5207"/>
      <c r="OH235" s="5207"/>
      <c r="OI235" s="5207"/>
      <c r="OJ235" s="5207"/>
      <c r="OK235" s="5207"/>
      <c r="OL235" s="5207"/>
      <c r="OM235" s="5207"/>
      <c r="ON235" s="5207"/>
      <c r="OO235" s="5207"/>
      <c r="OP235" s="5207"/>
      <c r="OQ235" s="5207"/>
      <c r="OR235" s="5207"/>
      <c r="OS235" s="5207"/>
      <c r="OT235" s="5207"/>
      <c r="OU235" s="5207"/>
      <c r="OV235" s="5207"/>
      <c r="OW235" s="5207"/>
      <c r="OX235" s="5207"/>
      <c r="OY235" s="5207"/>
      <c r="OZ235" s="5207"/>
      <c r="PA235" s="5207"/>
      <c r="PB235" s="5207"/>
      <c r="PC235" s="5207"/>
      <c r="PD235" s="5207"/>
      <c r="PE235" s="5207"/>
      <c r="PF235" s="5207"/>
      <c r="PG235" s="5207"/>
      <c r="PH235" s="5207"/>
      <c r="PI235" s="5207"/>
      <c r="PJ235" s="5207"/>
      <c r="PK235" s="5207"/>
      <c r="PL235" s="5207"/>
      <c r="PM235" s="5207"/>
      <c r="PN235" s="5207"/>
      <c r="PO235" s="5207"/>
      <c r="PP235" s="5207"/>
      <c r="PQ235" s="5207"/>
      <c r="PR235" s="5207"/>
      <c r="PS235" s="5207"/>
      <c r="PT235" s="5207"/>
      <c r="PU235" s="5207"/>
      <c r="PV235" s="5207"/>
      <c r="PW235" s="5207"/>
      <c r="PX235" s="5207"/>
      <c r="PY235" s="5207"/>
      <c r="PZ235" s="5207"/>
      <c r="QA235" s="5207"/>
      <c r="QB235" s="5207"/>
      <c r="QC235" s="5207"/>
      <c r="QD235" s="5207"/>
      <c r="QE235" s="5207"/>
      <c r="QF235" s="5207"/>
      <c r="QG235" s="5207"/>
      <c r="QH235" s="5207"/>
      <c r="QI235" s="5207"/>
      <c r="QJ235" s="5207"/>
      <c r="QK235" s="5207"/>
      <c r="QL235" s="5207"/>
      <c r="QM235" s="5207"/>
      <c r="QN235" s="5207"/>
      <c r="QO235" s="5207"/>
      <c r="QP235" s="5207"/>
      <c r="QQ235" s="5207"/>
      <c r="QR235" s="5207"/>
      <c r="QS235" s="5207"/>
      <c r="QT235" s="5207"/>
      <c r="QU235" s="5207"/>
      <c r="QV235" s="5207"/>
      <c r="QW235" s="5207"/>
      <c r="QX235" s="5207"/>
      <c r="QY235" s="5207"/>
      <c r="QZ235" s="5207"/>
      <c r="RA235" s="5207"/>
      <c r="RB235" s="5207"/>
      <c r="RC235" s="5207"/>
      <c r="RD235" s="5207"/>
      <c r="RE235" s="5207"/>
      <c r="RF235" s="5207"/>
      <c r="RG235" s="5207"/>
      <c r="RH235" s="5207"/>
      <c r="RI235" s="5207"/>
      <c r="RJ235" s="5207"/>
      <c r="RK235" s="5207"/>
      <c r="RL235" s="5207"/>
      <c r="RM235" s="5207"/>
      <c r="RN235" s="5207"/>
      <c r="RO235" s="5207"/>
      <c r="RP235" s="5207"/>
      <c r="RQ235" s="5207"/>
      <c r="RR235" s="5207"/>
      <c r="RS235" s="5207"/>
      <c r="RT235" s="5207"/>
      <c r="RU235" s="5207"/>
      <c r="RV235" s="5207"/>
      <c r="RW235" s="5207"/>
      <c r="RX235" s="5207"/>
      <c r="RY235" s="5207"/>
      <c r="RZ235" s="5207"/>
      <c r="SA235" s="5207"/>
      <c r="SB235" s="5207"/>
      <c r="SC235" s="5207"/>
      <c r="SD235" s="5207"/>
      <c r="SE235" s="5207"/>
      <c r="SF235" s="5207"/>
      <c r="SG235" s="5207"/>
      <c r="SH235" s="5207"/>
      <c r="SI235" s="5207"/>
      <c r="SJ235" s="5207"/>
      <c r="SK235" s="5207"/>
      <c r="SL235" s="5207"/>
      <c r="SM235" s="5207"/>
      <c r="SN235" s="5207"/>
      <c r="SO235" s="5207"/>
      <c r="SP235" s="5207"/>
      <c r="SQ235" s="5207"/>
      <c r="SR235" s="5207"/>
      <c r="SS235" s="5207"/>
      <c r="ST235" s="5207"/>
      <c r="SU235" s="5207"/>
      <c r="SV235" s="5207"/>
      <c r="SW235" s="5207"/>
      <c r="SX235" s="5207"/>
      <c r="SY235" s="5207"/>
      <c r="SZ235" s="5207"/>
      <c r="TA235" s="5207"/>
      <c r="TB235" s="5207"/>
      <c r="TC235" s="5207"/>
      <c r="TD235" s="5207"/>
      <c r="TE235" s="5207"/>
      <c r="TF235" s="5207"/>
      <c r="TG235" s="5207"/>
      <c r="TH235" s="5207"/>
      <c r="TI235" s="5207"/>
      <c r="TJ235" s="5207"/>
      <c r="TK235" s="5207"/>
      <c r="TL235" s="5207"/>
      <c r="TM235" s="5207"/>
      <c r="TN235" s="5207"/>
      <c r="TO235" s="5207"/>
      <c r="TP235" s="5207"/>
      <c r="TQ235" s="5207"/>
      <c r="TR235" s="5207"/>
      <c r="TS235" s="5207"/>
      <c r="TT235" s="5207"/>
      <c r="TU235" s="5207"/>
      <c r="TV235" s="5207"/>
      <c r="TW235" s="5207"/>
      <c r="TX235" s="5207"/>
      <c r="TY235" s="5207"/>
      <c r="TZ235" s="5207"/>
      <c r="UA235" s="5207"/>
      <c r="UB235" s="5207"/>
      <c r="UC235" s="5207"/>
      <c r="UD235" s="5207"/>
      <c r="UE235" s="5207"/>
      <c r="UF235" s="5207"/>
      <c r="UG235" s="5207"/>
      <c r="UH235" s="5207"/>
      <c r="UI235" s="5207"/>
      <c r="UJ235" s="5207"/>
      <c r="UK235" s="5207"/>
      <c r="UL235" s="5207"/>
      <c r="UM235" s="5207"/>
      <c r="UN235" s="5207"/>
      <c r="UO235" s="5207"/>
      <c r="UP235" s="5207"/>
      <c r="UQ235" s="5207"/>
      <c r="UR235" s="5207"/>
      <c r="US235" s="5207"/>
      <c r="UT235" s="5207"/>
      <c r="UU235" s="5207"/>
      <c r="UV235" s="5207"/>
      <c r="UW235" s="5207"/>
      <c r="UX235" s="5207"/>
      <c r="UY235" s="5207"/>
      <c r="UZ235" s="5207"/>
      <c r="VA235" s="5207"/>
      <c r="VB235" s="5207"/>
      <c r="VC235" s="5207"/>
      <c r="VD235" s="5207"/>
      <c r="VE235" s="5207"/>
      <c r="VF235" s="5207"/>
      <c r="VG235" s="5207"/>
      <c r="VH235" s="5207"/>
      <c r="VI235" s="5207"/>
      <c r="VJ235" s="5207"/>
      <c r="VK235" s="5207"/>
      <c r="VL235" s="5207"/>
      <c r="VM235" s="5207"/>
      <c r="VN235" s="5207"/>
      <c r="VO235" s="5207"/>
      <c r="VP235" s="5207"/>
      <c r="VQ235" s="5207"/>
      <c r="VR235" s="5207"/>
      <c r="VS235" s="5207"/>
      <c r="VT235" s="5207"/>
      <c r="VU235" s="5207"/>
      <c r="VV235" s="5207"/>
      <c r="VW235" s="5207"/>
      <c r="VX235" s="5207"/>
      <c r="VY235" s="5207"/>
      <c r="VZ235" s="5207"/>
      <c r="WA235" s="5207"/>
      <c r="WB235" s="5207"/>
      <c r="WC235" s="5207"/>
      <c r="WD235" s="5207"/>
      <c r="WE235" s="5207"/>
      <c r="WF235" s="5207"/>
      <c r="WG235" s="5207"/>
      <c r="WH235" s="5207"/>
      <c r="WI235" s="5207"/>
      <c r="WJ235" s="5207"/>
      <c r="WK235" s="5207"/>
      <c r="WL235" s="5207"/>
      <c r="WM235" s="5207"/>
      <c r="WN235" s="5207"/>
      <c r="WO235" s="5207"/>
      <c r="WP235" s="5207"/>
      <c r="WQ235" s="5207"/>
      <c r="WR235" s="5207"/>
      <c r="WS235" s="5207"/>
      <c r="WT235" s="5207"/>
      <c r="WU235" s="5207"/>
      <c r="WV235" s="5207"/>
      <c r="WW235" s="5207"/>
      <c r="WX235" s="5207"/>
      <c r="WY235" s="5207"/>
      <c r="WZ235" s="5207"/>
      <c r="XA235" s="5207"/>
      <c r="XB235" s="5207"/>
      <c r="XC235" s="5207"/>
      <c r="XD235" s="5207"/>
      <c r="XE235" s="5207"/>
      <c r="XF235" s="5207"/>
      <c r="XG235" s="5207"/>
      <c r="XH235" s="5207"/>
      <c r="XI235" s="5207"/>
      <c r="XJ235" s="5207"/>
      <c r="XK235" s="5207"/>
      <c r="XL235" s="5207"/>
      <c r="XM235" s="5207"/>
      <c r="XN235" s="5207"/>
      <c r="XO235" s="5207"/>
      <c r="XP235" s="5207"/>
      <c r="XQ235" s="5207"/>
      <c r="XR235" s="5207"/>
      <c r="XS235" s="5207"/>
      <c r="XT235" s="5207"/>
      <c r="XU235" s="5207"/>
      <c r="XV235" s="5207"/>
      <c r="XW235" s="5207"/>
      <c r="XX235" s="5207"/>
      <c r="XY235" s="5207"/>
      <c r="XZ235" s="5207"/>
      <c r="YA235" s="5207"/>
      <c r="YB235" s="5207"/>
      <c r="YC235" s="5207"/>
      <c r="YD235" s="5207"/>
      <c r="YE235" s="5207"/>
      <c r="YF235" s="5207"/>
      <c r="YG235" s="5207"/>
      <c r="YH235" s="5207"/>
      <c r="YI235" s="5207"/>
      <c r="YJ235" s="5207"/>
      <c r="YK235" s="5207"/>
      <c r="YL235" s="5207"/>
      <c r="YM235" s="5207"/>
      <c r="YN235" s="5207"/>
      <c r="YO235" s="5207"/>
      <c r="YP235" s="5207"/>
      <c r="YQ235" s="5207"/>
      <c r="YR235" s="5207"/>
      <c r="YS235" s="5207"/>
      <c r="YT235" s="5207"/>
      <c r="YU235" s="5207"/>
      <c r="YV235" s="5207"/>
      <c r="YW235" s="5207"/>
      <c r="YX235" s="5207"/>
      <c r="YY235" s="5207"/>
      <c r="YZ235" s="5207"/>
      <c r="ZA235" s="5207"/>
      <c r="ZB235" s="5207"/>
      <c r="ZC235" s="5207"/>
      <c r="ZD235" s="5207"/>
      <c r="ZE235" s="5207"/>
      <c r="ZF235" s="5207"/>
      <c r="ZG235" s="5207"/>
      <c r="ZH235" s="5207"/>
      <c r="ZI235" s="5207"/>
      <c r="ZJ235" s="5207"/>
      <c r="ZK235" s="5207"/>
      <c r="ZL235" s="5207"/>
      <c r="ZM235" s="5207"/>
      <c r="ZN235" s="5207"/>
      <c r="ZO235" s="5207"/>
      <c r="ZP235" s="5207"/>
      <c r="ZQ235" s="5207"/>
      <c r="ZR235" s="5207"/>
      <c r="ZS235" s="5207"/>
      <c r="ZT235" s="5207"/>
      <c r="ZU235" s="5207"/>
      <c r="ZV235" s="5207"/>
      <c r="ZW235" s="5207"/>
      <c r="ZX235" s="5207"/>
      <c r="ZY235" s="5207"/>
      <c r="ZZ235" s="5207"/>
      <c r="AAA235" s="5207"/>
      <c r="AAB235" s="5207"/>
      <c r="AAC235" s="5207"/>
      <c r="AAD235" s="5207"/>
      <c r="AAE235" s="5207"/>
      <c r="AAF235" s="5207"/>
      <c r="AAG235" s="5207"/>
      <c r="AAH235" s="5207"/>
      <c r="AAI235" s="5207"/>
      <c r="AAJ235" s="5207"/>
      <c r="AAK235" s="5207"/>
      <c r="AAL235" s="5207"/>
      <c r="AAM235" s="5207"/>
      <c r="AAN235" s="5207"/>
      <c r="AAO235" s="5207"/>
      <c r="AAP235" s="5207"/>
      <c r="AAQ235" s="5207"/>
      <c r="AAR235" s="5207"/>
      <c r="AAS235" s="5207"/>
      <c r="AAT235" s="5207"/>
      <c r="AAU235" s="5207"/>
      <c r="AAV235" s="5207"/>
      <c r="AAW235" s="5207"/>
      <c r="AAX235" s="5207"/>
      <c r="AAY235" s="5207"/>
      <c r="AAZ235" s="5207"/>
      <c r="ABA235" s="5207"/>
      <c r="ABB235" s="5207"/>
      <c r="ABC235" s="5207"/>
      <c r="ABD235" s="5207"/>
      <c r="ABE235" s="5207"/>
      <c r="ABF235" s="5207"/>
      <c r="ABG235" s="5207"/>
      <c r="ABH235" s="5207"/>
      <c r="ABI235" s="5207"/>
      <c r="ABJ235" s="5207"/>
      <c r="ABK235" s="5207"/>
      <c r="ABL235" s="5207"/>
      <c r="ABM235" s="5207"/>
      <c r="ABN235" s="5207"/>
      <c r="ABO235" s="5207"/>
      <c r="ABP235" s="5207"/>
      <c r="ABQ235" s="5207"/>
      <c r="ABR235" s="5207"/>
      <c r="ABS235" s="5207"/>
      <c r="ABT235" s="5207"/>
      <c r="ABU235" s="5207"/>
      <c r="ABV235" s="5207"/>
      <c r="ABW235" s="5207"/>
      <c r="ABX235" s="5207"/>
      <c r="ABY235" s="5207"/>
      <c r="ABZ235" s="5207"/>
      <c r="ACA235" s="5207"/>
      <c r="ACB235" s="5207"/>
      <c r="ACC235" s="5207"/>
      <c r="ACD235" s="5207"/>
      <c r="ACE235" s="5207"/>
      <c r="ACF235" s="5207"/>
      <c r="ACG235" s="5207"/>
      <c r="ACH235" s="5207"/>
      <c r="ACI235" s="5207"/>
      <c r="ACJ235" s="5207"/>
      <c r="ACK235" s="5207"/>
      <c r="ACL235" s="5207"/>
      <c r="ACM235" s="5207"/>
      <c r="ACN235" s="5207"/>
      <c r="ACO235" s="5207"/>
      <c r="ACP235" s="5207"/>
      <c r="ACQ235" s="5207"/>
      <c r="ACR235" s="5207"/>
      <c r="ACS235" s="5207"/>
      <c r="ACT235" s="5207"/>
      <c r="ACU235" s="5207"/>
      <c r="ACV235" s="5207"/>
      <c r="ACW235" s="5207"/>
      <c r="ACX235" s="5207"/>
      <c r="ACY235" s="5207"/>
      <c r="ACZ235" s="5207"/>
      <c r="ADA235" s="5207"/>
      <c r="ADB235" s="5207"/>
      <c r="ADC235" s="5207"/>
      <c r="ADD235" s="5207"/>
      <c r="ADE235" s="5207"/>
      <c r="ADF235" s="5207"/>
      <c r="ADG235" s="5207"/>
      <c r="ADH235" s="5207"/>
      <c r="ADI235" s="5207"/>
      <c r="ADJ235" s="5207"/>
      <c r="ADK235" s="5207"/>
      <c r="ADL235" s="5207"/>
      <c r="ADM235" s="5207"/>
      <c r="ADN235" s="5207"/>
      <c r="ADO235" s="5207"/>
      <c r="ADP235" s="5207"/>
      <c r="ADQ235" s="5207"/>
      <c r="ADR235" s="5207"/>
      <c r="ADS235" s="5207"/>
      <c r="ADT235" s="5207"/>
      <c r="ADU235" s="5207"/>
      <c r="ADV235" s="5207"/>
      <c r="ADW235" s="5207"/>
      <c r="ADX235" s="5207"/>
      <c r="ADY235" s="5207"/>
      <c r="ADZ235" s="5207"/>
      <c r="AEA235" s="5207"/>
      <c r="AEB235" s="5207"/>
      <c r="AEC235" s="5207"/>
      <c r="AED235" s="5207"/>
      <c r="AEE235" s="5207"/>
      <c r="AEF235" s="5207"/>
      <c r="AEG235" s="5207"/>
      <c r="AEH235" s="5207"/>
      <c r="AEI235" s="5207"/>
      <c r="AEJ235" s="5207"/>
      <c r="AEK235" s="5207"/>
      <c r="AEL235" s="5207"/>
      <c r="AEM235" s="5207"/>
      <c r="AEN235" s="5207"/>
      <c r="AEO235" s="5207"/>
      <c r="AEP235" s="5207"/>
      <c r="AEQ235" s="5207"/>
      <c r="AER235" s="5207"/>
      <c r="AES235" s="5207"/>
      <c r="AET235" s="5207"/>
      <c r="AEU235" s="5207"/>
      <c r="AEV235" s="5207"/>
      <c r="AEW235" s="5207"/>
      <c r="AEX235" s="5207"/>
      <c r="AEY235" s="5207"/>
      <c r="AEZ235" s="5207"/>
      <c r="AFA235" s="5207"/>
      <c r="AFB235" s="5207"/>
      <c r="AFC235" s="5207"/>
      <c r="AFD235" s="5207"/>
      <c r="AFE235" s="5207"/>
      <c r="AFF235" s="5207"/>
      <c r="AFG235" s="5207"/>
      <c r="AFH235" s="5207"/>
      <c r="AFI235" s="5207"/>
      <c r="AFJ235" s="5207"/>
      <c r="AFK235" s="5207"/>
      <c r="AFL235" s="5207"/>
      <c r="AFM235" s="5207"/>
      <c r="AFN235" s="5207"/>
      <c r="AFO235" s="5207"/>
      <c r="AFP235" s="5207"/>
      <c r="AFQ235" s="5207"/>
      <c r="AFR235" s="5207"/>
      <c r="AFS235" s="5207"/>
      <c r="AFT235" s="5207"/>
      <c r="AFU235" s="5207"/>
      <c r="AFV235" s="5207"/>
      <c r="AFW235" s="5207"/>
      <c r="AFX235" s="5207"/>
      <c r="AFY235" s="5207"/>
      <c r="AFZ235" s="5207"/>
      <c r="AGA235" s="5207"/>
      <c r="AGB235" s="5207"/>
      <c r="AGC235" s="5207"/>
      <c r="AGD235" s="5207"/>
      <c r="AGE235" s="5207"/>
      <c r="AGF235" s="5207"/>
      <c r="AGG235" s="5207"/>
      <c r="AGH235" s="5207"/>
      <c r="AGI235" s="5207"/>
      <c r="AGJ235" s="5207"/>
      <c r="AGK235" s="5207"/>
      <c r="AGL235" s="5207"/>
      <c r="AGM235" s="5207"/>
      <c r="AGN235" s="5207"/>
      <c r="AGO235" s="5207"/>
      <c r="AGP235" s="5207"/>
      <c r="AGQ235" s="5207"/>
      <c r="AGR235" s="5207"/>
      <c r="AGS235" s="5207"/>
      <c r="AGT235" s="5207"/>
      <c r="AGU235" s="5207"/>
      <c r="AGV235" s="5207"/>
      <c r="AGW235" s="5207"/>
      <c r="AGX235" s="5207"/>
      <c r="AGY235" s="5207"/>
      <c r="AGZ235" s="5207"/>
      <c r="AHA235" s="5207"/>
      <c r="AHB235" s="5207"/>
      <c r="AHC235" s="5207"/>
      <c r="AHD235" s="5207"/>
      <c r="AHE235" s="5207"/>
      <c r="AHF235" s="5207"/>
      <c r="AHG235" s="5207"/>
      <c r="AHH235" s="5207"/>
      <c r="AHI235" s="5207"/>
      <c r="AHJ235" s="5207"/>
      <c r="AHK235" s="5207"/>
      <c r="AHL235" s="5207"/>
      <c r="AHM235" s="5207"/>
      <c r="AHN235" s="5207"/>
      <c r="AHO235" s="5207"/>
      <c r="AHP235" s="5207"/>
      <c r="AHQ235" s="5207"/>
      <c r="AHR235" s="5207"/>
      <c r="AHS235" s="5207"/>
      <c r="AHT235" s="5207"/>
      <c r="AHU235" s="5207"/>
      <c r="AHV235" s="5207"/>
      <c r="AHW235" s="5207"/>
      <c r="AHX235" s="5207"/>
      <c r="AHY235" s="5207"/>
      <c r="AHZ235" s="5207"/>
      <c r="AIA235" s="5207"/>
      <c r="AIB235" s="5207"/>
      <c r="AIC235" s="5207"/>
      <c r="AID235" s="5207"/>
      <c r="AIE235" s="5207"/>
      <c r="AIF235" s="5207"/>
      <c r="AIG235" s="5207"/>
      <c r="AIH235" s="5207"/>
      <c r="AII235" s="5207"/>
      <c r="AIJ235" s="5207"/>
      <c r="AIK235" s="5207"/>
      <c r="AIL235" s="5207"/>
      <c r="AIM235" s="5207"/>
      <c r="AIN235" s="5207"/>
      <c r="AIO235" s="5207"/>
      <c r="AIP235" s="5207"/>
      <c r="AIQ235" s="5207"/>
      <c r="AIR235" s="5207"/>
      <c r="AIS235" s="5207"/>
      <c r="AIT235" s="5207"/>
      <c r="AIU235" s="5207"/>
      <c r="AIV235" s="5207"/>
      <c r="AIW235" s="5207"/>
      <c r="AIX235" s="5207"/>
      <c r="AIY235" s="5207"/>
      <c r="AIZ235" s="5207"/>
      <c r="AJA235" s="5207"/>
      <c r="AJB235" s="5207"/>
      <c r="AJC235" s="5207"/>
      <c r="AJD235" s="5207"/>
      <c r="AJE235" s="5207"/>
      <c r="AJF235" s="5207"/>
      <c r="AJG235" s="5207"/>
      <c r="AJH235" s="5207"/>
      <c r="AJI235" s="5207"/>
      <c r="AJJ235" s="5207"/>
      <c r="AJK235" s="5207"/>
      <c r="AJL235" s="5207"/>
      <c r="AJM235" s="5207"/>
      <c r="AJN235" s="5207"/>
      <c r="AJO235" s="5207"/>
      <c r="AJP235" s="5207"/>
      <c r="AJQ235" s="5207"/>
      <c r="AJR235" s="5207"/>
      <c r="AJS235" s="5207"/>
      <c r="AJT235" s="5207"/>
      <c r="AJU235" s="5207"/>
      <c r="AJV235" s="5207"/>
      <c r="AJW235" s="5207"/>
      <c r="AJX235" s="5207"/>
      <c r="AJY235" s="5207"/>
      <c r="AJZ235" s="5207"/>
      <c r="AKA235" s="5207"/>
      <c r="AKB235" s="5207"/>
      <c r="AKC235" s="5207"/>
      <c r="AKD235" s="5207"/>
      <c r="AKE235" s="5207"/>
      <c r="AKF235" s="5207"/>
      <c r="AKG235" s="5207"/>
      <c r="AKH235" s="5207"/>
      <c r="AKI235" s="5207"/>
      <c r="AKJ235" s="5207"/>
      <c r="AKK235" s="5207"/>
      <c r="AKL235" s="5207"/>
      <c r="AKM235" s="5207"/>
      <c r="AKN235" s="5207"/>
      <c r="AKO235" s="5207"/>
      <c r="AKP235" s="5207"/>
      <c r="AKQ235" s="5207"/>
      <c r="AKR235" s="5207"/>
      <c r="AKS235" s="5207"/>
      <c r="AKT235" s="5207"/>
      <c r="AKU235" s="5207"/>
      <c r="AKV235" s="5207"/>
      <c r="AKW235" s="5207"/>
      <c r="AKX235" s="5207"/>
      <c r="AKY235" s="5207"/>
      <c r="AKZ235" s="5207"/>
      <c r="ALA235" s="5207"/>
      <c r="ALB235" s="5207"/>
      <c r="ALC235" s="5207"/>
      <c r="ALD235" s="5207"/>
      <c r="ALE235" s="5207"/>
      <c r="ALF235" s="5207"/>
      <c r="ALG235" s="5207"/>
      <c r="ALH235" s="5207"/>
      <c r="ALI235" s="5207"/>
      <c r="ALJ235" s="5207"/>
      <c r="ALK235" s="5207"/>
      <c r="ALL235" s="5207"/>
      <c r="ALM235" s="5207"/>
      <c r="ALN235" s="5207"/>
      <c r="ALO235" s="5207"/>
      <c r="ALP235" s="5207"/>
      <c r="ALQ235" s="5207"/>
      <c r="ALR235" s="5207"/>
      <c r="ALS235" s="5207"/>
      <c r="ALT235" s="5207"/>
      <c r="ALU235" s="5207"/>
      <c r="ALV235" s="5207"/>
      <c r="ALW235" s="5207"/>
      <c r="ALX235" s="5207"/>
      <c r="ALY235" s="5207"/>
      <c r="ALZ235" s="5207"/>
      <c r="AMA235" s="5207"/>
      <c r="AMB235" s="5207"/>
      <c r="AMC235" s="5207"/>
      <c r="AMD235" s="5207"/>
      <c r="AME235" s="5207"/>
      <c r="AMF235" s="5207"/>
      <c r="AMG235" s="5207"/>
      <c r="AMH235" s="5207"/>
      <c r="AMI235" s="5207"/>
      <c r="AMJ235" s="5207"/>
      <c r="AMK235" s="5207"/>
      <c r="AML235" s="5207"/>
      <c r="AMM235" s="5207"/>
      <c r="AMN235" s="5207"/>
      <c r="AMO235" s="5207"/>
      <c r="AMP235" s="5207"/>
      <c r="AMQ235" s="5207"/>
      <c r="AMR235" s="5207"/>
      <c r="AMS235" s="5207"/>
      <c r="AMT235" s="5207"/>
      <c r="AMU235" s="5207"/>
      <c r="AMV235" s="5207"/>
      <c r="AMW235" s="5207"/>
      <c r="AMX235" s="5207"/>
      <c r="AMY235" s="5207"/>
      <c r="AMZ235" s="5207"/>
      <c r="ANA235" s="5207"/>
      <c r="ANB235" s="5207"/>
      <c r="ANC235" s="5207"/>
      <c r="AND235" s="5207"/>
      <c r="ANE235" s="5207"/>
      <c r="ANF235" s="5207"/>
      <c r="ANG235" s="5207"/>
      <c r="ANH235" s="5207"/>
      <c r="ANI235" s="5207"/>
      <c r="ANJ235" s="5207"/>
      <c r="ANK235" s="5207"/>
      <c r="ANL235" s="5207"/>
      <c r="ANM235" s="5207"/>
      <c r="ANN235" s="5207"/>
      <c r="ANO235" s="5207"/>
      <c r="ANP235" s="5207"/>
      <c r="ANQ235" s="5207"/>
      <c r="ANR235" s="5207"/>
      <c r="ANS235" s="5207"/>
      <c r="ANT235" s="5207"/>
      <c r="ANU235" s="5207"/>
      <c r="ANV235" s="5207"/>
      <c r="ANW235" s="5207"/>
      <c r="ANX235" s="5207"/>
      <c r="ANY235" s="5207"/>
      <c r="ANZ235" s="5207"/>
      <c r="AOA235" s="5207"/>
      <c r="AOB235" s="5207"/>
      <c r="AOC235" s="5207"/>
      <c r="AOD235" s="5207"/>
      <c r="AOE235" s="5207"/>
      <c r="AOF235" s="5207"/>
      <c r="AOG235" s="5207"/>
      <c r="AOH235" s="5207"/>
      <c r="AOI235" s="5207"/>
      <c r="AOJ235" s="5207"/>
      <c r="AOK235" s="5207"/>
      <c r="AOL235" s="5207"/>
      <c r="AOM235" s="5207"/>
      <c r="AON235" s="5207"/>
      <c r="AOO235" s="5207"/>
      <c r="AOP235" s="5207"/>
      <c r="AOQ235" s="5207"/>
      <c r="AOR235" s="5207"/>
      <c r="AOS235" s="5207"/>
      <c r="AOT235" s="5207"/>
      <c r="AOU235" s="5207"/>
      <c r="AOV235" s="5207"/>
      <c r="AOW235" s="5207"/>
      <c r="AOX235" s="5207"/>
      <c r="AOY235" s="5207"/>
      <c r="AOZ235" s="5207"/>
      <c r="APA235" s="5207"/>
      <c r="APB235" s="5207"/>
      <c r="APC235" s="5207"/>
      <c r="APD235" s="5207"/>
      <c r="APE235" s="5207"/>
      <c r="APF235" s="5207"/>
      <c r="APG235" s="5207"/>
      <c r="APH235" s="5207"/>
      <c r="API235" s="5207"/>
      <c r="APJ235" s="5207"/>
      <c r="APK235" s="5207"/>
      <c r="APL235" s="5207"/>
      <c r="APM235" s="5207"/>
      <c r="APN235" s="5207"/>
      <c r="APO235" s="5207"/>
      <c r="APP235" s="5207"/>
      <c r="APQ235" s="5207"/>
      <c r="APR235" s="5207"/>
      <c r="APS235" s="5207"/>
      <c r="APT235" s="5207"/>
      <c r="APU235" s="5207"/>
      <c r="APV235" s="5207"/>
      <c r="APW235" s="5207"/>
      <c r="APX235" s="5207"/>
      <c r="APY235" s="5207"/>
      <c r="APZ235" s="5207"/>
      <c r="AQA235" s="5207"/>
      <c r="AQB235" s="5207"/>
      <c r="AQC235" s="5207"/>
      <c r="AQD235" s="5207"/>
      <c r="AQE235" s="5207"/>
      <c r="AQF235" s="5207"/>
      <c r="AQG235" s="5207"/>
      <c r="AQH235" s="5207"/>
      <c r="AQI235" s="5207"/>
      <c r="AQJ235" s="5207"/>
      <c r="AQK235" s="5207"/>
      <c r="AQL235" s="5207"/>
      <c r="AQM235" s="5207"/>
      <c r="AQN235" s="5207"/>
      <c r="AQO235" s="5207"/>
      <c r="AQP235" s="5207"/>
      <c r="AQQ235" s="5207"/>
      <c r="AQR235" s="5207"/>
      <c r="AQS235" s="5207"/>
      <c r="AQT235" s="5207"/>
      <c r="AQU235" s="5207"/>
      <c r="AQV235" s="5207"/>
      <c r="AQW235" s="5207"/>
      <c r="AQX235" s="5207"/>
      <c r="AQY235" s="5207"/>
      <c r="AQZ235" s="5207"/>
      <c r="ARA235" s="5207"/>
      <c r="ARB235" s="5207"/>
      <c r="ARC235" s="5207"/>
      <c r="ARD235" s="5207"/>
      <c r="ARE235" s="5207"/>
      <c r="ARF235" s="5207"/>
      <c r="ARG235" s="5207"/>
      <c r="ARH235" s="5207"/>
      <c r="ARI235" s="5207"/>
      <c r="ARJ235" s="5207"/>
      <c r="ARK235" s="5207"/>
      <c r="ARL235" s="5207"/>
      <c r="ARM235" s="5207"/>
      <c r="ARN235" s="5207"/>
      <c r="ARO235" s="5207"/>
      <c r="ARP235" s="5207"/>
      <c r="ARQ235" s="5207"/>
      <c r="ARR235" s="5207"/>
      <c r="ARS235" s="5207"/>
      <c r="ART235" s="5207"/>
      <c r="ARU235" s="5207"/>
      <c r="ARV235" s="5207"/>
      <c r="ARW235" s="5207"/>
      <c r="ARX235" s="5207"/>
      <c r="ARY235" s="5207"/>
      <c r="ARZ235" s="5207"/>
      <c r="ASA235" s="5207"/>
      <c r="ASB235" s="5207"/>
      <c r="ASC235" s="5207"/>
      <c r="ASD235" s="5207"/>
      <c r="ASE235" s="5207"/>
      <c r="ASF235" s="5207"/>
      <c r="ASG235" s="5207"/>
      <c r="ASH235" s="5207"/>
      <c r="ASI235" s="5207"/>
      <c r="ASJ235" s="5207"/>
      <c r="ASK235" s="5207"/>
      <c r="ASL235" s="5207"/>
      <c r="ASM235" s="5207"/>
      <c r="ASN235" s="5207"/>
      <c r="ASO235" s="5207"/>
      <c r="ASP235" s="5207"/>
      <c r="ASQ235" s="5207"/>
      <c r="ASR235" s="5207"/>
      <c r="ASS235" s="5207"/>
      <c r="AST235" s="5207"/>
      <c r="ASU235" s="5207"/>
      <c r="ASV235" s="5207"/>
      <c r="ASW235" s="5207"/>
      <c r="ASX235" s="5207"/>
      <c r="ASY235" s="5207"/>
      <c r="ASZ235" s="5207"/>
      <c r="ATA235" s="5207"/>
      <c r="ATB235" s="5207"/>
      <c r="ATC235" s="5207"/>
      <c r="ATD235" s="5207"/>
      <c r="ATE235" s="5207"/>
      <c r="ATF235" s="5207"/>
      <c r="ATG235" s="5207"/>
      <c r="ATH235" s="5207"/>
      <c r="ATI235" s="5207"/>
      <c r="ATJ235" s="5207"/>
      <c r="ATK235" s="5207"/>
      <c r="ATL235" s="5207"/>
      <c r="ATM235" s="5207"/>
      <c r="ATN235" s="5207"/>
      <c r="ATO235" s="5207"/>
      <c r="ATP235" s="5207"/>
      <c r="ATQ235" s="5207"/>
      <c r="ATR235" s="5207"/>
      <c r="ATS235" s="5207"/>
      <c r="ATT235" s="5207"/>
      <c r="ATU235" s="5207"/>
      <c r="ATV235" s="5207"/>
      <c r="ATW235" s="5207"/>
      <c r="ATX235" s="5207"/>
      <c r="ATY235" s="5207"/>
      <c r="ATZ235" s="5207"/>
      <c r="AUA235" s="5207"/>
      <c r="AUB235" s="5207"/>
      <c r="AUC235" s="5207"/>
      <c r="AUD235" s="5207"/>
      <c r="AUE235" s="5207"/>
      <c r="AUF235" s="5207"/>
      <c r="AUG235" s="5207"/>
      <c r="AUH235" s="5207"/>
      <c r="AUI235" s="5207"/>
      <c r="AUJ235" s="5207"/>
      <c r="AUK235" s="5207"/>
      <c r="AUL235" s="5207"/>
      <c r="AUM235" s="5207"/>
      <c r="AUN235" s="5207"/>
      <c r="AUO235" s="5207"/>
      <c r="AUP235" s="5207"/>
      <c r="AUQ235" s="5207"/>
      <c r="AUR235" s="5207"/>
      <c r="AUS235" s="5207"/>
      <c r="AUT235" s="5207"/>
      <c r="AUU235" s="5207"/>
      <c r="AUV235" s="5207"/>
      <c r="AUW235" s="5207"/>
      <c r="AUX235" s="5207"/>
      <c r="AUY235" s="5207"/>
      <c r="AUZ235" s="5207"/>
      <c r="AVA235" s="5207"/>
      <c r="AVB235" s="5207"/>
      <c r="AVC235" s="5207"/>
      <c r="AVD235" s="5207"/>
      <c r="AVE235" s="5207"/>
      <c r="AVF235" s="5207"/>
      <c r="AVG235" s="5207"/>
      <c r="AVH235" s="5207"/>
      <c r="AVI235" s="5207"/>
      <c r="AVJ235" s="5207"/>
      <c r="AVK235" s="5207"/>
      <c r="AVL235" s="5207"/>
      <c r="AVM235" s="5207"/>
      <c r="AVN235" s="5207"/>
      <c r="AVO235" s="5207"/>
      <c r="AVP235" s="5207"/>
      <c r="AVQ235" s="5207"/>
      <c r="AVR235" s="5207"/>
      <c r="AVS235" s="5207"/>
      <c r="AVT235" s="5207"/>
      <c r="AVU235" s="5207"/>
      <c r="AVV235" s="5207"/>
      <c r="AVW235" s="5207"/>
      <c r="AVX235" s="5207"/>
      <c r="AVY235" s="5207"/>
      <c r="AVZ235" s="5207"/>
      <c r="AWA235" s="5207"/>
      <c r="AWB235" s="5207"/>
      <c r="AWC235" s="5207"/>
      <c r="AWD235" s="5207"/>
      <c r="AWE235" s="5207"/>
      <c r="AWF235" s="5207"/>
      <c r="AWG235" s="5207"/>
      <c r="AWH235" s="5207"/>
      <c r="AWI235" s="5207"/>
      <c r="AWJ235" s="5207"/>
      <c r="AWK235" s="5207"/>
      <c r="AWL235" s="5207"/>
      <c r="AWM235" s="5207"/>
      <c r="AWN235" s="5207"/>
      <c r="AWO235" s="5207"/>
      <c r="AWP235" s="5207"/>
      <c r="AWQ235" s="5207"/>
      <c r="AWR235" s="5207"/>
      <c r="AWS235" s="5207"/>
      <c r="AWT235" s="5207"/>
      <c r="AWU235" s="5207"/>
      <c r="AWV235" s="5207"/>
      <c r="AWW235" s="5207"/>
      <c r="AWX235" s="5207"/>
      <c r="AWY235" s="5207"/>
      <c r="AWZ235" s="5207"/>
      <c r="AXA235" s="5207"/>
      <c r="AXB235" s="5207"/>
      <c r="AXC235" s="5207"/>
      <c r="AXD235" s="5207"/>
      <c r="AXE235" s="5207"/>
      <c r="AXF235" s="5207"/>
      <c r="AXG235" s="5207"/>
      <c r="AXH235" s="5207"/>
      <c r="AXI235" s="5207"/>
      <c r="AXJ235" s="5207"/>
    </row>
    <row r="236" spans="1:1310" s="5208" customFormat="1" ht="56.25" customHeight="1">
      <c r="A236" s="5209"/>
      <c r="B236" s="4476" t="s">
        <v>901</v>
      </c>
      <c r="C236" s="4476"/>
      <c r="D236" s="4476"/>
      <c r="E236" s="4476"/>
      <c r="F236" s="5214"/>
      <c r="G236" s="4477" t="s">
        <v>901</v>
      </c>
      <c r="H236" s="4477"/>
      <c r="I236" s="4477"/>
      <c r="J236" s="5219"/>
      <c r="K236" s="4478" t="s">
        <v>902</v>
      </c>
      <c r="L236" s="4478"/>
      <c r="M236" s="4478"/>
      <c r="N236" s="5219"/>
      <c r="O236" s="4479" t="s">
        <v>903</v>
      </c>
      <c r="P236" s="4479"/>
      <c r="Q236" s="4479"/>
      <c r="R236" s="95"/>
      <c r="S236" s="95"/>
      <c r="T236" s="95"/>
      <c r="U236" s="95"/>
      <c r="V236" s="95"/>
      <c r="W236" s="95"/>
      <c r="X236" s="95"/>
      <c r="Y236" s="95"/>
      <c r="Z236" s="95"/>
      <c r="AA236" s="95"/>
      <c r="AB236" s="95"/>
      <c r="AC236" s="95"/>
      <c r="AD236" s="5207"/>
      <c r="AE236" s="5207"/>
      <c r="AF236" s="5207"/>
      <c r="AG236" s="5207"/>
      <c r="AH236" s="5207"/>
      <c r="AI236" s="5207"/>
      <c r="AJ236" s="5207"/>
      <c r="AK236" s="5207"/>
      <c r="AL236" s="5207"/>
      <c r="AM236" s="5207"/>
      <c r="AN236" s="5207"/>
      <c r="AO236" s="5207"/>
      <c r="AP236" s="5207"/>
      <c r="AQ236" s="5207"/>
      <c r="AR236" s="5207"/>
      <c r="AS236" s="5207"/>
      <c r="AT236" s="5207"/>
      <c r="AU236" s="5207"/>
      <c r="AV236" s="5207"/>
      <c r="AW236" s="5207"/>
      <c r="AX236" s="5207"/>
      <c r="AY236" s="5207"/>
      <c r="AZ236" s="5207"/>
      <c r="BA236" s="5207"/>
      <c r="BB236" s="5207"/>
      <c r="BC236" s="5207"/>
      <c r="BD236" s="5207"/>
      <c r="BE236" s="5207"/>
      <c r="BF236" s="5207"/>
      <c r="BG236" s="5207"/>
      <c r="BH236" s="5207"/>
      <c r="BI236" s="5207"/>
      <c r="BJ236" s="5207"/>
      <c r="BK236" s="5207"/>
      <c r="BL236" s="5207"/>
      <c r="BM236" s="5207"/>
      <c r="BN236" s="5207"/>
      <c r="BO236" s="5207"/>
      <c r="BP236" s="5207"/>
      <c r="BQ236" s="5207"/>
      <c r="BR236" s="5207"/>
      <c r="BS236" s="5207"/>
      <c r="BT236" s="5207"/>
      <c r="BU236" s="5207"/>
      <c r="BV236" s="5207"/>
      <c r="BW236" s="5207"/>
      <c r="BX236" s="5207"/>
      <c r="BY236" s="5207"/>
      <c r="BZ236" s="5207"/>
      <c r="CA236" s="5207"/>
      <c r="CB236" s="5207"/>
      <c r="CC236" s="5207"/>
      <c r="CD236" s="5207"/>
      <c r="CE236" s="5207"/>
      <c r="CF236" s="5207"/>
      <c r="CG236" s="5207"/>
      <c r="CH236" s="5207"/>
      <c r="CI236" s="5207"/>
      <c r="CJ236" s="5207"/>
      <c r="CK236" s="5207"/>
      <c r="CL236" s="5207"/>
      <c r="CM236" s="5207"/>
      <c r="CN236" s="5207"/>
      <c r="CO236" s="5207"/>
      <c r="CP236" s="5207"/>
      <c r="CQ236" s="5207"/>
      <c r="CR236" s="5207"/>
      <c r="CS236" s="5207"/>
      <c r="CT236" s="5207"/>
      <c r="CU236" s="5207"/>
      <c r="CV236" s="5207"/>
      <c r="CW236" s="5207"/>
      <c r="CX236" s="5207"/>
      <c r="CY236" s="5207"/>
      <c r="CZ236" s="5207"/>
      <c r="DA236" s="5207"/>
      <c r="DB236" s="5207"/>
      <c r="DC236" s="5207"/>
      <c r="DD236" s="5207"/>
      <c r="DE236" s="5207"/>
      <c r="DF236" s="5207"/>
      <c r="DG236" s="5207"/>
      <c r="DH236" s="5207"/>
      <c r="DI236" s="5207"/>
      <c r="DJ236" s="5207"/>
      <c r="DK236" s="5207"/>
      <c r="DL236" s="5207"/>
      <c r="DM236" s="5207"/>
      <c r="DN236" s="5207"/>
      <c r="DO236" s="5207"/>
      <c r="DP236" s="5207"/>
      <c r="DQ236" s="5207"/>
      <c r="DR236" s="5207"/>
      <c r="DS236" s="5207"/>
      <c r="DT236" s="5207"/>
      <c r="DU236" s="5207"/>
      <c r="DV236" s="5207"/>
      <c r="DW236" s="5207"/>
      <c r="DX236" s="5207"/>
      <c r="DY236" s="5207"/>
      <c r="DZ236" s="5207"/>
      <c r="EA236" s="5207"/>
      <c r="EB236" s="5207"/>
      <c r="EC236" s="5207"/>
      <c r="ED236" s="5207"/>
      <c r="EE236" s="5207"/>
      <c r="EF236" s="5207"/>
      <c r="EG236" s="5207"/>
      <c r="EH236" s="5207"/>
      <c r="EI236" s="5207"/>
      <c r="EJ236" s="5207"/>
      <c r="EK236" s="5207"/>
      <c r="EL236" s="5207"/>
      <c r="EM236" s="5207"/>
      <c r="EN236" s="5207"/>
      <c r="EO236" s="5207"/>
      <c r="EP236" s="5207"/>
      <c r="EQ236" s="5207"/>
      <c r="ER236" s="5207"/>
      <c r="ES236" s="5207"/>
      <c r="ET236" s="5207"/>
      <c r="EU236" s="5207"/>
      <c r="EV236" s="5207"/>
      <c r="EW236" s="5207"/>
      <c r="EX236" s="5207"/>
      <c r="EY236" s="5207"/>
      <c r="EZ236" s="5207"/>
      <c r="FA236" s="5207"/>
      <c r="FB236" s="5207"/>
      <c r="FC236" s="5207"/>
      <c r="FD236" s="5207"/>
      <c r="FE236" s="5207"/>
      <c r="FF236" s="5207"/>
      <c r="FG236" s="5207"/>
      <c r="FH236" s="5207"/>
      <c r="FI236" s="5207"/>
      <c r="FJ236" s="5207"/>
      <c r="FK236" s="5207"/>
      <c r="FL236" s="5207"/>
      <c r="FM236" s="5207"/>
      <c r="FN236" s="5207"/>
      <c r="FO236" s="5207"/>
      <c r="FP236" s="5207"/>
      <c r="FQ236" s="5207"/>
      <c r="FR236" s="5207"/>
      <c r="FS236" s="5207"/>
      <c r="FT236" s="5207"/>
      <c r="FU236" s="5207"/>
      <c r="FV236" s="5207"/>
      <c r="FW236" s="5207"/>
      <c r="FX236" s="5207"/>
      <c r="FY236" s="5207"/>
      <c r="FZ236" s="5207"/>
      <c r="GA236" s="5207"/>
      <c r="GB236" s="5207"/>
      <c r="GC236" s="5207"/>
      <c r="GD236" s="5207"/>
      <c r="GE236" s="5207"/>
      <c r="GF236" s="5207"/>
      <c r="GG236" s="5207"/>
      <c r="GH236" s="5207"/>
      <c r="GI236" s="5207"/>
      <c r="GJ236" s="5207"/>
      <c r="GK236" s="5207"/>
      <c r="GL236" s="5207"/>
      <c r="GM236" s="5207"/>
      <c r="GN236" s="5207"/>
      <c r="GO236" s="5207"/>
      <c r="GP236" s="5207"/>
      <c r="GQ236" s="5207"/>
      <c r="GR236" s="5207"/>
      <c r="GS236" s="5207"/>
      <c r="GT236" s="5207"/>
      <c r="GU236" s="5207"/>
      <c r="GV236" s="5207"/>
      <c r="GW236" s="5207"/>
      <c r="GX236" s="5207"/>
      <c r="GY236" s="5207"/>
      <c r="GZ236" s="5207"/>
      <c r="HA236" s="5207"/>
      <c r="HB236" s="5207"/>
      <c r="HC236" s="5207"/>
      <c r="HD236" s="5207"/>
      <c r="HE236" s="5207"/>
      <c r="HF236" s="5207"/>
      <c r="HG236" s="5207"/>
      <c r="HH236" s="5207"/>
      <c r="HI236" s="5207"/>
      <c r="HJ236" s="5207"/>
      <c r="HK236" s="5207"/>
      <c r="HL236" s="5207"/>
      <c r="HM236" s="5207"/>
      <c r="HN236" s="5207"/>
      <c r="HO236" s="5207"/>
      <c r="HP236" s="5207"/>
      <c r="HQ236" s="5207"/>
      <c r="HR236" s="5207"/>
      <c r="HS236" s="5207"/>
      <c r="HT236" s="5207"/>
      <c r="HU236" s="5207"/>
      <c r="HV236" s="5207"/>
      <c r="HW236" s="5207"/>
      <c r="HX236" s="5207"/>
      <c r="HY236" s="5207"/>
      <c r="HZ236" s="5207"/>
      <c r="IA236" s="5207"/>
      <c r="IB236" s="5207"/>
      <c r="IC236" s="5207"/>
      <c r="ID236" s="5207"/>
      <c r="IE236" s="5207"/>
      <c r="IF236" s="5207"/>
      <c r="IG236" s="5207"/>
      <c r="IH236" s="5207"/>
      <c r="II236" s="5207"/>
      <c r="IJ236" s="5207"/>
      <c r="IK236" s="5207"/>
      <c r="IL236" s="5207"/>
      <c r="IM236" s="5207"/>
      <c r="IN236" s="5207"/>
      <c r="IO236" s="5207"/>
      <c r="IP236" s="5207"/>
      <c r="IQ236" s="5207"/>
      <c r="IR236" s="5207"/>
      <c r="IS236" s="5207"/>
      <c r="IT236" s="5207"/>
      <c r="IU236" s="5207"/>
      <c r="IV236" s="5207"/>
      <c r="IW236" s="5207"/>
      <c r="IX236" s="5207"/>
      <c r="IY236" s="5207"/>
      <c r="IZ236" s="5207"/>
      <c r="JA236" s="5207"/>
      <c r="JB236" s="5207"/>
      <c r="JC236" s="5207"/>
      <c r="JD236" s="5207"/>
      <c r="JE236" s="5207"/>
      <c r="JF236" s="5207"/>
      <c r="JG236" s="5207"/>
      <c r="JH236" s="5207"/>
      <c r="JI236" s="5207"/>
      <c r="JJ236" s="5207"/>
      <c r="JK236" s="5207"/>
      <c r="JL236" s="5207"/>
      <c r="JM236" s="5207"/>
      <c r="JN236" s="5207"/>
      <c r="JO236" s="5207"/>
      <c r="JP236" s="5207"/>
      <c r="JQ236" s="5207"/>
      <c r="JR236" s="5207"/>
      <c r="JS236" s="5207"/>
      <c r="JT236" s="5207"/>
      <c r="JU236" s="5207"/>
      <c r="JV236" s="5207"/>
      <c r="JW236" s="5207"/>
      <c r="JX236" s="5207"/>
      <c r="JY236" s="5207"/>
      <c r="JZ236" s="5207"/>
      <c r="KA236" s="5207"/>
      <c r="KB236" s="5207"/>
      <c r="KC236" s="5207"/>
      <c r="KD236" s="5207"/>
      <c r="KE236" s="5207"/>
      <c r="KF236" s="5207"/>
      <c r="KG236" s="5207"/>
      <c r="KH236" s="5207"/>
      <c r="KI236" s="5207"/>
      <c r="KJ236" s="5207"/>
      <c r="KK236" s="5207"/>
      <c r="KL236" s="5207"/>
      <c r="KM236" s="5207"/>
      <c r="KN236" s="5207"/>
      <c r="KO236" s="5207"/>
      <c r="KP236" s="5207"/>
      <c r="KQ236" s="5207"/>
      <c r="KR236" s="5207"/>
      <c r="KS236" s="5207"/>
      <c r="KT236" s="5207"/>
      <c r="KU236" s="5207"/>
      <c r="KV236" s="5207"/>
      <c r="KW236" s="5207"/>
      <c r="KX236" s="5207"/>
      <c r="KY236" s="5207"/>
      <c r="KZ236" s="5207"/>
      <c r="LA236" s="5207"/>
      <c r="LB236" s="5207"/>
      <c r="LC236" s="5207"/>
      <c r="LD236" s="5207"/>
      <c r="LE236" s="5207"/>
      <c r="LF236" s="5207"/>
      <c r="LG236" s="5207"/>
      <c r="LH236" s="5207"/>
      <c r="LI236" s="5207"/>
      <c r="LJ236" s="5207"/>
      <c r="LK236" s="5207"/>
      <c r="LL236" s="5207"/>
      <c r="LM236" s="5207"/>
      <c r="LN236" s="5207"/>
      <c r="LO236" s="5207"/>
      <c r="LP236" s="5207"/>
      <c r="LQ236" s="5207"/>
      <c r="LR236" s="5207"/>
      <c r="LS236" s="5207"/>
      <c r="LT236" s="5207"/>
      <c r="LU236" s="5207"/>
      <c r="LV236" s="5207"/>
      <c r="LW236" s="5207"/>
      <c r="LX236" s="5207"/>
      <c r="LY236" s="5207"/>
      <c r="LZ236" s="5207"/>
      <c r="MA236" s="5207"/>
      <c r="MB236" s="5207"/>
      <c r="MC236" s="5207"/>
      <c r="MD236" s="5207"/>
      <c r="ME236" s="5207"/>
      <c r="MF236" s="5207"/>
      <c r="MG236" s="5207"/>
      <c r="MH236" s="5207"/>
      <c r="MI236" s="5207"/>
      <c r="MJ236" s="5207"/>
      <c r="MK236" s="5207"/>
      <c r="ML236" s="5207"/>
      <c r="MM236" s="5207"/>
      <c r="MN236" s="5207"/>
      <c r="MO236" s="5207"/>
      <c r="MP236" s="5207"/>
      <c r="MQ236" s="5207"/>
      <c r="MR236" s="5207"/>
      <c r="MS236" s="5207"/>
      <c r="MT236" s="5207"/>
      <c r="MU236" s="5207"/>
      <c r="MV236" s="5207"/>
      <c r="MW236" s="5207"/>
      <c r="MX236" s="5207"/>
      <c r="MY236" s="5207"/>
      <c r="MZ236" s="5207"/>
      <c r="NA236" s="5207"/>
      <c r="NB236" s="5207"/>
      <c r="NC236" s="5207"/>
      <c r="ND236" s="5207"/>
      <c r="NE236" s="5207"/>
      <c r="NF236" s="5207"/>
      <c r="NG236" s="5207"/>
      <c r="NH236" s="5207"/>
      <c r="NI236" s="5207"/>
      <c r="NJ236" s="5207"/>
      <c r="NK236" s="5207"/>
      <c r="NL236" s="5207"/>
      <c r="NM236" s="5207"/>
      <c r="NN236" s="5207"/>
      <c r="NO236" s="5207"/>
      <c r="NP236" s="5207"/>
      <c r="NQ236" s="5207"/>
      <c r="NR236" s="5207"/>
      <c r="NS236" s="5207"/>
      <c r="NT236" s="5207"/>
      <c r="NU236" s="5207"/>
      <c r="NV236" s="5207"/>
      <c r="NW236" s="5207"/>
      <c r="NX236" s="5207"/>
      <c r="NY236" s="5207"/>
      <c r="NZ236" s="5207"/>
      <c r="OA236" s="5207"/>
      <c r="OB236" s="5207"/>
      <c r="OC236" s="5207"/>
      <c r="OD236" s="5207"/>
      <c r="OE236" s="5207"/>
      <c r="OF236" s="5207"/>
      <c r="OG236" s="5207"/>
      <c r="OH236" s="5207"/>
      <c r="OI236" s="5207"/>
      <c r="OJ236" s="5207"/>
      <c r="OK236" s="5207"/>
      <c r="OL236" s="5207"/>
      <c r="OM236" s="5207"/>
      <c r="ON236" s="5207"/>
      <c r="OO236" s="5207"/>
      <c r="OP236" s="5207"/>
      <c r="OQ236" s="5207"/>
      <c r="OR236" s="5207"/>
      <c r="OS236" s="5207"/>
      <c r="OT236" s="5207"/>
      <c r="OU236" s="5207"/>
      <c r="OV236" s="5207"/>
      <c r="OW236" s="5207"/>
      <c r="OX236" s="5207"/>
      <c r="OY236" s="5207"/>
      <c r="OZ236" s="5207"/>
      <c r="PA236" s="5207"/>
      <c r="PB236" s="5207"/>
      <c r="PC236" s="5207"/>
      <c r="PD236" s="5207"/>
      <c r="PE236" s="5207"/>
      <c r="PF236" s="5207"/>
      <c r="PG236" s="5207"/>
      <c r="PH236" s="5207"/>
      <c r="PI236" s="5207"/>
      <c r="PJ236" s="5207"/>
      <c r="PK236" s="5207"/>
      <c r="PL236" s="5207"/>
      <c r="PM236" s="5207"/>
      <c r="PN236" s="5207"/>
      <c r="PO236" s="5207"/>
      <c r="PP236" s="5207"/>
      <c r="PQ236" s="5207"/>
      <c r="PR236" s="5207"/>
      <c r="PS236" s="5207"/>
      <c r="PT236" s="5207"/>
      <c r="PU236" s="5207"/>
      <c r="PV236" s="5207"/>
      <c r="PW236" s="5207"/>
      <c r="PX236" s="5207"/>
      <c r="PY236" s="5207"/>
      <c r="PZ236" s="5207"/>
      <c r="QA236" s="5207"/>
      <c r="QB236" s="5207"/>
      <c r="QC236" s="5207"/>
      <c r="QD236" s="5207"/>
      <c r="QE236" s="5207"/>
      <c r="QF236" s="5207"/>
      <c r="QG236" s="5207"/>
      <c r="QH236" s="5207"/>
      <c r="QI236" s="5207"/>
      <c r="QJ236" s="5207"/>
      <c r="QK236" s="5207"/>
      <c r="QL236" s="5207"/>
      <c r="QM236" s="5207"/>
      <c r="QN236" s="5207"/>
      <c r="QO236" s="5207"/>
      <c r="QP236" s="5207"/>
      <c r="QQ236" s="5207"/>
      <c r="QR236" s="5207"/>
      <c r="QS236" s="5207"/>
      <c r="QT236" s="5207"/>
      <c r="QU236" s="5207"/>
      <c r="QV236" s="5207"/>
      <c r="QW236" s="5207"/>
      <c r="QX236" s="5207"/>
      <c r="QY236" s="5207"/>
      <c r="QZ236" s="5207"/>
      <c r="RA236" s="5207"/>
      <c r="RB236" s="5207"/>
      <c r="RC236" s="5207"/>
      <c r="RD236" s="5207"/>
      <c r="RE236" s="5207"/>
      <c r="RF236" s="5207"/>
      <c r="RG236" s="5207"/>
      <c r="RH236" s="5207"/>
      <c r="RI236" s="5207"/>
      <c r="RJ236" s="5207"/>
      <c r="RK236" s="5207"/>
      <c r="RL236" s="5207"/>
      <c r="RM236" s="5207"/>
      <c r="RN236" s="5207"/>
      <c r="RO236" s="5207"/>
      <c r="RP236" s="5207"/>
      <c r="RQ236" s="5207"/>
      <c r="RR236" s="5207"/>
      <c r="RS236" s="5207"/>
      <c r="RT236" s="5207"/>
      <c r="RU236" s="5207"/>
      <c r="RV236" s="5207"/>
      <c r="RW236" s="5207"/>
      <c r="RX236" s="5207"/>
      <c r="RY236" s="5207"/>
      <c r="RZ236" s="5207"/>
      <c r="SA236" s="5207"/>
      <c r="SB236" s="5207"/>
      <c r="SC236" s="5207"/>
      <c r="SD236" s="5207"/>
      <c r="SE236" s="5207"/>
      <c r="SF236" s="5207"/>
      <c r="SG236" s="5207"/>
      <c r="SH236" s="5207"/>
      <c r="SI236" s="5207"/>
      <c r="SJ236" s="5207"/>
      <c r="SK236" s="5207"/>
      <c r="SL236" s="5207"/>
      <c r="SM236" s="5207"/>
      <c r="SN236" s="5207"/>
      <c r="SO236" s="5207"/>
      <c r="SP236" s="5207"/>
      <c r="SQ236" s="5207"/>
      <c r="SR236" s="5207"/>
      <c r="SS236" s="5207"/>
      <c r="ST236" s="5207"/>
      <c r="SU236" s="5207"/>
      <c r="SV236" s="5207"/>
      <c r="SW236" s="5207"/>
      <c r="SX236" s="5207"/>
      <c r="SY236" s="5207"/>
      <c r="SZ236" s="5207"/>
      <c r="TA236" s="5207"/>
      <c r="TB236" s="5207"/>
      <c r="TC236" s="5207"/>
      <c r="TD236" s="5207"/>
      <c r="TE236" s="5207"/>
      <c r="TF236" s="5207"/>
      <c r="TG236" s="5207"/>
      <c r="TH236" s="5207"/>
      <c r="TI236" s="5207"/>
      <c r="TJ236" s="5207"/>
      <c r="TK236" s="5207"/>
      <c r="TL236" s="5207"/>
      <c r="TM236" s="5207"/>
      <c r="TN236" s="5207"/>
      <c r="TO236" s="5207"/>
      <c r="TP236" s="5207"/>
      <c r="TQ236" s="5207"/>
      <c r="TR236" s="5207"/>
      <c r="TS236" s="5207"/>
      <c r="TT236" s="5207"/>
      <c r="TU236" s="5207"/>
      <c r="TV236" s="5207"/>
      <c r="TW236" s="5207"/>
      <c r="TX236" s="5207"/>
      <c r="TY236" s="5207"/>
      <c r="TZ236" s="5207"/>
      <c r="UA236" s="5207"/>
      <c r="UB236" s="5207"/>
      <c r="UC236" s="5207"/>
      <c r="UD236" s="5207"/>
      <c r="UE236" s="5207"/>
      <c r="UF236" s="5207"/>
      <c r="UG236" s="5207"/>
      <c r="UH236" s="5207"/>
      <c r="UI236" s="5207"/>
      <c r="UJ236" s="5207"/>
      <c r="UK236" s="5207"/>
      <c r="UL236" s="5207"/>
      <c r="UM236" s="5207"/>
      <c r="UN236" s="5207"/>
      <c r="UO236" s="5207"/>
      <c r="UP236" s="5207"/>
      <c r="UQ236" s="5207"/>
      <c r="UR236" s="5207"/>
      <c r="US236" s="5207"/>
      <c r="UT236" s="5207"/>
      <c r="UU236" s="5207"/>
      <c r="UV236" s="5207"/>
      <c r="UW236" s="5207"/>
      <c r="UX236" s="5207"/>
      <c r="UY236" s="5207"/>
      <c r="UZ236" s="5207"/>
      <c r="VA236" s="5207"/>
      <c r="VB236" s="5207"/>
      <c r="VC236" s="5207"/>
      <c r="VD236" s="5207"/>
      <c r="VE236" s="5207"/>
      <c r="VF236" s="5207"/>
      <c r="VG236" s="5207"/>
      <c r="VH236" s="5207"/>
      <c r="VI236" s="5207"/>
      <c r="VJ236" s="5207"/>
      <c r="VK236" s="5207"/>
      <c r="VL236" s="5207"/>
      <c r="VM236" s="5207"/>
      <c r="VN236" s="5207"/>
      <c r="VO236" s="5207"/>
      <c r="VP236" s="5207"/>
      <c r="VQ236" s="5207"/>
      <c r="VR236" s="5207"/>
      <c r="VS236" s="5207"/>
      <c r="VT236" s="5207"/>
      <c r="VU236" s="5207"/>
      <c r="VV236" s="5207"/>
      <c r="VW236" s="5207"/>
      <c r="VX236" s="5207"/>
      <c r="VY236" s="5207"/>
      <c r="VZ236" s="5207"/>
      <c r="WA236" s="5207"/>
      <c r="WB236" s="5207"/>
      <c r="WC236" s="5207"/>
      <c r="WD236" s="5207"/>
      <c r="WE236" s="5207"/>
      <c r="WF236" s="5207"/>
      <c r="WG236" s="5207"/>
      <c r="WH236" s="5207"/>
      <c r="WI236" s="5207"/>
      <c r="WJ236" s="5207"/>
      <c r="WK236" s="5207"/>
      <c r="WL236" s="5207"/>
      <c r="WM236" s="5207"/>
      <c r="WN236" s="5207"/>
      <c r="WO236" s="5207"/>
      <c r="WP236" s="5207"/>
      <c r="WQ236" s="5207"/>
      <c r="WR236" s="5207"/>
      <c r="WS236" s="5207"/>
      <c r="WT236" s="5207"/>
      <c r="WU236" s="5207"/>
      <c r="WV236" s="5207"/>
      <c r="WW236" s="5207"/>
      <c r="WX236" s="5207"/>
      <c r="WY236" s="5207"/>
      <c r="WZ236" s="5207"/>
      <c r="XA236" s="5207"/>
      <c r="XB236" s="5207"/>
      <c r="XC236" s="5207"/>
      <c r="XD236" s="5207"/>
      <c r="XE236" s="5207"/>
      <c r="XF236" s="5207"/>
      <c r="XG236" s="5207"/>
      <c r="XH236" s="5207"/>
      <c r="XI236" s="5207"/>
      <c r="XJ236" s="5207"/>
      <c r="XK236" s="5207"/>
      <c r="XL236" s="5207"/>
      <c r="XM236" s="5207"/>
      <c r="XN236" s="5207"/>
      <c r="XO236" s="5207"/>
      <c r="XP236" s="5207"/>
      <c r="XQ236" s="5207"/>
      <c r="XR236" s="5207"/>
      <c r="XS236" s="5207"/>
      <c r="XT236" s="5207"/>
      <c r="XU236" s="5207"/>
      <c r="XV236" s="5207"/>
      <c r="XW236" s="5207"/>
      <c r="XX236" s="5207"/>
      <c r="XY236" s="5207"/>
      <c r="XZ236" s="5207"/>
      <c r="YA236" s="5207"/>
      <c r="YB236" s="5207"/>
      <c r="YC236" s="5207"/>
      <c r="YD236" s="5207"/>
      <c r="YE236" s="5207"/>
      <c r="YF236" s="5207"/>
      <c r="YG236" s="5207"/>
      <c r="YH236" s="5207"/>
      <c r="YI236" s="5207"/>
      <c r="YJ236" s="5207"/>
      <c r="YK236" s="5207"/>
      <c r="YL236" s="5207"/>
      <c r="YM236" s="5207"/>
      <c r="YN236" s="5207"/>
      <c r="YO236" s="5207"/>
      <c r="YP236" s="5207"/>
      <c r="YQ236" s="5207"/>
      <c r="YR236" s="5207"/>
      <c r="YS236" s="5207"/>
      <c r="YT236" s="5207"/>
      <c r="YU236" s="5207"/>
      <c r="YV236" s="5207"/>
      <c r="YW236" s="5207"/>
      <c r="YX236" s="5207"/>
      <c r="YY236" s="5207"/>
      <c r="YZ236" s="5207"/>
      <c r="ZA236" s="5207"/>
      <c r="ZB236" s="5207"/>
      <c r="ZC236" s="5207"/>
      <c r="ZD236" s="5207"/>
      <c r="ZE236" s="5207"/>
      <c r="ZF236" s="5207"/>
      <c r="ZG236" s="5207"/>
      <c r="ZH236" s="5207"/>
      <c r="ZI236" s="5207"/>
      <c r="ZJ236" s="5207"/>
      <c r="ZK236" s="5207"/>
      <c r="ZL236" s="5207"/>
      <c r="ZM236" s="5207"/>
      <c r="ZN236" s="5207"/>
      <c r="ZO236" s="5207"/>
      <c r="ZP236" s="5207"/>
      <c r="ZQ236" s="5207"/>
      <c r="ZR236" s="5207"/>
      <c r="ZS236" s="5207"/>
      <c r="ZT236" s="5207"/>
      <c r="ZU236" s="5207"/>
      <c r="ZV236" s="5207"/>
      <c r="ZW236" s="5207"/>
      <c r="ZX236" s="5207"/>
      <c r="ZY236" s="5207"/>
      <c r="ZZ236" s="5207"/>
      <c r="AAA236" s="5207"/>
      <c r="AAB236" s="5207"/>
      <c r="AAC236" s="5207"/>
      <c r="AAD236" s="5207"/>
      <c r="AAE236" s="5207"/>
      <c r="AAF236" s="5207"/>
      <c r="AAG236" s="5207"/>
      <c r="AAH236" s="5207"/>
      <c r="AAI236" s="5207"/>
      <c r="AAJ236" s="5207"/>
      <c r="AAK236" s="5207"/>
      <c r="AAL236" s="5207"/>
      <c r="AAM236" s="5207"/>
      <c r="AAN236" s="5207"/>
      <c r="AAO236" s="5207"/>
      <c r="AAP236" s="5207"/>
      <c r="AAQ236" s="5207"/>
      <c r="AAR236" s="5207"/>
      <c r="AAS236" s="5207"/>
      <c r="AAT236" s="5207"/>
      <c r="AAU236" s="5207"/>
      <c r="AAV236" s="5207"/>
      <c r="AAW236" s="5207"/>
      <c r="AAX236" s="5207"/>
      <c r="AAY236" s="5207"/>
      <c r="AAZ236" s="5207"/>
      <c r="ABA236" s="5207"/>
      <c r="ABB236" s="5207"/>
      <c r="ABC236" s="5207"/>
      <c r="ABD236" s="5207"/>
      <c r="ABE236" s="5207"/>
      <c r="ABF236" s="5207"/>
      <c r="ABG236" s="5207"/>
      <c r="ABH236" s="5207"/>
      <c r="ABI236" s="5207"/>
      <c r="ABJ236" s="5207"/>
      <c r="ABK236" s="5207"/>
      <c r="ABL236" s="5207"/>
      <c r="ABM236" s="5207"/>
      <c r="ABN236" s="5207"/>
      <c r="ABO236" s="5207"/>
      <c r="ABP236" s="5207"/>
      <c r="ABQ236" s="5207"/>
      <c r="ABR236" s="5207"/>
      <c r="ABS236" s="5207"/>
      <c r="ABT236" s="5207"/>
      <c r="ABU236" s="5207"/>
      <c r="ABV236" s="5207"/>
      <c r="ABW236" s="5207"/>
      <c r="ABX236" s="5207"/>
      <c r="ABY236" s="5207"/>
      <c r="ABZ236" s="5207"/>
      <c r="ACA236" s="5207"/>
      <c r="ACB236" s="5207"/>
      <c r="ACC236" s="5207"/>
      <c r="ACD236" s="5207"/>
      <c r="ACE236" s="5207"/>
      <c r="ACF236" s="5207"/>
      <c r="ACG236" s="5207"/>
      <c r="ACH236" s="5207"/>
      <c r="ACI236" s="5207"/>
      <c r="ACJ236" s="5207"/>
      <c r="ACK236" s="5207"/>
      <c r="ACL236" s="5207"/>
      <c r="ACM236" s="5207"/>
      <c r="ACN236" s="5207"/>
      <c r="ACO236" s="5207"/>
      <c r="ACP236" s="5207"/>
      <c r="ACQ236" s="5207"/>
      <c r="ACR236" s="5207"/>
      <c r="ACS236" s="5207"/>
      <c r="ACT236" s="5207"/>
      <c r="ACU236" s="5207"/>
      <c r="ACV236" s="5207"/>
      <c r="ACW236" s="5207"/>
      <c r="ACX236" s="5207"/>
      <c r="ACY236" s="5207"/>
      <c r="ACZ236" s="5207"/>
      <c r="ADA236" s="5207"/>
      <c r="ADB236" s="5207"/>
      <c r="ADC236" s="5207"/>
      <c r="ADD236" s="5207"/>
      <c r="ADE236" s="5207"/>
      <c r="ADF236" s="5207"/>
      <c r="ADG236" s="5207"/>
      <c r="ADH236" s="5207"/>
      <c r="ADI236" s="5207"/>
      <c r="ADJ236" s="5207"/>
      <c r="ADK236" s="5207"/>
      <c r="ADL236" s="5207"/>
      <c r="ADM236" s="5207"/>
      <c r="ADN236" s="5207"/>
      <c r="ADO236" s="5207"/>
      <c r="ADP236" s="5207"/>
      <c r="ADQ236" s="5207"/>
      <c r="ADR236" s="5207"/>
      <c r="ADS236" s="5207"/>
      <c r="ADT236" s="5207"/>
      <c r="ADU236" s="5207"/>
      <c r="ADV236" s="5207"/>
      <c r="ADW236" s="5207"/>
      <c r="ADX236" s="5207"/>
      <c r="ADY236" s="5207"/>
      <c r="ADZ236" s="5207"/>
      <c r="AEA236" s="5207"/>
      <c r="AEB236" s="5207"/>
      <c r="AEC236" s="5207"/>
      <c r="AED236" s="5207"/>
      <c r="AEE236" s="5207"/>
      <c r="AEF236" s="5207"/>
      <c r="AEG236" s="5207"/>
      <c r="AEH236" s="5207"/>
      <c r="AEI236" s="5207"/>
      <c r="AEJ236" s="5207"/>
      <c r="AEK236" s="5207"/>
      <c r="AEL236" s="5207"/>
      <c r="AEM236" s="5207"/>
      <c r="AEN236" s="5207"/>
      <c r="AEO236" s="5207"/>
      <c r="AEP236" s="5207"/>
      <c r="AEQ236" s="5207"/>
      <c r="AER236" s="5207"/>
      <c r="AES236" s="5207"/>
      <c r="AET236" s="5207"/>
      <c r="AEU236" s="5207"/>
      <c r="AEV236" s="5207"/>
      <c r="AEW236" s="5207"/>
      <c r="AEX236" s="5207"/>
      <c r="AEY236" s="5207"/>
      <c r="AEZ236" s="5207"/>
      <c r="AFA236" s="5207"/>
      <c r="AFB236" s="5207"/>
      <c r="AFC236" s="5207"/>
      <c r="AFD236" s="5207"/>
      <c r="AFE236" s="5207"/>
      <c r="AFF236" s="5207"/>
      <c r="AFG236" s="5207"/>
      <c r="AFH236" s="5207"/>
      <c r="AFI236" s="5207"/>
      <c r="AFJ236" s="5207"/>
      <c r="AFK236" s="5207"/>
      <c r="AFL236" s="5207"/>
      <c r="AFM236" s="5207"/>
      <c r="AFN236" s="5207"/>
      <c r="AFO236" s="5207"/>
      <c r="AFP236" s="5207"/>
      <c r="AFQ236" s="5207"/>
      <c r="AFR236" s="5207"/>
      <c r="AFS236" s="5207"/>
      <c r="AFT236" s="5207"/>
      <c r="AFU236" s="5207"/>
      <c r="AFV236" s="5207"/>
      <c r="AFW236" s="5207"/>
      <c r="AFX236" s="5207"/>
      <c r="AFY236" s="5207"/>
      <c r="AFZ236" s="5207"/>
      <c r="AGA236" s="5207"/>
      <c r="AGB236" s="5207"/>
      <c r="AGC236" s="5207"/>
      <c r="AGD236" s="5207"/>
      <c r="AGE236" s="5207"/>
      <c r="AGF236" s="5207"/>
      <c r="AGG236" s="5207"/>
      <c r="AGH236" s="5207"/>
      <c r="AGI236" s="5207"/>
      <c r="AGJ236" s="5207"/>
      <c r="AGK236" s="5207"/>
      <c r="AGL236" s="5207"/>
      <c r="AGM236" s="5207"/>
      <c r="AGN236" s="5207"/>
      <c r="AGO236" s="5207"/>
      <c r="AGP236" s="5207"/>
      <c r="AGQ236" s="5207"/>
      <c r="AGR236" s="5207"/>
      <c r="AGS236" s="5207"/>
      <c r="AGT236" s="5207"/>
      <c r="AGU236" s="5207"/>
      <c r="AGV236" s="5207"/>
      <c r="AGW236" s="5207"/>
      <c r="AGX236" s="5207"/>
      <c r="AGY236" s="5207"/>
      <c r="AGZ236" s="5207"/>
      <c r="AHA236" s="5207"/>
      <c r="AHB236" s="5207"/>
      <c r="AHC236" s="5207"/>
      <c r="AHD236" s="5207"/>
      <c r="AHE236" s="5207"/>
      <c r="AHF236" s="5207"/>
      <c r="AHG236" s="5207"/>
      <c r="AHH236" s="5207"/>
      <c r="AHI236" s="5207"/>
      <c r="AHJ236" s="5207"/>
      <c r="AHK236" s="5207"/>
      <c r="AHL236" s="5207"/>
      <c r="AHM236" s="5207"/>
      <c r="AHN236" s="5207"/>
      <c r="AHO236" s="5207"/>
      <c r="AHP236" s="5207"/>
      <c r="AHQ236" s="5207"/>
      <c r="AHR236" s="5207"/>
      <c r="AHS236" s="5207"/>
      <c r="AHT236" s="5207"/>
      <c r="AHU236" s="5207"/>
      <c r="AHV236" s="5207"/>
      <c r="AHW236" s="5207"/>
      <c r="AHX236" s="5207"/>
      <c r="AHY236" s="5207"/>
      <c r="AHZ236" s="5207"/>
      <c r="AIA236" s="5207"/>
      <c r="AIB236" s="5207"/>
      <c r="AIC236" s="5207"/>
      <c r="AID236" s="5207"/>
      <c r="AIE236" s="5207"/>
      <c r="AIF236" s="5207"/>
      <c r="AIG236" s="5207"/>
      <c r="AIH236" s="5207"/>
      <c r="AII236" s="5207"/>
      <c r="AIJ236" s="5207"/>
      <c r="AIK236" s="5207"/>
      <c r="AIL236" s="5207"/>
      <c r="AIM236" s="5207"/>
      <c r="AIN236" s="5207"/>
      <c r="AIO236" s="5207"/>
      <c r="AIP236" s="5207"/>
      <c r="AIQ236" s="5207"/>
      <c r="AIR236" s="5207"/>
      <c r="AIS236" s="5207"/>
      <c r="AIT236" s="5207"/>
      <c r="AIU236" s="5207"/>
      <c r="AIV236" s="5207"/>
      <c r="AIW236" s="5207"/>
      <c r="AIX236" s="5207"/>
      <c r="AIY236" s="5207"/>
      <c r="AIZ236" s="5207"/>
      <c r="AJA236" s="5207"/>
      <c r="AJB236" s="5207"/>
      <c r="AJC236" s="5207"/>
      <c r="AJD236" s="5207"/>
      <c r="AJE236" s="5207"/>
      <c r="AJF236" s="5207"/>
      <c r="AJG236" s="5207"/>
      <c r="AJH236" s="5207"/>
      <c r="AJI236" s="5207"/>
      <c r="AJJ236" s="5207"/>
      <c r="AJK236" s="5207"/>
      <c r="AJL236" s="5207"/>
      <c r="AJM236" s="5207"/>
      <c r="AJN236" s="5207"/>
      <c r="AJO236" s="5207"/>
      <c r="AJP236" s="5207"/>
      <c r="AJQ236" s="5207"/>
      <c r="AJR236" s="5207"/>
      <c r="AJS236" s="5207"/>
      <c r="AJT236" s="5207"/>
      <c r="AJU236" s="5207"/>
      <c r="AJV236" s="5207"/>
      <c r="AJW236" s="5207"/>
      <c r="AJX236" s="5207"/>
      <c r="AJY236" s="5207"/>
      <c r="AJZ236" s="5207"/>
      <c r="AKA236" s="5207"/>
      <c r="AKB236" s="5207"/>
      <c r="AKC236" s="5207"/>
      <c r="AKD236" s="5207"/>
      <c r="AKE236" s="5207"/>
      <c r="AKF236" s="5207"/>
      <c r="AKG236" s="5207"/>
      <c r="AKH236" s="5207"/>
      <c r="AKI236" s="5207"/>
      <c r="AKJ236" s="5207"/>
      <c r="AKK236" s="5207"/>
      <c r="AKL236" s="5207"/>
      <c r="AKM236" s="5207"/>
      <c r="AKN236" s="5207"/>
      <c r="AKO236" s="5207"/>
      <c r="AKP236" s="5207"/>
      <c r="AKQ236" s="5207"/>
      <c r="AKR236" s="5207"/>
      <c r="AKS236" s="5207"/>
      <c r="AKT236" s="5207"/>
      <c r="AKU236" s="5207"/>
      <c r="AKV236" s="5207"/>
      <c r="AKW236" s="5207"/>
      <c r="AKX236" s="5207"/>
      <c r="AKY236" s="5207"/>
      <c r="AKZ236" s="5207"/>
      <c r="ALA236" s="5207"/>
      <c r="ALB236" s="5207"/>
      <c r="ALC236" s="5207"/>
      <c r="ALD236" s="5207"/>
      <c r="ALE236" s="5207"/>
      <c r="ALF236" s="5207"/>
      <c r="ALG236" s="5207"/>
      <c r="ALH236" s="5207"/>
      <c r="ALI236" s="5207"/>
      <c r="ALJ236" s="5207"/>
      <c r="ALK236" s="5207"/>
      <c r="ALL236" s="5207"/>
      <c r="ALM236" s="5207"/>
      <c r="ALN236" s="5207"/>
      <c r="ALO236" s="5207"/>
      <c r="ALP236" s="5207"/>
      <c r="ALQ236" s="5207"/>
      <c r="ALR236" s="5207"/>
      <c r="ALS236" s="5207"/>
      <c r="ALT236" s="5207"/>
      <c r="ALU236" s="5207"/>
      <c r="ALV236" s="5207"/>
      <c r="ALW236" s="5207"/>
      <c r="ALX236" s="5207"/>
      <c r="ALY236" s="5207"/>
      <c r="ALZ236" s="5207"/>
      <c r="AMA236" s="5207"/>
      <c r="AMB236" s="5207"/>
      <c r="AMC236" s="5207"/>
      <c r="AMD236" s="5207"/>
      <c r="AME236" s="5207"/>
      <c r="AMF236" s="5207"/>
      <c r="AMG236" s="5207"/>
      <c r="AMH236" s="5207"/>
      <c r="AMI236" s="5207"/>
      <c r="AMJ236" s="5207"/>
      <c r="AMK236" s="5207"/>
      <c r="AML236" s="5207"/>
      <c r="AMM236" s="5207"/>
      <c r="AMN236" s="5207"/>
      <c r="AMO236" s="5207"/>
      <c r="AMP236" s="5207"/>
      <c r="AMQ236" s="5207"/>
      <c r="AMR236" s="5207"/>
      <c r="AMS236" s="5207"/>
      <c r="AMT236" s="5207"/>
      <c r="AMU236" s="5207"/>
      <c r="AMV236" s="5207"/>
      <c r="AMW236" s="5207"/>
      <c r="AMX236" s="5207"/>
      <c r="AMY236" s="5207"/>
      <c r="AMZ236" s="5207"/>
      <c r="ANA236" s="5207"/>
      <c r="ANB236" s="5207"/>
      <c r="ANC236" s="5207"/>
      <c r="AND236" s="5207"/>
      <c r="ANE236" s="5207"/>
      <c r="ANF236" s="5207"/>
      <c r="ANG236" s="5207"/>
      <c r="ANH236" s="5207"/>
      <c r="ANI236" s="5207"/>
      <c r="ANJ236" s="5207"/>
      <c r="ANK236" s="5207"/>
      <c r="ANL236" s="5207"/>
      <c r="ANM236" s="5207"/>
      <c r="ANN236" s="5207"/>
      <c r="ANO236" s="5207"/>
      <c r="ANP236" s="5207"/>
      <c r="ANQ236" s="5207"/>
      <c r="ANR236" s="5207"/>
      <c r="ANS236" s="5207"/>
      <c r="ANT236" s="5207"/>
      <c r="ANU236" s="5207"/>
      <c r="ANV236" s="5207"/>
      <c r="ANW236" s="5207"/>
      <c r="ANX236" s="5207"/>
      <c r="ANY236" s="5207"/>
      <c r="ANZ236" s="5207"/>
      <c r="AOA236" s="5207"/>
      <c r="AOB236" s="5207"/>
      <c r="AOC236" s="5207"/>
      <c r="AOD236" s="5207"/>
      <c r="AOE236" s="5207"/>
      <c r="AOF236" s="5207"/>
      <c r="AOG236" s="5207"/>
      <c r="AOH236" s="5207"/>
      <c r="AOI236" s="5207"/>
      <c r="AOJ236" s="5207"/>
      <c r="AOK236" s="5207"/>
      <c r="AOL236" s="5207"/>
      <c r="AOM236" s="5207"/>
      <c r="AON236" s="5207"/>
      <c r="AOO236" s="5207"/>
      <c r="AOP236" s="5207"/>
      <c r="AOQ236" s="5207"/>
      <c r="AOR236" s="5207"/>
      <c r="AOS236" s="5207"/>
      <c r="AOT236" s="5207"/>
      <c r="AOU236" s="5207"/>
      <c r="AOV236" s="5207"/>
      <c r="AOW236" s="5207"/>
      <c r="AOX236" s="5207"/>
      <c r="AOY236" s="5207"/>
      <c r="AOZ236" s="5207"/>
      <c r="APA236" s="5207"/>
      <c r="APB236" s="5207"/>
      <c r="APC236" s="5207"/>
      <c r="APD236" s="5207"/>
      <c r="APE236" s="5207"/>
      <c r="APF236" s="5207"/>
      <c r="APG236" s="5207"/>
      <c r="APH236" s="5207"/>
      <c r="API236" s="5207"/>
      <c r="APJ236" s="5207"/>
      <c r="APK236" s="5207"/>
      <c r="APL236" s="5207"/>
      <c r="APM236" s="5207"/>
      <c r="APN236" s="5207"/>
      <c r="APO236" s="5207"/>
      <c r="APP236" s="5207"/>
      <c r="APQ236" s="5207"/>
      <c r="APR236" s="5207"/>
      <c r="APS236" s="5207"/>
      <c r="APT236" s="5207"/>
      <c r="APU236" s="5207"/>
      <c r="APV236" s="5207"/>
      <c r="APW236" s="5207"/>
      <c r="APX236" s="5207"/>
      <c r="APY236" s="5207"/>
      <c r="APZ236" s="5207"/>
      <c r="AQA236" s="5207"/>
      <c r="AQB236" s="5207"/>
      <c r="AQC236" s="5207"/>
      <c r="AQD236" s="5207"/>
      <c r="AQE236" s="5207"/>
      <c r="AQF236" s="5207"/>
      <c r="AQG236" s="5207"/>
      <c r="AQH236" s="5207"/>
      <c r="AQI236" s="5207"/>
      <c r="AQJ236" s="5207"/>
      <c r="AQK236" s="5207"/>
      <c r="AQL236" s="5207"/>
      <c r="AQM236" s="5207"/>
      <c r="AQN236" s="5207"/>
      <c r="AQO236" s="5207"/>
      <c r="AQP236" s="5207"/>
      <c r="AQQ236" s="5207"/>
      <c r="AQR236" s="5207"/>
      <c r="AQS236" s="5207"/>
      <c r="AQT236" s="5207"/>
      <c r="AQU236" s="5207"/>
      <c r="AQV236" s="5207"/>
      <c r="AQW236" s="5207"/>
      <c r="AQX236" s="5207"/>
      <c r="AQY236" s="5207"/>
      <c r="AQZ236" s="5207"/>
      <c r="ARA236" s="5207"/>
      <c r="ARB236" s="5207"/>
      <c r="ARC236" s="5207"/>
      <c r="ARD236" s="5207"/>
      <c r="ARE236" s="5207"/>
      <c r="ARF236" s="5207"/>
      <c r="ARG236" s="5207"/>
      <c r="ARH236" s="5207"/>
      <c r="ARI236" s="5207"/>
      <c r="ARJ236" s="5207"/>
      <c r="ARK236" s="5207"/>
      <c r="ARL236" s="5207"/>
      <c r="ARM236" s="5207"/>
      <c r="ARN236" s="5207"/>
      <c r="ARO236" s="5207"/>
      <c r="ARP236" s="5207"/>
      <c r="ARQ236" s="5207"/>
      <c r="ARR236" s="5207"/>
      <c r="ARS236" s="5207"/>
      <c r="ART236" s="5207"/>
      <c r="ARU236" s="5207"/>
      <c r="ARV236" s="5207"/>
      <c r="ARW236" s="5207"/>
      <c r="ARX236" s="5207"/>
      <c r="ARY236" s="5207"/>
      <c r="ARZ236" s="5207"/>
      <c r="ASA236" s="5207"/>
      <c r="ASB236" s="5207"/>
      <c r="ASC236" s="5207"/>
      <c r="ASD236" s="5207"/>
      <c r="ASE236" s="5207"/>
      <c r="ASF236" s="5207"/>
      <c r="ASG236" s="5207"/>
      <c r="ASH236" s="5207"/>
      <c r="ASI236" s="5207"/>
      <c r="ASJ236" s="5207"/>
      <c r="ASK236" s="5207"/>
      <c r="ASL236" s="5207"/>
      <c r="ASM236" s="5207"/>
      <c r="ASN236" s="5207"/>
      <c r="ASO236" s="5207"/>
      <c r="ASP236" s="5207"/>
      <c r="ASQ236" s="5207"/>
      <c r="ASR236" s="5207"/>
      <c r="ASS236" s="5207"/>
      <c r="AST236" s="5207"/>
      <c r="ASU236" s="5207"/>
      <c r="ASV236" s="5207"/>
      <c r="ASW236" s="5207"/>
      <c r="ASX236" s="5207"/>
      <c r="ASY236" s="5207"/>
      <c r="ASZ236" s="5207"/>
      <c r="ATA236" s="5207"/>
      <c r="ATB236" s="5207"/>
      <c r="ATC236" s="5207"/>
      <c r="ATD236" s="5207"/>
      <c r="ATE236" s="5207"/>
      <c r="ATF236" s="5207"/>
      <c r="ATG236" s="5207"/>
      <c r="ATH236" s="5207"/>
      <c r="ATI236" s="5207"/>
      <c r="ATJ236" s="5207"/>
      <c r="ATK236" s="5207"/>
      <c r="ATL236" s="5207"/>
      <c r="ATM236" s="5207"/>
      <c r="ATN236" s="5207"/>
      <c r="ATO236" s="5207"/>
      <c r="ATP236" s="5207"/>
      <c r="ATQ236" s="5207"/>
      <c r="ATR236" s="5207"/>
      <c r="ATS236" s="5207"/>
      <c r="ATT236" s="5207"/>
      <c r="ATU236" s="5207"/>
      <c r="ATV236" s="5207"/>
      <c r="ATW236" s="5207"/>
      <c r="ATX236" s="5207"/>
      <c r="ATY236" s="5207"/>
      <c r="ATZ236" s="5207"/>
      <c r="AUA236" s="5207"/>
      <c r="AUB236" s="5207"/>
      <c r="AUC236" s="5207"/>
      <c r="AUD236" s="5207"/>
      <c r="AUE236" s="5207"/>
      <c r="AUF236" s="5207"/>
      <c r="AUG236" s="5207"/>
      <c r="AUH236" s="5207"/>
      <c r="AUI236" s="5207"/>
      <c r="AUJ236" s="5207"/>
      <c r="AUK236" s="5207"/>
      <c r="AUL236" s="5207"/>
      <c r="AUM236" s="5207"/>
      <c r="AUN236" s="5207"/>
      <c r="AUO236" s="5207"/>
      <c r="AUP236" s="5207"/>
      <c r="AUQ236" s="5207"/>
      <c r="AUR236" s="5207"/>
      <c r="AUS236" s="5207"/>
      <c r="AUT236" s="5207"/>
      <c r="AUU236" s="5207"/>
      <c r="AUV236" s="5207"/>
      <c r="AUW236" s="5207"/>
      <c r="AUX236" s="5207"/>
      <c r="AUY236" s="5207"/>
      <c r="AUZ236" s="5207"/>
      <c r="AVA236" s="5207"/>
      <c r="AVB236" s="5207"/>
      <c r="AVC236" s="5207"/>
      <c r="AVD236" s="5207"/>
      <c r="AVE236" s="5207"/>
      <c r="AVF236" s="5207"/>
      <c r="AVG236" s="5207"/>
      <c r="AVH236" s="5207"/>
      <c r="AVI236" s="5207"/>
      <c r="AVJ236" s="5207"/>
      <c r="AVK236" s="5207"/>
      <c r="AVL236" s="5207"/>
      <c r="AVM236" s="5207"/>
      <c r="AVN236" s="5207"/>
      <c r="AVO236" s="5207"/>
      <c r="AVP236" s="5207"/>
      <c r="AVQ236" s="5207"/>
      <c r="AVR236" s="5207"/>
      <c r="AVS236" s="5207"/>
      <c r="AVT236" s="5207"/>
      <c r="AVU236" s="5207"/>
      <c r="AVV236" s="5207"/>
      <c r="AVW236" s="5207"/>
      <c r="AVX236" s="5207"/>
      <c r="AVY236" s="5207"/>
      <c r="AVZ236" s="5207"/>
      <c r="AWA236" s="5207"/>
      <c r="AWB236" s="5207"/>
      <c r="AWC236" s="5207"/>
      <c r="AWD236" s="5207"/>
      <c r="AWE236" s="5207"/>
      <c r="AWF236" s="5207"/>
      <c r="AWG236" s="5207"/>
      <c r="AWH236" s="5207"/>
      <c r="AWI236" s="5207"/>
      <c r="AWJ236" s="5207"/>
      <c r="AWK236" s="5207"/>
      <c r="AWL236" s="5207"/>
      <c r="AWM236" s="5207"/>
      <c r="AWN236" s="5207"/>
      <c r="AWO236" s="5207"/>
      <c r="AWP236" s="5207"/>
      <c r="AWQ236" s="5207"/>
      <c r="AWR236" s="5207"/>
      <c r="AWS236" s="5207"/>
      <c r="AWT236" s="5207"/>
      <c r="AWU236" s="5207"/>
      <c r="AWV236" s="5207"/>
      <c r="AWW236" s="5207"/>
      <c r="AWX236" s="5207"/>
      <c r="AWY236" s="5207"/>
      <c r="AWZ236" s="5207"/>
      <c r="AXA236" s="5207"/>
      <c r="AXB236" s="5207"/>
      <c r="AXC236" s="5207"/>
      <c r="AXD236" s="5207"/>
      <c r="AXE236" s="5207"/>
      <c r="AXF236" s="5207"/>
      <c r="AXG236" s="5207"/>
      <c r="AXH236" s="5207"/>
      <c r="AXI236" s="5207"/>
      <c r="AXJ236" s="5207"/>
    </row>
    <row r="237" spans="1:1310" s="5208" customFormat="1" ht="23.25" customHeight="1">
      <c r="A237" s="5209"/>
      <c r="B237" s="5228"/>
      <c r="C237" s="5228"/>
      <c r="D237" s="5228"/>
      <c r="E237" s="5228"/>
      <c r="F237" s="5228"/>
      <c r="G237" s="5228"/>
      <c r="H237" s="5228"/>
      <c r="I237" s="5228"/>
      <c r="J237" s="5228"/>
      <c r="K237" s="5228"/>
      <c r="L237" s="5228"/>
      <c r="M237" s="5228"/>
      <c r="N237" s="5228"/>
      <c r="O237" s="5228"/>
      <c r="P237" s="5228"/>
      <c r="Q237" s="5228"/>
      <c r="R237" s="95"/>
      <c r="S237" s="95"/>
      <c r="T237" s="95"/>
      <c r="U237" s="95"/>
      <c r="V237" s="95"/>
      <c r="W237" s="95"/>
      <c r="X237" s="95"/>
      <c r="Y237" s="95"/>
      <c r="Z237" s="95"/>
      <c r="AA237" s="95"/>
      <c r="AB237" s="95"/>
      <c r="AC237" s="95"/>
      <c r="AD237" s="5207"/>
      <c r="AE237" s="5207"/>
      <c r="AF237" s="5207"/>
      <c r="AG237" s="5207"/>
      <c r="AH237" s="5207"/>
      <c r="AI237" s="5207"/>
      <c r="AJ237" s="5207"/>
      <c r="AK237" s="5207"/>
      <c r="AL237" s="5207"/>
      <c r="AM237" s="5207"/>
      <c r="AN237" s="5207"/>
      <c r="AO237" s="5207"/>
      <c r="AP237" s="5207"/>
      <c r="AQ237" s="5207"/>
      <c r="AR237" s="5207"/>
      <c r="AS237" s="5207"/>
      <c r="AT237" s="5207"/>
      <c r="AU237" s="5207"/>
      <c r="AV237" s="5207"/>
      <c r="AW237" s="5207"/>
      <c r="AX237" s="5207"/>
      <c r="AY237" s="5207"/>
      <c r="AZ237" s="5207"/>
      <c r="BA237" s="5207"/>
      <c r="BB237" s="5207"/>
      <c r="BC237" s="5207"/>
      <c r="BD237" s="5207"/>
      <c r="BE237" s="5207"/>
      <c r="BF237" s="5207"/>
      <c r="BG237" s="5207"/>
      <c r="BH237" s="5207"/>
      <c r="BI237" s="5207"/>
      <c r="BJ237" s="5207"/>
      <c r="BK237" s="5207"/>
      <c r="BL237" s="5207"/>
      <c r="BM237" s="5207"/>
      <c r="BN237" s="5207"/>
      <c r="BO237" s="5207"/>
      <c r="BP237" s="5207"/>
      <c r="BQ237" s="5207"/>
      <c r="BR237" s="5207"/>
      <c r="BS237" s="5207"/>
      <c r="BT237" s="5207"/>
      <c r="BU237" s="5207"/>
      <c r="BV237" s="5207"/>
      <c r="BW237" s="5207"/>
      <c r="BX237" s="5207"/>
      <c r="BY237" s="5207"/>
      <c r="BZ237" s="5207"/>
      <c r="CA237" s="5207"/>
      <c r="CB237" s="5207"/>
      <c r="CC237" s="5207"/>
      <c r="CD237" s="5207"/>
      <c r="CE237" s="5207"/>
      <c r="CF237" s="5207"/>
      <c r="CG237" s="5207"/>
      <c r="CH237" s="5207"/>
      <c r="CI237" s="5207"/>
      <c r="CJ237" s="5207"/>
      <c r="CK237" s="5207"/>
      <c r="CL237" s="5207"/>
      <c r="CM237" s="5207"/>
      <c r="CN237" s="5207"/>
      <c r="CO237" s="5207"/>
      <c r="CP237" s="5207"/>
      <c r="CQ237" s="5207"/>
      <c r="CR237" s="5207"/>
      <c r="CS237" s="5207"/>
      <c r="CT237" s="5207"/>
      <c r="CU237" s="5207"/>
      <c r="CV237" s="5207"/>
      <c r="CW237" s="5207"/>
      <c r="CX237" s="5207"/>
      <c r="CY237" s="5207"/>
      <c r="CZ237" s="5207"/>
      <c r="DA237" s="5207"/>
      <c r="DB237" s="5207"/>
      <c r="DC237" s="5207"/>
      <c r="DD237" s="5207"/>
      <c r="DE237" s="5207"/>
      <c r="DF237" s="5207"/>
      <c r="DG237" s="5207"/>
      <c r="DH237" s="5207"/>
      <c r="DI237" s="5207"/>
      <c r="DJ237" s="5207"/>
      <c r="DK237" s="5207"/>
      <c r="DL237" s="5207"/>
      <c r="DM237" s="5207"/>
      <c r="DN237" s="5207"/>
      <c r="DO237" s="5207"/>
      <c r="DP237" s="5207"/>
      <c r="DQ237" s="5207"/>
      <c r="DR237" s="5207"/>
      <c r="DS237" s="5207"/>
      <c r="DT237" s="5207"/>
      <c r="DU237" s="5207"/>
      <c r="DV237" s="5207"/>
      <c r="DW237" s="5207"/>
      <c r="DX237" s="5207"/>
      <c r="DY237" s="5207"/>
      <c r="DZ237" s="5207"/>
      <c r="EA237" s="5207"/>
      <c r="EB237" s="5207"/>
      <c r="EC237" s="5207"/>
      <c r="ED237" s="5207"/>
      <c r="EE237" s="5207"/>
      <c r="EF237" s="5207"/>
      <c r="EG237" s="5207"/>
      <c r="EH237" s="5207"/>
      <c r="EI237" s="5207"/>
      <c r="EJ237" s="5207"/>
      <c r="EK237" s="5207"/>
      <c r="EL237" s="5207"/>
      <c r="EM237" s="5207"/>
      <c r="EN237" s="5207"/>
      <c r="EO237" s="5207"/>
      <c r="EP237" s="5207"/>
      <c r="EQ237" s="5207"/>
      <c r="ER237" s="5207"/>
      <c r="ES237" s="5207"/>
      <c r="ET237" s="5207"/>
      <c r="EU237" s="5207"/>
      <c r="EV237" s="5207"/>
      <c r="EW237" s="5207"/>
      <c r="EX237" s="5207"/>
      <c r="EY237" s="5207"/>
      <c r="EZ237" s="5207"/>
      <c r="FA237" s="5207"/>
      <c r="FB237" s="5207"/>
      <c r="FC237" s="5207"/>
      <c r="FD237" s="5207"/>
      <c r="FE237" s="5207"/>
      <c r="FF237" s="5207"/>
      <c r="FG237" s="5207"/>
      <c r="FH237" s="5207"/>
      <c r="FI237" s="5207"/>
      <c r="FJ237" s="5207"/>
      <c r="FK237" s="5207"/>
      <c r="FL237" s="5207"/>
      <c r="FM237" s="5207"/>
      <c r="FN237" s="5207"/>
      <c r="FO237" s="5207"/>
      <c r="FP237" s="5207"/>
      <c r="FQ237" s="5207"/>
      <c r="FR237" s="5207"/>
      <c r="FS237" s="5207"/>
      <c r="FT237" s="5207"/>
      <c r="FU237" s="5207"/>
      <c r="FV237" s="5207"/>
      <c r="FW237" s="5207"/>
      <c r="FX237" s="5207"/>
      <c r="FY237" s="5207"/>
      <c r="FZ237" s="5207"/>
      <c r="GA237" s="5207"/>
      <c r="GB237" s="5207"/>
      <c r="GC237" s="5207"/>
      <c r="GD237" s="5207"/>
      <c r="GE237" s="5207"/>
      <c r="GF237" s="5207"/>
      <c r="GG237" s="5207"/>
      <c r="GH237" s="5207"/>
      <c r="GI237" s="5207"/>
      <c r="GJ237" s="5207"/>
      <c r="GK237" s="5207"/>
      <c r="GL237" s="5207"/>
      <c r="GM237" s="5207"/>
      <c r="GN237" s="5207"/>
      <c r="GO237" s="5207"/>
      <c r="GP237" s="5207"/>
      <c r="GQ237" s="5207"/>
      <c r="GR237" s="5207"/>
      <c r="GS237" s="5207"/>
      <c r="GT237" s="5207"/>
      <c r="GU237" s="5207"/>
      <c r="GV237" s="5207"/>
      <c r="GW237" s="5207"/>
      <c r="GX237" s="5207"/>
      <c r="GY237" s="5207"/>
      <c r="GZ237" s="5207"/>
      <c r="HA237" s="5207"/>
      <c r="HB237" s="5207"/>
      <c r="HC237" s="5207"/>
      <c r="HD237" s="5207"/>
      <c r="HE237" s="5207"/>
      <c r="HF237" s="5207"/>
      <c r="HG237" s="5207"/>
      <c r="HH237" s="5207"/>
      <c r="HI237" s="5207"/>
      <c r="HJ237" s="5207"/>
      <c r="HK237" s="5207"/>
      <c r="HL237" s="5207"/>
      <c r="HM237" s="5207"/>
      <c r="HN237" s="5207"/>
      <c r="HO237" s="5207"/>
      <c r="HP237" s="5207"/>
      <c r="HQ237" s="5207"/>
      <c r="HR237" s="5207"/>
      <c r="HS237" s="5207"/>
      <c r="HT237" s="5207"/>
      <c r="HU237" s="5207"/>
      <c r="HV237" s="5207"/>
      <c r="HW237" s="5207"/>
      <c r="HX237" s="5207"/>
      <c r="HY237" s="5207"/>
      <c r="HZ237" s="5207"/>
      <c r="IA237" s="5207"/>
      <c r="IB237" s="5207"/>
      <c r="IC237" s="5207"/>
      <c r="ID237" s="5207"/>
      <c r="IE237" s="5207"/>
      <c r="IF237" s="5207"/>
      <c r="IG237" s="5207"/>
      <c r="IH237" s="5207"/>
      <c r="II237" s="5207"/>
      <c r="IJ237" s="5207"/>
      <c r="IK237" s="5207"/>
      <c r="IL237" s="5207"/>
      <c r="IM237" s="5207"/>
      <c r="IN237" s="5207"/>
      <c r="IO237" s="5207"/>
      <c r="IP237" s="5207"/>
      <c r="IQ237" s="5207"/>
      <c r="IR237" s="5207"/>
      <c r="IS237" s="5207"/>
      <c r="IT237" s="5207"/>
      <c r="IU237" s="5207"/>
      <c r="IV237" s="5207"/>
      <c r="IW237" s="5207"/>
      <c r="IX237" s="5207"/>
      <c r="IY237" s="5207"/>
      <c r="IZ237" s="5207"/>
      <c r="JA237" s="5207"/>
      <c r="JB237" s="5207"/>
      <c r="JC237" s="5207"/>
      <c r="JD237" s="5207"/>
      <c r="JE237" s="5207"/>
      <c r="JF237" s="5207"/>
      <c r="JG237" s="5207"/>
      <c r="JH237" s="5207"/>
      <c r="JI237" s="5207"/>
      <c r="JJ237" s="5207"/>
      <c r="JK237" s="5207"/>
      <c r="JL237" s="5207"/>
      <c r="JM237" s="5207"/>
      <c r="JN237" s="5207"/>
      <c r="JO237" s="5207"/>
      <c r="JP237" s="5207"/>
      <c r="JQ237" s="5207"/>
      <c r="JR237" s="5207"/>
      <c r="JS237" s="5207"/>
      <c r="JT237" s="5207"/>
      <c r="JU237" s="5207"/>
      <c r="JV237" s="5207"/>
      <c r="JW237" s="5207"/>
      <c r="JX237" s="5207"/>
      <c r="JY237" s="5207"/>
      <c r="JZ237" s="5207"/>
      <c r="KA237" s="5207"/>
      <c r="KB237" s="5207"/>
      <c r="KC237" s="5207"/>
      <c r="KD237" s="5207"/>
      <c r="KE237" s="5207"/>
      <c r="KF237" s="5207"/>
      <c r="KG237" s="5207"/>
      <c r="KH237" s="5207"/>
      <c r="KI237" s="5207"/>
      <c r="KJ237" s="5207"/>
      <c r="KK237" s="5207"/>
      <c r="KL237" s="5207"/>
      <c r="KM237" s="5207"/>
      <c r="KN237" s="5207"/>
      <c r="KO237" s="5207"/>
      <c r="KP237" s="5207"/>
      <c r="KQ237" s="5207"/>
      <c r="KR237" s="5207"/>
      <c r="KS237" s="5207"/>
      <c r="KT237" s="5207"/>
      <c r="KU237" s="5207"/>
      <c r="KV237" s="5207"/>
      <c r="KW237" s="5207"/>
      <c r="KX237" s="5207"/>
      <c r="KY237" s="5207"/>
      <c r="KZ237" s="5207"/>
      <c r="LA237" s="5207"/>
      <c r="LB237" s="5207"/>
      <c r="LC237" s="5207"/>
      <c r="LD237" s="5207"/>
      <c r="LE237" s="5207"/>
      <c r="LF237" s="5207"/>
      <c r="LG237" s="5207"/>
      <c r="LH237" s="5207"/>
      <c r="LI237" s="5207"/>
      <c r="LJ237" s="5207"/>
      <c r="LK237" s="5207"/>
      <c r="LL237" s="5207"/>
      <c r="LM237" s="5207"/>
      <c r="LN237" s="5207"/>
      <c r="LO237" s="5207"/>
      <c r="LP237" s="5207"/>
      <c r="LQ237" s="5207"/>
      <c r="LR237" s="5207"/>
      <c r="LS237" s="5207"/>
      <c r="LT237" s="5207"/>
      <c r="LU237" s="5207"/>
      <c r="LV237" s="5207"/>
      <c r="LW237" s="5207"/>
      <c r="LX237" s="5207"/>
      <c r="LY237" s="5207"/>
      <c r="LZ237" s="5207"/>
      <c r="MA237" s="5207"/>
      <c r="MB237" s="5207"/>
      <c r="MC237" s="5207"/>
      <c r="MD237" s="5207"/>
      <c r="ME237" s="5207"/>
      <c r="MF237" s="5207"/>
      <c r="MG237" s="5207"/>
      <c r="MH237" s="5207"/>
      <c r="MI237" s="5207"/>
      <c r="MJ237" s="5207"/>
      <c r="MK237" s="5207"/>
      <c r="ML237" s="5207"/>
      <c r="MM237" s="5207"/>
      <c r="MN237" s="5207"/>
      <c r="MO237" s="5207"/>
      <c r="MP237" s="5207"/>
      <c r="MQ237" s="5207"/>
      <c r="MR237" s="5207"/>
      <c r="MS237" s="5207"/>
      <c r="MT237" s="5207"/>
      <c r="MU237" s="5207"/>
      <c r="MV237" s="5207"/>
      <c r="MW237" s="5207"/>
      <c r="MX237" s="5207"/>
      <c r="MY237" s="5207"/>
      <c r="MZ237" s="5207"/>
      <c r="NA237" s="5207"/>
      <c r="NB237" s="5207"/>
      <c r="NC237" s="5207"/>
      <c r="ND237" s="5207"/>
      <c r="NE237" s="5207"/>
      <c r="NF237" s="5207"/>
      <c r="NG237" s="5207"/>
      <c r="NH237" s="5207"/>
      <c r="NI237" s="5207"/>
      <c r="NJ237" s="5207"/>
      <c r="NK237" s="5207"/>
      <c r="NL237" s="5207"/>
      <c r="NM237" s="5207"/>
      <c r="NN237" s="5207"/>
      <c r="NO237" s="5207"/>
      <c r="NP237" s="5207"/>
      <c r="NQ237" s="5207"/>
      <c r="NR237" s="5207"/>
      <c r="NS237" s="5207"/>
      <c r="NT237" s="5207"/>
      <c r="NU237" s="5207"/>
      <c r="NV237" s="5207"/>
      <c r="NW237" s="5207"/>
      <c r="NX237" s="5207"/>
      <c r="NY237" s="5207"/>
      <c r="NZ237" s="5207"/>
      <c r="OA237" s="5207"/>
      <c r="OB237" s="5207"/>
      <c r="OC237" s="5207"/>
      <c r="OD237" s="5207"/>
      <c r="OE237" s="5207"/>
      <c r="OF237" s="5207"/>
      <c r="OG237" s="5207"/>
      <c r="OH237" s="5207"/>
      <c r="OI237" s="5207"/>
      <c r="OJ237" s="5207"/>
      <c r="OK237" s="5207"/>
      <c r="OL237" s="5207"/>
      <c r="OM237" s="5207"/>
      <c r="ON237" s="5207"/>
      <c r="OO237" s="5207"/>
      <c r="OP237" s="5207"/>
      <c r="OQ237" s="5207"/>
      <c r="OR237" s="5207"/>
      <c r="OS237" s="5207"/>
      <c r="OT237" s="5207"/>
      <c r="OU237" s="5207"/>
      <c r="OV237" s="5207"/>
      <c r="OW237" s="5207"/>
      <c r="OX237" s="5207"/>
      <c r="OY237" s="5207"/>
      <c r="OZ237" s="5207"/>
      <c r="PA237" s="5207"/>
      <c r="PB237" s="5207"/>
      <c r="PC237" s="5207"/>
      <c r="PD237" s="5207"/>
      <c r="PE237" s="5207"/>
      <c r="PF237" s="5207"/>
      <c r="PG237" s="5207"/>
      <c r="PH237" s="5207"/>
      <c r="PI237" s="5207"/>
      <c r="PJ237" s="5207"/>
      <c r="PK237" s="5207"/>
      <c r="PL237" s="5207"/>
      <c r="PM237" s="5207"/>
      <c r="PN237" s="5207"/>
      <c r="PO237" s="5207"/>
      <c r="PP237" s="5207"/>
      <c r="PQ237" s="5207"/>
      <c r="PR237" s="5207"/>
      <c r="PS237" s="5207"/>
      <c r="PT237" s="5207"/>
      <c r="PU237" s="5207"/>
      <c r="PV237" s="5207"/>
      <c r="PW237" s="5207"/>
      <c r="PX237" s="5207"/>
      <c r="PY237" s="5207"/>
      <c r="PZ237" s="5207"/>
      <c r="QA237" s="5207"/>
      <c r="QB237" s="5207"/>
      <c r="QC237" s="5207"/>
      <c r="QD237" s="5207"/>
      <c r="QE237" s="5207"/>
      <c r="QF237" s="5207"/>
      <c r="QG237" s="5207"/>
      <c r="QH237" s="5207"/>
      <c r="QI237" s="5207"/>
      <c r="QJ237" s="5207"/>
      <c r="QK237" s="5207"/>
      <c r="QL237" s="5207"/>
      <c r="QM237" s="5207"/>
      <c r="QN237" s="5207"/>
      <c r="QO237" s="5207"/>
      <c r="QP237" s="5207"/>
      <c r="QQ237" s="5207"/>
      <c r="QR237" s="5207"/>
      <c r="QS237" s="5207"/>
      <c r="QT237" s="5207"/>
      <c r="QU237" s="5207"/>
      <c r="QV237" s="5207"/>
      <c r="QW237" s="5207"/>
      <c r="QX237" s="5207"/>
      <c r="QY237" s="5207"/>
      <c r="QZ237" s="5207"/>
      <c r="RA237" s="5207"/>
      <c r="RB237" s="5207"/>
      <c r="RC237" s="5207"/>
      <c r="RD237" s="5207"/>
      <c r="RE237" s="5207"/>
      <c r="RF237" s="5207"/>
      <c r="RG237" s="5207"/>
      <c r="RH237" s="5207"/>
      <c r="RI237" s="5207"/>
      <c r="RJ237" s="5207"/>
      <c r="RK237" s="5207"/>
      <c r="RL237" s="5207"/>
      <c r="RM237" s="5207"/>
      <c r="RN237" s="5207"/>
      <c r="RO237" s="5207"/>
      <c r="RP237" s="5207"/>
      <c r="RQ237" s="5207"/>
      <c r="RR237" s="5207"/>
      <c r="RS237" s="5207"/>
      <c r="RT237" s="5207"/>
      <c r="RU237" s="5207"/>
      <c r="RV237" s="5207"/>
      <c r="RW237" s="5207"/>
      <c r="RX237" s="5207"/>
      <c r="RY237" s="5207"/>
      <c r="RZ237" s="5207"/>
      <c r="SA237" s="5207"/>
      <c r="SB237" s="5207"/>
      <c r="SC237" s="5207"/>
      <c r="SD237" s="5207"/>
      <c r="SE237" s="5207"/>
      <c r="SF237" s="5207"/>
      <c r="SG237" s="5207"/>
      <c r="SH237" s="5207"/>
      <c r="SI237" s="5207"/>
      <c r="SJ237" s="5207"/>
      <c r="SK237" s="5207"/>
      <c r="SL237" s="5207"/>
      <c r="SM237" s="5207"/>
      <c r="SN237" s="5207"/>
      <c r="SO237" s="5207"/>
      <c r="SP237" s="5207"/>
      <c r="SQ237" s="5207"/>
      <c r="SR237" s="5207"/>
      <c r="SS237" s="5207"/>
      <c r="ST237" s="5207"/>
      <c r="SU237" s="5207"/>
      <c r="SV237" s="5207"/>
      <c r="SW237" s="5207"/>
      <c r="SX237" s="5207"/>
      <c r="SY237" s="5207"/>
      <c r="SZ237" s="5207"/>
      <c r="TA237" s="5207"/>
      <c r="TB237" s="5207"/>
      <c r="TC237" s="5207"/>
      <c r="TD237" s="5207"/>
      <c r="TE237" s="5207"/>
      <c r="TF237" s="5207"/>
      <c r="TG237" s="5207"/>
      <c r="TH237" s="5207"/>
      <c r="TI237" s="5207"/>
      <c r="TJ237" s="5207"/>
      <c r="TK237" s="5207"/>
      <c r="TL237" s="5207"/>
      <c r="TM237" s="5207"/>
      <c r="TN237" s="5207"/>
      <c r="TO237" s="5207"/>
      <c r="TP237" s="5207"/>
      <c r="TQ237" s="5207"/>
      <c r="TR237" s="5207"/>
      <c r="TS237" s="5207"/>
      <c r="TT237" s="5207"/>
      <c r="TU237" s="5207"/>
      <c r="TV237" s="5207"/>
      <c r="TW237" s="5207"/>
      <c r="TX237" s="5207"/>
      <c r="TY237" s="5207"/>
      <c r="TZ237" s="5207"/>
      <c r="UA237" s="5207"/>
      <c r="UB237" s="5207"/>
      <c r="UC237" s="5207"/>
      <c r="UD237" s="5207"/>
      <c r="UE237" s="5207"/>
      <c r="UF237" s="5207"/>
      <c r="UG237" s="5207"/>
      <c r="UH237" s="5207"/>
      <c r="UI237" s="5207"/>
      <c r="UJ237" s="5207"/>
      <c r="UK237" s="5207"/>
      <c r="UL237" s="5207"/>
      <c r="UM237" s="5207"/>
      <c r="UN237" s="5207"/>
      <c r="UO237" s="5207"/>
      <c r="UP237" s="5207"/>
      <c r="UQ237" s="5207"/>
      <c r="UR237" s="5207"/>
      <c r="US237" s="5207"/>
      <c r="UT237" s="5207"/>
      <c r="UU237" s="5207"/>
      <c r="UV237" s="5207"/>
      <c r="UW237" s="5207"/>
      <c r="UX237" s="5207"/>
      <c r="UY237" s="5207"/>
      <c r="UZ237" s="5207"/>
      <c r="VA237" s="5207"/>
      <c r="VB237" s="5207"/>
      <c r="VC237" s="5207"/>
      <c r="VD237" s="5207"/>
      <c r="VE237" s="5207"/>
      <c r="VF237" s="5207"/>
      <c r="VG237" s="5207"/>
      <c r="VH237" s="5207"/>
      <c r="VI237" s="5207"/>
      <c r="VJ237" s="5207"/>
      <c r="VK237" s="5207"/>
      <c r="VL237" s="5207"/>
      <c r="VM237" s="5207"/>
      <c r="VN237" s="5207"/>
      <c r="VO237" s="5207"/>
      <c r="VP237" s="5207"/>
      <c r="VQ237" s="5207"/>
      <c r="VR237" s="5207"/>
      <c r="VS237" s="5207"/>
      <c r="VT237" s="5207"/>
      <c r="VU237" s="5207"/>
      <c r="VV237" s="5207"/>
      <c r="VW237" s="5207"/>
      <c r="VX237" s="5207"/>
      <c r="VY237" s="5207"/>
      <c r="VZ237" s="5207"/>
      <c r="WA237" s="5207"/>
      <c r="WB237" s="5207"/>
      <c r="WC237" s="5207"/>
      <c r="WD237" s="5207"/>
      <c r="WE237" s="5207"/>
      <c r="WF237" s="5207"/>
      <c r="WG237" s="5207"/>
      <c r="WH237" s="5207"/>
      <c r="WI237" s="5207"/>
      <c r="WJ237" s="5207"/>
      <c r="WK237" s="5207"/>
      <c r="WL237" s="5207"/>
      <c r="WM237" s="5207"/>
      <c r="WN237" s="5207"/>
      <c r="WO237" s="5207"/>
      <c r="WP237" s="5207"/>
      <c r="WQ237" s="5207"/>
      <c r="WR237" s="5207"/>
      <c r="WS237" s="5207"/>
      <c r="WT237" s="5207"/>
      <c r="WU237" s="5207"/>
      <c r="WV237" s="5207"/>
      <c r="WW237" s="5207"/>
      <c r="WX237" s="5207"/>
      <c r="WY237" s="5207"/>
      <c r="WZ237" s="5207"/>
      <c r="XA237" s="5207"/>
      <c r="XB237" s="5207"/>
      <c r="XC237" s="5207"/>
      <c r="XD237" s="5207"/>
      <c r="XE237" s="5207"/>
      <c r="XF237" s="5207"/>
      <c r="XG237" s="5207"/>
      <c r="XH237" s="5207"/>
      <c r="XI237" s="5207"/>
      <c r="XJ237" s="5207"/>
      <c r="XK237" s="5207"/>
      <c r="XL237" s="5207"/>
      <c r="XM237" s="5207"/>
      <c r="XN237" s="5207"/>
      <c r="XO237" s="5207"/>
      <c r="XP237" s="5207"/>
      <c r="XQ237" s="5207"/>
      <c r="XR237" s="5207"/>
      <c r="XS237" s="5207"/>
      <c r="XT237" s="5207"/>
      <c r="XU237" s="5207"/>
      <c r="XV237" s="5207"/>
      <c r="XW237" s="5207"/>
      <c r="XX237" s="5207"/>
      <c r="XY237" s="5207"/>
      <c r="XZ237" s="5207"/>
      <c r="YA237" s="5207"/>
      <c r="YB237" s="5207"/>
      <c r="YC237" s="5207"/>
      <c r="YD237" s="5207"/>
      <c r="YE237" s="5207"/>
      <c r="YF237" s="5207"/>
      <c r="YG237" s="5207"/>
      <c r="YH237" s="5207"/>
      <c r="YI237" s="5207"/>
      <c r="YJ237" s="5207"/>
      <c r="YK237" s="5207"/>
      <c r="YL237" s="5207"/>
      <c r="YM237" s="5207"/>
      <c r="YN237" s="5207"/>
      <c r="YO237" s="5207"/>
      <c r="YP237" s="5207"/>
      <c r="YQ237" s="5207"/>
      <c r="YR237" s="5207"/>
      <c r="YS237" s="5207"/>
      <c r="YT237" s="5207"/>
      <c r="YU237" s="5207"/>
      <c r="YV237" s="5207"/>
      <c r="YW237" s="5207"/>
      <c r="YX237" s="5207"/>
      <c r="YY237" s="5207"/>
      <c r="YZ237" s="5207"/>
      <c r="ZA237" s="5207"/>
      <c r="ZB237" s="5207"/>
      <c r="ZC237" s="5207"/>
      <c r="ZD237" s="5207"/>
      <c r="ZE237" s="5207"/>
      <c r="ZF237" s="5207"/>
      <c r="ZG237" s="5207"/>
      <c r="ZH237" s="5207"/>
      <c r="ZI237" s="5207"/>
      <c r="ZJ237" s="5207"/>
      <c r="ZK237" s="5207"/>
      <c r="ZL237" s="5207"/>
      <c r="ZM237" s="5207"/>
      <c r="ZN237" s="5207"/>
      <c r="ZO237" s="5207"/>
      <c r="ZP237" s="5207"/>
      <c r="ZQ237" s="5207"/>
      <c r="ZR237" s="5207"/>
      <c r="ZS237" s="5207"/>
      <c r="ZT237" s="5207"/>
      <c r="ZU237" s="5207"/>
      <c r="ZV237" s="5207"/>
      <c r="ZW237" s="5207"/>
      <c r="ZX237" s="5207"/>
      <c r="ZY237" s="5207"/>
      <c r="ZZ237" s="5207"/>
      <c r="AAA237" s="5207"/>
      <c r="AAB237" s="5207"/>
      <c r="AAC237" s="5207"/>
      <c r="AAD237" s="5207"/>
      <c r="AAE237" s="5207"/>
      <c r="AAF237" s="5207"/>
      <c r="AAG237" s="5207"/>
      <c r="AAH237" s="5207"/>
      <c r="AAI237" s="5207"/>
      <c r="AAJ237" s="5207"/>
      <c r="AAK237" s="5207"/>
      <c r="AAL237" s="5207"/>
      <c r="AAM237" s="5207"/>
      <c r="AAN237" s="5207"/>
      <c r="AAO237" s="5207"/>
      <c r="AAP237" s="5207"/>
      <c r="AAQ237" s="5207"/>
      <c r="AAR237" s="5207"/>
      <c r="AAS237" s="5207"/>
      <c r="AAT237" s="5207"/>
      <c r="AAU237" s="5207"/>
      <c r="AAV237" s="5207"/>
      <c r="AAW237" s="5207"/>
      <c r="AAX237" s="5207"/>
      <c r="AAY237" s="5207"/>
      <c r="AAZ237" s="5207"/>
      <c r="ABA237" s="5207"/>
      <c r="ABB237" s="5207"/>
      <c r="ABC237" s="5207"/>
      <c r="ABD237" s="5207"/>
      <c r="ABE237" s="5207"/>
      <c r="ABF237" s="5207"/>
      <c r="ABG237" s="5207"/>
      <c r="ABH237" s="5207"/>
      <c r="ABI237" s="5207"/>
      <c r="ABJ237" s="5207"/>
      <c r="ABK237" s="5207"/>
      <c r="ABL237" s="5207"/>
      <c r="ABM237" s="5207"/>
      <c r="ABN237" s="5207"/>
      <c r="ABO237" s="5207"/>
      <c r="ABP237" s="5207"/>
      <c r="ABQ237" s="5207"/>
      <c r="ABR237" s="5207"/>
      <c r="ABS237" s="5207"/>
      <c r="ABT237" s="5207"/>
      <c r="ABU237" s="5207"/>
      <c r="ABV237" s="5207"/>
      <c r="ABW237" s="5207"/>
      <c r="ABX237" s="5207"/>
      <c r="ABY237" s="5207"/>
      <c r="ABZ237" s="5207"/>
      <c r="ACA237" s="5207"/>
      <c r="ACB237" s="5207"/>
      <c r="ACC237" s="5207"/>
      <c r="ACD237" s="5207"/>
      <c r="ACE237" s="5207"/>
      <c r="ACF237" s="5207"/>
      <c r="ACG237" s="5207"/>
      <c r="ACH237" s="5207"/>
      <c r="ACI237" s="5207"/>
      <c r="ACJ237" s="5207"/>
      <c r="ACK237" s="5207"/>
      <c r="ACL237" s="5207"/>
      <c r="ACM237" s="5207"/>
      <c r="ACN237" s="5207"/>
      <c r="ACO237" s="5207"/>
      <c r="ACP237" s="5207"/>
      <c r="ACQ237" s="5207"/>
      <c r="ACR237" s="5207"/>
      <c r="ACS237" s="5207"/>
      <c r="ACT237" s="5207"/>
      <c r="ACU237" s="5207"/>
      <c r="ACV237" s="5207"/>
      <c r="ACW237" s="5207"/>
      <c r="ACX237" s="5207"/>
      <c r="ACY237" s="5207"/>
      <c r="ACZ237" s="5207"/>
      <c r="ADA237" s="5207"/>
      <c r="ADB237" s="5207"/>
      <c r="ADC237" s="5207"/>
      <c r="ADD237" s="5207"/>
      <c r="ADE237" s="5207"/>
      <c r="ADF237" s="5207"/>
      <c r="ADG237" s="5207"/>
      <c r="ADH237" s="5207"/>
      <c r="ADI237" s="5207"/>
      <c r="ADJ237" s="5207"/>
      <c r="ADK237" s="5207"/>
      <c r="ADL237" s="5207"/>
      <c r="ADM237" s="5207"/>
      <c r="ADN237" s="5207"/>
      <c r="ADO237" s="5207"/>
      <c r="ADP237" s="5207"/>
      <c r="ADQ237" s="5207"/>
      <c r="ADR237" s="5207"/>
      <c r="ADS237" s="5207"/>
      <c r="ADT237" s="5207"/>
      <c r="ADU237" s="5207"/>
      <c r="ADV237" s="5207"/>
      <c r="ADW237" s="5207"/>
      <c r="ADX237" s="5207"/>
      <c r="ADY237" s="5207"/>
      <c r="ADZ237" s="5207"/>
      <c r="AEA237" s="5207"/>
      <c r="AEB237" s="5207"/>
      <c r="AEC237" s="5207"/>
      <c r="AED237" s="5207"/>
      <c r="AEE237" s="5207"/>
      <c r="AEF237" s="5207"/>
      <c r="AEG237" s="5207"/>
      <c r="AEH237" s="5207"/>
      <c r="AEI237" s="5207"/>
      <c r="AEJ237" s="5207"/>
      <c r="AEK237" s="5207"/>
      <c r="AEL237" s="5207"/>
      <c r="AEM237" s="5207"/>
      <c r="AEN237" s="5207"/>
      <c r="AEO237" s="5207"/>
      <c r="AEP237" s="5207"/>
      <c r="AEQ237" s="5207"/>
      <c r="AER237" s="5207"/>
      <c r="AES237" s="5207"/>
      <c r="AET237" s="5207"/>
      <c r="AEU237" s="5207"/>
      <c r="AEV237" s="5207"/>
      <c r="AEW237" s="5207"/>
      <c r="AEX237" s="5207"/>
      <c r="AEY237" s="5207"/>
      <c r="AEZ237" s="5207"/>
      <c r="AFA237" s="5207"/>
      <c r="AFB237" s="5207"/>
      <c r="AFC237" s="5207"/>
      <c r="AFD237" s="5207"/>
      <c r="AFE237" s="5207"/>
      <c r="AFF237" s="5207"/>
      <c r="AFG237" s="5207"/>
      <c r="AFH237" s="5207"/>
      <c r="AFI237" s="5207"/>
      <c r="AFJ237" s="5207"/>
      <c r="AFK237" s="5207"/>
      <c r="AFL237" s="5207"/>
      <c r="AFM237" s="5207"/>
      <c r="AFN237" s="5207"/>
      <c r="AFO237" s="5207"/>
      <c r="AFP237" s="5207"/>
      <c r="AFQ237" s="5207"/>
      <c r="AFR237" s="5207"/>
      <c r="AFS237" s="5207"/>
      <c r="AFT237" s="5207"/>
      <c r="AFU237" s="5207"/>
      <c r="AFV237" s="5207"/>
      <c r="AFW237" s="5207"/>
      <c r="AFX237" s="5207"/>
      <c r="AFY237" s="5207"/>
      <c r="AFZ237" s="5207"/>
      <c r="AGA237" s="5207"/>
      <c r="AGB237" s="5207"/>
      <c r="AGC237" s="5207"/>
      <c r="AGD237" s="5207"/>
      <c r="AGE237" s="5207"/>
      <c r="AGF237" s="5207"/>
      <c r="AGG237" s="5207"/>
      <c r="AGH237" s="5207"/>
      <c r="AGI237" s="5207"/>
      <c r="AGJ237" s="5207"/>
      <c r="AGK237" s="5207"/>
      <c r="AGL237" s="5207"/>
      <c r="AGM237" s="5207"/>
      <c r="AGN237" s="5207"/>
      <c r="AGO237" s="5207"/>
      <c r="AGP237" s="5207"/>
      <c r="AGQ237" s="5207"/>
      <c r="AGR237" s="5207"/>
      <c r="AGS237" s="5207"/>
      <c r="AGT237" s="5207"/>
      <c r="AGU237" s="5207"/>
      <c r="AGV237" s="5207"/>
      <c r="AGW237" s="5207"/>
      <c r="AGX237" s="5207"/>
      <c r="AGY237" s="5207"/>
      <c r="AGZ237" s="5207"/>
      <c r="AHA237" s="5207"/>
      <c r="AHB237" s="5207"/>
      <c r="AHC237" s="5207"/>
      <c r="AHD237" s="5207"/>
      <c r="AHE237" s="5207"/>
      <c r="AHF237" s="5207"/>
      <c r="AHG237" s="5207"/>
      <c r="AHH237" s="5207"/>
      <c r="AHI237" s="5207"/>
      <c r="AHJ237" s="5207"/>
      <c r="AHK237" s="5207"/>
      <c r="AHL237" s="5207"/>
      <c r="AHM237" s="5207"/>
      <c r="AHN237" s="5207"/>
      <c r="AHO237" s="5207"/>
      <c r="AHP237" s="5207"/>
      <c r="AHQ237" s="5207"/>
      <c r="AHR237" s="5207"/>
      <c r="AHS237" s="5207"/>
      <c r="AHT237" s="5207"/>
      <c r="AHU237" s="5207"/>
      <c r="AHV237" s="5207"/>
      <c r="AHW237" s="5207"/>
      <c r="AHX237" s="5207"/>
      <c r="AHY237" s="5207"/>
      <c r="AHZ237" s="5207"/>
      <c r="AIA237" s="5207"/>
      <c r="AIB237" s="5207"/>
      <c r="AIC237" s="5207"/>
      <c r="AID237" s="5207"/>
      <c r="AIE237" s="5207"/>
      <c r="AIF237" s="5207"/>
      <c r="AIG237" s="5207"/>
      <c r="AIH237" s="5207"/>
      <c r="AII237" s="5207"/>
      <c r="AIJ237" s="5207"/>
      <c r="AIK237" s="5207"/>
      <c r="AIL237" s="5207"/>
      <c r="AIM237" s="5207"/>
      <c r="AIN237" s="5207"/>
      <c r="AIO237" s="5207"/>
      <c r="AIP237" s="5207"/>
      <c r="AIQ237" s="5207"/>
      <c r="AIR237" s="5207"/>
      <c r="AIS237" s="5207"/>
      <c r="AIT237" s="5207"/>
      <c r="AIU237" s="5207"/>
      <c r="AIV237" s="5207"/>
      <c r="AIW237" s="5207"/>
      <c r="AIX237" s="5207"/>
      <c r="AIY237" s="5207"/>
      <c r="AIZ237" s="5207"/>
      <c r="AJA237" s="5207"/>
      <c r="AJB237" s="5207"/>
      <c r="AJC237" s="5207"/>
      <c r="AJD237" s="5207"/>
      <c r="AJE237" s="5207"/>
      <c r="AJF237" s="5207"/>
      <c r="AJG237" s="5207"/>
      <c r="AJH237" s="5207"/>
      <c r="AJI237" s="5207"/>
      <c r="AJJ237" s="5207"/>
      <c r="AJK237" s="5207"/>
      <c r="AJL237" s="5207"/>
      <c r="AJM237" s="5207"/>
      <c r="AJN237" s="5207"/>
      <c r="AJO237" s="5207"/>
      <c r="AJP237" s="5207"/>
      <c r="AJQ237" s="5207"/>
      <c r="AJR237" s="5207"/>
      <c r="AJS237" s="5207"/>
      <c r="AJT237" s="5207"/>
      <c r="AJU237" s="5207"/>
      <c r="AJV237" s="5207"/>
      <c r="AJW237" s="5207"/>
      <c r="AJX237" s="5207"/>
      <c r="AJY237" s="5207"/>
      <c r="AJZ237" s="5207"/>
      <c r="AKA237" s="5207"/>
      <c r="AKB237" s="5207"/>
      <c r="AKC237" s="5207"/>
      <c r="AKD237" s="5207"/>
      <c r="AKE237" s="5207"/>
      <c r="AKF237" s="5207"/>
      <c r="AKG237" s="5207"/>
      <c r="AKH237" s="5207"/>
      <c r="AKI237" s="5207"/>
      <c r="AKJ237" s="5207"/>
      <c r="AKK237" s="5207"/>
      <c r="AKL237" s="5207"/>
      <c r="AKM237" s="5207"/>
      <c r="AKN237" s="5207"/>
      <c r="AKO237" s="5207"/>
      <c r="AKP237" s="5207"/>
      <c r="AKQ237" s="5207"/>
      <c r="AKR237" s="5207"/>
      <c r="AKS237" s="5207"/>
      <c r="AKT237" s="5207"/>
      <c r="AKU237" s="5207"/>
      <c r="AKV237" s="5207"/>
      <c r="AKW237" s="5207"/>
      <c r="AKX237" s="5207"/>
      <c r="AKY237" s="5207"/>
      <c r="AKZ237" s="5207"/>
      <c r="ALA237" s="5207"/>
      <c r="ALB237" s="5207"/>
      <c r="ALC237" s="5207"/>
      <c r="ALD237" s="5207"/>
      <c r="ALE237" s="5207"/>
      <c r="ALF237" s="5207"/>
      <c r="ALG237" s="5207"/>
      <c r="ALH237" s="5207"/>
      <c r="ALI237" s="5207"/>
      <c r="ALJ237" s="5207"/>
      <c r="ALK237" s="5207"/>
      <c r="ALL237" s="5207"/>
      <c r="ALM237" s="5207"/>
      <c r="ALN237" s="5207"/>
      <c r="ALO237" s="5207"/>
      <c r="ALP237" s="5207"/>
      <c r="ALQ237" s="5207"/>
      <c r="ALR237" s="5207"/>
      <c r="ALS237" s="5207"/>
      <c r="ALT237" s="5207"/>
      <c r="ALU237" s="5207"/>
      <c r="ALV237" s="5207"/>
      <c r="ALW237" s="5207"/>
      <c r="ALX237" s="5207"/>
      <c r="ALY237" s="5207"/>
      <c r="ALZ237" s="5207"/>
      <c r="AMA237" s="5207"/>
      <c r="AMB237" s="5207"/>
      <c r="AMC237" s="5207"/>
      <c r="AMD237" s="5207"/>
      <c r="AME237" s="5207"/>
      <c r="AMF237" s="5207"/>
      <c r="AMG237" s="5207"/>
      <c r="AMH237" s="5207"/>
      <c r="AMI237" s="5207"/>
      <c r="AMJ237" s="5207"/>
      <c r="AMK237" s="5207"/>
      <c r="AML237" s="5207"/>
      <c r="AMM237" s="5207"/>
      <c r="AMN237" s="5207"/>
      <c r="AMO237" s="5207"/>
      <c r="AMP237" s="5207"/>
      <c r="AMQ237" s="5207"/>
      <c r="AMR237" s="5207"/>
      <c r="AMS237" s="5207"/>
      <c r="AMT237" s="5207"/>
      <c r="AMU237" s="5207"/>
      <c r="AMV237" s="5207"/>
      <c r="AMW237" s="5207"/>
      <c r="AMX237" s="5207"/>
      <c r="AMY237" s="5207"/>
      <c r="AMZ237" s="5207"/>
      <c r="ANA237" s="5207"/>
      <c r="ANB237" s="5207"/>
      <c r="ANC237" s="5207"/>
      <c r="AND237" s="5207"/>
      <c r="ANE237" s="5207"/>
      <c r="ANF237" s="5207"/>
      <c r="ANG237" s="5207"/>
      <c r="ANH237" s="5207"/>
      <c r="ANI237" s="5207"/>
      <c r="ANJ237" s="5207"/>
      <c r="ANK237" s="5207"/>
      <c r="ANL237" s="5207"/>
      <c r="ANM237" s="5207"/>
      <c r="ANN237" s="5207"/>
      <c r="ANO237" s="5207"/>
      <c r="ANP237" s="5207"/>
      <c r="ANQ237" s="5207"/>
      <c r="ANR237" s="5207"/>
      <c r="ANS237" s="5207"/>
      <c r="ANT237" s="5207"/>
      <c r="ANU237" s="5207"/>
      <c r="ANV237" s="5207"/>
      <c r="ANW237" s="5207"/>
      <c r="ANX237" s="5207"/>
      <c r="ANY237" s="5207"/>
      <c r="ANZ237" s="5207"/>
      <c r="AOA237" s="5207"/>
      <c r="AOB237" s="5207"/>
      <c r="AOC237" s="5207"/>
      <c r="AOD237" s="5207"/>
      <c r="AOE237" s="5207"/>
      <c r="AOF237" s="5207"/>
      <c r="AOG237" s="5207"/>
      <c r="AOH237" s="5207"/>
      <c r="AOI237" s="5207"/>
      <c r="AOJ237" s="5207"/>
      <c r="AOK237" s="5207"/>
      <c r="AOL237" s="5207"/>
      <c r="AOM237" s="5207"/>
      <c r="AON237" s="5207"/>
      <c r="AOO237" s="5207"/>
      <c r="AOP237" s="5207"/>
      <c r="AOQ237" s="5207"/>
      <c r="AOR237" s="5207"/>
      <c r="AOS237" s="5207"/>
      <c r="AOT237" s="5207"/>
      <c r="AOU237" s="5207"/>
      <c r="AOV237" s="5207"/>
      <c r="AOW237" s="5207"/>
      <c r="AOX237" s="5207"/>
      <c r="AOY237" s="5207"/>
      <c r="AOZ237" s="5207"/>
      <c r="APA237" s="5207"/>
      <c r="APB237" s="5207"/>
      <c r="APC237" s="5207"/>
      <c r="APD237" s="5207"/>
      <c r="APE237" s="5207"/>
      <c r="APF237" s="5207"/>
      <c r="APG237" s="5207"/>
      <c r="APH237" s="5207"/>
      <c r="API237" s="5207"/>
      <c r="APJ237" s="5207"/>
      <c r="APK237" s="5207"/>
      <c r="APL237" s="5207"/>
      <c r="APM237" s="5207"/>
      <c r="APN237" s="5207"/>
      <c r="APO237" s="5207"/>
      <c r="APP237" s="5207"/>
      <c r="APQ237" s="5207"/>
      <c r="APR237" s="5207"/>
      <c r="APS237" s="5207"/>
      <c r="APT237" s="5207"/>
      <c r="APU237" s="5207"/>
      <c r="APV237" s="5207"/>
      <c r="APW237" s="5207"/>
      <c r="APX237" s="5207"/>
      <c r="APY237" s="5207"/>
      <c r="APZ237" s="5207"/>
      <c r="AQA237" s="5207"/>
      <c r="AQB237" s="5207"/>
      <c r="AQC237" s="5207"/>
      <c r="AQD237" s="5207"/>
      <c r="AQE237" s="5207"/>
      <c r="AQF237" s="5207"/>
      <c r="AQG237" s="5207"/>
      <c r="AQH237" s="5207"/>
      <c r="AQI237" s="5207"/>
      <c r="AQJ237" s="5207"/>
      <c r="AQK237" s="5207"/>
      <c r="AQL237" s="5207"/>
      <c r="AQM237" s="5207"/>
      <c r="AQN237" s="5207"/>
      <c r="AQO237" s="5207"/>
      <c r="AQP237" s="5207"/>
      <c r="AQQ237" s="5207"/>
      <c r="AQR237" s="5207"/>
      <c r="AQS237" s="5207"/>
      <c r="AQT237" s="5207"/>
      <c r="AQU237" s="5207"/>
      <c r="AQV237" s="5207"/>
      <c r="AQW237" s="5207"/>
      <c r="AQX237" s="5207"/>
      <c r="AQY237" s="5207"/>
      <c r="AQZ237" s="5207"/>
      <c r="ARA237" s="5207"/>
      <c r="ARB237" s="5207"/>
      <c r="ARC237" s="5207"/>
      <c r="ARD237" s="5207"/>
      <c r="ARE237" s="5207"/>
      <c r="ARF237" s="5207"/>
      <c r="ARG237" s="5207"/>
      <c r="ARH237" s="5207"/>
      <c r="ARI237" s="5207"/>
      <c r="ARJ237" s="5207"/>
      <c r="ARK237" s="5207"/>
      <c r="ARL237" s="5207"/>
      <c r="ARM237" s="5207"/>
      <c r="ARN237" s="5207"/>
      <c r="ARO237" s="5207"/>
      <c r="ARP237" s="5207"/>
      <c r="ARQ237" s="5207"/>
      <c r="ARR237" s="5207"/>
      <c r="ARS237" s="5207"/>
      <c r="ART237" s="5207"/>
      <c r="ARU237" s="5207"/>
      <c r="ARV237" s="5207"/>
      <c r="ARW237" s="5207"/>
      <c r="ARX237" s="5207"/>
      <c r="ARY237" s="5207"/>
      <c r="ARZ237" s="5207"/>
      <c r="ASA237" s="5207"/>
      <c r="ASB237" s="5207"/>
      <c r="ASC237" s="5207"/>
      <c r="ASD237" s="5207"/>
      <c r="ASE237" s="5207"/>
      <c r="ASF237" s="5207"/>
      <c r="ASG237" s="5207"/>
      <c r="ASH237" s="5207"/>
      <c r="ASI237" s="5207"/>
      <c r="ASJ237" s="5207"/>
      <c r="ASK237" s="5207"/>
      <c r="ASL237" s="5207"/>
      <c r="ASM237" s="5207"/>
      <c r="ASN237" s="5207"/>
      <c r="ASO237" s="5207"/>
      <c r="ASP237" s="5207"/>
      <c r="ASQ237" s="5207"/>
      <c r="ASR237" s="5207"/>
      <c r="ASS237" s="5207"/>
      <c r="AST237" s="5207"/>
      <c r="ASU237" s="5207"/>
      <c r="ASV237" s="5207"/>
      <c r="ASW237" s="5207"/>
      <c r="ASX237" s="5207"/>
      <c r="ASY237" s="5207"/>
      <c r="ASZ237" s="5207"/>
      <c r="ATA237" s="5207"/>
      <c r="ATB237" s="5207"/>
      <c r="ATC237" s="5207"/>
      <c r="ATD237" s="5207"/>
      <c r="ATE237" s="5207"/>
      <c r="ATF237" s="5207"/>
      <c r="ATG237" s="5207"/>
      <c r="ATH237" s="5207"/>
      <c r="ATI237" s="5207"/>
      <c r="ATJ237" s="5207"/>
      <c r="ATK237" s="5207"/>
      <c r="ATL237" s="5207"/>
      <c r="ATM237" s="5207"/>
      <c r="ATN237" s="5207"/>
      <c r="ATO237" s="5207"/>
      <c r="ATP237" s="5207"/>
      <c r="ATQ237" s="5207"/>
      <c r="ATR237" s="5207"/>
      <c r="ATS237" s="5207"/>
      <c r="ATT237" s="5207"/>
      <c r="ATU237" s="5207"/>
      <c r="ATV237" s="5207"/>
      <c r="ATW237" s="5207"/>
      <c r="ATX237" s="5207"/>
      <c r="ATY237" s="5207"/>
      <c r="ATZ237" s="5207"/>
      <c r="AUA237" s="5207"/>
      <c r="AUB237" s="5207"/>
      <c r="AUC237" s="5207"/>
      <c r="AUD237" s="5207"/>
      <c r="AUE237" s="5207"/>
      <c r="AUF237" s="5207"/>
      <c r="AUG237" s="5207"/>
      <c r="AUH237" s="5207"/>
      <c r="AUI237" s="5207"/>
      <c r="AUJ237" s="5207"/>
      <c r="AUK237" s="5207"/>
      <c r="AUL237" s="5207"/>
      <c r="AUM237" s="5207"/>
      <c r="AUN237" s="5207"/>
      <c r="AUO237" s="5207"/>
      <c r="AUP237" s="5207"/>
      <c r="AUQ237" s="5207"/>
      <c r="AUR237" s="5207"/>
      <c r="AUS237" s="5207"/>
      <c r="AUT237" s="5207"/>
      <c r="AUU237" s="5207"/>
      <c r="AUV237" s="5207"/>
      <c r="AUW237" s="5207"/>
      <c r="AUX237" s="5207"/>
      <c r="AUY237" s="5207"/>
      <c r="AUZ237" s="5207"/>
      <c r="AVA237" s="5207"/>
      <c r="AVB237" s="5207"/>
      <c r="AVC237" s="5207"/>
      <c r="AVD237" s="5207"/>
      <c r="AVE237" s="5207"/>
      <c r="AVF237" s="5207"/>
      <c r="AVG237" s="5207"/>
      <c r="AVH237" s="5207"/>
      <c r="AVI237" s="5207"/>
      <c r="AVJ237" s="5207"/>
      <c r="AVK237" s="5207"/>
      <c r="AVL237" s="5207"/>
      <c r="AVM237" s="5207"/>
      <c r="AVN237" s="5207"/>
      <c r="AVO237" s="5207"/>
      <c r="AVP237" s="5207"/>
      <c r="AVQ237" s="5207"/>
      <c r="AVR237" s="5207"/>
      <c r="AVS237" s="5207"/>
      <c r="AVT237" s="5207"/>
      <c r="AVU237" s="5207"/>
      <c r="AVV237" s="5207"/>
      <c r="AVW237" s="5207"/>
      <c r="AVX237" s="5207"/>
      <c r="AVY237" s="5207"/>
      <c r="AVZ237" s="5207"/>
      <c r="AWA237" s="5207"/>
      <c r="AWB237" s="5207"/>
      <c r="AWC237" s="5207"/>
      <c r="AWD237" s="5207"/>
      <c r="AWE237" s="5207"/>
      <c r="AWF237" s="5207"/>
      <c r="AWG237" s="5207"/>
      <c r="AWH237" s="5207"/>
      <c r="AWI237" s="5207"/>
      <c r="AWJ237" s="5207"/>
      <c r="AWK237" s="5207"/>
      <c r="AWL237" s="5207"/>
      <c r="AWM237" s="5207"/>
      <c r="AWN237" s="5207"/>
      <c r="AWO237" s="5207"/>
      <c r="AWP237" s="5207"/>
      <c r="AWQ237" s="5207"/>
      <c r="AWR237" s="5207"/>
      <c r="AWS237" s="5207"/>
      <c r="AWT237" s="5207"/>
      <c r="AWU237" s="5207"/>
      <c r="AWV237" s="5207"/>
      <c r="AWW237" s="5207"/>
      <c r="AWX237" s="5207"/>
      <c r="AWY237" s="5207"/>
      <c r="AWZ237" s="5207"/>
      <c r="AXA237" s="5207"/>
      <c r="AXB237" s="5207"/>
      <c r="AXC237" s="5207"/>
      <c r="AXD237" s="5207"/>
      <c r="AXE237" s="5207"/>
      <c r="AXF237" s="5207"/>
      <c r="AXG237" s="5207"/>
      <c r="AXH237" s="5207"/>
      <c r="AXI237" s="5207"/>
      <c r="AXJ237" s="5207"/>
    </row>
    <row r="238" spans="1:1310" ht="20.100000000000001" customHeight="1">
      <c r="A238" s="5209"/>
      <c r="B238" s="5002"/>
      <c r="C238" s="5002"/>
      <c r="D238" s="5002"/>
      <c r="E238" s="63"/>
      <c r="F238" s="63"/>
      <c r="G238" s="5002"/>
      <c r="H238" s="5002"/>
      <c r="I238" s="5002"/>
      <c r="J238" s="5002"/>
      <c r="K238" s="5002"/>
      <c r="L238" s="5002"/>
      <c r="M238" s="5002"/>
      <c r="N238" s="5002"/>
      <c r="O238" s="5002"/>
      <c r="P238" s="5002"/>
      <c r="Q238" s="5002"/>
    </row>
    <row r="239" spans="1:1310" ht="20.100000000000001" customHeight="1">
      <c r="A239" s="5209"/>
      <c r="B239" s="5229" t="s">
        <v>904</v>
      </c>
      <c r="C239" s="5229"/>
      <c r="D239" s="5229"/>
      <c r="E239" s="101" t="s">
        <v>905</v>
      </c>
      <c r="F239" s="5230"/>
      <c r="G239" s="101" t="s">
        <v>906</v>
      </c>
      <c r="H239" s="5231"/>
      <c r="I239" s="5002"/>
      <c r="J239" s="101" t="s">
        <v>907</v>
      </c>
      <c r="K239" s="5231"/>
      <c r="L239" s="5002"/>
      <c r="M239" s="104" t="s">
        <v>908</v>
      </c>
      <c r="Q239" s="5002"/>
    </row>
    <row r="240" spans="1:1310" ht="20.100000000000001" customHeight="1">
      <c r="A240" s="5209"/>
      <c r="B240" s="5002"/>
      <c r="C240" s="5002"/>
      <c r="D240" s="5002"/>
      <c r="E240" s="63"/>
      <c r="F240" s="63"/>
      <c r="G240" s="5002"/>
      <c r="H240" s="5002"/>
      <c r="I240" s="5002"/>
      <c r="J240" s="5002"/>
      <c r="K240" s="5002"/>
      <c r="L240" s="5002"/>
      <c r="M240" s="5002"/>
      <c r="N240" s="5002"/>
      <c r="O240" s="5002"/>
      <c r="P240" s="5002"/>
      <c r="Q240" s="5002"/>
    </row>
    <row r="241" spans="1:1310" s="5208" customFormat="1" ht="23.25" customHeight="1">
      <c r="A241" s="5209"/>
      <c r="B241" s="5228"/>
      <c r="C241" s="5228"/>
      <c r="D241" s="5228"/>
      <c r="E241" s="5228"/>
      <c r="F241" s="5228"/>
      <c r="G241" s="5228"/>
      <c r="H241" s="5228"/>
      <c r="I241" s="5228"/>
      <c r="J241" s="5228"/>
      <c r="K241" s="5228"/>
      <c r="L241" s="5228"/>
      <c r="M241" s="5228"/>
      <c r="N241" s="5228"/>
      <c r="O241" s="5228"/>
      <c r="P241" s="5228"/>
      <c r="Q241" s="5228"/>
      <c r="R241" s="95"/>
      <c r="S241" s="95"/>
      <c r="T241" s="95"/>
      <c r="U241" s="95"/>
      <c r="V241" s="95"/>
      <c r="W241" s="95"/>
      <c r="X241" s="95"/>
      <c r="Y241" s="95"/>
      <c r="Z241" s="95"/>
      <c r="AA241" s="95"/>
      <c r="AB241" s="95"/>
      <c r="AC241" s="95"/>
      <c r="AD241" s="5207"/>
      <c r="AE241" s="5207"/>
      <c r="AF241" s="5207"/>
      <c r="AG241" s="5207"/>
      <c r="AH241" s="5207"/>
      <c r="AI241" s="5207"/>
      <c r="AJ241" s="5207"/>
      <c r="AK241" s="5207"/>
      <c r="AL241" s="5207"/>
      <c r="AM241" s="5207"/>
      <c r="AN241" s="5207"/>
      <c r="AO241" s="5207"/>
      <c r="AP241" s="5207"/>
      <c r="AQ241" s="5207"/>
      <c r="AR241" s="5207"/>
      <c r="AS241" s="5207"/>
      <c r="AT241" s="5207"/>
      <c r="AU241" s="5207"/>
      <c r="AV241" s="5207"/>
      <c r="AW241" s="5207"/>
      <c r="AX241" s="5207"/>
      <c r="AY241" s="5207"/>
      <c r="AZ241" s="5207"/>
      <c r="BA241" s="5207"/>
      <c r="BB241" s="5207"/>
      <c r="BC241" s="5207"/>
      <c r="BD241" s="5207"/>
      <c r="BE241" s="5207"/>
      <c r="BF241" s="5207"/>
      <c r="BG241" s="5207"/>
      <c r="BH241" s="5207"/>
      <c r="BI241" s="5207"/>
      <c r="BJ241" s="5207"/>
      <c r="BK241" s="5207"/>
      <c r="BL241" s="5207"/>
      <c r="BM241" s="5207"/>
      <c r="BN241" s="5207"/>
      <c r="BO241" s="5207"/>
      <c r="BP241" s="5207"/>
      <c r="BQ241" s="5207"/>
      <c r="BR241" s="5207"/>
      <c r="BS241" s="5207"/>
      <c r="BT241" s="5207"/>
      <c r="BU241" s="5207"/>
      <c r="BV241" s="5207"/>
      <c r="BW241" s="5207"/>
      <c r="BX241" s="5207"/>
      <c r="BY241" s="5207"/>
      <c r="BZ241" s="5207"/>
      <c r="CA241" s="5207"/>
      <c r="CB241" s="5207"/>
      <c r="CC241" s="5207"/>
      <c r="CD241" s="5207"/>
      <c r="CE241" s="5207"/>
      <c r="CF241" s="5207"/>
      <c r="CG241" s="5207"/>
      <c r="CH241" s="5207"/>
      <c r="CI241" s="5207"/>
      <c r="CJ241" s="5207"/>
      <c r="CK241" s="5207"/>
      <c r="CL241" s="5207"/>
      <c r="CM241" s="5207"/>
      <c r="CN241" s="5207"/>
      <c r="CO241" s="5207"/>
      <c r="CP241" s="5207"/>
      <c r="CQ241" s="5207"/>
      <c r="CR241" s="5207"/>
      <c r="CS241" s="5207"/>
      <c r="CT241" s="5207"/>
      <c r="CU241" s="5207"/>
      <c r="CV241" s="5207"/>
      <c r="CW241" s="5207"/>
      <c r="CX241" s="5207"/>
      <c r="CY241" s="5207"/>
      <c r="CZ241" s="5207"/>
      <c r="DA241" s="5207"/>
      <c r="DB241" s="5207"/>
      <c r="DC241" s="5207"/>
      <c r="DD241" s="5207"/>
      <c r="DE241" s="5207"/>
      <c r="DF241" s="5207"/>
      <c r="DG241" s="5207"/>
      <c r="DH241" s="5207"/>
      <c r="DI241" s="5207"/>
      <c r="DJ241" s="5207"/>
      <c r="DK241" s="5207"/>
      <c r="DL241" s="5207"/>
      <c r="DM241" s="5207"/>
      <c r="DN241" s="5207"/>
      <c r="DO241" s="5207"/>
      <c r="DP241" s="5207"/>
      <c r="DQ241" s="5207"/>
      <c r="DR241" s="5207"/>
      <c r="DS241" s="5207"/>
      <c r="DT241" s="5207"/>
      <c r="DU241" s="5207"/>
      <c r="DV241" s="5207"/>
      <c r="DW241" s="5207"/>
      <c r="DX241" s="5207"/>
      <c r="DY241" s="5207"/>
      <c r="DZ241" s="5207"/>
      <c r="EA241" s="5207"/>
      <c r="EB241" s="5207"/>
      <c r="EC241" s="5207"/>
      <c r="ED241" s="5207"/>
      <c r="EE241" s="5207"/>
      <c r="EF241" s="5207"/>
      <c r="EG241" s="5207"/>
      <c r="EH241" s="5207"/>
      <c r="EI241" s="5207"/>
      <c r="EJ241" s="5207"/>
      <c r="EK241" s="5207"/>
      <c r="EL241" s="5207"/>
      <c r="EM241" s="5207"/>
      <c r="EN241" s="5207"/>
      <c r="EO241" s="5207"/>
      <c r="EP241" s="5207"/>
      <c r="EQ241" s="5207"/>
      <c r="ER241" s="5207"/>
      <c r="ES241" s="5207"/>
      <c r="ET241" s="5207"/>
      <c r="EU241" s="5207"/>
      <c r="EV241" s="5207"/>
      <c r="EW241" s="5207"/>
      <c r="EX241" s="5207"/>
      <c r="EY241" s="5207"/>
      <c r="EZ241" s="5207"/>
      <c r="FA241" s="5207"/>
      <c r="FB241" s="5207"/>
      <c r="FC241" s="5207"/>
      <c r="FD241" s="5207"/>
      <c r="FE241" s="5207"/>
      <c r="FF241" s="5207"/>
      <c r="FG241" s="5207"/>
      <c r="FH241" s="5207"/>
      <c r="FI241" s="5207"/>
      <c r="FJ241" s="5207"/>
      <c r="FK241" s="5207"/>
      <c r="FL241" s="5207"/>
      <c r="FM241" s="5207"/>
      <c r="FN241" s="5207"/>
      <c r="FO241" s="5207"/>
      <c r="FP241" s="5207"/>
      <c r="FQ241" s="5207"/>
      <c r="FR241" s="5207"/>
      <c r="FS241" s="5207"/>
      <c r="FT241" s="5207"/>
      <c r="FU241" s="5207"/>
      <c r="FV241" s="5207"/>
      <c r="FW241" s="5207"/>
      <c r="FX241" s="5207"/>
      <c r="FY241" s="5207"/>
      <c r="FZ241" s="5207"/>
      <c r="GA241" s="5207"/>
      <c r="GB241" s="5207"/>
      <c r="GC241" s="5207"/>
      <c r="GD241" s="5207"/>
      <c r="GE241" s="5207"/>
      <c r="GF241" s="5207"/>
      <c r="GG241" s="5207"/>
      <c r="GH241" s="5207"/>
      <c r="GI241" s="5207"/>
      <c r="GJ241" s="5207"/>
      <c r="GK241" s="5207"/>
      <c r="GL241" s="5207"/>
      <c r="GM241" s="5207"/>
      <c r="GN241" s="5207"/>
      <c r="GO241" s="5207"/>
      <c r="GP241" s="5207"/>
      <c r="GQ241" s="5207"/>
      <c r="GR241" s="5207"/>
      <c r="GS241" s="5207"/>
      <c r="GT241" s="5207"/>
      <c r="GU241" s="5207"/>
      <c r="GV241" s="5207"/>
      <c r="GW241" s="5207"/>
      <c r="GX241" s="5207"/>
      <c r="GY241" s="5207"/>
      <c r="GZ241" s="5207"/>
      <c r="HA241" s="5207"/>
      <c r="HB241" s="5207"/>
      <c r="HC241" s="5207"/>
      <c r="HD241" s="5207"/>
      <c r="HE241" s="5207"/>
      <c r="HF241" s="5207"/>
      <c r="HG241" s="5207"/>
      <c r="HH241" s="5207"/>
      <c r="HI241" s="5207"/>
      <c r="HJ241" s="5207"/>
      <c r="HK241" s="5207"/>
      <c r="HL241" s="5207"/>
      <c r="HM241" s="5207"/>
      <c r="HN241" s="5207"/>
      <c r="HO241" s="5207"/>
      <c r="HP241" s="5207"/>
      <c r="HQ241" s="5207"/>
      <c r="HR241" s="5207"/>
      <c r="HS241" s="5207"/>
      <c r="HT241" s="5207"/>
      <c r="HU241" s="5207"/>
      <c r="HV241" s="5207"/>
      <c r="HW241" s="5207"/>
      <c r="HX241" s="5207"/>
      <c r="HY241" s="5207"/>
      <c r="HZ241" s="5207"/>
      <c r="IA241" s="5207"/>
      <c r="IB241" s="5207"/>
      <c r="IC241" s="5207"/>
      <c r="ID241" s="5207"/>
      <c r="IE241" s="5207"/>
      <c r="IF241" s="5207"/>
      <c r="IG241" s="5207"/>
      <c r="IH241" s="5207"/>
      <c r="II241" s="5207"/>
      <c r="IJ241" s="5207"/>
      <c r="IK241" s="5207"/>
      <c r="IL241" s="5207"/>
      <c r="IM241" s="5207"/>
      <c r="IN241" s="5207"/>
      <c r="IO241" s="5207"/>
      <c r="IP241" s="5207"/>
      <c r="IQ241" s="5207"/>
      <c r="IR241" s="5207"/>
      <c r="IS241" s="5207"/>
      <c r="IT241" s="5207"/>
      <c r="IU241" s="5207"/>
      <c r="IV241" s="5207"/>
      <c r="IW241" s="5207"/>
      <c r="IX241" s="5207"/>
      <c r="IY241" s="5207"/>
      <c r="IZ241" s="5207"/>
      <c r="JA241" s="5207"/>
      <c r="JB241" s="5207"/>
      <c r="JC241" s="5207"/>
      <c r="JD241" s="5207"/>
      <c r="JE241" s="5207"/>
      <c r="JF241" s="5207"/>
      <c r="JG241" s="5207"/>
      <c r="JH241" s="5207"/>
      <c r="JI241" s="5207"/>
      <c r="JJ241" s="5207"/>
      <c r="JK241" s="5207"/>
      <c r="JL241" s="5207"/>
      <c r="JM241" s="5207"/>
      <c r="JN241" s="5207"/>
      <c r="JO241" s="5207"/>
      <c r="JP241" s="5207"/>
      <c r="JQ241" s="5207"/>
      <c r="JR241" s="5207"/>
      <c r="JS241" s="5207"/>
      <c r="JT241" s="5207"/>
      <c r="JU241" s="5207"/>
      <c r="JV241" s="5207"/>
      <c r="JW241" s="5207"/>
      <c r="JX241" s="5207"/>
      <c r="JY241" s="5207"/>
      <c r="JZ241" s="5207"/>
      <c r="KA241" s="5207"/>
      <c r="KB241" s="5207"/>
      <c r="KC241" s="5207"/>
      <c r="KD241" s="5207"/>
      <c r="KE241" s="5207"/>
      <c r="KF241" s="5207"/>
      <c r="KG241" s="5207"/>
      <c r="KH241" s="5207"/>
      <c r="KI241" s="5207"/>
      <c r="KJ241" s="5207"/>
      <c r="KK241" s="5207"/>
      <c r="KL241" s="5207"/>
      <c r="KM241" s="5207"/>
      <c r="KN241" s="5207"/>
      <c r="KO241" s="5207"/>
      <c r="KP241" s="5207"/>
      <c r="KQ241" s="5207"/>
      <c r="KR241" s="5207"/>
      <c r="KS241" s="5207"/>
      <c r="KT241" s="5207"/>
      <c r="KU241" s="5207"/>
      <c r="KV241" s="5207"/>
      <c r="KW241" s="5207"/>
      <c r="KX241" s="5207"/>
      <c r="KY241" s="5207"/>
      <c r="KZ241" s="5207"/>
      <c r="LA241" s="5207"/>
      <c r="LB241" s="5207"/>
      <c r="LC241" s="5207"/>
      <c r="LD241" s="5207"/>
      <c r="LE241" s="5207"/>
      <c r="LF241" s="5207"/>
      <c r="LG241" s="5207"/>
      <c r="LH241" s="5207"/>
      <c r="LI241" s="5207"/>
      <c r="LJ241" s="5207"/>
      <c r="LK241" s="5207"/>
      <c r="LL241" s="5207"/>
      <c r="LM241" s="5207"/>
      <c r="LN241" s="5207"/>
      <c r="LO241" s="5207"/>
      <c r="LP241" s="5207"/>
      <c r="LQ241" s="5207"/>
      <c r="LR241" s="5207"/>
      <c r="LS241" s="5207"/>
      <c r="LT241" s="5207"/>
      <c r="LU241" s="5207"/>
      <c r="LV241" s="5207"/>
      <c r="LW241" s="5207"/>
      <c r="LX241" s="5207"/>
      <c r="LY241" s="5207"/>
      <c r="LZ241" s="5207"/>
      <c r="MA241" s="5207"/>
      <c r="MB241" s="5207"/>
      <c r="MC241" s="5207"/>
      <c r="MD241" s="5207"/>
      <c r="ME241" s="5207"/>
      <c r="MF241" s="5207"/>
      <c r="MG241" s="5207"/>
      <c r="MH241" s="5207"/>
      <c r="MI241" s="5207"/>
      <c r="MJ241" s="5207"/>
      <c r="MK241" s="5207"/>
      <c r="ML241" s="5207"/>
      <c r="MM241" s="5207"/>
      <c r="MN241" s="5207"/>
      <c r="MO241" s="5207"/>
      <c r="MP241" s="5207"/>
      <c r="MQ241" s="5207"/>
      <c r="MR241" s="5207"/>
      <c r="MS241" s="5207"/>
      <c r="MT241" s="5207"/>
      <c r="MU241" s="5207"/>
      <c r="MV241" s="5207"/>
      <c r="MW241" s="5207"/>
      <c r="MX241" s="5207"/>
      <c r="MY241" s="5207"/>
      <c r="MZ241" s="5207"/>
      <c r="NA241" s="5207"/>
      <c r="NB241" s="5207"/>
      <c r="NC241" s="5207"/>
      <c r="ND241" s="5207"/>
      <c r="NE241" s="5207"/>
      <c r="NF241" s="5207"/>
      <c r="NG241" s="5207"/>
      <c r="NH241" s="5207"/>
      <c r="NI241" s="5207"/>
      <c r="NJ241" s="5207"/>
      <c r="NK241" s="5207"/>
      <c r="NL241" s="5207"/>
      <c r="NM241" s="5207"/>
      <c r="NN241" s="5207"/>
      <c r="NO241" s="5207"/>
      <c r="NP241" s="5207"/>
      <c r="NQ241" s="5207"/>
      <c r="NR241" s="5207"/>
      <c r="NS241" s="5207"/>
      <c r="NT241" s="5207"/>
      <c r="NU241" s="5207"/>
      <c r="NV241" s="5207"/>
      <c r="NW241" s="5207"/>
      <c r="NX241" s="5207"/>
      <c r="NY241" s="5207"/>
      <c r="NZ241" s="5207"/>
      <c r="OA241" s="5207"/>
      <c r="OB241" s="5207"/>
      <c r="OC241" s="5207"/>
      <c r="OD241" s="5207"/>
      <c r="OE241" s="5207"/>
      <c r="OF241" s="5207"/>
      <c r="OG241" s="5207"/>
      <c r="OH241" s="5207"/>
      <c r="OI241" s="5207"/>
      <c r="OJ241" s="5207"/>
      <c r="OK241" s="5207"/>
      <c r="OL241" s="5207"/>
      <c r="OM241" s="5207"/>
      <c r="ON241" s="5207"/>
      <c r="OO241" s="5207"/>
      <c r="OP241" s="5207"/>
      <c r="OQ241" s="5207"/>
      <c r="OR241" s="5207"/>
      <c r="OS241" s="5207"/>
      <c r="OT241" s="5207"/>
      <c r="OU241" s="5207"/>
      <c r="OV241" s="5207"/>
      <c r="OW241" s="5207"/>
      <c r="OX241" s="5207"/>
      <c r="OY241" s="5207"/>
      <c r="OZ241" s="5207"/>
      <c r="PA241" s="5207"/>
      <c r="PB241" s="5207"/>
      <c r="PC241" s="5207"/>
      <c r="PD241" s="5207"/>
      <c r="PE241" s="5207"/>
      <c r="PF241" s="5207"/>
      <c r="PG241" s="5207"/>
      <c r="PH241" s="5207"/>
      <c r="PI241" s="5207"/>
      <c r="PJ241" s="5207"/>
      <c r="PK241" s="5207"/>
      <c r="PL241" s="5207"/>
      <c r="PM241" s="5207"/>
      <c r="PN241" s="5207"/>
      <c r="PO241" s="5207"/>
      <c r="PP241" s="5207"/>
      <c r="PQ241" s="5207"/>
      <c r="PR241" s="5207"/>
      <c r="PS241" s="5207"/>
      <c r="PT241" s="5207"/>
      <c r="PU241" s="5207"/>
      <c r="PV241" s="5207"/>
      <c r="PW241" s="5207"/>
      <c r="PX241" s="5207"/>
      <c r="PY241" s="5207"/>
      <c r="PZ241" s="5207"/>
      <c r="QA241" s="5207"/>
      <c r="QB241" s="5207"/>
      <c r="QC241" s="5207"/>
      <c r="QD241" s="5207"/>
      <c r="QE241" s="5207"/>
      <c r="QF241" s="5207"/>
      <c r="QG241" s="5207"/>
      <c r="QH241" s="5207"/>
      <c r="QI241" s="5207"/>
      <c r="QJ241" s="5207"/>
      <c r="QK241" s="5207"/>
      <c r="QL241" s="5207"/>
      <c r="QM241" s="5207"/>
      <c r="QN241" s="5207"/>
      <c r="QO241" s="5207"/>
      <c r="QP241" s="5207"/>
      <c r="QQ241" s="5207"/>
      <c r="QR241" s="5207"/>
      <c r="QS241" s="5207"/>
      <c r="QT241" s="5207"/>
      <c r="QU241" s="5207"/>
      <c r="QV241" s="5207"/>
      <c r="QW241" s="5207"/>
      <c r="QX241" s="5207"/>
      <c r="QY241" s="5207"/>
      <c r="QZ241" s="5207"/>
      <c r="RA241" s="5207"/>
      <c r="RB241" s="5207"/>
      <c r="RC241" s="5207"/>
      <c r="RD241" s="5207"/>
      <c r="RE241" s="5207"/>
      <c r="RF241" s="5207"/>
      <c r="RG241" s="5207"/>
      <c r="RH241" s="5207"/>
      <c r="RI241" s="5207"/>
      <c r="RJ241" s="5207"/>
      <c r="RK241" s="5207"/>
      <c r="RL241" s="5207"/>
      <c r="RM241" s="5207"/>
      <c r="RN241" s="5207"/>
      <c r="RO241" s="5207"/>
      <c r="RP241" s="5207"/>
      <c r="RQ241" s="5207"/>
      <c r="RR241" s="5207"/>
      <c r="RS241" s="5207"/>
      <c r="RT241" s="5207"/>
      <c r="RU241" s="5207"/>
      <c r="RV241" s="5207"/>
      <c r="RW241" s="5207"/>
      <c r="RX241" s="5207"/>
      <c r="RY241" s="5207"/>
      <c r="RZ241" s="5207"/>
      <c r="SA241" s="5207"/>
      <c r="SB241" s="5207"/>
      <c r="SC241" s="5207"/>
      <c r="SD241" s="5207"/>
      <c r="SE241" s="5207"/>
      <c r="SF241" s="5207"/>
      <c r="SG241" s="5207"/>
      <c r="SH241" s="5207"/>
      <c r="SI241" s="5207"/>
      <c r="SJ241" s="5207"/>
      <c r="SK241" s="5207"/>
      <c r="SL241" s="5207"/>
      <c r="SM241" s="5207"/>
      <c r="SN241" s="5207"/>
      <c r="SO241" s="5207"/>
      <c r="SP241" s="5207"/>
      <c r="SQ241" s="5207"/>
      <c r="SR241" s="5207"/>
      <c r="SS241" s="5207"/>
      <c r="ST241" s="5207"/>
      <c r="SU241" s="5207"/>
      <c r="SV241" s="5207"/>
      <c r="SW241" s="5207"/>
      <c r="SX241" s="5207"/>
      <c r="SY241" s="5207"/>
      <c r="SZ241" s="5207"/>
      <c r="TA241" s="5207"/>
      <c r="TB241" s="5207"/>
      <c r="TC241" s="5207"/>
      <c r="TD241" s="5207"/>
      <c r="TE241" s="5207"/>
      <c r="TF241" s="5207"/>
      <c r="TG241" s="5207"/>
      <c r="TH241" s="5207"/>
      <c r="TI241" s="5207"/>
      <c r="TJ241" s="5207"/>
      <c r="TK241" s="5207"/>
      <c r="TL241" s="5207"/>
      <c r="TM241" s="5207"/>
      <c r="TN241" s="5207"/>
      <c r="TO241" s="5207"/>
      <c r="TP241" s="5207"/>
      <c r="TQ241" s="5207"/>
      <c r="TR241" s="5207"/>
      <c r="TS241" s="5207"/>
      <c r="TT241" s="5207"/>
      <c r="TU241" s="5207"/>
      <c r="TV241" s="5207"/>
      <c r="TW241" s="5207"/>
      <c r="TX241" s="5207"/>
      <c r="TY241" s="5207"/>
      <c r="TZ241" s="5207"/>
      <c r="UA241" s="5207"/>
      <c r="UB241" s="5207"/>
      <c r="UC241" s="5207"/>
      <c r="UD241" s="5207"/>
      <c r="UE241" s="5207"/>
      <c r="UF241" s="5207"/>
      <c r="UG241" s="5207"/>
      <c r="UH241" s="5207"/>
      <c r="UI241" s="5207"/>
      <c r="UJ241" s="5207"/>
      <c r="UK241" s="5207"/>
      <c r="UL241" s="5207"/>
      <c r="UM241" s="5207"/>
      <c r="UN241" s="5207"/>
      <c r="UO241" s="5207"/>
      <c r="UP241" s="5207"/>
      <c r="UQ241" s="5207"/>
      <c r="UR241" s="5207"/>
      <c r="US241" s="5207"/>
      <c r="UT241" s="5207"/>
      <c r="UU241" s="5207"/>
      <c r="UV241" s="5207"/>
      <c r="UW241" s="5207"/>
      <c r="UX241" s="5207"/>
      <c r="UY241" s="5207"/>
      <c r="UZ241" s="5207"/>
      <c r="VA241" s="5207"/>
      <c r="VB241" s="5207"/>
      <c r="VC241" s="5207"/>
      <c r="VD241" s="5207"/>
      <c r="VE241" s="5207"/>
      <c r="VF241" s="5207"/>
      <c r="VG241" s="5207"/>
      <c r="VH241" s="5207"/>
      <c r="VI241" s="5207"/>
      <c r="VJ241" s="5207"/>
      <c r="VK241" s="5207"/>
      <c r="VL241" s="5207"/>
      <c r="VM241" s="5207"/>
      <c r="VN241" s="5207"/>
      <c r="VO241" s="5207"/>
      <c r="VP241" s="5207"/>
      <c r="VQ241" s="5207"/>
      <c r="VR241" s="5207"/>
      <c r="VS241" s="5207"/>
      <c r="VT241" s="5207"/>
      <c r="VU241" s="5207"/>
      <c r="VV241" s="5207"/>
      <c r="VW241" s="5207"/>
      <c r="VX241" s="5207"/>
      <c r="VY241" s="5207"/>
      <c r="VZ241" s="5207"/>
      <c r="WA241" s="5207"/>
      <c r="WB241" s="5207"/>
      <c r="WC241" s="5207"/>
      <c r="WD241" s="5207"/>
      <c r="WE241" s="5207"/>
      <c r="WF241" s="5207"/>
      <c r="WG241" s="5207"/>
      <c r="WH241" s="5207"/>
      <c r="WI241" s="5207"/>
      <c r="WJ241" s="5207"/>
      <c r="WK241" s="5207"/>
      <c r="WL241" s="5207"/>
      <c r="WM241" s="5207"/>
      <c r="WN241" s="5207"/>
      <c r="WO241" s="5207"/>
      <c r="WP241" s="5207"/>
      <c r="WQ241" s="5207"/>
      <c r="WR241" s="5207"/>
      <c r="WS241" s="5207"/>
      <c r="WT241" s="5207"/>
      <c r="WU241" s="5207"/>
      <c r="WV241" s="5207"/>
      <c r="WW241" s="5207"/>
      <c r="WX241" s="5207"/>
      <c r="WY241" s="5207"/>
      <c r="WZ241" s="5207"/>
      <c r="XA241" s="5207"/>
      <c r="XB241" s="5207"/>
      <c r="XC241" s="5207"/>
      <c r="XD241" s="5207"/>
      <c r="XE241" s="5207"/>
      <c r="XF241" s="5207"/>
      <c r="XG241" s="5207"/>
      <c r="XH241" s="5207"/>
      <c r="XI241" s="5207"/>
      <c r="XJ241" s="5207"/>
      <c r="XK241" s="5207"/>
      <c r="XL241" s="5207"/>
      <c r="XM241" s="5207"/>
      <c r="XN241" s="5207"/>
      <c r="XO241" s="5207"/>
      <c r="XP241" s="5207"/>
      <c r="XQ241" s="5207"/>
      <c r="XR241" s="5207"/>
      <c r="XS241" s="5207"/>
      <c r="XT241" s="5207"/>
      <c r="XU241" s="5207"/>
      <c r="XV241" s="5207"/>
      <c r="XW241" s="5207"/>
      <c r="XX241" s="5207"/>
      <c r="XY241" s="5207"/>
      <c r="XZ241" s="5207"/>
      <c r="YA241" s="5207"/>
      <c r="YB241" s="5207"/>
      <c r="YC241" s="5207"/>
      <c r="YD241" s="5207"/>
      <c r="YE241" s="5207"/>
      <c r="YF241" s="5207"/>
      <c r="YG241" s="5207"/>
      <c r="YH241" s="5207"/>
      <c r="YI241" s="5207"/>
      <c r="YJ241" s="5207"/>
      <c r="YK241" s="5207"/>
      <c r="YL241" s="5207"/>
      <c r="YM241" s="5207"/>
      <c r="YN241" s="5207"/>
      <c r="YO241" s="5207"/>
      <c r="YP241" s="5207"/>
      <c r="YQ241" s="5207"/>
      <c r="YR241" s="5207"/>
      <c r="YS241" s="5207"/>
      <c r="YT241" s="5207"/>
      <c r="YU241" s="5207"/>
      <c r="YV241" s="5207"/>
      <c r="YW241" s="5207"/>
      <c r="YX241" s="5207"/>
      <c r="YY241" s="5207"/>
      <c r="YZ241" s="5207"/>
      <c r="ZA241" s="5207"/>
      <c r="ZB241" s="5207"/>
      <c r="ZC241" s="5207"/>
      <c r="ZD241" s="5207"/>
      <c r="ZE241" s="5207"/>
      <c r="ZF241" s="5207"/>
      <c r="ZG241" s="5207"/>
      <c r="ZH241" s="5207"/>
      <c r="ZI241" s="5207"/>
      <c r="ZJ241" s="5207"/>
      <c r="ZK241" s="5207"/>
      <c r="ZL241" s="5207"/>
      <c r="ZM241" s="5207"/>
      <c r="ZN241" s="5207"/>
      <c r="ZO241" s="5207"/>
      <c r="ZP241" s="5207"/>
      <c r="ZQ241" s="5207"/>
      <c r="ZR241" s="5207"/>
      <c r="ZS241" s="5207"/>
      <c r="ZT241" s="5207"/>
      <c r="ZU241" s="5207"/>
      <c r="ZV241" s="5207"/>
      <c r="ZW241" s="5207"/>
      <c r="ZX241" s="5207"/>
      <c r="ZY241" s="5207"/>
      <c r="ZZ241" s="5207"/>
      <c r="AAA241" s="5207"/>
      <c r="AAB241" s="5207"/>
      <c r="AAC241" s="5207"/>
      <c r="AAD241" s="5207"/>
      <c r="AAE241" s="5207"/>
      <c r="AAF241" s="5207"/>
      <c r="AAG241" s="5207"/>
      <c r="AAH241" s="5207"/>
      <c r="AAI241" s="5207"/>
      <c r="AAJ241" s="5207"/>
      <c r="AAK241" s="5207"/>
      <c r="AAL241" s="5207"/>
      <c r="AAM241" s="5207"/>
      <c r="AAN241" s="5207"/>
      <c r="AAO241" s="5207"/>
      <c r="AAP241" s="5207"/>
      <c r="AAQ241" s="5207"/>
      <c r="AAR241" s="5207"/>
      <c r="AAS241" s="5207"/>
      <c r="AAT241" s="5207"/>
      <c r="AAU241" s="5207"/>
      <c r="AAV241" s="5207"/>
      <c r="AAW241" s="5207"/>
      <c r="AAX241" s="5207"/>
      <c r="AAY241" s="5207"/>
      <c r="AAZ241" s="5207"/>
      <c r="ABA241" s="5207"/>
      <c r="ABB241" s="5207"/>
      <c r="ABC241" s="5207"/>
      <c r="ABD241" s="5207"/>
      <c r="ABE241" s="5207"/>
      <c r="ABF241" s="5207"/>
      <c r="ABG241" s="5207"/>
      <c r="ABH241" s="5207"/>
      <c r="ABI241" s="5207"/>
      <c r="ABJ241" s="5207"/>
      <c r="ABK241" s="5207"/>
      <c r="ABL241" s="5207"/>
      <c r="ABM241" s="5207"/>
      <c r="ABN241" s="5207"/>
      <c r="ABO241" s="5207"/>
      <c r="ABP241" s="5207"/>
      <c r="ABQ241" s="5207"/>
      <c r="ABR241" s="5207"/>
      <c r="ABS241" s="5207"/>
      <c r="ABT241" s="5207"/>
      <c r="ABU241" s="5207"/>
      <c r="ABV241" s="5207"/>
      <c r="ABW241" s="5207"/>
      <c r="ABX241" s="5207"/>
      <c r="ABY241" s="5207"/>
      <c r="ABZ241" s="5207"/>
      <c r="ACA241" s="5207"/>
      <c r="ACB241" s="5207"/>
      <c r="ACC241" s="5207"/>
      <c r="ACD241" s="5207"/>
      <c r="ACE241" s="5207"/>
      <c r="ACF241" s="5207"/>
      <c r="ACG241" s="5207"/>
      <c r="ACH241" s="5207"/>
      <c r="ACI241" s="5207"/>
      <c r="ACJ241" s="5207"/>
      <c r="ACK241" s="5207"/>
      <c r="ACL241" s="5207"/>
      <c r="ACM241" s="5207"/>
      <c r="ACN241" s="5207"/>
      <c r="ACO241" s="5207"/>
      <c r="ACP241" s="5207"/>
      <c r="ACQ241" s="5207"/>
      <c r="ACR241" s="5207"/>
      <c r="ACS241" s="5207"/>
      <c r="ACT241" s="5207"/>
      <c r="ACU241" s="5207"/>
      <c r="ACV241" s="5207"/>
      <c r="ACW241" s="5207"/>
      <c r="ACX241" s="5207"/>
      <c r="ACY241" s="5207"/>
      <c r="ACZ241" s="5207"/>
      <c r="ADA241" s="5207"/>
      <c r="ADB241" s="5207"/>
      <c r="ADC241" s="5207"/>
      <c r="ADD241" s="5207"/>
      <c r="ADE241" s="5207"/>
      <c r="ADF241" s="5207"/>
      <c r="ADG241" s="5207"/>
      <c r="ADH241" s="5207"/>
      <c r="ADI241" s="5207"/>
      <c r="ADJ241" s="5207"/>
      <c r="ADK241" s="5207"/>
      <c r="ADL241" s="5207"/>
      <c r="ADM241" s="5207"/>
      <c r="ADN241" s="5207"/>
      <c r="ADO241" s="5207"/>
      <c r="ADP241" s="5207"/>
      <c r="ADQ241" s="5207"/>
      <c r="ADR241" s="5207"/>
      <c r="ADS241" s="5207"/>
      <c r="ADT241" s="5207"/>
      <c r="ADU241" s="5207"/>
      <c r="ADV241" s="5207"/>
      <c r="ADW241" s="5207"/>
      <c r="ADX241" s="5207"/>
      <c r="ADY241" s="5207"/>
      <c r="ADZ241" s="5207"/>
      <c r="AEA241" s="5207"/>
      <c r="AEB241" s="5207"/>
      <c r="AEC241" s="5207"/>
      <c r="AED241" s="5207"/>
      <c r="AEE241" s="5207"/>
      <c r="AEF241" s="5207"/>
      <c r="AEG241" s="5207"/>
      <c r="AEH241" s="5207"/>
      <c r="AEI241" s="5207"/>
      <c r="AEJ241" s="5207"/>
      <c r="AEK241" s="5207"/>
      <c r="AEL241" s="5207"/>
      <c r="AEM241" s="5207"/>
      <c r="AEN241" s="5207"/>
      <c r="AEO241" s="5207"/>
      <c r="AEP241" s="5207"/>
      <c r="AEQ241" s="5207"/>
      <c r="AER241" s="5207"/>
      <c r="AES241" s="5207"/>
      <c r="AET241" s="5207"/>
      <c r="AEU241" s="5207"/>
      <c r="AEV241" s="5207"/>
      <c r="AEW241" s="5207"/>
      <c r="AEX241" s="5207"/>
      <c r="AEY241" s="5207"/>
      <c r="AEZ241" s="5207"/>
      <c r="AFA241" s="5207"/>
      <c r="AFB241" s="5207"/>
      <c r="AFC241" s="5207"/>
      <c r="AFD241" s="5207"/>
      <c r="AFE241" s="5207"/>
      <c r="AFF241" s="5207"/>
      <c r="AFG241" s="5207"/>
      <c r="AFH241" s="5207"/>
      <c r="AFI241" s="5207"/>
      <c r="AFJ241" s="5207"/>
      <c r="AFK241" s="5207"/>
      <c r="AFL241" s="5207"/>
      <c r="AFM241" s="5207"/>
      <c r="AFN241" s="5207"/>
      <c r="AFO241" s="5207"/>
      <c r="AFP241" s="5207"/>
      <c r="AFQ241" s="5207"/>
      <c r="AFR241" s="5207"/>
      <c r="AFS241" s="5207"/>
      <c r="AFT241" s="5207"/>
      <c r="AFU241" s="5207"/>
      <c r="AFV241" s="5207"/>
      <c r="AFW241" s="5207"/>
      <c r="AFX241" s="5207"/>
      <c r="AFY241" s="5207"/>
      <c r="AFZ241" s="5207"/>
      <c r="AGA241" s="5207"/>
      <c r="AGB241" s="5207"/>
      <c r="AGC241" s="5207"/>
      <c r="AGD241" s="5207"/>
      <c r="AGE241" s="5207"/>
      <c r="AGF241" s="5207"/>
      <c r="AGG241" s="5207"/>
      <c r="AGH241" s="5207"/>
      <c r="AGI241" s="5207"/>
      <c r="AGJ241" s="5207"/>
      <c r="AGK241" s="5207"/>
      <c r="AGL241" s="5207"/>
      <c r="AGM241" s="5207"/>
      <c r="AGN241" s="5207"/>
      <c r="AGO241" s="5207"/>
      <c r="AGP241" s="5207"/>
      <c r="AGQ241" s="5207"/>
      <c r="AGR241" s="5207"/>
      <c r="AGS241" s="5207"/>
      <c r="AGT241" s="5207"/>
      <c r="AGU241" s="5207"/>
      <c r="AGV241" s="5207"/>
      <c r="AGW241" s="5207"/>
      <c r="AGX241" s="5207"/>
      <c r="AGY241" s="5207"/>
      <c r="AGZ241" s="5207"/>
      <c r="AHA241" s="5207"/>
      <c r="AHB241" s="5207"/>
      <c r="AHC241" s="5207"/>
      <c r="AHD241" s="5207"/>
      <c r="AHE241" s="5207"/>
      <c r="AHF241" s="5207"/>
      <c r="AHG241" s="5207"/>
      <c r="AHH241" s="5207"/>
      <c r="AHI241" s="5207"/>
      <c r="AHJ241" s="5207"/>
      <c r="AHK241" s="5207"/>
      <c r="AHL241" s="5207"/>
      <c r="AHM241" s="5207"/>
      <c r="AHN241" s="5207"/>
      <c r="AHO241" s="5207"/>
      <c r="AHP241" s="5207"/>
      <c r="AHQ241" s="5207"/>
      <c r="AHR241" s="5207"/>
      <c r="AHS241" s="5207"/>
      <c r="AHT241" s="5207"/>
      <c r="AHU241" s="5207"/>
      <c r="AHV241" s="5207"/>
      <c r="AHW241" s="5207"/>
      <c r="AHX241" s="5207"/>
      <c r="AHY241" s="5207"/>
      <c r="AHZ241" s="5207"/>
      <c r="AIA241" s="5207"/>
      <c r="AIB241" s="5207"/>
      <c r="AIC241" s="5207"/>
      <c r="AID241" s="5207"/>
      <c r="AIE241" s="5207"/>
      <c r="AIF241" s="5207"/>
      <c r="AIG241" s="5207"/>
      <c r="AIH241" s="5207"/>
      <c r="AII241" s="5207"/>
      <c r="AIJ241" s="5207"/>
      <c r="AIK241" s="5207"/>
      <c r="AIL241" s="5207"/>
      <c r="AIM241" s="5207"/>
      <c r="AIN241" s="5207"/>
      <c r="AIO241" s="5207"/>
      <c r="AIP241" s="5207"/>
      <c r="AIQ241" s="5207"/>
      <c r="AIR241" s="5207"/>
      <c r="AIS241" s="5207"/>
      <c r="AIT241" s="5207"/>
      <c r="AIU241" s="5207"/>
      <c r="AIV241" s="5207"/>
      <c r="AIW241" s="5207"/>
      <c r="AIX241" s="5207"/>
      <c r="AIY241" s="5207"/>
      <c r="AIZ241" s="5207"/>
      <c r="AJA241" s="5207"/>
      <c r="AJB241" s="5207"/>
      <c r="AJC241" s="5207"/>
      <c r="AJD241" s="5207"/>
      <c r="AJE241" s="5207"/>
      <c r="AJF241" s="5207"/>
      <c r="AJG241" s="5207"/>
      <c r="AJH241" s="5207"/>
      <c r="AJI241" s="5207"/>
      <c r="AJJ241" s="5207"/>
      <c r="AJK241" s="5207"/>
      <c r="AJL241" s="5207"/>
      <c r="AJM241" s="5207"/>
      <c r="AJN241" s="5207"/>
      <c r="AJO241" s="5207"/>
      <c r="AJP241" s="5207"/>
      <c r="AJQ241" s="5207"/>
      <c r="AJR241" s="5207"/>
      <c r="AJS241" s="5207"/>
      <c r="AJT241" s="5207"/>
      <c r="AJU241" s="5207"/>
      <c r="AJV241" s="5207"/>
      <c r="AJW241" s="5207"/>
      <c r="AJX241" s="5207"/>
      <c r="AJY241" s="5207"/>
      <c r="AJZ241" s="5207"/>
      <c r="AKA241" s="5207"/>
      <c r="AKB241" s="5207"/>
      <c r="AKC241" s="5207"/>
      <c r="AKD241" s="5207"/>
      <c r="AKE241" s="5207"/>
      <c r="AKF241" s="5207"/>
      <c r="AKG241" s="5207"/>
      <c r="AKH241" s="5207"/>
      <c r="AKI241" s="5207"/>
      <c r="AKJ241" s="5207"/>
      <c r="AKK241" s="5207"/>
      <c r="AKL241" s="5207"/>
      <c r="AKM241" s="5207"/>
      <c r="AKN241" s="5207"/>
      <c r="AKO241" s="5207"/>
      <c r="AKP241" s="5207"/>
      <c r="AKQ241" s="5207"/>
      <c r="AKR241" s="5207"/>
      <c r="AKS241" s="5207"/>
      <c r="AKT241" s="5207"/>
      <c r="AKU241" s="5207"/>
      <c r="AKV241" s="5207"/>
      <c r="AKW241" s="5207"/>
      <c r="AKX241" s="5207"/>
      <c r="AKY241" s="5207"/>
      <c r="AKZ241" s="5207"/>
      <c r="ALA241" s="5207"/>
      <c r="ALB241" s="5207"/>
      <c r="ALC241" s="5207"/>
      <c r="ALD241" s="5207"/>
      <c r="ALE241" s="5207"/>
      <c r="ALF241" s="5207"/>
      <c r="ALG241" s="5207"/>
      <c r="ALH241" s="5207"/>
      <c r="ALI241" s="5207"/>
      <c r="ALJ241" s="5207"/>
      <c r="ALK241" s="5207"/>
      <c r="ALL241" s="5207"/>
      <c r="ALM241" s="5207"/>
      <c r="ALN241" s="5207"/>
      <c r="ALO241" s="5207"/>
      <c r="ALP241" s="5207"/>
      <c r="ALQ241" s="5207"/>
      <c r="ALR241" s="5207"/>
      <c r="ALS241" s="5207"/>
      <c r="ALT241" s="5207"/>
      <c r="ALU241" s="5207"/>
      <c r="ALV241" s="5207"/>
      <c r="ALW241" s="5207"/>
      <c r="ALX241" s="5207"/>
      <c r="ALY241" s="5207"/>
      <c r="ALZ241" s="5207"/>
      <c r="AMA241" s="5207"/>
      <c r="AMB241" s="5207"/>
      <c r="AMC241" s="5207"/>
      <c r="AMD241" s="5207"/>
      <c r="AME241" s="5207"/>
      <c r="AMF241" s="5207"/>
      <c r="AMG241" s="5207"/>
      <c r="AMH241" s="5207"/>
      <c r="AMI241" s="5207"/>
      <c r="AMJ241" s="5207"/>
      <c r="AMK241" s="5207"/>
      <c r="AML241" s="5207"/>
      <c r="AMM241" s="5207"/>
      <c r="AMN241" s="5207"/>
      <c r="AMO241" s="5207"/>
      <c r="AMP241" s="5207"/>
      <c r="AMQ241" s="5207"/>
      <c r="AMR241" s="5207"/>
      <c r="AMS241" s="5207"/>
      <c r="AMT241" s="5207"/>
      <c r="AMU241" s="5207"/>
      <c r="AMV241" s="5207"/>
      <c r="AMW241" s="5207"/>
      <c r="AMX241" s="5207"/>
      <c r="AMY241" s="5207"/>
      <c r="AMZ241" s="5207"/>
      <c r="ANA241" s="5207"/>
      <c r="ANB241" s="5207"/>
      <c r="ANC241" s="5207"/>
      <c r="AND241" s="5207"/>
      <c r="ANE241" s="5207"/>
      <c r="ANF241" s="5207"/>
      <c r="ANG241" s="5207"/>
      <c r="ANH241" s="5207"/>
      <c r="ANI241" s="5207"/>
      <c r="ANJ241" s="5207"/>
      <c r="ANK241" s="5207"/>
      <c r="ANL241" s="5207"/>
      <c r="ANM241" s="5207"/>
      <c r="ANN241" s="5207"/>
      <c r="ANO241" s="5207"/>
      <c r="ANP241" s="5207"/>
      <c r="ANQ241" s="5207"/>
      <c r="ANR241" s="5207"/>
      <c r="ANS241" s="5207"/>
      <c r="ANT241" s="5207"/>
      <c r="ANU241" s="5207"/>
      <c r="ANV241" s="5207"/>
      <c r="ANW241" s="5207"/>
      <c r="ANX241" s="5207"/>
      <c r="ANY241" s="5207"/>
      <c r="ANZ241" s="5207"/>
      <c r="AOA241" s="5207"/>
      <c r="AOB241" s="5207"/>
      <c r="AOC241" s="5207"/>
      <c r="AOD241" s="5207"/>
      <c r="AOE241" s="5207"/>
      <c r="AOF241" s="5207"/>
      <c r="AOG241" s="5207"/>
      <c r="AOH241" s="5207"/>
      <c r="AOI241" s="5207"/>
      <c r="AOJ241" s="5207"/>
      <c r="AOK241" s="5207"/>
      <c r="AOL241" s="5207"/>
      <c r="AOM241" s="5207"/>
      <c r="AON241" s="5207"/>
      <c r="AOO241" s="5207"/>
      <c r="AOP241" s="5207"/>
      <c r="AOQ241" s="5207"/>
      <c r="AOR241" s="5207"/>
      <c r="AOS241" s="5207"/>
      <c r="AOT241" s="5207"/>
      <c r="AOU241" s="5207"/>
      <c r="AOV241" s="5207"/>
      <c r="AOW241" s="5207"/>
      <c r="AOX241" s="5207"/>
      <c r="AOY241" s="5207"/>
      <c r="AOZ241" s="5207"/>
      <c r="APA241" s="5207"/>
      <c r="APB241" s="5207"/>
      <c r="APC241" s="5207"/>
      <c r="APD241" s="5207"/>
      <c r="APE241" s="5207"/>
      <c r="APF241" s="5207"/>
      <c r="APG241" s="5207"/>
      <c r="APH241" s="5207"/>
      <c r="API241" s="5207"/>
      <c r="APJ241" s="5207"/>
      <c r="APK241" s="5207"/>
      <c r="APL241" s="5207"/>
      <c r="APM241" s="5207"/>
      <c r="APN241" s="5207"/>
      <c r="APO241" s="5207"/>
      <c r="APP241" s="5207"/>
      <c r="APQ241" s="5207"/>
      <c r="APR241" s="5207"/>
      <c r="APS241" s="5207"/>
      <c r="APT241" s="5207"/>
      <c r="APU241" s="5207"/>
      <c r="APV241" s="5207"/>
      <c r="APW241" s="5207"/>
      <c r="APX241" s="5207"/>
      <c r="APY241" s="5207"/>
      <c r="APZ241" s="5207"/>
      <c r="AQA241" s="5207"/>
      <c r="AQB241" s="5207"/>
      <c r="AQC241" s="5207"/>
      <c r="AQD241" s="5207"/>
      <c r="AQE241" s="5207"/>
      <c r="AQF241" s="5207"/>
      <c r="AQG241" s="5207"/>
      <c r="AQH241" s="5207"/>
      <c r="AQI241" s="5207"/>
      <c r="AQJ241" s="5207"/>
      <c r="AQK241" s="5207"/>
      <c r="AQL241" s="5207"/>
      <c r="AQM241" s="5207"/>
      <c r="AQN241" s="5207"/>
      <c r="AQO241" s="5207"/>
      <c r="AQP241" s="5207"/>
      <c r="AQQ241" s="5207"/>
      <c r="AQR241" s="5207"/>
      <c r="AQS241" s="5207"/>
      <c r="AQT241" s="5207"/>
      <c r="AQU241" s="5207"/>
      <c r="AQV241" s="5207"/>
      <c r="AQW241" s="5207"/>
      <c r="AQX241" s="5207"/>
      <c r="AQY241" s="5207"/>
      <c r="AQZ241" s="5207"/>
      <c r="ARA241" s="5207"/>
      <c r="ARB241" s="5207"/>
      <c r="ARC241" s="5207"/>
      <c r="ARD241" s="5207"/>
      <c r="ARE241" s="5207"/>
      <c r="ARF241" s="5207"/>
      <c r="ARG241" s="5207"/>
      <c r="ARH241" s="5207"/>
      <c r="ARI241" s="5207"/>
      <c r="ARJ241" s="5207"/>
      <c r="ARK241" s="5207"/>
      <c r="ARL241" s="5207"/>
      <c r="ARM241" s="5207"/>
      <c r="ARN241" s="5207"/>
      <c r="ARO241" s="5207"/>
      <c r="ARP241" s="5207"/>
      <c r="ARQ241" s="5207"/>
      <c r="ARR241" s="5207"/>
      <c r="ARS241" s="5207"/>
      <c r="ART241" s="5207"/>
      <c r="ARU241" s="5207"/>
      <c r="ARV241" s="5207"/>
      <c r="ARW241" s="5207"/>
      <c r="ARX241" s="5207"/>
      <c r="ARY241" s="5207"/>
      <c r="ARZ241" s="5207"/>
      <c r="ASA241" s="5207"/>
      <c r="ASB241" s="5207"/>
      <c r="ASC241" s="5207"/>
      <c r="ASD241" s="5207"/>
      <c r="ASE241" s="5207"/>
      <c r="ASF241" s="5207"/>
      <c r="ASG241" s="5207"/>
      <c r="ASH241" s="5207"/>
      <c r="ASI241" s="5207"/>
      <c r="ASJ241" s="5207"/>
      <c r="ASK241" s="5207"/>
      <c r="ASL241" s="5207"/>
      <c r="ASM241" s="5207"/>
      <c r="ASN241" s="5207"/>
      <c r="ASO241" s="5207"/>
      <c r="ASP241" s="5207"/>
      <c r="ASQ241" s="5207"/>
      <c r="ASR241" s="5207"/>
      <c r="ASS241" s="5207"/>
      <c r="AST241" s="5207"/>
      <c r="ASU241" s="5207"/>
      <c r="ASV241" s="5207"/>
      <c r="ASW241" s="5207"/>
      <c r="ASX241" s="5207"/>
      <c r="ASY241" s="5207"/>
      <c r="ASZ241" s="5207"/>
      <c r="ATA241" s="5207"/>
      <c r="ATB241" s="5207"/>
      <c r="ATC241" s="5207"/>
      <c r="ATD241" s="5207"/>
      <c r="ATE241" s="5207"/>
      <c r="ATF241" s="5207"/>
      <c r="ATG241" s="5207"/>
      <c r="ATH241" s="5207"/>
      <c r="ATI241" s="5207"/>
      <c r="ATJ241" s="5207"/>
      <c r="ATK241" s="5207"/>
      <c r="ATL241" s="5207"/>
      <c r="ATM241" s="5207"/>
      <c r="ATN241" s="5207"/>
      <c r="ATO241" s="5207"/>
      <c r="ATP241" s="5207"/>
      <c r="ATQ241" s="5207"/>
      <c r="ATR241" s="5207"/>
      <c r="ATS241" s="5207"/>
      <c r="ATT241" s="5207"/>
      <c r="ATU241" s="5207"/>
      <c r="ATV241" s="5207"/>
      <c r="ATW241" s="5207"/>
      <c r="ATX241" s="5207"/>
      <c r="ATY241" s="5207"/>
      <c r="ATZ241" s="5207"/>
      <c r="AUA241" s="5207"/>
      <c r="AUB241" s="5207"/>
      <c r="AUC241" s="5207"/>
      <c r="AUD241" s="5207"/>
      <c r="AUE241" s="5207"/>
      <c r="AUF241" s="5207"/>
      <c r="AUG241" s="5207"/>
      <c r="AUH241" s="5207"/>
      <c r="AUI241" s="5207"/>
      <c r="AUJ241" s="5207"/>
      <c r="AUK241" s="5207"/>
      <c r="AUL241" s="5207"/>
      <c r="AUM241" s="5207"/>
      <c r="AUN241" s="5207"/>
      <c r="AUO241" s="5207"/>
      <c r="AUP241" s="5207"/>
      <c r="AUQ241" s="5207"/>
      <c r="AUR241" s="5207"/>
      <c r="AUS241" s="5207"/>
      <c r="AUT241" s="5207"/>
      <c r="AUU241" s="5207"/>
      <c r="AUV241" s="5207"/>
      <c r="AUW241" s="5207"/>
      <c r="AUX241" s="5207"/>
      <c r="AUY241" s="5207"/>
      <c r="AUZ241" s="5207"/>
      <c r="AVA241" s="5207"/>
      <c r="AVB241" s="5207"/>
      <c r="AVC241" s="5207"/>
      <c r="AVD241" s="5207"/>
      <c r="AVE241" s="5207"/>
      <c r="AVF241" s="5207"/>
      <c r="AVG241" s="5207"/>
      <c r="AVH241" s="5207"/>
      <c r="AVI241" s="5207"/>
      <c r="AVJ241" s="5207"/>
      <c r="AVK241" s="5207"/>
      <c r="AVL241" s="5207"/>
      <c r="AVM241" s="5207"/>
      <c r="AVN241" s="5207"/>
      <c r="AVO241" s="5207"/>
      <c r="AVP241" s="5207"/>
      <c r="AVQ241" s="5207"/>
      <c r="AVR241" s="5207"/>
      <c r="AVS241" s="5207"/>
      <c r="AVT241" s="5207"/>
      <c r="AVU241" s="5207"/>
      <c r="AVV241" s="5207"/>
      <c r="AVW241" s="5207"/>
      <c r="AVX241" s="5207"/>
      <c r="AVY241" s="5207"/>
      <c r="AVZ241" s="5207"/>
      <c r="AWA241" s="5207"/>
      <c r="AWB241" s="5207"/>
      <c r="AWC241" s="5207"/>
      <c r="AWD241" s="5207"/>
      <c r="AWE241" s="5207"/>
      <c r="AWF241" s="5207"/>
      <c r="AWG241" s="5207"/>
      <c r="AWH241" s="5207"/>
      <c r="AWI241" s="5207"/>
      <c r="AWJ241" s="5207"/>
      <c r="AWK241" s="5207"/>
      <c r="AWL241" s="5207"/>
      <c r="AWM241" s="5207"/>
      <c r="AWN241" s="5207"/>
      <c r="AWO241" s="5207"/>
      <c r="AWP241" s="5207"/>
      <c r="AWQ241" s="5207"/>
      <c r="AWR241" s="5207"/>
      <c r="AWS241" s="5207"/>
      <c r="AWT241" s="5207"/>
      <c r="AWU241" s="5207"/>
      <c r="AWV241" s="5207"/>
      <c r="AWW241" s="5207"/>
      <c r="AWX241" s="5207"/>
      <c r="AWY241" s="5207"/>
      <c r="AWZ241" s="5207"/>
      <c r="AXA241" s="5207"/>
      <c r="AXB241" s="5207"/>
      <c r="AXC241" s="5207"/>
      <c r="AXD241" s="5207"/>
      <c r="AXE241" s="5207"/>
      <c r="AXF241" s="5207"/>
      <c r="AXG241" s="5207"/>
      <c r="AXH241" s="5207"/>
      <c r="AXI241" s="5207"/>
      <c r="AXJ241" s="5207"/>
    </row>
    <row r="242" spans="1:1310" ht="20.100000000000001" customHeight="1" thickBot="1">
      <c r="B242" s="5002"/>
      <c r="C242" s="5002"/>
      <c r="D242" s="5002"/>
      <c r="E242" s="63"/>
      <c r="F242" s="63"/>
      <c r="G242" s="5002"/>
      <c r="H242" s="5002"/>
      <c r="I242" s="5002"/>
      <c r="J242" s="5002"/>
      <c r="K242" s="5002"/>
      <c r="L242" s="5002"/>
      <c r="M242" s="5002"/>
      <c r="N242" s="5002"/>
      <c r="O242" s="5002"/>
      <c r="P242" s="5002"/>
      <c r="Q242" s="5002"/>
    </row>
    <row r="243" spans="1:1310" ht="20.100000000000001" customHeight="1">
      <c r="A243" s="5232" t="s">
        <v>909</v>
      </c>
      <c r="B243" s="5233" t="s">
        <v>910</v>
      </c>
      <c r="C243" s="5234"/>
      <c r="D243" s="5234"/>
      <c r="E243" s="5234"/>
      <c r="F243" s="5234"/>
      <c r="G243" s="5235"/>
      <c r="H243" s="5002"/>
      <c r="I243" s="5236" t="s">
        <v>911</v>
      </c>
      <c r="J243" s="5237"/>
      <c r="K243" s="5237"/>
      <c r="L243" s="5237"/>
      <c r="M243" s="5237"/>
      <c r="N243" s="5237"/>
      <c r="O243" s="5238"/>
      <c r="P243" s="5002"/>
      <c r="Q243" s="5002"/>
    </row>
    <row r="244" spans="1:1310" ht="20.100000000000001" customHeight="1">
      <c r="A244" s="5239" t="s">
        <v>910</v>
      </c>
      <c r="B244" s="5240"/>
      <c r="C244" s="5241"/>
      <c r="D244" s="5241"/>
      <c r="E244" s="5241"/>
      <c r="F244" s="5241"/>
      <c r="G244" s="5242"/>
      <c r="H244" s="5002"/>
      <c r="I244" s="5243" t="s">
        <v>912</v>
      </c>
      <c r="J244" s="5105"/>
      <c r="K244" s="5105"/>
      <c r="L244" s="5244" t="s">
        <v>913</v>
      </c>
      <c r="M244" s="5105"/>
      <c r="N244" s="5105"/>
      <c r="O244" s="105"/>
      <c r="P244" s="5002"/>
      <c r="Q244" s="5002"/>
    </row>
    <row r="245" spans="1:1310" ht="20.100000000000001" customHeight="1">
      <c r="A245" s="5239"/>
      <c r="B245" s="5245"/>
      <c r="C245" s="95"/>
      <c r="D245" s="5246"/>
      <c r="E245" s="95"/>
      <c r="F245" s="5246"/>
      <c r="G245" s="5247"/>
      <c r="H245" s="5002"/>
      <c r="I245" s="5243" t="s">
        <v>914</v>
      </c>
      <c r="J245" s="5105"/>
      <c r="K245" s="5105"/>
      <c r="L245" s="5244" t="s">
        <v>915</v>
      </c>
      <c r="M245" s="5105"/>
      <c r="N245" s="5105"/>
      <c r="O245" s="105"/>
      <c r="P245" s="5002"/>
      <c r="Q245" s="5002"/>
    </row>
    <row r="246" spans="1:1310" ht="20.100000000000001" customHeight="1">
      <c r="A246" s="5239"/>
      <c r="B246" s="5248" t="s">
        <v>150</v>
      </c>
      <c r="C246" s="5249" t="s">
        <v>916</v>
      </c>
      <c r="D246" s="5105"/>
      <c r="E246" s="5105"/>
      <c r="F246" s="5105"/>
      <c r="G246" s="105"/>
      <c r="H246" s="5002"/>
      <c r="I246" s="5243" t="s">
        <v>917</v>
      </c>
      <c r="J246" s="5105"/>
      <c r="K246" s="5105"/>
      <c r="L246" s="5002"/>
      <c r="M246" s="5105"/>
      <c r="N246" s="5105"/>
      <c r="O246" s="105"/>
      <c r="P246" s="5002"/>
      <c r="Q246" s="5002"/>
    </row>
    <row r="247" spans="1:1310" ht="20.100000000000001" customHeight="1">
      <c r="A247" s="5239"/>
      <c r="B247" s="5250" t="s">
        <v>152</v>
      </c>
      <c r="C247" s="5249" t="s">
        <v>918</v>
      </c>
      <c r="D247" s="5105"/>
      <c r="E247" s="5105"/>
      <c r="F247" s="5105"/>
      <c r="G247" s="105"/>
      <c r="H247" s="5002"/>
      <c r="I247" s="5243" t="s">
        <v>919</v>
      </c>
      <c r="J247" s="5105"/>
      <c r="K247" s="5105"/>
      <c r="L247" s="5244" t="s">
        <v>920</v>
      </c>
      <c r="M247" s="5105"/>
      <c r="N247" s="5105"/>
      <c r="O247" s="105"/>
      <c r="P247" s="5002"/>
      <c r="Q247" s="5002"/>
    </row>
    <row r="248" spans="1:1310" ht="20.100000000000001" customHeight="1">
      <c r="A248" s="5239"/>
      <c r="B248" s="5251" t="s">
        <v>154</v>
      </c>
      <c r="C248" s="5249" t="s">
        <v>921</v>
      </c>
      <c r="D248" s="5105"/>
      <c r="E248" s="5105"/>
      <c r="F248" s="5105"/>
      <c r="G248" s="105"/>
      <c r="H248" s="5002"/>
      <c r="I248" s="5243" t="s">
        <v>922</v>
      </c>
      <c r="J248" s="5105"/>
      <c r="K248" s="5105"/>
      <c r="L248" s="5244" t="s">
        <v>923</v>
      </c>
      <c r="M248" s="5105"/>
      <c r="N248" s="5105"/>
      <c r="O248" s="105"/>
      <c r="P248" s="5002"/>
      <c r="Q248" s="5002"/>
    </row>
    <row r="249" spans="1:1310" ht="20.100000000000001" customHeight="1" thickBot="1">
      <c r="A249" s="5239"/>
      <c r="B249" s="692"/>
      <c r="C249" s="5105"/>
      <c r="D249" s="5105"/>
      <c r="E249" s="5105"/>
      <c r="F249" s="5105"/>
      <c r="G249" s="105"/>
      <c r="H249" s="5002"/>
      <c r="I249" s="5243"/>
      <c r="J249" s="5105"/>
      <c r="K249" s="5105"/>
      <c r="L249" s="5244" t="s">
        <v>924</v>
      </c>
      <c r="M249" s="5105"/>
      <c r="N249" s="5105"/>
      <c r="O249" s="105"/>
      <c r="P249" s="5002"/>
      <c r="Q249" s="5002"/>
    </row>
    <row r="250" spans="1:1310" ht="20.100000000000001" customHeight="1">
      <c r="A250" s="5239"/>
      <c r="B250" s="5252"/>
      <c r="C250" s="5253"/>
      <c r="D250" s="5254"/>
      <c r="E250" s="5253"/>
      <c r="F250" s="5254"/>
      <c r="G250" s="5255"/>
      <c r="H250" s="5002"/>
      <c r="I250" s="692"/>
      <c r="J250" s="5105"/>
      <c r="K250" s="5105"/>
      <c r="L250" s="5105"/>
      <c r="M250" s="5105"/>
      <c r="N250" s="5105"/>
      <c r="O250" s="105"/>
      <c r="P250" s="5002"/>
      <c r="Q250" s="5002"/>
    </row>
    <row r="251" spans="1:1310" ht="20.100000000000001" customHeight="1">
      <c r="A251" s="5239"/>
      <c r="B251" s="5256" t="s">
        <v>925</v>
      </c>
      <c r="C251" s="5257"/>
      <c r="D251" s="5257"/>
      <c r="E251" s="5257"/>
      <c r="F251" s="5257"/>
      <c r="G251" s="4439"/>
      <c r="H251" s="5002"/>
      <c r="I251" s="5243" t="s">
        <v>926</v>
      </c>
      <c r="J251" s="5105"/>
      <c r="K251" s="5105"/>
      <c r="L251" s="5202" t="s">
        <v>927</v>
      </c>
      <c r="M251" s="5105"/>
      <c r="N251" s="5105"/>
      <c r="O251" s="105"/>
      <c r="P251" s="5002"/>
      <c r="Q251" s="5002"/>
    </row>
    <row r="252" spans="1:1310" ht="20.100000000000001" customHeight="1">
      <c r="A252" s="5239"/>
      <c r="B252" s="5258"/>
      <c r="C252" s="5105"/>
      <c r="D252" s="5259"/>
      <c r="E252" s="5105"/>
      <c r="F252" s="5259"/>
      <c r="G252" s="117"/>
      <c r="H252" s="5002"/>
      <c r="I252" s="5243" t="s">
        <v>928</v>
      </c>
      <c r="J252" s="5105"/>
      <c r="K252" s="5105"/>
      <c r="L252" s="5260">
        <v>0</v>
      </c>
      <c r="M252" s="5261">
        <v>0</v>
      </c>
      <c r="N252" s="5262">
        <v>0</v>
      </c>
      <c r="O252" s="121">
        <v>0</v>
      </c>
      <c r="P252" s="5002"/>
      <c r="Q252" s="5002"/>
    </row>
    <row r="253" spans="1:1310" ht="20.100000000000001" customHeight="1" thickBot="1">
      <c r="A253" s="5239"/>
      <c r="B253" s="5248" t="s">
        <v>150</v>
      </c>
      <c r="C253" s="5249" t="s">
        <v>929</v>
      </c>
      <c r="D253" s="5105"/>
      <c r="E253" s="5105"/>
      <c r="F253" s="5105"/>
      <c r="G253" s="105"/>
      <c r="H253" s="5002"/>
      <c r="I253" s="695"/>
      <c r="J253" s="696"/>
      <c r="K253" s="696"/>
      <c r="L253" s="696"/>
      <c r="M253" s="696"/>
      <c r="N253" s="696"/>
      <c r="O253" s="5135"/>
      <c r="P253" s="5002"/>
      <c r="Q253" s="5002"/>
    </row>
    <row r="254" spans="1:1310" ht="20.100000000000001" customHeight="1" thickBot="1">
      <c r="A254" s="5239"/>
      <c r="B254" s="5250" t="s">
        <v>152</v>
      </c>
      <c r="C254" s="5249" t="s">
        <v>930</v>
      </c>
      <c r="D254" s="5105"/>
      <c r="E254" s="5105"/>
      <c r="F254" s="5105"/>
      <c r="G254" s="105"/>
      <c r="H254" s="5002"/>
      <c r="I254" s="95"/>
      <c r="J254" s="95"/>
      <c r="K254" s="95"/>
      <c r="L254" s="95"/>
      <c r="M254" s="95"/>
      <c r="N254" s="95"/>
      <c r="O254" s="95"/>
      <c r="P254" s="5002"/>
      <c r="Q254" s="5002"/>
    </row>
    <row r="255" spans="1:1310" ht="20.100000000000001" customHeight="1">
      <c r="A255" s="5239"/>
      <c r="B255" s="5251" t="s">
        <v>154</v>
      </c>
      <c r="C255" s="5249" t="s">
        <v>931</v>
      </c>
      <c r="D255" s="5105"/>
      <c r="E255" s="5105"/>
      <c r="F255" s="5105"/>
      <c r="G255" s="105"/>
      <c r="H255" s="5002"/>
      <c r="I255" s="5263" t="s">
        <v>932</v>
      </c>
      <c r="J255" s="4441"/>
      <c r="K255" s="4441"/>
      <c r="L255" s="4441"/>
      <c r="M255" s="4441"/>
      <c r="N255" s="4441"/>
      <c r="O255" s="5264"/>
      <c r="P255" s="5002"/>
      <c r="Q255" s="5002"/>
    </row>
    <row r="256" spans="1:1310" ht="20.100000000000001" customHeight="1">
      <c r="A256" s="5239"/>
      <c r="B256" s="692"/>
      <c r="C256" s="5105"/>
      <c r="D256" s="5105"/>
      <c r="E256" s="5105"/>
      <c r="F256" s="5105"/>
      <c r="G256" s="105"/>
      <c r="H256" s="5002"/>
      <c r="I256" s="5265" t="s">
        <v>933</v>
      </c>
      <c r="J256" s="5266">
        <v>8.35</v>
      </c>
      <c r="K256" s="5267" t="s">
        <v>934</v>
      </c>
      <c r="L256" s="5267"/>
      <c r="M256" s="5266">
        <v>0.25</v>
      </c>
      <c r="N256" s="5268">
        <f>IF(ISBLANK(M257),I260,M257)</f>
        <v>33.4</v>
      </c>
      <c r="O256" s="5269" t="s">
        <v>935</v>
      </c>
      <c r="P256" s="5002"/>
      <c r="Q256" s="5002"/>
    </row>
    <row r="257" spans="1:17" ht="20.100000000000001" customHeight="1">
      <c r="A257" s="5239"/>
      <c r="B257" s="5270" t="s">
        <v>936</v>
      </c>
      <c r="C257" s="5271"/>
      <c r="D257" s="5272"/>
      <c r="E257" s="5271"/>
      <c r="F257" s="5273">
        <f>3.14*(11*11)</f>
        <v>379.94</v>
      </c>
      <c r="G257" s="5274"/>
      <c r="H257" s="5002"/>
      <c r="I257" s="5265"/>
      <c r="J257" s="5266"/>
      <c r="K257" s="5267"/>
      <c r="L257" s="5267"/>
      <c r="M257" s="5266"/>
      <c r="N257" s="5268"/>
      <c r="O257" s="5269"/>
      <c r="P257" s="5002"/>
      <c r="Q257" s="5002"/>
    </row>
    <row r="258" spans="1:17" ht="20.100000000000001" customHeight="1">
      <c r="A258" s="5239"/>
      <c r="B258" s="5275" t="s">
        <v>937</v>
      </c>
      <c r="C258" s="5276"/>
      <c r="D258" s="5277"/>
      <c r="E258" s="5276"/>
      <c r="F258" s="5278" t="s">
        <v>938</v>
      </c>
      <c r="G258" s="5279"/>
      <c r="H258" s="5002"/>
      <c r="I258" s="5265"/>
      <c r="J258" s="5266"/>
      <c r="K258" s="5280" t="s">
        <v>939</v>
      </c>
      <c r="L258" s="5280"/>
      <c r="M258" s="5281">
        <v>70</v>
      </c>
      <c r="N258" s="5282">
        <f>J256/M258</f>
        <v>0.11928571428571429</v>
      </c>
      <c r="O258" s="5269" t="s">
        <v>940</v>
      </c>
      <c r="P258" s="5002"/>
      <c r="Q258" s="5002"/>
    </row>
    <row r="259" spans="1:17" ht="20.100000000000001" customHeight="1">
      <c r="A259" s="5239"/>
      <c r="B259" s="5283" t="s">
        <v>941</v>
      </c>
      <c r="C259" s="5284" t="s">
        <v>942</v>
      </c>
      <c r="E259" s="5284" t="s">
        <v>943</v>
      </c>
      <c r="F259" s="5285" t="s">
        <v>944</v>
      </c>
      <c r="G259" s="5286"/>
      <c r="H259" s="5002"/>
      <c r="I259" s="5265"/>
      <c r="J259" s="5266"/>
      <c r="K259" s="5280"/>
      <c r="L259" s="5280"/>
      <c r="M259" s="5281"/>
      <c r="N259" s="5282"/>
      <c r="O259" s="5269"/>
      <c r="P259" s="5002"/>
      <c r="Q259" s="5002"/>
    </row>
    <row r="260" spans="1:17" ht="20.100000000000001" customHeight="1">
      <c r="A260" s="5239"/>
      <c r="B260" s="5287">
        <v>1</v>
      </c>
      <c r="C260" s="5288">
        <v>22</v>
      </c>
      <c r="D260" s="5002"/>
      <c r="E260" s="5289">
        <f>C260/2</f>
        <v>11</v>
      </c>
      <c r="F260" s="5290">
        <f>PI()*(E260^2)</f>
        <v>380.13271108436498</v>
      </c>
      <c r="G260" s="5291"/>
      <c r="H260" s="5002"/>
      <c r="I260" s="5292">
        <f>IF(ISBLANK(M256),0,J256/M256)</f>
        <v>33.4</v>
      </c>
      <c r="J260" s="5293"/>
      <c r="K260" s="5293"/>
      <c r="L260" s="5293"/>
      <c r="M260" s="5293"/>
      <c r="N260" s="5293"/>
      <c r="O260" s="5294"/>
      <c r="P260" s="5002"/>
      <c r="Q260" s="5002"/>
    </row>
    <row r="261" spans="1:17" ht="20.100000000000001" customHeight="1" thickBot="1">
      <c r="A261" s="5239"/>
      <c r="B261" s="5287"/>
      <c r="C261" s="5288"/>
      <c r="D261" s="5002"/>
      <c r="E261" s="5289"/>
      <c r="F261" s="5290"/>
      <c r="G261" s="5291"/>
      <c r="H261" s="5002"/>
      <c r="I261" s="5295" t="s">
        <v>945</v>
      </c>
      <c r="J261" s="5296"/>
      <c r="K261" s="5296"/>
      <c r="L261" s="5296"/>
      <c r="M261" s="5296"/>
      <c r="N261" s="5296"/>
      <c r="O261" s="5297"/>
      <c r="P261" s="5002"/>
      <c r="Q261" s="5002"/>
    </row>
    <row r="262" spans="1:17" ht="20.100000000000001" customHeight="1">
      <c r="A262" s="5239"/>
      <c r="B262" s="5298"/>
      <c r="C262" s="5299"/>
      <c r="D262" s="5002"/>
      <c r="E262" s="5300"/>
      <c r="F262" s="5301"/>
      <c r="G262" s="5291"/>
      <c r="H262" s="5002"/>
      <c r="I262" s="5302" t="s">
        <v>361</v>
      </c>
      <c r="J262" s="5303"/>
      <c r="K262" s="5303"/>
      <c r="L262" s="5303"/>
      <c r="M262" s="5303"/>
      <c r="N262" s="5303"/>
      <c r="O262" s="5304"/>
      <c r="P262" s="5002"/>
      <c r="Q262" s="5002"/>
    </row>
    <row r="263" spans="1:17" ht="20.100000000000001" customHeight="1" thickBot="1">
      <c r="A263" s="5239"/>
      <c r="B263" s="5287">
        <v>1</v>
      </c>
      <c r="C263" s="5288">
        <v>22</v>
      </c>
      <c r="D263" s="5002"/>
      <c r="E263" s="5289">
        <f>C263/2</f>
        <v>11</v>
      </c>
      <c r="F263" s="5290">
        <f>PI()*(E263^2)</f>
        <v>380.13271108436498</v>
      </c>
      <c r="G263" s="5291"/>
      <c r="H263" s="5002"/>
      <c r="I263" s="5305"/>
      <c r="J263" s="5306"/>
      <c r="K263" s="5306"/>
      <c r="L263" s="5306"/>
      <c r="M263" s="5306"/>
      <c r="N263" s="5306"/>
      <c r="O263" s="5307"/>
      <c r="P263" s="5002"/>
      <c r="Q263" s="5002"/>
    </row>
    <row r="264" spans="1:17" ht="20.100000000000001" customHeight="1" thickBot="1">
      <c r="A264" s="5239"/>
      <c r="B264" s="4457"/>
      <c r="C264" s="4459"/>
      <c r="D264" s="5002"/>
      <c r="E264" s="4460"/>
      <c r="F264" s="4461"/>
      <c r="G264" s="5291"/>
      <c r="H264" s="5002"/>
      <c r="P264" s="5002"/>
      <c r="Q264" s="5002"/>
    </row>
    <row r="265" spans="1:17" ht="20.100000000000001" customHeight="1">
      <c r="A265" s="5239"/>
      <c r="B265" s="4462" t="s">
        <v>946</v>
      </c>
      <c r="C265" s="4463"/>
      <c r="D265" s="4463"/>
      <c r="E265" s="4463"/>
      <c r="F265" s="4463"/>
      <c r="G265" s="4464"/>
      <c r="H265" s="5002"/>
      <c r="I265" s="5308" t="s">
        <v>947</v>
      </c>
      <c r="J265" s="5309"/>
      <c r="K265" s="5309"/>
      <c r="L265" s="5309"/>
      <c r="M265" s="5309"/>
      <c r="N265" s="5310"/>
      <c r="O265" s="5002"/>
      <c r="P265" s="5002"/>
      <c r="Q265" s="5002"/>
    </row>
    <row r="266" spans="1:17" ht="20.100000000000001" customHeight="1">
      <c r="A266" s="5239"/>
      <c r="B266" s="5311" t="s">
        <v>948</v>
      </c>
      <c r="C266" s="95"/>
      <c r="D266" s="5312"/>
      <c r="E266" s="95"/>
      <c r="F266" s="137"/>
      <c r="G266" s="138"/>
      <c r="H266" s="5002"/>
      <c r="I266" s="5313"/>
      <c r="J266" s="5314"/>
      <c r="K266" s="5314"/>
      <c r="L266" s="5314"/>
      <c r="M266" s="5314"/>
      <c r="N266" s="5315"/>
      <c r="O266" s="5002"/>
      <c r="P266" s="5002"/>
      <c r="Q266" s="5002"/>
    </row>
    <row r="267" spans="1:17" ht="20.100000000000001" customHeight="1">
      <c r="A267" s="5239"/>
      <c r="B267" s="5316" t="s">
        <v>361</v>
      </c>
      <c r="C267" s="5317"/>
      <c r="D267" s="5317"/>
      <c r="E267" s="5317"/>
      <c r="F267" s="5317"/>
      <c r="G267" s="5318"/>
      <c r="H267" s="5002"/>
      <c r="I267" s="5319" t="s">
        <v>949</v>
      </c>
      <c r="J267" s="5320"/>
      <c r="K267" s="5320"/>
      <c r="L267" s="5320"/>
      <c r="M267" s="5320"/>
      <c r="N267" s="5321"/>
      <c r="O267" s="5002"/>
      <c r="P267" s="5002"/>
      <c r="Q267" s="5002"/>
    </row>
    <row r="268" spans="1:17" ht="20.100000000000001" customHeight="1" thickBot="1">
      <c r="A268" s="5239"/>
      <c r="B268" s="5322"/>
      <c r="C268" s="5323"/>
      <c r="D268" s="5323"/>
      <c r="E268" s="5323"/>
      <c r="F268" s="5323"/>
      <c r="G268" s="5324"/>
      <c r="H268" s="5002"/>
      <c r="I268" s="5319"/>
      <c r="J268" s="5320"/>
      <c r="K268" s="5320"/>
      <c r="L268" s="5320"/>
      <c r="M268" s="5320"/>
      <c r="N268" s="5321"/>
      <c r="O268" s="5002"/>
      <c r="P268" s="5002"/>
      <c r="Q268" s="5002"/>
    </row>
    <row r="269" spans="1:17" ht="20.100000000000001" customHeight="1" thickBot="1">
      <c r="B269" s="5002"/>
      <c r="C269" s="5002"/>
      <c r="D269" s="5002"/>
      <c r="E269" s="63"/>
      <c r="F269" s="63"/>
      <c r="G269" s="5002"/>
      <c r="H269" s="5002"/>
      <c r="I269" s="5325" t="s">
        <v>941</v>
      </c>
      <c r="J269" s="5326" t="s">
        <v>942</v>
      </c>
      <c r="K269" s="5326" t="s">
        <v>943</v>
      </c>
      <c r="L269" s="5327" t="s">
        <v>950</v>
      </c>
      <c r="M269" s="5328" t="s">
        <v>951</v>
      </c>
      <c r="N269" s="5329" t="s">
        <v>952</v>
      </c>
      <c r="O269" s="5002"/>
      <c r="P269" s="5002"/>
      <c r="Q269" s="5002"/>
    </row>
    <row r="270" spans="1:17" ht="20.100000000000001" customHeight="1">
      <c r="A270" s="5232" t="s">
        <v>909</v>
      </c>
      <c r="B270" s="5330" t="s">
        <v>953</v>
      </c>
      <c r="C270" s="5331"/>
      <c r="D270" s="5331"/>
      <c r="E270" s="5331"/>
      <c r="F270" s="5331"/>
      <c r="G270" s="5332"/>
      <c r="H270" s="5002"/>
      <c r="I270" s="5325"/>
      <c r="J270" s="5326"/>
      <c r="K270" s="5326"/>
      <c r="L270" s="5327"/>
      <c r="M270" s="5328"/>
      <c r="N270" s="5329"/>
      <c r="O270" s="5002"/>
      <c r="P270" s="5002"/>
      <c r="Q270" s="5002"/>
    </row>
    <row r="271" spans="1:17" ht="20.100000000000001" customHeight="1">
      <c r="A271" s="4421" t="s">
        <v>953</v>
      </c>
      <c r="B271" s="5333" t="s">
        <v>954</v>
      </c>
      <c r="C271" s="4415"/>
      <c r="D271" s="4415"/>
      <c r="E271" s="4415"/>
      <c r="F271" s="4415"/>
      <c r="G271" s="4416"/>
      <c r="H271" s="5002"/>
      <c r="I271" s="5334">
        <v>1</v>
      </c>
      <c r="J271" s="5335">
        <v>22</v>
      </c>
      <c r="K271" s="5289">
        <f>J271/2</f>
        <v>11</v>
      </c>
      <c r="L271" s="5336">
        <v>0.15</v>
      </c>
      <c r="M271" s="5337">
        <f>(PI()*(K271^2)*I271)</f>
        <v>380.13271108436498</v>
      </c>
      <c r="N271" s="4413">
        <f>N275</f>
        <v>1.5783961298369786</v>
      </c>
      <c r="O271" s="5002"/>
      <c r="P271" s="5002"/>
      <c r="Q271" s="5002"/>
    </row>
    <row r="272" spans="1:17" ht="20.100000000000001" customHeight="1">
      <c r="A272" s="4421"/>
      <c r="B272" s="5333"/>
      <c r="C272" s="4415"/>
      <c r="D272" s="4415"/>
      <c r="E272" s="4415"/>
      <c r="F272" s="4415"/>
      <c r="G272" s="4416"/>
      <c r="H272" s="5002"/>
      <c r="I272" s="5334"/>
      <c r="J272" s="5335"/>
      <c r="K272" s="5289"/>
      <c r="L272" s="5336"/>
      <c r="M272" s="5337"/>
      <c r="N272" s="4413"/>
      <c r="O272" s="5002"/>
      <c r="P272" s="5002"/>
      <c r="Q272" s="5002"/>
    </row>
    <row r="273" spans="1:17" ht="20.100000000000001" customHeight="1">
      <c r="A273" s="4421"/>
      <c r="B273" s="5333" t="s">
        <v>955</v>
      </c>
      <c r="C273" s="4415"/>
      <c r="D273" s="4415"/>
      <c r="E273" s="4415"/>
      <c r="F273" s="4415"/>
      <c r="G273" s="4416"/>
      <c r="H273" s="5002"/>
      <c r="I273" s="5319" t="s">
        <v>956</v>
      </c>
      <c r="J273" s="5320"/>
      <c r="K273" s="5320"/>
      <c r="L273" s="5320"/>
      <c r="M273" s="5320"/>
      <c r="N273" s="5321"/>
      <c r="O273" s="5002"/>
      <c r="P273" s="5002"/>
      <c r="Q273" s="5002"/>
    </row>
    <row r="274" spans="1:17" ht="20.100000000000001" customHeight="1">
      <c r="A274" s="4421"/>
      <c r="B274" s="5333"/>
      <c r="C274" s="4415"/>
      <c r="D274" s="4415"/>
      <c r="E274" s="4415"/>
      <c r="F274" s="4415"/>
      <c r="G274" s="4416"/>
      <c r="H274" s="5002"/>
      <c r="I274" s="5319"/>
      <c r="J274" s="5320"/>
      <c r="K274" s="5320"/>
      <c r="L274" s="5320"/>
      <c r="M274" s="5320"/>
      <c r="N274" s="5321"/>
      <c r="O274" s="5002"/>
      <c r="P274" s="5002"/>
      <c r="Q274" s="5002"/>
    </row>
    <row r="275" spans="1:17" ht="20.100000000000001" customHeight="1">
      <c r="A275" s="4421"/>
      <c r="B275" s="5333"/>
      <c r="C275" s="4415"/>
      <c r="D275" s="4415"/>
      <c r="E275" s="4415"/>
      <c r="F275" s="4415"/>
      <c r="G275" s="4416"/>
      <c r="H275" s="5002"/>
      <c r="I275" s="5334">
        <v>1</v>
      </c>
      <c r="J275" s="5335">
        <v>30</v>
      </c>
      <c r="K275" s="5335">
        <v>20</v>
      </c>
      <c r="L275" s="5338">
        <f>(L271*N271)*I271</f>
        <v>0.2367594194755468</v>
      </c>
      <c r="M275" s="5337">
        <f>(J275*K275)*I275</f>
        <v>600</v>
      </c>
      <c r="N275" s="4413">
        <f>M275/M271</f>
        <v>1.5783961298369786</v>
      </c>
      <c r="O275" s="5002"/>
      <c r="P275" s="5002"/>
      <c r="Q275" s="5002"/>
    </row>
    <row r="276" spans="1:17" ht="20.100000000000001" customHeight="1">
      <c r="A276" s="4421"/>
      <c r="B276" s="5339"/>
      <c r="C276" s="5340"/>
      <c r="D276" s="5340"/>
      <c r="E276" s="5340"/>
      <c r="F276" s="5340"/>
      <c r="G276" s="5291"/>
      <c r="H276" s="5002"/>
      <c r="I276" s="5334"/>
      <c r="J276" s="5335"/>
      <c r="K276" s="5335"/>
      <c r="L276" s="5338"/>
      <c r="M276" s="5337"/>
      <c r="N276" s="4413"/>
      <c r="O276" s="5002"/>
      <c r="P276" s="5002"/>
      <c r="Q276" s="5002"/>
    </row>
    <row r="277" spans="1:17" ht="20.100000000000001" customHeight="1">
      <c r="A277" s="4421"/>
      <c r="B277" s="5339"/>
      <c r="C277" s="5340"/>
      <c r="D277" s="5340"/>
      <c r="E277" s="5340"/>
      <c r="F277" s="5340"/>
      <c r="G277" s="5291"/>
      <c r="H277" s="5002"/>
      <c r="I277" s="5341" t="s">
        <v>957</v>
      </c>
      <c r="J277" s="5342" t="s">
        <v>958</v>
      </c>
      <c r="K277" s="5342" t="s">
        <v>959</v>
      </c>
      <c r="L277" s="5343" t="s">
        <v>950</v>
      </c>
      <c r="M277" s="5344" t="s">
        <v>951</v>
      </c>
      <c r="N277" s="5345" t="s">
        <v>952</v>
      </c>
      <c r="O277" s="5002"/>
      <c r="P277" s="5002"/>
      <c r="Q277" s="5002"/>
    </row>
    <row r="278" spans="1:17" ht="20.100000000000001" customHeight="1">
      <c r="A278" s="4421"/>
      <c r="B278" s="5339"/>
      <c r="C278" s="5340"/>
      <c r="D278" s="5340"/>
      <c r="E278" s="5340"/>
      <c r="F278" s="5340"/>
      <c r="G278" s="5291"/>
      <c r="H278" s="5002"/>
      <c r="I278" s="5341"/>
      <c r="J278" s="5342"/>
      <c r="K278" s="5342"/>
      <c r="L278" s="5343"/>
      <c r="M278" s="5344"/>
      <c r="N278" s="5345"/>
      <c r="O278" s="5002"/>
      <c r="P278" s="5002"/>
      <c r="Q278" s="5002"/>
    </row>
    <row r="279" spans="1:17" ht="20.100000000000001" customHeight="1" thickBot="1">
      <c r="A279" s="4421"/>
      <c r="B279" s="5339"/>
      <c r="C279" s="5340"/>
      <c r="D279" s="5340"/>
      <c r="E279" s="5340"/>
      <c r="F279" s="5340"/>
      <c r="G279" s="5291"/>
      <c r="H279" s="5002"/>
      <c r="I279" s="5346" t="s">
        <v>960</v>
      </c>
      <c r="J279" s="5347"/>
      <c r="K279" s="5347"/>
      <c r="L279" s="5347"/>
      <c r="M279" s="5347"/>
      <c r="N279" s="5348"/>
      <c r="O279" s="5002"/>
      <c r="P279" s="5002"/>
      <c r="Q279" s="5002"/>
    </row>
    <row r="280" spans="1:17" ht="20.100000000000001" customHeight="1">
      <c r="A280" s="4421"/>
      <c r="B280" s="5339"/>
      <c r="C280" s="5340"/>
      <c r="D280" s="5340"/>
      <c r="E280" s="5340"/>
      <c r="F280" s="5340"/>
      <c r="G280" s="5291"/>
      <c r="H280" s="5002"/>
      <c r="I280" s="142" t="s">
        <v>961</v>
      </c>
      <c r="J280" s="5349" t="s">
        <v>962</v>
      </c>
      <c r="K280" s="143"/>
      <c r="L280" s="143"/>
      <c r="M280" s="143"/>
      <c r="N280" s="144"/>
      <c r="O280" s="5002"/>
      <c r="P280" s="5002"/>
      <c r="Q280" s="5002"/>
    </row>
    <row r="281" spans="1:17" ht="20.100000000000001" customHeight="1">
      <c r="A281" s="4421"/>
      <c r="B281" s="5339"/>
      <c r="C281" s="5340"/>
      <c r="D281" s="5340"/>
      <c r="E281" s="5340"/>
      <c r="F281" s="5340"/>
      <c r="G281" s="5291"/>
      <c r="H281" s="5002"/>
      <c r="I281" s="5350" t="s">
        <v>361</v>
      </c>
      <c r="J281" s="5351"/>
      <c r="K281" s="5351"/>
      <c r="L281" s="5351"/>
      <c r="M281" s="5351"/>
      <c r="N281" s="5352"/>
      <c r="O281" s="5002"/>
      <c r="P281" s="5002"/>
      <c r="Q281" s="5002"/>
    </row>
    <row r="282" spans="1:17" ht="20.100000000000001" customHeight="1" thickBot="1">
      <c r="A282" s="4421"/>
      <c r="B282" s="5339"/>
      <c r="C282" s="5340"/>
      <c r="D282" s="5340"/>
      <c r="E282" s="5340"/>
      <c r="F282" s="5340"/>
      <c r="G282" s="5291"/>
      <c r="H282" s="5002"/>
      <c r="I282" s="5353"/>
      <c r="J282" s="5354"/>
      <c r="K282" s="5354"/>
      <c r="L282" s="5354"/>
      <c r="M282" s="5354"/>
      <c r="N282" s="5355"/>
      <c r="O282" s="5002"/>
      <c r="P282" s="5002"/>
      <c r="Q282" s="5002"/>
    </row>
    <row r="283" spans="1:17" ht="20.100000000000001" customHeight="1" thickBot="1">
      <c r="A283" s="4421"/>
      <c r="B283" s="5339"/>
      <c r="C283" s="5340"/>
      <c r="D283" s="5340"/>
      <c r="E283" s="5340"/>
      <c r="F283" s="5340"/>
      <c r="G283" s="5291"/>
      <c r="H283" s="5002"/>
      <c r="I283" s="5002"/>
      <c r="J283" s="5002"/>
      <c r="K283" s="5002"/>
      <c r="L283" s="5002"/>
      <c r="M283" s="5002"/>
      <c r="N283" s="5002"/>
      <c r="O283" s="5002"/>
      <c r="P283" s="5002"/>
      <c r="Q283" s="5002"/>
    </row>
    <row r="284" spans="1:17" ht="20.100000000000001" customHeight="1">
      <c r="A284" s="4421"/>
      <c r="B284" s="5339"/>
      <c r="C284" s="5340"/>
      <c r="D284" s="5340"/>
      <c r="E284" s="5340"/>
      <c r="F284" s="5340"/>
      <c r="G284" s="5291"/>
      <c r="H284" s="5002"/>
      <c r="I284" s="5233" t="s">
        <v>963</v>
      </c>
      <c r="J284" s="5234"/>
      <c r="K284" s="5234"/>
      <c r="L284" s="5234"/>
      <c r="M284" s="5235"/>
      <c r="O284" s="5002"/>
      <c r="P284" s="5002"/>
      <c r="Q284" s="5002"/>
    </row>
    <row r="285" spans="1:17" ht="20.100000000000001" customHeight="1">
      <c r="A285" s="4421"/>
      <c r="B285" s="5339"/>
      <c r="C285" s="5340"/>
      <c r="D285" s="5340"/>
      <c r="E285" s="5340"/>
      <c r="F285" s="5340"/>
      <c r="G285" s="5291"/>
      <c r="H285" s="5002"/>
      <c r="I285" s="5240"/>
      <c r="J285" s="5241"/>
      <c r="K285" s="5241"/>
      <c r="L285" s="5241"/>
      <c r="M285" s="5242"/>
    </row>
    <row r="286" spans="1:17" ht="20.100000000000001" customHeight="1">
      <c r="A286" s="4421"/>
      <c r="B286" s="5339"/>
      <c r="C286" s="5340"/>
      <c r="D286" s="5340"/>
      <c r="E286" s="5340"/>
      <c r="F286" s="5340"/>
      <c r="G286" s="5291"/>
      <c r="H286" s="5002"/>
      <c r="I286" s="5240"/>
      <c r="J286" s="5241"/>
      <c r="K286" s="5241"/>
      <c r="L286" s="5241"/>
      <c r="M286" s="5242"/>
    </row>
    <row r="287" spans="1:17" ht="20.100000000000001" customHeight="1">
      <c r="A287" s="4421"/>
      <c r="B287" s="5356" t="s">
        <v>964</v>
      </c>
      <c r="C287" s="5357"/>
      <c r="D287" s="5357"/>
      <c r="E287" s="5357"/>
      <c r="F287" s="5357"/>
      <c r="G287" s="5291"/>
      <c r="H287" s="5002"/>
      <c r="I287" s="5325" t="s">
        <v>941</v>
      </c>
      <c r="J287" s="5326" t="s">
        <v>942</v>
      </c>
      <c r="K287" s="5326" t="s">
        <v>943</v>
      </c>
      <c r="L287" s="5326" t="s">
        <v>965</v>
      </c>
      <c r="M287" s="5329" t="s">
        <v>951</v>
      </c>
    </row>
    <row r="288" spans="1:17" ht="20.100000000000001" customHeight="1">
      <c r="A288" s="4421"/>
      <c r="B288" s="5356"/>
      <c r="C288" s="5357"/>
      <c r="D288" s="5357"/>
      <c r="E288" s="5357"/>
      <c r="F288" s="5357"/>
      <c r="G288" s="5291"/>
      <c r="H288" s="5002"/>
      <c r="I288" s="5325"/>
      <c r="J288" s="5326"/>
      <c r="K288" s="5326"/>
      <c r="L288" s="5326"/>
      <c r="M288" s="5329"/>
    </row>
    <row r="289" spans="1:17" ht="20.100000000000001" customHeight="1" thickBot="1">
      <c r="A289" s="4421"/>
      <c r="B289" s="5358"/>
      <c r="C289" s="5359"/>
      <c r="D289" s="5359"/>
      <c r="E289" s="5359"/>
      <c r="F289" s="5359"/>
      <c r="G289" s="5360"/>
      <c r="H289" s="5002"/>
      <c r="I289" s="5334">
        <v>1</v>
      </c>
      <c r="J289" s="5361">
        <v>22</v>
      </c>
      <c r="K289" s="5362">
        <f>J289/2</f>
        <v>11</v>
      </c>
      <c r="L289" s="5361">
        <v>1</v>
      </c>
      <c r="M289" s="4365">
        <f>((PI()*(K289^2)*L289))*I289</f>
        <v>380.13271108436498</v>
      </c>
    </row>
    <row r="290" spans="1:17" ht="20.100000000000001" customHeight="1">
      <c r="B290" s="5002"/>
      <c r="C290" s="5002"/>
      <c r="D290" s="5002"/>
      <c r="E290" s="63"/>
      <c r="F290" s="63"/>
      <c r="G290" s="5002"/>
      <c r="H290" s="5002"/>
      <c r="I290" s="5334"/>
      <c r="J290" s="5361"/>
      <c r="K290" s="5362"/>
      <c r="L290" s="5361"/>
      <c r="M290" s="4365"/>
    </row>
    <row r="291" spans="1:17" ht="20.100000000000001" customHeight="1">
      <c r="B291" s="5363" t="s">
        <v>966</v>
      </c>
      <c r="C291" s="5364"/>
      <c r="D291" s="5364"/>
      <c r="E291" s="5364"/>
      <c r="F291" s="5364"/>
      <c r="G291" s="5365"/>
      <c r="H291" s="5002"/>
      <c r="I291" s="5325" t="s">
        <v>941</v>
      </c>
      <c r="J291" s="5326" t="s">
        <v>942</v>
      </c>
      <c r="K291" s="5326" t="s">
        <v>965</v>
      </c>
      <c r="L291" s="5326"/>
      <c r="M291" s="5329" t="s">
        <v>951</v>
      </c>
    </row>
    <row r="292" spans="1:17" ht="20.100000000000001" customHeight="1">
      <c r="B292" s="5363"/>
      <c r="C292" s="5364"/>
      <c r="D292" s="5364"/>
      <c r="E292" s="5364"/>
      <c r="F292" s="5364"/>
      <c r="G292" s="5365"/>
      <c r="H292" s="5002"/>
      <c r="I292" s="5325"/>
      <c r="J292" s="5326"/>
      <c r="K292" s="5326"/>
      <c r="L292" s="5326"/>
      <c r="M292" s="5329"/>
    </row>
    <row r="293" spans="1:17" ht="20.100000000000001" customHeight="1">
      <c r="B293" s="5366" t="s">
        <v>957</v>
      </c>
      <c r="C293" s="5367" t="s">
        <v>958</v>
      </c>
      <c r="D293" s="5367" t="s">
        <v>959</v>
      </c>
      <c r="E293" s="5367" t="s">
        <v>965</v>
      </c>
      <c r="F293" s="5367" t="s">
        <v>951</v>
      </c>
      <c r="G293" s="5368"/>
      <c r="H293" s="5002"/>
      <c r="I293" s="5334">
        <v>1</v>
      </c>
      <c r="J293" s="5335">
        <v>22</v>
      </c>
      <c r="K293" s="5335">
        <v>1</v>
      </c>
      <c r="L293" s="5369"/>
      <c r="M293" s="4365">
        <f>(((J293/2)*(J293/2)*3.1416)*K293)*I293</f>
        <v>380.1336</v>
      </c>
    </row>
    <row r="294" spans="1:17" ht="20.100000000000001" customHeight="1">
      <c r="B294" s="5366"/>
      <c r="C294" s="5367"/>
      <c r="D294" s="5367"/>
      <c r="E294" s="5367"/>
      <c r="F294" s="5367"/>
      <c r="G294" s="5368"/>
      <c r="H294" s="5002"/>
      <c r="I294" s="5334"/>
      <c r="J294" s="5335"/>
      <c r="K294" s="5335"/>
      <c r="L294" s="5369"/>
      <c r="M294" s="4365"/>
    </row>
    <row r="295" spans="1:17" ht="20.100000000000001" customHeight="1">
      <c r="B295" s="5334">
        <v>1</v>
      </c>
      <c r="C295" s="5335">
        <v>30</v>
      </c>
      <c r="D295" s="5335">
        <v>20</v>
      </c>
      <c r="E295" s="5361">
        <v>1</v>
      </c>
      <c r="F295" s="5370">
        <f>((C295*D295)*E295)*B295</f>
        <v>600</v>
      </c>
      <c r="G295" s="4383"/>
      <c r="H295" s="5002"/>
      <c r="I295" s="5325" t="s">
        <v>941</v>
      </c>
      <c r="J295" s="5326" t="s">
        <v>942</v>
      </c>
      <c r="K295" s="5326" t="s">
        <v>965</v>
      </c>
      <c r="L295" s="5326" t="s">
        <v>939</v>
      </c>
      <c r="M295" s="5329" t="s">
        <v>951</v>
      </c>
    </row>
    <row r="296" spans="1:17" ht="20.100000000000001" customHeight="1">
      <c r="B296" s="5334"/>
      <c r="C296" s="5335"/>
      <c r="D296" s="5335"/>
      <c r="E296" s="5361"/>
      <c r="F296" s="5370"/>
      <c r="G296" s="4383"/>
      <c r="H296" s="5002"/>
      <c r="I296" s="5325"/>
      <c r="J296" s="5326"/>
      <c r="K296" s="5326"/>
      <c r="L296" s="5326"/>
      <c r="M296" s="5329"/>
    </row>
    <row r="297" spans="1:17" ht="20.100000000000001" customHeight="1">
      <c r="B297" s="5371" t="s">
        <v>960</v>
      </c>
      <c r="C297" s="5372"/>
      <c r="D297" s="5372"/>
      <c r="E297" s="5372"/>
      <c r="F297" s="5372"/>
      <c r="G297" s="5373"/>
      <c r="H297" s="5002"/>
      <c r="I297" s="5334">
        <v>1</v>
      </c>
      <c r="J297" s="5335">
        <v>22</v>
      </c>
      <c r="K297" s="5335">
        <v>1</v>
      </c>
      <c r="L297" s="5374">
        <v>3</v>
      </c>
      <c r="M297" s="4365">
        <f>(((J297/2)*(J297/2)*PI()*K297)*I297)/L297</f>
        <v>126.71090369478833</v>
      </c>
    </row>
    <row r="298" spans="1:17" ht="20.100000000000001" customHeight="1">
      <c r="B298" s="5375" t="s">
        <v>361</v>
      </c>
      <c r="C298" s="5376"/>
      <c r="D298" s="5376"/>
      <c r="E298" s="5376"/>
      <c r="F298" s="5376"/>
      <c r="G298" s="147"/>
      <c r="H298" s="5002"/>
      <c r="I298" s="5334"/>
      <c r="J298" s="5335"/>
      <c r="K298" s="5335"/>
      <c r="L298" s="5374"/>
      <c r="M298" s="4365"/>
    </row>
    <row r="299" spans="1:17" ht="20.100000000000001" customHeight="1" thickBot="1">
      <c r="B299" s="5377"/>
      <c r="C299" s="5378"/>
      <c r="D299" s="5378"/>
      <c r="E299" s="5378"/>
      <c r="F299" s="5378"/>
      <c r="G299" s="5379"/>
      <c r="H299" s="5002"/>
      <c r="I299" s="5371" t="s">
        <v>960</v>
      </c>
      <c r="J299" s="5372"/>
      <c r="K299" s="5372"/>
      <c r="L299" s="5372"/>
      <c r="M299" s="5373"/>
    </row>
    <row r="300" spans="1:17" ht="20.100000000000001" customHeight="1">
      <c r="B300" s="5002"/>
      <c r="C300" s="5002"/>
      <c r="D300" s="5002"/>
      <c r="E300" s="63"/>
      <c r="F300" s="63"/>
      <c r="G300" s="5002"/>
      <c r="H300" s="5002"/>
      <c r="I300" s="5380" t="s">
        <v>361</v>
      </c>
      <c r="J300" s="5381"/>
      <c r="K300" s="5381"/>
      <c r="L300" s="5381"/>
      <c r="M300" s="4371"/>
    </row>
    <row r="301" spans="1:17" ht="20.100000000000001" customHeight="1" thickBot="1">
      <c r="B301" s="5002"/>
      <c r="C301" s="5002"/>
      <c r="D301" s="5002"/>
      <c r="E301" s="63"/>
      <c r="F301" s="63"/>
      <c r="G301" s="5002"/>
      <c r="H301" s="5002"/>
      <c r="I301" s="5382"/>
      <c r="J301" s="5383"/>
      <c r="K301" s="5383"/>
      <c r="L301" s="5383"/>
      <c r="M301" s="5384"/>
      <c r="N301" s="5002"/>
    </row>
    <row r="302" spans="1:17" ht="20.100000000000001" customHeight="1">
      <c r="A302" s="5002"/>
      <c r="B302" s="5002"/>
      <c r="C302" s="5002"/>
      <c r="D302" s="5002"/>
      <c r="E302" s="63"/>
      <c r="F302" s="63"/>
      <c r="G302" s="5002"/>
      <c r="H302" s="5002"/>
      <c r="I302" s="5002"/>
      <c r="J302" s="5002"/>
      <c r="K302" s="5002"/>
      <c r="L302" s="5002"/>
      <c r="M302" s="5002"/>
      <c r="N302" s="5002"/>
    </row>
    <row r="303" spans="1:17" ht="20.100000000000001" customHeight="1">
      <c r="B303" s="5385" t="s">
        <v>967</v>
      </c>
      <c r="C303" s="5386"/>
      <c r="D303" s="5386"/>
      <c r="E303" s="5386"/>
      <c r="F303" s="5386"/>
      <c r="G303" s="5386"/>
      <c r="H303" s="5386"/>
      <c r="I303" s="5386"/>
      <c r="J303" s="5386"/>
      <c r="K303" s="5386"/>
      <c r="L303" s="5002"/>
      <c r="M303" s="5002"/>
      <c r="N303" s="5002"/>
      <c r="O303" s="5002"/>
      <c r="P303" s="5002"/>
      <c r="Q303" s="5002"/>
    </row>
    <row r="304" spans="1:17" ht="20.100000000000001" customHeight="1">
      <c r="B304" s="5385"/>
      <c r="C304" s="5386"/>
      <c r="D304" s="5386"/>
      <c r="E304" s="5386"/>
      <c r="F304" s="5386"/>
      <c r="G304" s="5386"/>
      <c r="H304" s="5386"/>
      <c r="I304" s="5386"/>
      <c r="J304" s="5386"/>
      <c r="K304" s="5386"/>
      <c r="L304" s="5002"/>
      <c r="M304" s="5002"/>
      <c r="N304" s="5002"/>
      <c r="O304" s="5002"/>
      <c r="P304" s="5002"/>
      <c r="Q304" s="5002"/>
    </row>
    <row r="305" spans="2:17" ht="20.100000000000001" customHeight="1">
      <c r="B305" s="3820" t="s">
        <v>968</v>
      </c>
      <c r="C305" s="5387"/>
      <c r="D305" s="5387"/>
      <c r="E305" s="5387"/>
      <c r="F305" s="5387"/>
      <c r="G305" s="5387"/>
      <c r="H305" s="5387"/>
      <c r="I305" s="5387"/>
      <c r="J305" s="5387"/>
      <c r="K305" s="3822"/>
      <c r="L305" s="5002"/>
      <c r="M305" s="5002"/>
      <c r="N305" s="5002"/>
      <c r="O305" s="5002"/>
      <c r="P305" s="5002"/>
      <c r="Q305" s="5002"/>
    </row>
    <row r="306" spans="2:17" ht="20.100000000000001" customHeight="1">
      <c r="B306" s="5388"/>
      <c r="C306" s="5389" t="s">
        <v>941</v>
      </c>
      <c r="D306" s="5389"/>
      <c r="E306" s="5389" t="s">
        <v>942</v>
      </c>
      <c r="F306" s="5389"/>
      <c r="G306" s="5389" t="s">
        <v>965</v>
      </c>
      <c r="H306" s="5389"/>
      <c r="I306" s="5390" t="s">
        <v>969</v>
      </c>
      <c r="J306" s="5390"/>
      <c r="K306" s="5391" t="s">
        <v>951</v>
      </c>
      <c r="L306" s="5002"/>
      <c r="M306" s="5002"/>
      <c r="N306" s="5002"/>
      <c r="O306" s="5002"/>
      <c r="P306" s="5002"/>
      <c r="Q306" s="5002"/>
    </row>
    <row r="307" spans="2:17" ht="20.100000000000001" customHeight="1">
      <c r="B307" s="5392" t="s">
        <v>150</v>
      </c>
      <c r="C307" s="5393">
        <v>1</v>
      </c>
      <c r="D307" s="5393"/>
      <c r="E307" s="5335">
        <v>26</v>
      </c>
      <c r="F307" s="5335"/>
      <c r="G307" s="5335">
        <v>4</v>
      </c>
      <c r="H307" s="5335"/>
      <c r="I307" s="5394">
        <f>(I311/K311)*K307</f>
        <v>0.47499999999999998</v>
      </c>
      <c r="J307" s="5394"/>
      <c r="K307" s="4365">
        <f>(((E307/2)*(E307/2)*PI())*G307)*C307</f>
        <v>2123.7166338267002</v>
      </c>
      <c r="L307" s="5002"/>
      <c r="M307" s="5002"/>
      <c r="N307" s="5002"/>
      <c r="O307" s="5002"/>
      <c r="P307" s="5002"/>
      <c r="Q307" s="5002"/>
    </row>
    <row r="308" spans="2:17" ht="20.100000000000001" customHeight="1">
      <c r="B308" s="5392"/>
      <c r="C308" s="5393"/>
      <c r="D308" s="5393"/>
      <c r="E308" s="5335"/>
      <c r="F308" s="5335"/>
      <c r="G308" s="5335"/>
      <c r="H308" s="5335"/>
      <c r="I308" s="5394"/>
      <c r="J308" s="5394"/>
      <c r="K308" s="4365"/>
      <c r="L308" s="5002"/>
      <c r="M308" s="5002"/>
      <c r="N308" s="5002"/>
      <c r="O308" s="5002"/>
      <c r="P308" s="5002"/>
      <c r="Q308" s="5002"/>
    </row>
    <row r="309" spans="2:17" ht="20.100000000000001" customHeight="1" thickBot="1">
      <c r="B309" s="5388"/>
      <c r="C309" s="5395"/>
      <c r="D309" s="95"/>
      <c r="E309" s="5396"/>
      <c r="F309" s="95"/>
      <c r="G309" s="5396"/>
      <c r="H309" s="95"/>
      <c r="I309" s="5397"/>
      <c r="J309" s="95"/>
      <c r="K309" s="5391"/>
      <c r="L309" s="5002"/>
      <c r="M309" s="5002"/>
      <c r="N309" s="5002"/>
      <c r="O309" s="5002"/>
      <c r="P309" s="5002"/>
      <c r="Q309" s="5002"/>
    </row>
    <row r="310" spans="2:17" ht="20.100000000000001" customHeight="1">
      <c r="B310" s="4355" t="s">
        <v>970</v>
      </c>
      <c r="C310" s="4337"/>
      <c r="D310" s="4337"/>
      <c r="E310" s="4337"/>
      <c r="F310" s="4337"/>
      <c r="G310" s="4337"/>
      <c r="H310" s="4337"/>
      <c r="I310" s="4337"/>
      <c r="J310" s="4337"/>
      <c r="K310" s="4356"/>
      <c r="L310" s="5002"/>
      <c r="M310" s="5002"/>
      <c r="N310" s="5002"/>
      <c r="O310" s="5002"/>
      <c r="P310" s="5002"/>
      <c r="Q310" s="5002"/>
    </row>
    <row r="311" spans="2:17" ht="20.100000000000001" customHeight="1">
      <c r="B311" s="5398" t="s">
        <v>152</v>
      </c>
      <c r="C311" s="5399">
        <v>1</v>
      </c>
      <c r="D311" s="5399"/>
      <c r="E311" s="5400">
        <v>26</v>
      </c>
      <c r="F311" s="5400"/>
      <c r="G311" s="5400">
        <v>4</v>
      </c>
      <c r="H311" s="5400"/>
      <c r="I311" s="5401">
        <v>0.47499999999999998</v>
      </c>
      <c r="J311" s="5401"/>
      <c r="K311" s="4361">
        <f>(((E311/2)*(E311/2)*PI())*G311)*C311</f>
        <v>2123.7166338267002</v>
      </c>
      <c r="L311" s="5002"/>
      <c r="M311" s="5002"/>
      <c r="N311" s="5002"/>
      <c r="O311" s="5002"/>
      <c r="P311" s="5002"/>
      <c r="Q311" s="5002"/>
    </row>
    <row r="312" spans="2:17" ht="20.100000000000001" customHeight="1">
      <c r="B312" s="5398"/>
      <c r="C312" s="5399"/>
      <c r="D312" s="5399"/>
      <c r="E312" s="5400"/>
      <c r="F312" s="5400"/>
      <c r="G312" s="5400"/>
      <c r="H312" s="5400"/>
      <c r="I312" s="5401"/>
      <c r="J312" s="5401"/>
      <c r="K312" s="4361"/>
      <c r="L312" s="5002"/>
      <c r="M312" s="5002"/>
      <c r="N312" s="5002"/>
      <c r="O312" s="5002"/>
      <c r="P312" s="5002"/>
      <c r="Q312" s="5002"/>
    </row>
    <row r="313" spans="2:17" ht="20.100000000000001" customHeight="1">
      <c r="B313" s="5402" t="s">
        <v>971</v>
      </c>
      <c r="C313" s="5403"/>
      <c r="D313" s="5403"/>
      <c r="E313" s="5403"/>
      <c r="F313" s="5403"/>
      <c r="G313" s="5403"/>
      <c r="H313" s="5403"/>
      <c r="I313" s="5403"/>
      <c r="J313" s="5403"/>
      <c r="K313" s="4344"/>
      <c r="L313" s="5002"/>
      <c r="M313" s="5002"/>
      <c r="N313" s="5002"/>
      <c r="O313" s="5002"/>
      <c r="P313" s="5002"/>
      <c r="Q313" s="5002"/>
    </row>
    <row r="314" spans="2:17" ht="20.100000000000001" customHeight="1">
      <c r="B314" s="5404" t="s">
        <v>150</v>
      </c>
      <c r="C314" s="5405" t="s">
        <v>972</v>
      </c>
      <c r="D314" s="5405"/>
      <c r="E314" s="5405"/>
      <c r="F314" s="5405"/>
      <c r="G314" s="5405"/>
      <c r="H314" s="5405"/>
      <c r="I314" s="5405"/>
      <c r="J314" s="5405"/>
      <c r="K314" s="4346"/>
      <c r="L314" s="5002"/>
      <c r="M314" s="5002"/>
      <c r="N314" s="5002"/>
      <c r="O314" s="5002"/>
      <c r="P314" s="5002"/>
      <c r="Q314" s="5002"/>
    </row>
    <row r="315" spans="2:17" ht="20.100000000000001" customHeight="1">
      <c r="B315" s="5406" t="s">
        <v>152</v>
      </c>
      <c r="C315" s="5407" t="s">
        <v>973</v>
      </c>
      <c r="D315" s="5407"/>
      <c r="E315" s="5407"/>
      <c r="F315" s="5407"/>
      <c r="G315" s="5407"/>
      <c r="H315" s="5407"/>
      <c r="I315" s="5407"/>
      <c r="J315" s="5407"/>
      <c r="K315" s="4349"/>
      <c r="L315" s="5002"/>
      <c r="M315" s="5002"/>
      <c r="N315" s="5002"/>
      <c r="O315" s="5002"/>
      <c r="P315" s="5002"/>
      <c r="Q315" s="5002"/>
    </row>
    <row r="316" spans="2:17" ht="20.100000000000001" customHeight="1">
      <c r="B316" s="5406"/>
      <c r="C316" s="5407"/>
      <c r="D316" s="5407"/>
      <c r="E316" s="5407"/>
      <c r="F316" s="5407"/>
      <c r="G316" s="5407"/>
      <c r="H316" s="5407"/>
      <c r="I316" s="5407"/>
      <c r="J316" s="5407"/>
      <c r="K316" s="4349"/>
      <c r="L316" s="5002"/>
      <c r="M316" s="5002"/>
      <c r="N316" s="5002"/>
      <c r="O316" s="5002"/>
      <c r="P316" s="5002"/>
      <c r="Q316" s="5002"/>
    </row>
    <row r="317" spans="2:17" ht="20.100000000000001" customHeight="1">
      <c r="B317" s="5408"/>
      <c r="C317" s="5409"/>
      <c r="D317" s="5409"/>
      <c r="E317" s="5409"/>
      <c r="F317" s="5409"/>
      <c r="G317" s="5409"/>
      <c r="H317" s="5409"/>
      <c r="I317" s="5409"/>
      <c r="J317" s="5409"/>
      <c r="K317" s="5410"/>
      <c r="L317" s="5002"/>
      <c r="M317" s="5002"/>
      <c r="N317" s="5002"/>
      <c r="O317" s="5002"/>
      <c r="P317" s="5002"/>
      <c r="Q317" s="5002"/>
    </row>
    <row r="318" spans="2:17" ht="20.100000000000001" customHeight="1">
      <c r="B318" s="5411" t="s">
        <v>974</v>
      </c>
      <c r="C318" s="5412"/>
      <c r="D318" s="5412"/>
      <c r="E318" s="5412"/>
      <c r="F318" s="5413"/>
      <c r="G318" s="5413"/>
      <c r="H318" s="5413"/>
      <c r="I318" s="5414" t="s">
        <v>975</v>
      </c>
      <c r="J318" s="5415">
        <f>SUM(D319:D320,G319:G320,J319:J320)</f>
        <v>0.47500000000000003</v>
      </c>
      <c r="K318" s="5416"/>
      <c r="L318" s="5002"/>
      <c r="M318" s="5002"/>
      <c r="N318" s="5002"/>
      <c r="O318" s="5002"/>
      <c r="P318" s="5002"/>
      <c r="Q318" s="5002"/>
    </row>
    <row r="319" spans="2:17" ht="20.100000000000001" customHeight="1">
      <c r="B319" s="5417" t="s">
        <v>976</v>
      </c>
      <c r="C319" s="5418"/>
      <c r="D319" s="5419">
        <v>0.25</v>
      </c>
      <c r="E319" s="5418" t="s">
        <v>977</v>
      </c>
      <c r="F319" s="5418"/>
      <c r="G319" s="5419">
        <v>5.0000000000000001E-3</v>
      </c>
      <c r="H319" s="5418" t="s">
        <v>978</v>
      </c>
      <c r="I319" s="5418"/>
      <c r="J319" s="5419">
        <v>2.5000000000000001E-2</v>
      </c>
      <c r="K319" s="5420"/>
      <c r="L319" s="5002"/>
      <c r="M319" s="5002"/>
      <c r="N319" s="5002"/>
      <c r="O319" s="5002"/>
      <c r="P319" s="5002"/>
      <c r="Q319" s="5002"/>
    </row>
    <row r="320" spans="2:17" ht="20.100000000000001" customHeight="1">
      <c r="B320" s="5421" t="s">
        <v>979</v>
      </c>
      <c r="C320" s="5422"/>
      <c r="D320" s="5423">
        <v>0.125</v>
      </c>
      <c r="E320" s="5422" t="s">
        <v>980</v>
      </c>
      <c r="F320" s="5422"/>
      <c r="G320" s="5423">
        <v>0.02</v>
      </c>
      <c r="H320" s="5422" t="s">
        <v>981</v>
      </c>
      <c r="I320" s="5422"/>
      <c r="J320" s="5423">
        <v>0.05</v>
      </c>
      <c r="K320" s="5424"/>
      <c r="L320" s="5002"/>
      <c r="M320" s="5002"/>
      <c r="N320" s="5002"/>
      <c r="O320" s="5002"/>
      <c r="P320" s="5002"/>
      <c r="Q320" s="5002"/>
    </row>
    <row r="321" spans="2:17" ht="20.100000000000001" customHeight="1">
      <c r="B321" s="5316" t="s">
        <v>361</v>
      </c>
      <c r="C321" s="5317"/>
      <c r="D321" s="5317"/>
      <c r="E321" s="5317"/>
      <c r="F321" s="5317"/>
      <c r="G321" s="5317"/>
      <c r="H321" s="5317"/>
      <c r="I321" s="5317"/>
      <c r="J321" s="5317"/>
      <c r="K321" s="5318"/>
      <c r="L321" s="5002"/>
      <c r="M321" s="5002"/>
      <c r="N321" s="5002"/>
      <c r="O321" s="5002"/>
      <c r="P321" s="5002"/>
      <c r="Q321" s="5002"/>
    </row>
    <row r="322" spans="2:17" ht="20.100000000000001" customHeight="1" thickBot="1">
      <c r="B322" s="5322"/>
      <c r="C322" s="5323"/>
      <c r="D322" s="5323"/>
      <c r="E322" s="5323"/>
      <c r="F322" s="5323"/>
      <c r="G322" s="5323"/>
      <c r="H322" s="5323"/>
      <c r="I322" s="5323"/>
      <c r="J322" s="5323"/>
      <c r="K322" s="5324"/>
      <c r="L322" s="5002"/>
      <c r="M322" s="5002"/>
      <c r="N322" s="5002"/>
      <c r="O322" s="5002"/>
      <c r="P322" s="5002"/>
      <c r="Q322" s="5002"/>
    </row>
    <row r="323" spans="2:17" ht="20.100000000000001" customHeight="1" thickBot="1">
      <c r="B323" s="5002"/>
      <c r="C323" s="5002"/>
      <c r="D323" s="5002"/>
      <c r="E323" s="63"/>
      <c r="F323" s="63"/>
      <c r="G323" s="5002"/>
      <c r="H323" s="5002"/>
      <c r="I323" s="5002"/>
      <c r="J323" s="5002"/>
      <c r="K323" s="5002"/>
      <c r="L323" s="5002"/>
      <c r="M323" s="5002"/>
      <c r="N323" s="5002"/>
      <c r="O323" s="5002"/>
      <c r="P323" s="5002"/>
      <c r="Q323" s="5002"/>
    </row>
    <row r="324" spans="2:17" ht="20.100000000000001" customHeight="1">
      <c r="B324" s="5425" t="s">
        <v>982</v>
      </c>
      <c r="C324" s="5425"/>
      <c r="D324" s="5425"/>
      <c r="E324" s="5425"/>
      <c r="F324" s="5425"/>
      <c r="G324" s="5425"/>
      <c r="H324" s="5425"/>
      <c r="I324" s="5425"/>
      <c r="J324" s="5425"/>
      <c r="K324" s="5425"/>
      <c r="L324" s="5425"/>
      <c r="M324" s="5425"/>
      <c r="N324" s="5426"/>
      <c r="O324" s="5002"/>
      <c r="P324" s="5002"/>
      <c r="Q324" s="5002"/>
    </row>
    <row r="325" spans="2:17" ht="20.100000000000001" customHeight="1">
      <c r="B325" s="5427"/>
      <c r="C325" s="5427"/>
      <c r="D325" s="5427"/>
      <c r="E325" s="5427"/>
      <c r="F325" s="5427"/>
      <c r="G325" s="5427"/>
      <c r="H325" s="5427"/>
      <c r="I325" s="5427"/>
      <c r="J325" s="5427"/>
      <c r="K325" s="5427"/>
      <c r="L325" s="5427"/>
      <c r="M325" s="5427"/>
      <c r="N325" s="5428"/>
      <c r="O325" s="5002"/>
      <c r="P325" s="5002"/>
      <c r="Q325" s="5002"/>
    </row>
    <row r="326" spans="2:17" ht="20.100000000000001" customHeight="1">
      <c r="B326" s="5427"/>
      <c r="C326" s="5427"/>
      <c r="D326" s="5427"/>
      <c r="E326" s="5427"/>
      <c r="F326" s="5427"/>
      <c r="G326" s="5427"/>
      <c r="H326" s="5427"/>
      <c r="I326" s="5427"/>
      <c r="J326" s="5427"/>
      <c r="K326" s="5427"/>
      <c r="L326" s="5427"/>
      <c r="M326" s="5427"/>
      <c r="N326" s="5428"/>
      <c r="O326" s="5002"/>
      <c r="P326" s="5002"/>
      <c r="Q326" s="5002"/>
    </row>
    <row r="327" spans="2:17" ht="20.100000000000001" customHeight="1">
      <c r="B327" s="5429"/>
      <c r="C327" s="5430" t="s">
        <v>983</v>
      </c>
      <c r="D327" s="5430"/>
      <c r="E327" s="5430"/>
      <c r="F327" s="5430"/>
      <c r="G327" s="5430"/>
      <c r="H327" s="5430"/>
      <c r="I327" s="5430"/>
      <c r="J327" s="5430"/>
      <c r="K327" s="5430"/>
      <c r="L327" s="5430"/>
      <c r="M327" s="5430"/>
      <c r="N327" s="105"/>
      <c r="O327" s="5002"/>
      <c r="P327" s="5002"/>
      <c r="Q327" s="5002"/>
    </row>
    <row r="328" spans="2:17" ht="20.100000000000001" customHeight="1">
      <c r="B328" s="5429"/>
      <c r="C328" s="5431" t="s">
        <v>984</v>
      </c>
      <c r="D328" s="5431"/>
      <c r="E328" s="5431"/>
      <c r="F328" s="5431"/>
      <c r="G328" s="5431"/>
      <c r="H328" s="5431"/>
      <c r="I328" s="5431"/>
      <c r="J328" s="5431"/>
      <c r="K328" s="5431"/>
      <c r="L328" s="5431"/>
      <c r="M328" s="5431"/>
      <c r="N328" s="105"/>
      <c r="O328" s="5002"/>
      <c r="P328" s="5002"/>
      <c r="Q328" s="5002"/>
    </row>
    <row r="329" spans="2:17" ht="20.100000000000001" customHeight="1">
      <c r="B329" s="5429"/>
      <c r="C329" s="5432" t="s">
        <v>985</v>
      </c>
      <c r="D329" s="5432"/>
      <c r="E329" s="5432"/>
      <c r="F329" s="5432"/>
      <c r="G329" s="5432"/>
      <c r="H329" s="5432"/>
      <c r="I329" s="5432"/>
      <c r="J329" s="5432"/>
      <c r="K329" s="5432"/>
      <c r="L329" s="5432"/>
      <c r="M329" s="5432"/>
      <c r="N329" s="105"/>
      <c r="O329" s="5002"/>
      <c r="P329" s="5002"/>
      <c r="Q329" s="5002"/>
    </row>
    <row r="330" spans="2:17" ht="20.100000000000001" customHeight="1" thickBot="1">
      <c r="B330" s="5429"/>
      <c r="C330" s="5433"/>
      <c r="D330" s="5433"/>
      <c r="E330" s="5433"/>
      <c r="F330" s="5433"/>
      <c r="G330" s="5433"/>
      <c r="H330" s="5433"/>
      <c r="I330" s="5433"/>
      <c r="J330" s="5433"/>
      <c r="K330" s="5433"/>
      <c r="L330" s="5433"/>
      <c r="M330" s="5433"/>
      <c r="N330" s="105"/>
      <c r="O330" s="5002"/>
      <c r="P330" s="5002"/>
      <c r="Q330" s="5002"/>
    </row>
    <row r="331" spans="2:17" ht="20.100000000000001" customHeight="1">
      <c r="B331" s="5429"/>
      <c r="C331" s="159"/>
      <c r="D331" s="4337" t="s">
        <v>968</v>
      </c>
      <c r="E331" s="4337"/>
      <c r="F331" s="4337"/>
      <c r="G331" s="4337"/>
      <c r="H331" s="4337"/>
      <c r="I331" s="4337"/>
      <c r="J331" s="4337"/>
      <c r="K331" s="4337"/>
      <c r="L331" s="4337"/>
      <c r="M331" s="4337"/>
      <c r="N331" s="105"/>
      <c r="O331" s="5002"/>
      <c r="P331" s="5002"/>
      <c r="Q331" s="5002"/>
    </row>
    <row r="332" spans="2:17" ht="20.100000000000001" customHeight="1">
      <c r="B332" s="5429"/>
      <c r="C332" s="5434" t="s">
        <v>986</v>
      </c>
      <c r="D332" s="5435" t="s">
        <v>987</v>
      </c>
      <c r="E332" s="5435" t="s">
        <v>988</v>
      </c>
      <c r="F332" s="5436" t="s">
        <v>989</v>
      </c>
      <c r="G332" s="5436" t="s">
        <v>990</v>
      </c>
      <c r="H332" s="5437" t="s">
        <v>991</v>
      </c>
      <c r="I332" s="5437" t="s">
        <v>992</v>
      </c>
      <c r="J332" s="5438"/>
      <c r="K332" s="5438"/>
      <c r="L332" s="5326" t="s">
        <v>993</v>
      </c>
      <c r="M332" s="5436" t="s">
        <v>994</v>
      </c>
      <c r="N332" s="105"/>
      <c r="O332" s="5002"/>
      <c r="P332" s="5002"/>
      <c r="Q332" s="5002"/>
    </row>
    <row r="333" spans="2:17" ht="20.100000000000001" customHeight="1">
      <c r="B333" s="5429"/>
      <c r="C333" s="5434"/>
      <c r="D333" s="5435"/>
      <c r="E333" s="5435"/>
      <c r="F333" s="5436"/>
      <c r="G333" s="5436"/>
      <c r="H333" s="5437"/>
      <c r="I333" s="5437"/>
      <c r="J333" s="5438"/>
      <c r="K333" s="5438"/>
      <c r="L333" s="5326"/>
      <c r="M333" s="5436"/>
      <c r="N333" s="105"/>
      <c r="O333" s="5002"/>
      <c r="P333" s="5002"/>
      <c r="Q333" s="5002"/>
    </row>
    <row r="334" spans="2:17" ht="20.100000000000001" customHeight="1">
      <c r="B334" s="5429"/>
      <c r="C334" s="5434"/>
      <c r="D334" s="5435"/>
      <c r="E334" s="5435"/>
      <c r="F334" s="5436"/>
      <c r="G334" s="5436"/>
      <c r="H334" s="5437"/>
      <c r="I334" s="5437"/>
      <c r="J334" s="5438"/>
      <c r="K334" s="5438"/>
      <c r="L334" s="5326"/>
      <c r="M334" s="5436"/>
      <c r="N334" s="105"/>
      <c r="O334" s="5002"/>
      <c r="P334" s="5002"/>
      <c r="Q334" s="5002"/>
    </row>
    <row r="335" spans="2:17" ht="20.100000000000001" customHeight="1">
      <c r="B335" s="5429"/>
      <c r="C335" s="5439" t="s">
        <v>785</v>
      </c>
      <c r="D335" s="5439" t="s">
        <v>785</v>
      </c>
      <c r="E335" s="5439" t="s">
        <v>785</v>
      </c>
      <c r="F335" s="5439" t="s">
        <v>785</v>
      </c>
      <c r="G335" s="5439" t="s">
        <v>785</v>
      </c>
      <c r="H335" s="5439" t="s">
        <v>785</v>
      </c>
      <c r="I335" s="5439" t="s">
        <v>785</v>
      </c>
      <c r="J335" s="5439"/>
      <c r="K335" s="5439"/>
      <c r="L335" s="5395"/>
      <c r="M335" s="5440"/>
      <c r="N335" s="105"/>
      <c r="O335" s="5002"/>
      <c r="P335" s="5002"/>
      <c r="Q335" s="5002"/>
    </row>
    <row r="336" spans="2:17" ht="20.100000000000001" customHeight="1">
      <c r="B336" s="5429"/>
      <c r="C336" s="5393">
        <v>1</v>
      </c>
      <c r="D336" s="5441">
        <v>32.5</v>
      </c>
      <c r="E336" s="5441">
        <v>53</v>
      </c>
      <c r="F336" s="5361">
        <v>2.5</v>
      </c>
      <c r="G336" s="5442">
        <v>2.5</v>
      </c>
      <c r="H336" s="5442">
        <v>5</v>
      </c>
      <c r="I336" s="5442">
        <v>5</v>
      </c>
      <c r="J336" s="5443"/>
      <c r="K336" s="5443"/>
      <c r="L336" s="5444">
        <f>(L343/M348)*M340</f>
        <v>1.7392499999999997</v>
      </c>
      <c r="M336" s="5445">
        <f>(M345/M348)*M340</f>
        <v>1.75</v>
      </c>
      <c r="N336" s="105"/>
      <c r="O336" s="5002"/>
      <c r="P336" s="5002"/>
      <c r="Q336" s="5002"/>
    </row>
    <row r="337" spans="2:17" ht="20.100000000000001" customHeight="1">
      <c r="B337" s="5429"/>
      <c r="C337" s="5393"/>
      <c r="D337" s="5441"/>
      <c r="E337" s="5441"/>
      <c r="F337" s="5361"/>
      <c r="G337" s="5442"/>
      <c r="H337" s="5442"/>
      <c r="I337" s="5442"/>
      <c r="J337" s="5443"/>
      <c r="K337" s="5443"/>
      <c r="L337" s="5444"/>
      <c r="M337" s="5445"/>
      <c r="N337" s="105"/>
      <c r="O337" s="5002"/>
      <c r="P337" s="5002"/>
      <c r="Q337" s="5002"/>
    </row>
    <row r="338" spans="2:17" ht="20.100000000000001" customHeight="1">
      <c r="B338" s="5429"/>
      <c r="C338" s="5446" t="s">
        <v>150</v>
      </c>
      <c r="D338" s="5446" t="s">
        <v>152</v>
      </c>
      <c r="E338" s="5446" t="s">
        <v>154</v>
      </c>
      <c r="F338" s="5446" t="s">
        <v>158</v>
      </c>
      <c r="G338" s="5446" t="s">
        <v>155</v>
      </c>
      <c r="H338" s="5446" t="s">
        <v>156</v>
      </c>
      <c r="I338" s="5446" t="s">
        <v>157</v>
      </c>
      <c r="J338" s="5446"/>
      <c r="K338" s="5446"/>
      <c r="L338" s="5446" t="s">
        <v>159</v>
      </c>
      <c r="M338" s="5446" t="s">
        <v>160</v>
      </c>
      <c r="N338" s="105"/>
      <c r="O338" s="5002"/>
      <c r="P338" s="5002"/>
      <c r="Q338" s="5002"/>
    </row>
    <row r="339" spans="2:17" ht="20.100000000000001" customHeight="1">
      <c r="B339" s="5429"/>
      <c r="C339" s="5447">
        <f>(D336*E336)*C336</f>
        <v>1722.5</v>
      </c>
      <c r="D339" s="5447">
        <f>((D336*F336)*2)*C336+((E336*F336)*2)*C336</f>
        <v>427.5</v>
      </c>
      <c r="E339" s="5447">
        <f>((D336*H339)*2)*C336+((E336*H339)*2)*C336</f>
        <v>85.5</v>
      </c>
      <c r="F339" s="5447">
        <f>((D336*I339)*2)*C336+((E336*I339)*2)*C336</f>
        <v>85.5</v>
      </c>
      <c r="G339" s="5448">
        <f>G336/10</f>
        <v>0.25</v>
      </c>
      <c r="H339" s="5448">
        <f>H336/10</f>
        <v>0.5</v>
      </c>
      <c r="I339" s="5448">
        <f>I336/10</f>
        <v>0.5</v>
      </c>
      <c r="J339" s="5448"/>
      <c r="K339" s="5448"/>
      <c r="L339" s="5447">
        <f>SUM(C339:F339)</f>
        <v>2321</v>
      </c>
      <c r="M339" s="5449">
        <f>(C339*F336)/1000</f>
        <v>4.3062500000000004</v>
      </c>
      <c r="N339" s="105"/>
      <c r="O339" s="5002"/>
      <c r="P339" s="5002"/>
      <c r="Q339" s="5002"/>
    </row>
    <row r="340" spans="2:17" ht="20.100000000000001" customHeight="1" thickBot="1">
      <c r="B340" s="5429"/>
      <c r="C340" s="167"/>
      <c r="D340" s="167"/>
      <c r="E340" s="167"/>
      <c r="F340" s="167"/>
      <c r="G340" s="168"/>
      <c r="H340" s="168"/>
      <c r="I340" s="169" t="s">
        <v>995</v>
      </c>
      <c r="J340" s="169"/>
      <c r="K340" s="169"/>
      <c r="L340" s="170" t="s">
        <v>161</v>
      </c>
      <c r="M340" s="171">
        <f>L339*G339</f>
        <v>580.25</v>
      </c>
      <c r="N340" s="105"/>
      <c r="O340" s="5002"/>
      <c r="P340" s="5002"/>
      <c r="Q340" s="5002"/>
    </row>
    <row r="341" spans="2:17" ht="20.100000000000001" customHeight="1">
      <c r="B341" s="5429"/>
      <c r="C341" s="159"/>
      <c r="D341" s="4309" t="s">
        <v>970</v>
      </c>
      <c r="E341" s="4309"/>
      <c r="F341" s="4309"/>
      <c r="G341" s="4309"/>
      <c r="H341" s="4309"/>
      <c r="I341" s="4309"/>
      <c r="J341" s="4309"/>
      <c r="K341" s="4309"/>
      <c r="L341" s="4309"/>
      <c r="M341" s="4309"/>
      <c r="N341" s="105"/>
      <c r="O341" s="5002"/>
      <c r="P341" s="5002"/>
      <c r="Q341" s="5002"/>
    </row>
    <row r="342" spans="2:17" ht="20.100000000000001" customHeight="1">
      <c r="B342" s="5429"/>
      <c r="C342" s="5450" t="s">
        <v>996</v>
      </c>
      <c r="D342" s="5450"/>
      <c r="E342" s="5450"/>
      <c r="F342" s="5450"/>
      <c r="G342" s="5450"/>
      <c r="H342" s="5450"/>
      <c r="I342" s="5450"/>
      <c r="J342" s="5450"/>
      <c r="K342" s="5450"/>
      <c r="L342" s="5450"/>
      <c r="M342" s="5451" t="s">
        <v>785</v>
      </c>
      <c r="N342" s="105"/>
      <c r="O342" s="5002"/>
      <c r="P342" s="5002"/>
      <c r="Q342" s="5002"/>
    </row>
    <row r="343" spans="2:17" ht="20.100000000000001" customHeight="1">
      <c r="B343" s="5429"/>
      <c r="C343" s="5452">
        <v>4</v>
      </c>
      <c r="D343" s="5453">
        <v>32.5</v>
      </c>
      <c r="E343" s="5453">
        <v>53</v>
      </c>
      <c r="F343" s="5454">
        <v>2.5</v>
      </c>
      <c r="G343" s="5455">
        <v>2.5</v>
      </c>
      <c r="H343" s="5455">
        <v>5</v>
      </c>
      <c r="I343" s="5455">
        <v>5</v>
      </c>
      <c r="J343" s="5456"/>
      <c r="K343" s="5456"/>
      <c r="L343" s="5457">
        <f>E359</f>
        <v>6.956999999999999</v>
      </c>
      <c r="M343" s="5458">
        <v>7</v>
      </c>
      <c r="N343" s="105"/>
      <c r="O343" s="5002"/>
      <c r="P343" s="5002"/>
      <c r="Q343" s="5002"/>
    </row>
    <row r="344" spans="2:17" ht="20.100000000000001" customHeight="1">
      <c r="B344" s="5429"/>
      <c r="C344" s="5452"/>
      <c r="D344" s="5453"/>
      <c r="E344" s="5453"/>
      <c r="F344" s="5454"/>
      <c r="G344" s="5455"/>
      <c r="H344" s="5455"/>
      <c r="I344" s="5455"/>
      <c r="J344" s="5456"/>
      <c r="K344" s="5456"/>
      <c r="L344" s="5457"/>
      <c r="M344" s="5458"/>
      <c r="N344" s="105"/>
      <c r="O344" s="5002"/>
      <c r="P344" s="5002"/>
      <c r="Q344" s="5002"/>
    </row>
    <row r="345" spans="2:17" ht="20.100000000000001" customHeight="1">
      <c r="B345" s="5429"/>
      <c r="C345" s="5459">
        <f>ROW()-2</f>
        <v>343</v>
      </c>
      <c r="D345" s="5460" t="s">
        <v>997</v>
      </c>
      <c r="E345" s="5460"/>
      <c r="F345" s="5460"/>
      <c r="G345" s="5460"/>
      <c r="H345" s="5460"/>
      <c r="I345" s="5460"/>
      <c r="J345" s="5461"/>
      <c r="K345" s="5461"/>
      <c r="L345" s="5462"/>
      <c r="M345" s="5463">
        <f>IF(ISBLANK(M343),L343,M343)</f>
        <v>7</v>
      </c>
      <c r="N345" s="105"/>
      <c r="O345" s="5002"/>
      <c r="P345" s="5002"/>
      <c r="Q345" s="5002"/>
    </row>
    <row r="346" spans="2:17" ht="20.100000000000001" customHeight="1">
      <c r="B346" s="5429"/>
      <c r="C346" s="5464" t="s">
        <v>150</v>
      </c>
      <c r="D346" s="5464" t="s">
        <v>152</v>
      </c>
      <c r="E346" s="5464" t="s">
        <v>154</v>
      </c>
      <c r="F346" s="5464" t="s">
        <v>158</v>
      </c>
      <c r="G346" s="5464" t="s">
        <v>155</v>
      </c>
      <c r="H346" s="5464" t="s">
        <v>156</v>
      </c>
      <c r="I346" s="5464" t="s">
        <v>157</v>
      </c>
      <c r="J346" s="5464"/>
      <c r="K346" s="5464"/>
      <c r="L346" s="5464" t="s">
        <v>159</v>
      </c>
      <c r="M346" s="5464" t="s">
        <v>160</v>
      </c>
      <c r="N346" s="105"/>
      <c r="O346" s="5002"/>
      <c r="P346" s="5002"/>
      <c r="Q346" s="5002"/>
    </row>
    <row r="347" spans="2:17" ht="20.100000000000001" customHeight="1">
      <c r="B347" s="5429"/>
      <c r="C347" s="5447">
        <f>(D343*E343)*C343</f>
        <v>6890</v>
      </c>
      <c r="D347" s="5447">
        <f>((D343*F343)*2)*C343+((E343*F343)*2)*C343</f>
        <v>1710</v>
      </c>
      <c r="E347" s="5447">
        <f>((D343*H347)*2)*C343+((E343*H347)*2)*C343</f>
        <v>342</v>
      </c>
      <c r="F347" s="5447">
        <f>((D343*I347)*2)*C343+((E343*I347)*2)*C343</f>
        <v>342</v>
      </c>
      <c r="G347" s="5448">
        <f>G343/10</f>
        <v>0.25</v>
      </c>
      <c r="H347" s="5448">
        <f>H343/10</f>
        <v>0.5</v>
      </c>
      <c r="I347" s="5448">
        <f>I343/10</f>
        <v>0.5</v>
      </c>
      <c r="J347" s="5448"/>
      <c r="K347" s="5448"/>
      <c r="L347" s="5447">
        <f>SUM(C347:F347)</f>
        <v>9284</v>
      </c>
      <c r="M347" s="5449">
        <f>(C347*F343)/1000</f>
        <v>17.225000000000001</v>
      </c>
      <c r="N347" s="105"/>
      <c r="O347" s="5002"/>
      <c r="P347" s="5002"/>
      <c r="Q347" s="5002"/>
    </row>
    <row r="348" spans="2:17" ht="20.100000000000001" customHeight="1" thickBot="1">
      <c r="B348" s="5429"/>
      <c r="C348" s="5462"/>
      <c r="D348" s="5462"/>
      <c r="E348" s="5462"/>
      <c r="F348" s="5462"/>
      <c r="G348" s="5462"/>
      <c r="H348" s="5462"/>
      <c r="I348" s="5465" t="s">
        <v>998</v>
      </c>
      <c r="J348" s="5465"/>
      <c r="K348" s="5465"/>
      <c r="L348" s="5464" t="s">
        <v>161</v>
      </c>
      <c r="M348" s="5466">
        <f>L347*G347</f>
        <v>2321</v>
      </c>
      <c r="N348" s="105"/>
      <c r="O348" s="5002"/>
      <c r="P348" s="5002"/>
      <c r="Q348" s="5002"/>
    </row>
    <row r="349" spans="2:17" ht="20.100000000000001" customHeight="1">
      <c r="B349" s="5429"/>
      <c r="C349" s="5467"/>
      <c r="D349" s="5467"/>
      <c r="E349" s="5467"/>
      <c r="F349" s="5467"/>
      <c r="G349" s="5467"/>
      <c r="H349" s="5467"/>
      <c r="I349" s="177"/>
      <c r="J349" s="177"/>
      <c r="K349" s="177"/>
      <c r="L349" s="178"/>
      <c r="M349" s="179"/>
      <c r="N349" s="105"/>
      <c r="O349" s="5002"/>
      <c r="P349" s="5002"/>
      <c r="Q349" s="5002"/>
    </row>
    <row r="350" spans="2:17" ht="20.100000000000001" customHeight="1">
      <c r="B350" s="5429"/>
      <c r="C350" s="5468" t="s">
        <v>150</v>
      </c>
      <c r="D350" s="5469" t="s">
        <v>999</v>
      </c>
      <c r="E350" s="5469"/>
      <c r="F350" s="5468" t="s">
        <v>156</v>
      </c>
      <c r="G350" s="5470" t="s">
        <v>1000</v>
      </c>
      <c r="H350" s="5471"/>
      <c r="I350" s="5468" t="s">
        <v>160</v>
      </c>
      <c r="J350" s="5472" t="s">
        <v>1001</v>
      </c>
      <c r="K350" s="5472"/>
      <c r="L350" s="5472"/>
      <c r="M350" s="5472"/>
      <c r="N350" s="105"/>
      <c r="O350" s="5002"/>
      <c r="P350" s="5002"/>
      <c r="Q350" s="5002"/>
    </row>
    <row r="351" spans="2:17" ht="20.100000000000001" customHeight="1">
      <c r="B351" s="5429"/>
      <c r="C351" s="5468" t="s">
        <v>152</v>
      </c>
      <c r="D351" s="5469" t="s">
        <v>1002</v>
      </c>
      <c r="E351" s="5469"/>
      <c r="F351" s="5468" t="s">
        <v>157</v>
      </c>
      <c r="G351" s="5469" t="s">
        <v>1003</v>
      </c>
      <c r="H351" s="5471"/>
      <c r="I351" s="5473"/>
      <c r="J351" s="5472"/>
      <c r="K351" s="5472"/>
      <c r="L351" s="5472"/>
      <c r="M351" s="5472"/>
      <c r="N351" s="105"/>
      <c r="O351" s="5002"/>
      <c r="P351" s="5002"/>
      <c r="Q351" s="5002"/>
    </row>
    <row r="352" spans="2:17" ht="20.100000000000001" customHeight="1">
      <c r="B352" s="5429"/>
      <c r="C352" s="5468" t="s">
        <v>154</v>
      </c>
      <c r="D352" s="5469" t="s">
        <v>1004</v>
      </c>
      <c r="E352" s="5469"/>
      <c r="F352" s="5468" t="s">
        <v>158</v>
      </c>
      <c r="G352" s="5469" t="s">
        <v>1005</v>
      </c>
      <c r="H352" s="5471"/>
      <c r="I352" s="5468" t="s">
        <v>161</v>
      </c>
      <c r="J352" s="5469" t="s">
        <v>1006</v>
      </c>
      <c r="K352" s="5474"/>
      <c r="L352" s="5469"/>
      <c r="M352" s="5474"/>
      <c r="N352" s="105"/>
      <c r="O352" s="5002"/>
      <c r="P352" s="5002"/>
      <c r="Q352" s="5002"/>
    </row>
    <row r="353" spans="2:17" ht="20.100000000000001" customHeight="1">
      <c r="B353" s="5429"/>
      <c r="C353" s="5468" t="s">
        <v>155</v>
      </c>
      <c r="D353" s="5469" t="s">
        <v>1007</v>
      </c>
      <c r="E353" s="5470"/>
      <c r="F353" s="5468" t="s">
        <v>159</v>
      </c>
      <c r="G353" s="5469" t="s">
        <v>1008</v>
      </c>
      <c r="H353" s="5471"/>
      <c r="I353" s="5471"/>
      <c r="J353" s="5471"/>
      <c r="K353" s="5471"/>
      <c r="L353" s="5475"/>
      <c r="M353" s="5474"/>
      <c r="N353" s="105"/>
      <c r="O353" s="5002"/>
      <c r="P353" s="5002"/>
      <c r="Q353" s="5002"/>
    </row>
    <row r="354" spans="2:17" ht="20.100000000000001" customHeight="1" thickBot="1">
      <c r="B354" s="5429"/>
      <c r="C354" s="5468"/>
      <c r="D354" s="5469"/>
      <c r="E354" s="5470"/>
      <c r="F354" s="5468"/>
      <c r="G354" s="5469"/>
      <c r="H354" s="5471"/>
      <c r="I354" s="5471"/>
      <c r="J354" s="5471"/>
      <c r="K354" s="5471"/>
      <c r="L354" s="5475"/>
      <c r="M354" s="5474"/>
      <c r="N354" s="105"/>
      <c r="O354" s="5002"/>
      <c r="P354" s="5002"/>
      <c r="Q354" s="5002"/>
    </row>
    <row r="355" spans="2:17" ht="20.100000000000001" customHeight="1">
      <c r="B355" s="5429"/>
      <c r="C355" s="159"/>
      <c r="D355" s="4314" t="s">
        <v>1009</v>
      </c>
      <c r="E355" s="4314"/>
      <c r="F355" s="4314"/>
      <c r="G355" s="4314"/>
      <c r="H355" s="4314"/>
      <c r="I355" s="4314"/>
      <c r="J355" s="4314"/>
      <c r="K355" s="4314"/>
      <c r="L355" s="4314"/>
      <c r="M355" s="4314"/>
      <c r="N355" s="105"/>
      <c r="O355" s="5002"/>
      <c r="P355" s="5002"/>
      <c r="Q355" s="5002"/>
    </row>
    <row r="356" spans="2:17" ht="20.100000000000001" customHeight="1">
      <c r="B356" s="5429"/>
      <c r="C356" s="5476" t="s">
        <v>1010</v>
      </c>
      <c r="D356" s="5476"/>
      <c r="E356" s="5476"/>
      <c r="F356" s="5476"/>
      <c r="G356" s="5476"/>
      <c r="H356" s="5476"/>
      <c r="I356" s="5476"/>
      <c r="J356" s="5476"/>
      <c r="K356" s="5476"/>
      <c r="L356" s="5476"/>
      <c r="M356" s="5476"/>
      <c r="N356" s="105"/>
      <c r="O356" s="5002"/>
      <c r="P356" s="5002"/>
      <c r="Q356" s="5002"/>
    </row>
    <row r="357" spans="2:17" ht="20.100000000000001" customHeight="1">
      <c r="B357" s="5429"/>
      <c r="C357" s="5476"/>
      <c r="D357" s="5476"/>
      <c r="E357" s="5476"/>
      <c r="F357" s="5476"/>
      <c r="G357" s="5476"/>
      <c r="H357" s="5476"/>
      <c r="I357" s="5476"/>
      <c r="J357" s="5476"/>
      <c r="K357" s="5476"/>
      <c r="L357" s="5476"/>
      <c r="M357" s="5476"/>
      <c r="N357" s="105"/>
      <c r="O357" s="5002"/>
      <c r="P357" s="5002"/>
      <c r="Q357" s="5002"/>
    </row>
    <row r="358" spans="2:17" ht="20.100000000000001" customHeight="1">
      <c r="B358" s="5429"/>
      <c r="C358" s="5477"/>
      <c r="D358" s="5477"/>
      <c r="E358" s="5477"/>
      <c r="F358" s="5477"/>
      <c r="G358" s="5477"/>
      <c r="H358" s="5477"/>
      <c r="I358" s="5477"/>
      <c r="J358" s="5477"/>
      <c r="K358" s="5477"/>
      <c r="L358" s="5477"/>
      <c r="M358" s="5477"/>
      <c r="N358" s="105"/>
      <c r="O358" s="5002"/>
      <c r="P358" s="5002"/>
      <c r="Q358" s="5002"/>
    </row>
    <row r="359" spans="2:17" ht="20.100000000000001" customHeight="1">
      <c r="B359" s="5429"/>
      <c r="C359" s="5478"/>
      <c r="D359" s="5479" t="s">
        <v>1011</v>
      </c>
      <c r="E359" s="5480">
        <f>SUM(E360:E362,I360:I362)</f>
        <v>6.956999999999999</v>
      </c>
      <c r="F359" s="5478"/>
      <c r="G359" s="5478"/>
      <c r="H359" s="5478"/>
      <c r="I359" s="5478"/>
      <c r="J359" s="5478"/>
      <c r="K359" s="5478"/>
      <c r="L359" s="5478"/>
      <c r="M359" s="5478"/>
      <c r="N359" s="105"/>
      <c r="O359" s="5002"/>
      <c r="P359" s="5002"/>
      <c r="Q359" s="5002"/>
    </row>
    <row r="360" spans="2:17" ht="20.100000000000001" customHeight="1">
      <c r="B360" s="5429"/>
      <c r="C360" s="5122"/>
      <c r="D360" s="5481" t="s">
        <v>976</v>
      </c>
      <c r="E360" s="5482">
        <v>3.5</v>
      </c>
      <c r="F360" s="5483"/>
      <c r="G360" s="5122"/>
      <c r="H360" s="5481" t="s">
        <v>1012</v>
      </c>
      <c r="I360" s="5482">
        <v>0.55000000000000004</v>
      </c>
      <c r="J360" s="5482"/>
      <c r="K360" s="5482"/>
      <c r="L360" s="5483"/>
      <c r="M360" s="5478"/>
      <c r="N360" s="105"/>
      <c r="O360" s="5002"/>
      <c r="P360" s="5002"/>
      <c r="Q360" s="5002"/>
    </row>
    <row r="361" spans="2:17" ht="20.100000000000001" customHeight="1">
      <c r="B361" s="5429"/>
      <c r="C361" s="5122"/>
      <c r="D361" s="5481" t="s">
        <v>979</v>
      </c>
      <c r="E361" s="5482">
        <v>1.6</v>
      </c>
      <c r="F361" s="5483"/>
      <c r="G361" s="5122"/>
      <c r="H361" s="5481" t="s">
        <v>1013</v>
      </c>
      <c r="I361" s="5482">
        <v>4.4999999999999998E-2</v>
      </c>
      <c r="J361" s="5482"/>
      <c r="K361" s="5482"/>
      <c r="L361" s="5483"/>
      <c r="M361" s="5478"/>
      <c r="N361" s="105"/>
      <c r="O361" s="5002"/>
      <c r="P361" s="5002"/>
      <c r="Q361" s="5002"/>
    </row>
    <row r="362" spans="2:17" ht="20.100000000000001" customHeight="1">
      <c r="B362" s="5429"/>
      <c r="C362" s="5122"/>
      <c r="D362" s="5481" t="s">
        <v>1014</v>
      </c>
      <c r="E362" s="5482">
        <v>1.25</v>
      </c>
      <c r="F362" s="5483"/>
      <c r="G362" s="5122"/>
      <c r="H362" s="5484" t="s">
        <v>213</v>
      </c>
      <c r="I362" s="5482">
        <v>1.2E-2</v>
      </c>
      <c r="J362" s="5482"/>
      <c r="K362" s="5482"/>
      <c r="L362" s="5483"/>
      <c r="M362" s="5478"/>
      <c r="N362" s="105"/>
      <c r="O362" s="5002"/>
      <c r="P362" s="5002"/>
      <c r="Q362" s="5002"/>
    </row>
    <row r="363" spans="2:17" ht="20.100000000000001" customHeight="1">
      <c r="B363" s="5429"/>
      <c r="C363" s="5485" t="s">
        <v>1015</v>
      </c>
      <c r="D363" s="5478"/>
      <c r="E363" s="5478"/>
      <c r="F363" s="5478"/>
      <c r="G363" s="5478"/>
      <c r="H363" s="5478"/>
      <c r="I363" s="5478"/>
      <c r="J363" s="5478"/>
      <c r="K363" s="5478"/>
      <c r="L363" s="5478"/>
      <c r="M363" s="5478"/>
      <c r="N363" s="105"/>
      <c r="O363" s="5002"/>
      <c r="P363" s="5002"/>
      <c r="Q363" s="5002"/>
    </row>
    <row r="364" spans="2:17" ht="20.100000000000001" customHeight="1">
      <c r="B364" s="5429"/>
      <c r="C364" s="5486" t="s">
        <v>1016</v>
      </c>
      <c r="D364" s="5486"/>
      <c r="E364" s="5486"/>
      <c r="F364" s="5486"/>
      <c r="G364" s="5486"/>
      <c r="H364" s="5486"/>
      <c r="I364" s="5486"/>
      <c r="J364" s="5486"/>
      <c r="K364" s="5486"/>
      <c r="L364" s="5486"/>
      <c r="M364" s="5486"/>
      <c r="N364" s="105"/>
      <c r="O364" s="5002"/>
      <c r="P364" s="5002"/>
      <c r="Q364" s="5002"/>
    </row>
    <row r="365" spans="2:17" ht="20.100000000000001" customHeight="1">
      <c r="B365" s="5429"/>
      <c r="C365" s="5486"/>
      <c r="D365" s="5486"/>
      <c r="E365" s="5486"/>
      <c r="F365" s="5486"/>
      <c r="G365" s="5486"/>
      <c r="H365" s="5486"/>
      <c r="I365" s="5486"/>
      <c r="J365" s="5486"/>
      <c r="K365" s="5486"/>
      <c r="L365" s="5486"/>
      <c r="M365" s="5486"/>
      <c r="N365" s="105"/>
      <c r="O365" s="5002"/>
      <c r="P365" s="5002"/>
      <c r="Q365" s="5002"/>
    </row>
    <row r="366" spans="2:17" ht="20.100000000000001" customHeight="1">
      <c r="B366" s="5429"/>
      <c r="C366" s="5485" t="s">
        <v>1017</v>
      </c>
      <c r="D366" s="5478"/>
      <c r="E366" s="5478"/>
      <c r="F366" s="5478"/>
      <c r="G366" s="5478"/>
      <c r="H366" s="5478"/>
      <c r="I366" s="5478"/>
      <c r="J366" s="5478"/>
      <c r="K366" s="5478"/>
      <c r="L366" s="5478"/>
      <c r="M366" s="5478"/>
      <c r="N366" s="105"/>
      <c r="O366" s="5002"/>
      <c r="P366" s="5002"/>
      <c r="Q366" s="5002"/>
    </row>
    <row r="367" spans="2:17" ht="20.100000000000001" customHeight="1">
      <c r="B367" s="5429"/>
      <c r="C367" s="5487" t="s">
        <v>1018</v>
      </c>
      <c r="D367" s="5478"/>
      <c r="E367" s="5478"/>
      <c r="F367" s="5478"/>
      <c r="G367" s="5478"/>
      <c r="H367" s="5478"/>
      <c r="I367" s="5478"/>
      <c r="J367" s="5478"/>
      <c r="K367" s="5478"/>
      <c r="L367" s="5478"/>
      <c r="M367" s="5478"/>
      <c r="N367" s="105"/>
      <c r="O367" s="5002"/>
      <c r="P367" s="5002"/>
      <c r="Q367" s="5002"/>
    </row>
    <row r="368" spans="2:17" ht="20.100000000000001" customHeight="1">
      <c r="B368" s="5429"/>
      <c r="C368" s="5488" t="s">
        <v>1019</v>
      </c>
      <c r="D368" s="5478"/>
      <c r="E368" s="5478"/>
      <c r="F368" s="5488" t="s">
        <v>1020</v>
      </c>
      <c r="G368" s="5478"/>
      <c r="H368" s="5488" t="s">
        <v>1021</v>
      </c>
      <c r="I368" s="5478"/>
      <c r="J368" s="5478"/>
      <c r="K368" s="5478"/>
      <c r="L368" s="5478"/>
      <c r="M368" s="5478"/>
      <c r="N368" s="105"/>
      <c r="O368" s="5002"/>
      <c r="P368" s="5002"/>
      <c r="Q368" s="5002"/>
    </row>
    <row r="369" spans="2:17" ht="20.100000000000001" customHeight="1">
      <c r="B369" s="5429"/>
      <c r="C369" s="5488" t="s">
        <v>1022</v>
      </c>
      <c r="D369" s="194" t="s">
        <v>1023</v>
      </c>
      <c r="E369" s="5478"/>
      <c r="F369" s="5478"/>
      <c r="G369" s="5478"/>
      <c r="H369" s="5478"/>
      <c r="I369" s="5478"/>
      <c r="J369" s="5478"/>
      <c r="K369" s="5478"/>
      <c r="L369" s="5478"/>
      <c r="M369" s="5478"/>
      <c r="N369" s="105"/>
      <c r="O369" s="5002"/>
      <c r="P369" s="5002"/>
      <c r="Q369" s="5002"/>
    </row>
    <row r="370" spans="2:17" ht="20.100000000000001" customHeight="1">
      <c r="B370" s="5429"/>
      <c r="C370" s="5478"/>
      <c r="D370" s="5478"/>
      <c r="E370" s="5478"/>
      <c r="F370" s="5478"/>
      <c r="G370" s="5478"/>
      <c r="H370" s="5478"/>
      <c r="I370" s="5478"/>
      <c r="J370" s="5478"/>
      <c r="K370" s="5478"/>
      <c r="L370" s="5478"/>
      <c r="M370" s="5478"/>
      <c r="N370" s="105"/>
      <c r="O370" s="5002"/>
      <c r="P370" s="5002"/>
      <c r="Q370" s="5002"/>
    </row>
    <row r="371" spans="2:17" ht="20.100000000000001" customHeight="1">
      <c r="B371" s="5429"/>
      <c r="C371" s="5489" t="s">
        <v>361</v>
      </c>
      <c r="D371" s="5489"/>
      <c r="E371" s="5489"/>
      <c r="F371" s="5489"/>
      <c r="G371" s="5489"/>
      <c r="H371" s="5489"/>
      <c r="I371" s="5489"/>
      <c r="J371" s="5489"/>
      <c r="K371" s="5489"/>
      <c r="L371" s="5489"/>
      <c r="M371" s="5489"/>
      <c r="N371" s="105"/>
      <c r="O371" s="5002"/>
      <c r="P371" s="5002"/>
      <c r="Q371" s="5002"/>
    </row>
    <row r="372" spans="2:17" ht="20.100000000000001" customHeight="1" thickBot="1">
      <c r="B372" s="5490"/>
      <c r="C372" s="5323"/>
      <c r="D372" s="5323"/>
      <c r="E372" s="5323"/>
      <c r="F372" s="5323"/>
      <c r="G372" s="5323"/>
      <c r="H372" s="5323"/>
      <c r="I372" s="5323"/>
      <c r="J372" s="5323"/>
      <c r="K372" s="5323"/>
      <c r="L372" s="5323"/>
      <c r="M372" s="5323"/>
      <c r="N372" s="5135"/>
      <c r="O372" s="5002"/>
      <c r="P372" s="5002"/>
      <c r="Q372" s="5002"/>
    </row>
    <row r="373" spans="2:17" ht="20.100000000000001" customHeight="1" thickBot="1">
      <c r="B373" s="5002"/>
      <c r="C373" s="5002"/>
      <c r="D373" s="5002"/>
      <c r="E373" s="63"/>
      <c r="F373" s="63"/>
      <c r="G373" s="5002"/>
      <c r="H373" s="5002"/>
      <c r="I373" s="5002"/>
      <c r="J373" s="5002"/>
      <c r="K373" s="5002"/>
      <c r="L373" s="5002"/>
      <c r="M373" s="5002"/>
      <c r="N373" s="5002"/>
      <c r="O373" s="5002"/>
      <c r="P373" s="5002"/>
      <c r="Q373" s="5002"/>
    </row>
    <row r="374" spans="2:17" ht="20.100000000000001" customHeight="1">
      <c r="B374" s="5491" t="s">
        <v>1024</v>
      </c>
      <c r="C374" s="5492"/>
      <c r="D374" s="5492"/>
      <c r="E374" s="5492"/>
      <c r="F374" s="5492"/>
      <c r="G374" s="5492"/>
      <c r="H374" s="5492"/>
      <c r="I374" s="5492"/>
      <c r="J374" s="5493"/>
      <c r="K374" s="5002"/>
      <c r="L374" s="5002"/>
      <c r="M374" s="5002"/>
      <c r="N374" s="5002"/>
      <c r="O374" s="5002"/>
      <c r="P374" s="5002"/>
      <c r="Q374" s="5002"/>
    </row>
    <row r="375" spans="2:17" ht="20.100000000000001" customHeight="1">
      <c r="B375" s="5494" t="s">
        <v>1025</v>
      </c>
      <c r="C375" s="5495"/>
      <c r="D375" s="5495"/>
      <c r="E375" s="5495"/>
      <c r="F375" s="5495"/>
      <c r="G375" s="5495"/>
      <c r="H375" s="5495"/>
      <c r="I375" s="5495"/>
      <c r="J375" s="5496"/>
      <c r="K375" s="5002"/>
      <c r="L375" s="5002"/>
      <c r="M375" s="5002"/>
      <c r="N375" s="5002"/>
      <c r="O375" s="5002"/>
      <c r="P375" s="5002"/>
      <c r="Q375" s="5002"/>
    </row>
    <row r="376" spans="2:17" ht="20.100000000000001" customHeight="1">
      <c r="B376" s="5497" t="s">
        <v>1026</v>
      </c>
      <c r="C376" s="5498"/>
      <c r="D376" s="5498"/>
      <c r="E376" s="5498"/>
      <c r="F376" s="5498"/>
      <c r="G376" s="5498"/>
      <c r="H376" s="5498"/>
      <c r="I376" s="5498"/>
      <c r="J376" s="5499"/>
      <c r="K376" s="5002"/>
      <c r="L376" s="5002"/>
      <c r="M376" s="5002"/>
      <c r="N376" s="5002"/>
      <c r="O376" s="5002"/>
      <c r="P376" s="5002"/>
      <c r="Q376" s="5002"/>
    </row>
    <row r="377" spans="2:17" ht="20.100000000000001" customHeight="1">
      <c r="B377" s="5497"/>
      <c r="C377" s="5498"/>
      <c r="D377" s="5498"/>
      <c r="E377" s="5498"/>
      <c r="F377" s="5498"/>
      <c r="G377" s="5498"/>
      <c r="H377" s="5498"/>
      <c r="I377" s="5498"/>
      <c r="J377" s="5499"/>
      <c r="K377" s="5002"/>
      <c r="L377" s="5002"/>
      <c r="M377" s="5002"/>
      <c r="N377" s="5002"/>
      <c r="O377" s="5002"/>
      <c r="P377" s="5002"/>
      <c r="Q377" s="5002"/>
    </row>
    <row r="378" spans="2:17" ht="20.100000000000001" customHeight="1">
      <c r="B378" s="5500" t="s">
        <v>1027</v>
      </c>
      <c r="C378" s="5501"/>
      <c r="D378" s="5501"/>
      <c r="E378" s="5501"/>
      <c r="F378" s="5501"/>
      <c r="G378" s="5501"/>
      <c r="H378" s="5501"/>
      <c r="I378" s="5501"/>
      <c r="J378" s="5502"/>
      <c r="K378" s="5002"/>
      <c r="L378" s="5002"/>
      <c r="M378" s="5002"/>
      <c r="N378" s="5002"/>
      <c r="O378" s="5002"/>
      <c r="P378" s="5002"/>
      <c r="Q378" s="5002"/>
    </row>
    <row r="379" spans="2:17" ht="20.100000000000001" customHeight="1">
      <c r="B379" s="5500" t="s">
        <v>1028</v>
      </c>
      <c r="C379" s="5501"/>
      <c r="D379" s="5501"/>
      <c r="E379" s="5501"/>
      <c r="F379" s="5501"/>
      <c r="G379" s="5503" t="s">
        <v>1029</v>
      </c>
      <c r="H379" s="5501"/>
      <c r="I379" s="5501"/>
      <c r="J379" s="5502"/>
      <c r="K379" s="5002"/>
      <c r="L379" s="5002"/>
      <c r="M379" s="5002"/>
      <c r="N379" s="5002"/>
      <c r="O379" s="5002"/>
      <c r="P379" s="5002"/>
      <c r="Q379" s="5002"/>
    </row>
    <row r="380" spans="2:17" ht="20.100000000000001" customHeight="1">
      <c r="B380" s="5504" t="s">
        <v>1030</v>
      </c>
      <c r="C380" s="5505"/>
      <c r="D380" s="5505"/>
      <c r="E380" s="5505"/>
      <c r="F380" s="5505"/>
      <c r="G380" s="5505"/>
      <c r="H380" s="5505"/>
      <c r="I380" s="5505"/>
      <c r="J380" s="5506"/>
      <c r="K380" s="5002"/>
      <c r="L380" s="5002"/>
      <c r="M380" s="5002"/>
      <c r="N380" s="5002"/>
      <c r="O380" s="5002"/>
      <c r="P380" s="5002"/>
      <c r="Q380" s="5002"/>
    </row>
    <row r="381" spans="2:17" ht="20.100000000000001" customHeight="1">
      <c r="B381" s="5504"/>
      <c r="C381" s="5505"/>
      <c r="D381" s="5505"/>
      <c r="E381" s="5505"/>
      <c r="F381" s="5505"/>
      <c r="G381" s="5505"/>
      <c r="H381" s="5505"/>
      <c r="I381" s="5505"/>
      <c r="J381" s="5506"/>
      <c r="K381" s="5002"/>
      <c r="L381" s="5002"/>
      <c r="M381" s="5002"/>
      <c r="N381" s="5002"/>
      <c r="O381" s="5002"/>
      <c r="P381" s="5002"/>
      <c r="Q381" s="5002"/>
    </row>
    <row r="382" spans="2:17" ht="20.100000000000001" customHeight="1">
      <c r="B382" s="5507" t="s">
        <v>1031</v>
      </c>
      <c r="C382" s="5508"/>
      <c r="D382" s="5508"/>
      <c r="E382" s="5508"/>
      <c r="F382" s="5508"/>
      <c r="G382" s="5508"/>
      <c r="H382" s="5508"/>
      <c r="I382" s="5508"/>
      <c r="J382" s="5509"/>
      <c r="K382" s="5002"/>
      <c r="L382" s="5002"/>
      <c r="M382" s="5002"/>
      <c r="N382" s="5002"/>
      <c r="O382" s="5002"/>
      <c r="P382" s="5002"/>
      <c r="Q382" s="5002"/>
    </row>
    <row r="383" spans="2:17" ht="20.100000000000001" customHeight="1">
      <c r="B383" s="5507"/>
      <c r="C383" s="5508"/>
      <c r="D383" s="5508"/>
      <c r="E383" s="5508"/>
      <c r="F383" s="5508"/>
      <c r="G383" s="5508"/>
      <c r="H383" s="5508"/>
      <c r="I383" s="5508"/>
      <c r="J383" s="5509"/>
      <c r="K383" s="5002"/>
      <c r="L383" s="5002"/>
      <c r="M383" s="5002"/>
      <c r="N383" s="5002"/>
      <c r="O383" s="5002"/>
      <c r="P383" s="5002"/>
      <c r="Q383" s="5002"/>
    </row>
    <row r="384" spans="2:17" ht="20.100000000000001" customHeight="1">
      <c r="B384" s="5510" t="s">
        <v>1032</v>
      </c>
      <c r="C384" s="5511"/>
      <c r="D384" s="5512">
        <v>9.86</v>
      </c>
      <c r="E384" s="5513" t="s">
        <v>1033</v>
      </c>
      <c r="F384" s="5512">
        <v>5.694</v>
      </c>
      <c r="G384" s="5514" t="s">
        <v>1034</v>
      </c>
      <c r="H384" s="5515">
        <f>D384*F384</f>
        <v>56.14284</v>
      </c>
      <c r="I384" s="5515" t="s">
        <v>1035</v>
      </c>
      <c r="J384" s="5516">
        <f>H384</f>
        <v>56.14284</v>
      </c>
      <c r="K384" s="5002"/>
      <c r="L384" s="5002"/>
      <c r="M384" s="5002"/>
      <c r="N384" s="5002"/>
      <c r="O384" s="5002"/>
      <c r="P384" s="5002"/>
      <c r="Q384" s="5002"/>
    </row>
    <row r="385" spans="2:17" ht="20.100000000000001" customHeight="1">
      <c r="B385" s="5510"/>
      <c r="C385" s="5511"/>
      <c r="D385" s="5512"/>
      <c r="E385" s="5513"/>
      <c r="F385" s="5512"/>
      <c r="G385" s="5514"/>
      <c r="H385" s="5515"/>
      <c r="I385" s="5515"/>
      <c r="J385" s="5516"/>
      <c r="K385" s="5002"/>
      <c r="L385" s="5002"/>
      <c r="M385" s="5002"/>
      <c r="N385" s="5002"/>
      <c r="O385" s="5002"/>
      <c r="P385" s="5002"/>
      <c r="Q385" s="5002"/>
    </row>
    <row r="386" spans="2:17" ht="20.100000000000001" customHeight="1">
      <c r="B386" s="5517"/>
      <c r="C386" s="5518" t="s">
        <v>1036</v>
      </c>
      <c r="D386" s="5471"/>
      <c r="E386" s="5471"/>
      <c r="F386" s="5471"/>
      <c r="G386" s="5471"/>
      <c r="H386" s="5471"/>
      <c r="I386" s="5471"/>
      <c r="J386" s="5519"/>
      <c r="K386" s="5002"/>
      <c r="L386" s="5002"/>
      <c r="M386" s="5002"/>
      <c r="N386" s="5002"/>
      <c r="O386" s="5002"/>
      <c r="P386" s="5002"/>
      <c r="Q386" s="5002"/>
    </row>
    <row r="387" spans="2:17" ht="20.100000000000001" customHeight="1">
      <c r="B387" s="5517"/>
      <c r="C387" s="5518" t="s">
        <v>1037</v>
      </c>
      <c r="D387" s="5471"/>
      <c r="E387" s="5471"/>
      <c r="F387" s="5471"/>
      <c r="G387" s="5471"/>
      <c r="H387" s="5471"/>
      <c r="I387" s="5471"/>
      <c r="J387" s="5519"/>
      <c r="K387" s="5002"/>
      <c r="L387" s="5002"/>
      <c r="M387" s="5002"/>
      <c r="N387" s="5002"/>
      <c r="O387" s="5002"/>
      <c r="P387" s="5002"/>
      <c r="Q387" s="5002"/>
    </row>
    <row r="388" spans="2:17" ht="20.100000000000001" customHeight="1">
      <c r="B388" s="5517"/>
      <c r="C388" s="5518" t="s">
        <v>1038</v>
      </c>
      <c r="D388" s="5471"/>
      <c r="E388" s="5471"/>
      <c r="F388" s="5471"/>
      <c r="G388" s="5471"/>
      <c r="H388" s="5471"/>
      <c r="I388" s="5471"/>
      <c r="J388" s="5519"/>
      <c r="K388" s="5002"/>
      <c r="L388" s="5002"/>
      <c r="M388" s="5002"/>
      <c r="N388" s="5002"/>
      <c r="O388" s="5002"/>
      <c r="P388" s="5002"/>
      <c r="Q388" s="5002"/>
    </row>
    <row r="389" spans="2:17" ht="20.100000000000001" customHeight="1">
      <c r="B389" s="5517"/>
      <c r="C389" s="5518" t="s">
        <v>1039</v>
      </c>
      <c r="D389" s="5471"/>
      <c r="E389" s="5471"/>
      <c r="F389" s="5471"/>
      <c r="G389" s="5471"/>
      <c r="H389" s="5471"/>
      <c r="I389" s="5471"/>
      <c r="J389" s="5519"/>
      <c r="K389" s="5002"/>
      <c r="L389" s="5002"/>
      <c r="M389" s="5002"/>
      <c r="N389" s="5002"/>
      <c r="O389" s="5002"/>
      <c r="P389" s="5002"/>
      <c r="Q389" s="5002"/>
    </row>
    <row r="390" spans="2:17" ht="20.100000000000001" customHeight="1">
      <c r="B390" s="5520" t="s">
        <v>1040</v>
      </c>
      <c r="C390" s="5521"/>
      <c r="D390" s="5521"/>
      <c r="E390" s="5521"/>
      <c r="F390" s="5521"/>
      <c r="G390" s="5521"/>
      <c r="H390" s="5521"/>
      <c r="I390" s="5521"/>
      <c r="J390" s="5522"/>
      <c r="K390" s="5002"/>
      <c r="L390" s="5002"/>
      <c r="M390" s="5002"/>
      <c r="N390" s="5002"/>
      <c r="O390" s="5002"/>
      <c r="P390" s="5002"/>
      <c r="Q390" s="5002"/>
    </row>
    <row r="391" spans="2:17" ht="20.100000000000001" customHeight="1">
      <c r="B391" s="5520"/>
      <c r="C391" s="5521"/>
      <c r="D391" s="5521"/>
      <c r="E391" s="5521"/>
      <c r="F391" s="5521"/>
      <c r="G391" s="5521"/>
      <c r="H391" s="5521"/>
      <c r="I391" s="5521"/>
      <c r="J391" s="5522"/>
      <c r="K391" s="5002"/>
      <c r="L391" s="5002"/>
      <c r="M391" s="5002"/>
      <c r="N391" s="5002"/>
      <c r="O391" s="5002"/>
      <c r="P391" s="5002"/>
      <c r="Q391" s="5002"/>
    </row>
    <row r="392" spans="2:17" ht="20.100000000000001" customHeight="1">
      <c r="B392" s="5520"/>
      <c r="C392" s="5521"/>
      <c r="D392" s="5521"/>
      <c r="E392" s="5521"/>
      <c r="F392" s="5521"/>
      <c r="G392" s="5521"/>
      <c r="H392" s="5521"/>
      <c r="I392" s="5521"/>
      <c r="J392" s="5522"/>
      <c r="K392" s="5002"/>
      <c r="L392" s="5002"/>
      <c r="M392" s="5002"/>
      <c r="N392" s="5002"/>
      <c r="O392" s="5002"/>
      <c r="P392" s="5002"/>
      <c r="Q392" s="5002"/>
    </row>
    <row r="393" spans="2:17" ht="20.100000000000001" customHeight="1">
      <c r="B393" s="5520" t="s">
        <v>1041</v>
      </c>
      <c r="C393" s="5521"/>
      <c r="D393" s="5521"/>
      <c r="E393" s="5521"/>
      <c r="F393" s="5521"/>
      <c r="G393" s="5521"/>
      <c r="H393" s="5521"/>
      <c r="I393" s="5521"/>
      <c r="J393" s="5522"/>
      <c r="K393" s="5002"/>
      <c r="L393" s="5002"/>
      <c r="M393" s="5002"/>
      <c r="N393" s="5002"/>
      <c r="O393" s="5002"/>
      <c r="P393" s="5002"/>
      <c r="Q393" s="5002"/>
    </row>
    <row r="394" spans="2:17" ht="20.100000000000001" customHeight="1">
      <c r="B394" s="5520"/>
      <c r="C394" s="5521"/>
      <c r="D394" s="5521"/>
      <c r="E394" s="5521"/>
      <c r="F394" s="5521"/>
      <c r="G394" s="5521"/>
      <c r="H394" s="5521"/>
      <c r="I394" s="5521"/>
      <c r="J394" s="5522"/>
      <c r="K394" s="5002"/>
      <c r="L394" s="5002"/>
      <c r="M394" s="5002"/>
      <c r="N394" s="5002"/>
      <c r="O394" s="5002"/>
      <c r="P394" s="5002"/>
      <c r="Q394" s="5002"/>
    </row>
    <row r="395" spans="2:17" ht="20.100000000000001" customHeight="1">
      <c r="B395" s="5517"/>
      <c r="C395" s="5518" t="s">
        <v>1042</v>
      </c>
      <c r="D395" s="5471"/>
      <c r="E395" s="5471"/>
      <c r="F395" s="5471"/>
      <c r="G395" s="5471"/>
      <c r="H395" s="5471"/>
      <c r="I395" s="5471"/>
      <c r="J395" s="5519"/>
      <c r="K395" s="5002"/>
      <c r="L395" s="5002"/>
      <c r="M395" s="5002"/>
      <c r="N395" s="5002"/>
      <c r="O395" s="5002"/>
      <c r="P395" s="5002"/>
      <c r="Q395" s="5002"/>
    </row>
    <row r="396" spans="2:17" ht="20.100000000000001" customHeight="1">
      <c r="B396" s="5517"/>
      <c r="C396" s="5518" t="s">
        <v>1043</v>
      </c>
      <c r="D396" s="5471"/>
      <c r="E396" s="5471"/>
      <c r="F396" s="5471"/>
      <c r="G396" s="5471"/>
      <c r="H396" s="5471"/>
      <c r="I396" s="5471"/>
      <c r="J396" s="5519"/>
      <c r="K396" s="5002"/>
      <c r="L396" s="5002"/>
      <c r="M396" s="5002"/>
      <c r="N396" s="5002"/>
      <c r="O396" s="5002"/>
      <c r="P396" s="5002"/>
      <c r="Q396" s="5002"/>
    </row>
    <row r="397" spans="2:17" ht="20.100000000000001" customHeight="1">
      <c r="B397" s="5523"/>
      <c r="C397" s="5524"/>
      <c r="D397" s="5471"/>
      <c r="E397" s="5471"/>
      <c r="F397" s="5471"/>
      <c r="G397" s="5471"/>
      <c r="H397" s="5471"/>
      <c r="I397" s="5471"/>
      <c r="J397" s="5519"/>
      <c r="K397" s="5002"/>
      <c r="L397" s="5002"/>
      <c r="M397" s="5002"/>
      <c r="N397" s="5002"/>
      <c r="O397" s="5002"/>
      <c r="P397" s="5002"/>
      <c r="Q397" s="5002"/>
    </row>
    <row r="398" spans="2:17" ht="20.100000000000001" customHeight="1">
      <c r="B398" s="5517"/>
      <c r="C398" s="5518" t="s">
        <v>1044</v>
      </c>
      <c r="D398" s="5471"/>
      <c r="E398" s="5471"/>
      <c r="F398" s="5471"/>
      <c r="G398" s="5471"/>
      <c r="H398" s="5471"/>
      <c r="I398" s="5471"/>
      <c r="J398" s="5519"/>
      <c r="K398" s="5002"/>
      <c r="L398" s="5002"/>
      <c r="M398" s="5002"/>
      <c r="N398" s="5002"/>
      <c r="O398" s="5002"/>
      <c r="P398" s="5002"/>
      <c r="Q398" s="5002"/>
    </row>
    <row r="399" spans="2:17" ht="20.100000000000001" customHeight="1">
      <c r="B399" s="5517"/>
      <c r="C399" s="5518" t="s">
        <v>1045</v>
      </c>
      <c r="D399" s="5471"/>
      <c r="E399" s="5471"/>
      <c r="F399" s="5471"/>
      <c r="G399" s="5471"/>
      <c r="H399" s="5471"/>
      <c r="I399" s="5471"/>
      <c r="J399" s="5519"/>
      <c r="K399" s="5002"/>
      <c r="L399" s="5002"/>
      <c r="M399" s="5002"/>
      <c r="N399" s="5002"/>
      <c r="O399" s="5002"/>
      <c r="P399" s="5002"/>
      <c r="Q399" s="5002"/>
    </row>
    <row r="400" spans="2:17" ht="20.100000000000001" customHeight="1">
      <c r="B400" s="5517"/>
      <c r="C400" s="5518" t="s">
        <v>1046</v>
      </c>
      <c r="D400" s="5471"/>
      <c r="E400" s="5471"/>
      <c r="F400" s="5471"/>
      <c r="G400" s="5471"/>
      <c r="H400" s="5471"/>
      <c r="I400" s="5471"/>
      <c r="J400" s="5519"/>
      <c r="K400" s="5002"/>
      <c r="L400" s="5002"/>
      <c r="M400" s="5002"/>
      <c r="N400" s="5002"/>
      <c r="O400" s="5002"/>
      <c r="P400" s="5002"/>
      <c r="Q400" s="5002"/>
    </row>
    <row r="401" spans="1:17" ht="20.100000000000001" customHeight="1">
      <c r="B401" s="5517"/>
      <c r="C401" s="5518" t="s">
        <v>1047</v>
      </c>
      <c r="D401" s="5471"/>
      <c r="E401" s="5471"/>
      <c r="F401" s="5471"/>
      <c r="G401" s="5471"/>
      <c r="H401" s="5471"/>
      <c r="I401" s="5471"/>
      <c r="J401" s="5519"/>
      <c r="K401" s="5002"/>
      <c r="L401" s="5002"/>
      <c r="M401" s="5002"/>
      <c r="N401" s="5002"/>
      <c r="O401" s="5002"/>
      <c r="P401" s="5002"/>
      <c r="Q401" s="5002"/>
    </row>
    <row r="402" spans="1:17" ht="20.100000000000001" customHeight="1">
      <c r="B402" s="5520" t="s">
        <v>1048</v>
      </c>
      <c r="C402" s="5521"/>
      <c r="D402" s="5521"/>
      <c r="E402" s="5521"/>
      <c r="F402" s="5521"/>
      <c r="G402" s="5521"/>
      <c r="H402" s="5521"/>
      <c r="I402" s="5521"/>
      <c r="J402" s="5522"/>
      <c r="K402" s="5002"/>
      <c r="L402" s="5002"/>
      <c r="M402" s="5002"/>
      <c r="N402" s="5002"/>
      <c r="O402" s="5002"/>
      <c r="P402" s="5002"/>
      <c r="Q402" s="5002"/>
    </row>
    <row r="403" spans="1:17" ht="20.100000000000001" customHeight="1">
      <c r="B403" s="5520"/>
      <c r="C403" s="5521"/>
      <c r="D403" s="5521"/>
      <c r="E403" s="5521"/>
      <c r="F403" s="5521"/>
      <c r="G403" s="5521"/>
      <c r="H403" s="5521"/>
      <c r="I403" s="5521"/>
      <c r="J403" s="5522"/>
      <c r="K403" s="5002"/>
      <c r="L403" s="5002"/>
      <c r="M403" s="5002"/>
      <c r="N403" s="5002"/>
      <c r="O403" s="5002"/>
      <c r="P403" s="5002"/>
      <c r="Q403" s="5002"/>
    </row>
    <row r="404" spans="1:17" ht="20.100000000000001" customHeight="1">
      <c r="B404" s="5525" t="s">
        <v>1049</v>
      </c>
      <c r="C404" s="5105"/>
      <c r="D404" s="5105"/>
      <c r="E404" s="5105"/>
      <c r="F404" s="5105"/>
      <c r="G404" s="5105"/>
      <c r="H404" s="5105"/>
      <c r="I404" s="5105"/>
      <c r="J404" s="105"/>
      <c r="K404" s="5002"/>
      <c r="L404" s="5002"/>
      <c r="M404" s="5002"/>
      <c r="N404" s="5002"/>
      <c r="O404" s="5002"/>
      <c r="P404" s="5002"/>
      <c r="Q404" s="5002"/>
    </row>
    <row r="405" spans="1:17" ht="20.100000000000001" customHeight="1" thickBot="1">
      <c r="B405" s="695"/>
      <c r="C405" s="696"/>
      <c r="D405" s="696"/>
      <c r="E405" s="696"/>
      <c r="F405" s="696"/>
      <c r="G405" s="696"/>
      <c r="H405" s="696"/>
      <c r="I405" s="696"/>
      <c r="J405" s="5135"/>
      <c r="K405" s="5002"/>
      <c r="L405" s="5002"/>
      <c r="M405" s="5002"/>
      <c r="N405" s="5002"/>
      <c r="O405" s="5002"/>
      <c r="P405" s="5002"/>
      <c r="Q405" s="5002"/>
    </row>
    <row r="406" spans="1:17" ht="20.100000000000001" customHeight="1">
      <c r="B406" s="5002"/>
      <c r="C406" s="5002"/>
      <c r="D406" s="5002"/>
      <c r="E406" s="63"/>
      <c r="F406" s="63"/>
      <c r="G406" s="5002"/>
      <c r="H406" s="5002"/>
      <c r="I406" s="5002"/>
      <c r="J406" s="5002"/>
      <c r="K406" s="5002"/>
      <c r="L406" s="5002"/>
      <c r="M406" s="5002"/>
      <c r="N406" s="5002"/>
      <c r="O406" s="5002"/>
      <c r="P406" s="5002"/>
      <c r="Q406" s="5002"/>
    </row>
    <row r="407" spans="1:17">
      <c r="A407" s="5063"/>
      <c r="B407" s="5064"/>
      <c r="C407" s="5065"/>
      <c r="D407" s="5065"/>
      <c r="E407" s="5065"/>
      <c r="F407" s="5065"/>
      <c r="G407" s="5065"/>
      <c r="H407" s="5065"/>
      <c r="I407" s="5065"/>
      <c r="J407" s="5064"/>
      <c r="K407" s="5064"/>
      <c r="L407" s="5064"/>
      <c r="M407" s="5063"/>
      <c r="N407" s="5063"/>
      <c r="O407" s="5063"/>
      <c r="P407" s="5063"/>
      <c r="Q407" s="5063"/>
    </row>
    <row r="408" spans="1:17" ht="20.100000000000001" customHeight="1">
      <c r="B408" s="5002"/>
      <c r="C408" s="5002"/>
      <c r="D408" s="5002"/>
      <c r="E408" s="63"/>
      <c r="F408" s="63"/>
      <c r="G408" s="5002"/>
      <c r="H408" s="5002"/>
      <c r="I408" s="5002"/>
      <c r="J408" s="5002"/>
      <c r="K408" s="5002"/>
      <c r="L408" s="5002"/>
      <c r="M408" s="5002"/>
      <c r="N408" s="5002"/>
      <c r="O408" s="5002"/>
      <c r="P408" s="5002"/>
      <c r="Q408" s="5002"/>
    </row>
    <row r="409" spans="1:17" ht="15.75" thickBot="1">
      <c r="A409" s="5002"/>
      <c r="B409" s="4992"/>
      <c r="C409" s="5025"/>
      <c r="D409" s="5025"/>
      <c r="E409" s="5025"/>
      <c r="F409" s="5025"/>
      <c r="G409" s="5025"/>
      <c r="H409" s="5025"/>
      <c r="I409" s="5025"/>
      <c r="J409" s="4992"/>
      <c r="K409" s="4992"/>
      <c r="L409" s="4992"/>
      <c r="M409" s="5002"/>
      <c r="N409" s="5002"/>
      <c r="O409" s="5002"/>
      <c r="P409" s="5002"/>
      <c r="Q409" s="5002"/>
    </row>
    <row r="410" spans="1:17" ht="15.75">
      <c r="A410" s="5002"/>
      <c r="B410" s="3858" t="s">
        <v>1050</v>
      </c>
      <c r="C410" s="3859"/>
      <c r="D410" s="3859"/>
      <c r="E410" s="3859"/>
      <c r="F410" s="3859"/>
      <c r="G410" s="3860"/>
      <c r="H410" s="5025"/>
      <c r="I410" s="3858" t="s">
        <v>1050</v>
      </c>
      <c r="J410" s="3859"/>
      <c r="K410" s="3859"/>
      <c r="L410" s="3859"/>
      <c r="M410" s="3859"/>
      <c r="N410" s="3860"/>
      <c r="O410" s="5002"/>
      <c r="P410" s="5002"/>
      <c r="Q410" s="5002"/>
    </row>
    <row r="411" spans="1:17">
      <c r="A411" s="5002"/>
      <c r="B411" s="3861" t="s">
        <v>951</v>
      </c>
      <c r="C411" s="5526"/>
      <c r="D411" s="5527" t="s">
        <v>1051</v>
      </c>
      <c r="E411" s="5528" t="s">
        <v>1052</v>
      </c>
      <c r="F411" s="5529" t="s">
        <v>975</v>
      </c>
      <c r="G411" s="5530"/>
      <c r="H411" s="5025"/>
      <c r="I411" s="3861" t="s">
        <v>951</v>
      </c>
      <c r="J411" s="5526"/>
      <c r="K411" s="5527" t="s">
        <v>1051</v>
      </c>
      <c r="L411" s="5528" t="s">
        <v>1052</v>
      </c>
      <c r="M411" s="5529" t="s">
        <v>975</v>
      </c>
      <c r="N411" s="5530"/>
      <c r="O411" s="5002"/>
      <c r="P411" s="5002"/>
      <c r="Q411" s="5002"/>
    </row>
    <row r="412" spans="1:17">
      <c r="A412" s="5002"/>
      <c r="B412" s="3898">
        <v>20</v>
      </c>
      <c r="C412" s="5531">
        <f>B412/100</f>
        <v>0.2</v>
      </c>
      <c r="D412" s="5532" t="s">
        <v>1053</v>
      </c>
      <c r="E412" s="5533">
        <v>1</v>
      </c>
      <c r="F412" s="5534">
        <f>(B412*E412)*10</f>
        <v>200</v>
      </c>
      <c r="G412" s="5535">
        <f>F412/1000</f>
        <v>0.2</v>
      </c>
      <c r="H412" s="5025"/>
      <c r="I412" s="3887">
        <v>10</v>
      </c>
      <c r="J412" s="5531">
        <f>I412/10</f>
        <v>1</v>
      </c>
      <c r="K412" s="5532" t="s">
        <v>1053</v>
      </c>
      <c r="L412" s="5533">
        <v>1</v>
      </c>
      <c r="M412" s="5534">
        <f>(I412*L412)*100</f>
        <v>1000</v>
      </c>
      <c r="N412" s="5535">
        <f>M412/1000</f>
        <v>1</v>
      </c>
      <c r="O412" s="5002"/>
      <c r="P412" s="5002"/>
      <c r="Q412" s="5002"/>
    </row>
    <row r="413" spans="1:17">
      <c r="A413" s="5002"/>
      <c r="B413" s="3898"/>
      <c r="C413" s="5531"/>
      <c r="D413" s="5532" t="s">
        <v>1054</v>
      </c>
      <c r="E413" s="5533">
        <v>1.03</v>
      </c>
      <c r="F413" s="5534">
        <f>(B412*E413)*10</f>
        <v>206</v>
      </c>
      <c r="G413" s="5535">
        <f>F413/1000</f>
        <v>0.20599999999999999</v>
      </c>
      <c r="H413" s="5025"/>
      <c r="I413" s="3887"/>
      <c r="J413" s="5531"/>
      <c r="K413" s="5532" t="s">
        <v>1054</v>
      </c>
      <c r="L413" s="5533">
        <v>1.03</v>
      </c>
      <c r="M413" s="5534">
        <f>(I412*L413)*100</f>
        <v>1030</v>
      </c>
      <c r="N413" s="5535">
        <f>M413/1000</f>
        <v>1.03</v>
      </c>
      <c r="O413" s="5002"/>
      <c r="P413" s="5002"/>
      <c r="Q413" s="5002"/>
    </row>
    <row r="414" spans="1:17">
      <c r="A414" s="5002"/>
      <c r="B414" s="3898"/>
      <c r="C414" s="5531"/>
      <c r="D414" s="5532" t="s">
        <v>1055</v>
      </c>
      <c r="E414" s="5533">
        <v>1.0149999999999999</v>
      </c>
      <c r="F414" s="5534">
        <f>(E414*B412)*10</f>
        <v>202.99999999999997</v>
      </c>
      <c r="G414" s="5535">
        <f>F414/1000</f>
        <v>0.20299999999999996</v>
      </c>
      <c r="H414" s="5025"/>
      <c r="I414" s="3887"/>
      <c r="J414" s="5531"/>
      <c r="K414" s="5532" t="s">
        <v>1055</v>
      </c>
      <c r="L414" s="5533">
        <v>1.0149999999999999</v>
      </c>
      <c r="M414" s="5534">
        <f>(L414*I412)*100</f>
        <v>1014.9999999999999</v>
      </c>
      <c r="N414" s="5535">
        <f>M414/1000</f>
        <v>1.0149999999999999</v>
      </c>
      <c r="O414" s="5002"/>
      <c r="P414" s="5002"/>
      <c r="Q414" s="5002"/>
    </row>
    <row r="415" spans="1:17">
      <c r="A415" s="5002"/>
      <c r="B415" s="3898"/>
      <c r="C415" s="5531"/>
      <c r="D415" s="5532" t="s">
        <v>1056</v>
      </c>
      <c r="E415" s="5533">
        <v>0.92</v>
      </c>
      <c r="F415" s="5534">
        <f>(E415*B412)*10</f>
        <v>184.00000000000003</v>
      </c>
      <c r="G415" s="5535">
        <f>F415/1000</f>
        <v>0.18400000000000002</v>
      </c>
      <c r="H415" s="5025"/>
      <c r="I415" s="3887"/>
      <c r="J415" s="5531"/>
      <c r="K415" s="5532" t="s">
        <v>1056</v>
      </c>
      <c r="L415" s="5533">
        <v>0.92</v>
      </c>
      <c r="M415" s="5534">
        <f>(L415*I412)*100</f>
        <v>920.00000000000011</v>
      </c>
      <c r="N415" s="5535">
        <f>M415/1000</f>
        <v>0.92000000000000015</v>
      </c>
      <c r="O415" s="5002"/>
      <c r="P415" s="5002"/>
      <c r="Q415" s="5002"/>
    </row>
    <row r="416" spans="1:17" ht="15.75" thickBot="1">
      <c r="A416" s="5002"/>
      <c r="B416" s="3899"/>
      <c r="C416" s="3890"/>
      <c r="D416" s="5536" t="s">
        <v>1057</v>
      </c>
      <c r="E416" s="467">
        <v>0.8</v>
      </c>
      <c r="F416" s="468">
        <f>(E416*B412)*10</f>
        <v>160</v>
      </c>
      <c r="G416" s="5537">
        <f>F416/1000</f>
        <v>0.16</v>
      </c>
      <c r="H416" s="5025"/>
      <c r="I416" s="3888"/>
      <c r="J416" s="3890"/>
      <c r="K416" s="5536" t="s">
        <v>1057</v>
      </c>
      <c r="L416" s="467">
        <v>0.8</v>
      </c>
      <c r="M416" s="468">
        <f>(L416*I412)*100</f>
        <v>800</v>
      </c>
      <c r="N416" s="5537">
        <f>M416/1000</f>
        <v>0.8</v>
      </c>
      <c r="O416" s="5002"/>
      <c r="P416" s="5002"/>
      <c r="Q416" s="5002"/>
    </row>
    <row r="417" spans="1:17">
      <c r="A417" s="5002"/>
      <c r="B417" s="4992"/>
      <c r="C417" s="5025"/>
      <c r="D417" s="5025"/>
      <c r="E417" s="5025"/>
      <c r="F417" s="5025"/>
      <c r="G417" s="5025"/>
      <c r="H417" s="5025"/>
      <c r="I417" s="5025"/>
      <c r="J417" s="4992"/>
      <c r="K417" s="4992"/>
      <c r="L417" s="4992"/>
      <c r="M417" s="5002"/>
      <c r="N417" s="5002"/>
      <c r="O417" s="5002"/>
      <c r="P417" s="5002"/>
      <c r="Q417" s="5002"/>
    </row>
    <row r="418" spans="1:17">
      <c r="A418" s="5002"/>
      <c r="B418" s="4992"/>
      <c r="C418" s="5025"/>
      <c r="D418" s="5025"/>
      <c r="E418" s="5025"/>
      <c r="F418" s="5025"/>
      <c r="G418" s="5025"/>
      <c r="H418" s="5025"/>
      <c r="I418" s="5025"/>
      <c r="J418" s="4992"/>
      <c r="K418" s="4992"/>
      <c r="L418" s="4992"/>
      <c r="M418" s="5002"/>
      <c r="N418" s="5002"/>
      <c r="O418" s="5002"/>
      <c r="P418" s="5002"/>
      <c r="Q418" s="5002"/>
    </row>
    <row r="419" spans="1:17">
      <c r="A419" s="5002"/>
      <c r="B419" s="4992"/>
      <c r="C419" s="5025"/>
      <c r="D419" s="5025"/>
      <c r="E419" s="5025"/>
      <c r="F419" s="5025"/>
      <c r="G419" s="5025"/>
      <c r="H419" s="5025"/>
      <c r="I419" s="5025"/>
      <c r="J419" s="4992"/>
      <c r="K419" s="4992"/>
      <c r="L419" s="4992"/>
      <c r="M419" s="5002"/>
      <c r="N419" s="5002"/>
      <c r="O419" s="5002"/>
      <c r="P419" s="5002"/>
      <c r="Q419" s="5002"/>
    </row>
    <row r="420" spans="1:17" ht="15.75" thickBot="1">
      <c r="A420" s="5002"/>
      <c r="B420" s="4992"/>
      <c r="C420" s="5025"/>
      <c r="D420" s="5025"/>
      <c r="E420" s="5025"/>
      <c r="F420" s="5025"/>
      <c r="G420" s="5025"/>
      <c r="H420" s="5025"/>
      <c r="I420" s="5025"/>
      <c r="J420" s="4992"/>
      <c r="K420" s="4992"/>
      <c r="L420" s="4992"/>
      <c r="M420" s="5002"/>
      <c r="N420" s="5002"/>
      <c r="O420" s="5002"/>
      <c r="P420" s="5002"/>
      <c r="Q420" s="5002"/>
    </row>
    <row r="421" spans="1:17">
      <c r="A421" s="5002"/>
      <c r="B421" s="4992"/>
      <c r="C421" s="5025"/>
      <c r="D421" s="5025"/>
      <c r="E421" s="5025"/>
      <c r="F421" s="5538" t="s">
        <v>1058</v>
      </c>
      <c r="G421" s="5539"/>
      <c r="H421" s="5539"/>
      <c r="I421" s="5540"/>
      <c r="J421" s="4992"/>
      <c r="K421" s="5538" t="s">
        <v>1058</v>
      </c>
      <c r="L421" s="5539"/>
      <c r="M421" s="5539"/>
      <c r="N421" s="5540"/>
      <c r="O421" s="5002"/>
      <c r="P421" s="5002"/>
    </row>
    <row r="422" spans="1:17" ht="15.75" thickBot="1">
      <c r="A422" s="5002"/>
      <c r="B422" s="4992"/>
      <c r="C422" s="4992"/>
      <c r="D422" s="4992"/>
      <c r="E422" s="4992"/>
      <c r="F422" s="5541"/>
      <c r="G422" s="5542"/>
      <c r="H422" s="5542"/>
      <c r="I422" s="5543"/>
      <c r="J422" s="5002"/>
      <c r="K422" s="5541"/>
      <c r="L422" s="5542"/>
      <c r="M422" s="5542"/>
      <c r="N422" s="5543"/>
      <c r="O422" s="5002"/>
      <c r="P422" s="5002"/>
    </row>
    <row r="423" spans="1:17" ht="19.5" customHeight="1" thickBot="1">
      <c r="A423" s="5002"/>
      <c r="B423" s="4992"/>
      <c r="C423" s="4992"/>
      <c r="D423" s="4992"/>
      <c r="E423" s="4992"/>
      <c r="F423" s="202" t="s">
        <v>122</v>
      </c>
      <c r="G423" s="203" t="s">
        <v>1059</v>
      </c>
      <c r="H423" s="203" t="s">
        <v>1060</v>
      </c>
      <c r="I423" s="204" t="s">
        <v>1061</v>
      </c>
      <c r="J423" s="5002"/>
      <c r="K423" s="5544" t="s">
        <v>1062</v>
      </c>
      <c r="L423" s="5545"/>
      <c r="M423" s="5545"/>
      <c r="N423" s="5546"/>
      <c r="O423" s="5002"/>
      <c r="P423" s="5002"/>
    </row>
    <row r="424" spans="1:17" ht="15.75" customHeight="1">
      <c r="A424" s="5002"/>
      <c r="B424" s="4992"/>
      <c r="C424" s="4992"/>
      <c r="D424" s="4992"/>
      <c r="E424" s="4992"/>
      <c r="F424" s="5547" t="s">
        <v>1063</v>
      </c>
      <c r="G424" s="5548"/>
      <c r="H424" s="5548"/>
      <c r="I424" s="5549"/>
      <c r="J424" s="5002"/>
      <c r="K424" s="5550" t="s">
        <v>1064</v>
      </c>
      <c r="L424" s="5551"/>
      <c r="M424" s="5551"/>
      <c r="N424" s="5552"/>
      <c r="O424" s="5002"/>
      <c r="P424" s="5002"/>
    </row>
    <row r="425" spans="1:17" ht="18.75" customHeight="1">
      <c r="A425" s="5002"/>
      <c r="B425" s="4992"/>
      <c r="C425" s="4992"/>
      <c r="D425" s="4992"/>
      <c r="E425" s="4992"/>
      <c r="F425" s="205" t="s">
        <v>224</v>
      </c>
      <c r="G425" s="5553" t="s">
        <v>1065</v>
      </c>
      <c r="H425" s="5553" t="s">
        <v>1066</v>
      </c>
      <c r="I425" s="5554" t="s">
        <v>1067</v>
      </c>
      <c r="J425" s="5002"/>
      <c r="K425" s="5555" t="s">
        <v>1068</v>
      </c>
      <c r="L425" s="5556" t="s">
        <v>1069</v>
      </c>
      <c r="M425" s="5556" t="s">
        <v>1070</v>
      </c>
      <c r="N425" s="5557" t="s">
        <v>1071</v>
      </c>
      <c r="O425" s="5002"/>
      <c r="P425" s="5002"/>
    </row>
    <row r="426" spans="1:17" ht="15.75" customHeight="1">
      <c r="A426" s="5002"/>
      <c r="B426" s="4992"/>
      <c r="C426" s="4992"/>
      <c r="D426" s="4992"/>
      <c r="E426" s="4992"/>
      <c r="F426" s="5558">
        <v>1</v>
      </c>
      <c r="G426" s="5559">
        <f>F426*10</f>
        <v>10</v>
      </c>
      <c r="H426" s="5559">
        <f>G426*10</f>
        <v>100</v>
      </c>
      <c r="I426" s="5560">
        <f>H426*10</f>
        <v>1000</v>
      </c>
      <c r="J426" s="5002"/>
      <c r="K426" s="5561"/>
      <c r="L426" s="5562"/>
      <c r="M426" s="5562"/>
      <c r="N426" s="5563"/>
      <c r="O426" s="5002"/>
      <c r="P426" s="5002"/>
    </row>
    <row r="427" spans="1:17" ht="15.75" customHeight="1">
      <c r="A427" s="5002"/>
      <c r="B427" s="4992"/>
      <c r="C427" s="4992"/>
      <c r="D427" s="4992"/>
      <c r="E427" s="4992"/>
      <c r="F427" s="5564">
        <f>G427/10</f>
        <v>0.1</v>
      </c>
      <c r="G427" s="5565">
        <v>1</v>
      </c>
      <c r="H427" s="5559">
        <f>G427*10</f>
        <v>10</v>
      </c>
      <c r="I427" s="5560">
        <f>G427*100</f>
        <v>100</v>
      </c>
      <c r="J427" s="5002"/>
      <c r="K427" s="5566" t="s">
        <v>1072</v>
      </c>
      <c r="L427" s="5567" t="s">
        <v>1073</v>
      </c>
      <c r="M427" s="5567" t="s">
        <v>1074</v>
      </c>
      <c r="N427" s="5568" t="s">
        <v>1075</v>
      </c>
      <c r="O427" s="5002"/>
      <c r="P427" s="5002"/>
    </row>
    <row r="428" spans="1:17" ht="15.75" customHeight="1">
      <c r="A428" s="5002"/>
      <c r="B428" s="4992"/>
      <c r="C428" s="4992"/>
      <c r="D428" s="4992"/>
      <c r="E428" s="4992"/>
      <c r="F428" s="5564">
        <f t="shared" ref="F428:G428" si="1">G428/10</f>
        <v>0.01</v>
      </c>
      <c r="G428" s="5559">
        <f t="shared" si="1"/>
        <v>0.1</v>
      </c>
      <c r="H428" s="5565">
        <v>1</v>
      </c>
      <c r="I428" s="5560">
        <f>G428*100</f>
        <v>10</v>
      </c>
      <c r="J428" s="5002"/>
      <c r="K428" s="5566" t="s">
        <v>1076</v>
      </c>
      <c r="L428" s="5567" t="s">
        <v>1077</v>
      </c>
      <c r="M428" s="5567" t="s">
        <v>1078</v>
      </c>
      <c r="N428" s="5568" t="s">
        <v>1079</v>
      </c>
      <c r="O428" s="5002"/>
      <c r="P428" s="5002"/>
    </row>
    <row r="429" spans="1:17" ht="15.75" customHeight="1">
      <c r="A429" s="5002"/>
      <c r="B429" s="4992"/>
      <c r="C429" s="4992"/>
      <c r="D429" s="4992"/>
      <c r="E429" s="4992"/>
      <c r="F429" s="5569">
        <f>I429/1000</f>
        <v>1E-3</v>
      </c>
      <c r="G429" s="215">
        <f>I429/100</f>
        <v>0.01</v>
      </c>
      <c r="H429" s="215">
        <f>I429/10</f>
        <v>0.1</v>
      </c>
      <c r="I429" s="5570">
        <v>1</v>
      </c>
      <c r="J429" s="5002"/>
      <c r="K429" s="5566" t="s">
        <v>1080</v>
      </c>
      <c r="L429" s="5567" t="s">
        <v>1081</v>
      </c>
      <c r="M429" s="5567" t="s">
        <v>1082</v>
      </c>
      <c r="N429" s="5568" t="s">
        <v>1083</v>
      </c>
      <c r="O429" s="5002"/>
      <c r="P429" s="5002"/>
    </row>
    <row r="430" spans="1:17" ht="15" customHeight="1">
      <c r="A430" s="5002"/>
      <c r="B430" s="4992"/>
      <c r="C430" s="4992"/>
      <c r="D430" s="4992"/>
      <c r="E430" s="4992"/>
      <c r="F430" s="5544" t="s">
        <v>1062</v>
      </c>
      <c r="G430" s="5545"/>
      <c r="H430" s="5545"/>
      <c r="I430" s="5546"/>
      <c r="J430" s="5002"/>
      <c r="K430" s="5571" t="s">
        <v>1084</v>
      </c>
      <c r="L430" s="5572" t="s">
        <v>1085</v>
      </c>
      <c r="M430" s="5572" t="s">
        <v>1086</v>
      </c>
      <c r="N430" s="5573" t="s">
        <v>1087</v>
      </c>
      <c r="O430" s="5002"/>
      <c r="P430" s="5002"/>
    </row>
    <row r="431" spans="1:17" ht="16.5" thickBot="1">
      <c r="A431" s="5002"/>
      <c r="B431" s="4992"/>
      <c r="C431" s="4992"/>
      <c r="D431" s="4992"/>
      <c r="E431" s="4992"/>
      <c r="F431" s="4222" t="s">
        <v>1088</v>
      </c>
      <c r="G431" s="5574"/>
      <c r="H431" s="5574"/>
      <c r="I431" s="4224"/>
      <c r="J431" s="5002"/>
      <c r="K431" s="4222" t="s">
        <v>1088</v>
      </c>
      <c r="L431" s="5574"/>
      <c r="M431" s="5574"/>
      <c r="N431" s="4224"/>
      <c r="O431" s="5002"/>
      <c r="P431" s="5002"/>
    </row>
    <row r="432" spans="1:17">
      <c r="A432" s="5002"/>
      <c r="B432" s="4992"/>
      <c r="C432" s="4992"/>
      <c r="D432" s="4992"/>
      <c r="F432" s="5002"/>
      <c r="G432" s="5002"/>
      <c r="H432" s="5002"/>
      <c r="I432" s="5002"/>
      <c r="J432" s="5002"/>
      <c r="K432" s="5002"/>
      <c r="L432" s="5002"/>
      <c r="M432" s="5002"/>
      <c r="N432" s="5002"/>
      <c r="O432" s="5002"/>
      <c r="P432" s="5002"/>
    </row>
    <row r="433" spans="1:17">
      <c r="A433" s="5002"/>
      <c r="B433" s="4992"/>
      <c r="C433" s="4992"/>
      <c r="D433" s="4992"/>
      <c r="E433" s="5002"/>
      <c r="F433" s="5002"/>
      <c r="G433" s="5002"/>
      <c r="H433" s="5002"/>
      <c r="I433" s="5002"/>
      <c r="J433" s="5002"/>
      <c r="K433" s="5002"/>
      <c r="L433" s="5002"/>
      <c r="M433" s="5002"/>
      <c r="N433" s="5002"/>
      <c r="O433" s="5002"/>
      <c r="P433" s="5002"/>
    </row>
    <row r="434" spans="1:17" ht="21" customHeight="1">
      <c r="A434" s="5002"/>
      <c r="B434" s="65" t="s">
        <v>732</v>
      </c>
      <c r="C434" s="220" t="s">
        <v>1089</v>
      </c>
      <c r="D434" s="4992"/>
      <c r="E434" s="5002"/>
      <c r="F434" s="5002"/>
      <c r="G434" s="5002"/>
      <c r="H434" s="5002"/>
      <c r="I434" s="5002"/>
      <c r="J434" s="5002"/>
      <c r="K434" s="5575" t="s">
        <v>1090</v>
      </c>
      <c r="L434" s="5576"/>
      <c r="M434" s="5577"/>
      <c r="N434" s="5002"/>
      <c r="O434" s="5002"/>
      <c r="P434" s="5002"/>
    </row>
    <row r="435" spans="1:17" ht="21">
      <c r="A435" s="5002"/>
      <c r="B435" s="63"/>
      <c r="C435" s="221"/>
      <c r="D435" s="4992"/>
      <c r="E435" s="5002"/>
      <c r="F435" s="5002"/>
      <c r="G435" s="5002"/>
      <c r="H435" s="5002"/>
      <c r="I435" s="5002"/>
      <c r="J435" s="5002"/>
      <c r="K435" s="5578" t="s">
        <v>1091</v>
      </c>
      <c r="L435" s="5579" t="s">
        <v>1092</v>
      </c>
      <c r="M435" s="5580" t="s">
        <v>1093</v>
      </c>
      <c r="N435" s="5002"/>
      <c r="O435" s="5002"/>
      <c r="P435" s="5002"/>
      <c r="Q435" s="5002"/>
    </row>
    <row r="436" spans="1:17" ht="21">
      <c r="A436" s="5002"/>
      <c r="B436" s="63" t="s">
        <v>1094</v>
      </c>
      <c r="C436" s="5581"/>
      <c r="D436" s="4992"/>
      <c r="E436" s="5002"/>
      <c r="F436" s="5002"/>
      <c r="G436" s="5002"/>
      <c r="H436" s="5002"/>
      <c r="I436" s="5002"/>
      <c r="J436" s="5002"/>
      <c r="K436" s="5582">
        <v>4.1666666666666664E-2</v>
      </c>
      <c r="L436" s="5583">
        <v>60</v>
      </c>
      <c r="M436" s="5584">
        <v>100</v>
      </c>
      <c r="N436" s="5002"/>
      <c r="O436" s="5002"/>
      <c r="P436" s="5002"/>
      <c r="Q436" s="5002"/>
    </row>
    <row r="437" spans="1:17" ht="21">
      <c r="A437" s="5002"/>
      <c r="B437" s="63" t="s">
        <v>1095</v>
      </c>
      <c r="C437" s="5581"/>
      <c r="D437" s="4992"/>
      <c r="E437" s="5002"/>
      <c r="F437" s="5002"/>
      <c r="G437" s="5002"/>
      <c r="H437" s="5002"/>
      <c r="I437" s="5002"/>
      <c r="J437" s="5002"/>
      <c r="K437" s="5585">
        <v>4.1666666666666664E-2</v>
      </c>
      <c r="L437" s="5586">
        <f>(L436/K436)*K437</f>
        <v>60</v>
      </c>
      <c r="M437" s="5587">
        <f>(M436/K436)*K437</f>
        <v>100</v>
      </c>
      <c r="N437" s="5002"/>
      <c r="O437" s="5002"/>
      <c r="P437" s="5002"/>
      <c r="Q437" s="5002"/>
    </row>
    <row r="438" spans="1:17" ht="21">
      <c r="A438" s="5002"/>
      <c r="B438" s="65" t="s">
        <v>732</v>
      </c>
      <c r="C438" s="220" t="s">
        <v>1096</v>
      </c>
      <c r="D438" s="4992"/>
      <c r="F438" s="5002"/>
      <c r="G438" s="5002"/>
      <c r="H438" s="5002"/>
      <c r="I438" s="5002"/>
      <c r="J438" s="5002"/>
      <c r="K438" s="5588">
        <f>(K436/L436)*L438</f>
        <v>6.2499999999999993E-2</v>
      </c>
      <c r="L438" s="5589">
        <v>90</v>
      </c>
      <c r="M438" s="5590">
        <f>(M436/L436)*L438</f>
        <v>150</v>
      </c>
      <c r="N438" s="5002"/>
      <c r="O438" s="5002"/>
      <c r="P438" s="5002"/>
      <c r="Q438" s="5002"/>
    </row>
    <row r="439" spans="1:17" ht="15.75">
      <c r="A439" s="5002"/>
      <c r="B439" s="4992"/>
      <c r="C439" s="4992"/>
      <c r="D439" s="4992"/>
      <c r="F439" s="5002"/>
      <c r="G439" s="5002"/>
      <c r="H439" s="5002"/>
      <c r="I439" s="5002"/>
      <c r="J439" s="5002"/>
      <c r="K439" s="5591">
        <f>(K436/M436)*M439</f>
        <v>1.6666666666666666E-2</v>
      </c>
      <c r="L439" s="5592">
        <f>(L436/M436)*M439</f>
        <v>24</v>
      </c>
      <c r="M439" s="5593">
        <v>40</v>
      </c>
      <c r="N439" s="5002"/>
      <c r="O439" s="5002"/>
      <c r="P439" s="5002"/>
      <c r="Q439" s="5002"/>
    </row>
    <row r="440" spans="1:17">
      <c r="A440" s="5002"/>
      <c r="B440" s="4992"/>
      <c r="C440" s="4992"/>
      <c r="D440" s="4992"/>
      <c r="E440" s="4992"/>
      <c r="F440" s="4992"/>
      <c r="G440" s="4992"/>
      <c r="H440" s="5002"/>
      <c r="I440" s="5002"/>
      <c r="J440" s="5002"/>
      <c r="K440" s="5002"/>
      <c r="L440" s="5002"/>
      <c r="M440" s="5002"/>
      <c r="N440" s="5002"/>
      <c r="O440" s="5002"/>
      <c r="P440" s="5002"/>
      <c r="Q440" s="5002"/>
    </row>
    <row r="441" spans="1:17">
      <c r="A441" s="5063"/>
      <c r="B441" s="5064"/>
      <c r="C441" s="5065"/>
      <c r="D441" s="5065"/>
      <c r="E441" s="5065"/>
      <c r="F441" s="5065"/>
      <c r="G441" s="5065"/>
      <c r="H441" s="5065"/>
      <c r="I441" s="5065"/>
      <c r="J441" s="5064"/>
      <c r="K441" s="5064"/>
      <c r="L441" s="5064"/>
      <c r="M441" s="5063"/>
      <c r="N441" s="5063"/>
      <c r="O441" s="5063"/>
      <c r="P441" s="5063"/>
      <c r="Q441" s="5063"/>
    </row>
    <row r="442" spans="1:17" ht="15.75" thickBot="1">
      <c r="A442" s="5002"/>
      <c r="B442" s="4992"/>
      <c r="C442" s="4992"/>
      <c r="D442" s="4992"/>
      <c r="E442" s="4992"/>
      <c r="F442" s="4992"/>
      <c r="G442" s="4992"/>
      <c r="H442" s="5002"/>
      <c r="I442" s="5002"/>
      <c r="J442" s="5002"/>
      <c r="K442" s="5002"/>
      <c r="L442" s="5002"/>
      <c r="M442" s="5002"/>
      <c r="N442" s="5002"/>
      <c r="O442" s="5002"/>
      <c r="P442" s="5002"/>
      <c r="Q442" s="5002"/>
    </row>
    <row r="443" spans="1:17">
      <c r="A443" s="5002"/>
      <c r="B443" s="5594" t="s">
        <v>1097</v>
      </c>
      <c r="C443" s="5595"/>
      <c r="D443" s="5595"/>
      <c r="E443" s="5595"/>
      <c r="F443" s="5595"/>
      <c r="G443" s="5596"/>
      <c r="H443" s="5002"/>
      <c r="I443" s="5597" t="s">
        <v>1098</v>
      </c>
      <c r="J443" s="5598"/>
      <c r="K443" s="5599" t="s">
        <v>1099</v>
      </c>
      <c r="L443" s="5599"/>
      <c r="M443" s="5600" t="s">
        <v>1100</v>
      </c>
      <c r="N443" s="5601" t="s">
        <v>1101</v>
      </c>
      <c r="O443" s="5002"/>
      <c r="P443" s="5002"/>
      <c r="Q443" s="5002"/>
    </row>
    <row r="444" spans="1:17">
      <c r="A444" s="5002"/>
      <c r="B444" s="5602"/>
      <c r="C444" s="5603"/>
      <c r="D444" s="5603"/>
      <c r="E444" s="5603"/>
      <c r="F444" s="5603"/>
      <c r="G444" s="5604"/>
      <c r="H444" s="5002"/>
      <c r="I444" s="5605"/>
      <c r="J444" s="5606"/>
      <c r="K444" s="5607"/>
      <c r="L444" s="5607"/>
      <c r="M444" s="5608"/>
      <c r="N444" s="5609"/>
      <c r="O444" s="5002"/>
      <c r="P444" s="5002"/>
      <c r="Q444" s="5002"/>
    </row>
    <row r="445" spans="1:17" ht="15.75" customHeight="1">
      <c r="A445" s="5002"/>
      <c r="B445" s="5610" t="s">
        <v>1102</v>
      </c>
      <c r="C445" s="5611"/>
      <c r="D445" s="5611"/>
      <c r="E445" s="5611"/>
      <c r="F445" s="5611"/>
      <c r="G445" s="5612"/>
      <c r="H445" s="5002"/>
      <c r="I445" s="5613" t="s">
        <v>1103</v>
      </c>
      <c r="J445" s="5614"/>
      <c r="K445" s="5615" t="s">
        <v>1104</v>
      </c>
      <c r="L445" s="5615"/>
      <c r="M445" s="5616"/>
      <c r="N445" s="5617"/>
      <c r="O445" s="5002"/>
      <c r="P445" s="5002"/>
      <c r="Q445" s="5002"/>
    </row>
    <row r="446" spans="1:17" ht="15.75" customHeight="1">
      <c r="A446" s="5002"/>
      <c r="B446" s="5610"/>
      <c r="C446" s="5611"/>
      <c r="D446" s="5611"/>
      <c r="E446" s="5611"/>
      <c r="F446" s="5611"/>
      <c r="G446" s="5612"/>
      <c r="H446" s="5002"/>
      <c r="I446" s="5618" t="s">
        <v>1105</v>
      </c>
      <c r="J446" s="5619"/>
      <c r="K446" s="5173" t="s">
        <v>1106</v>
      </c>
      <c r="L446" s="5173"/>
      <c r="M446" s="5171" t="s">
        <v>1107</v>
      </c>
      <c r="N446" s="5620" t="s">
        <v>1108</v>
      </c>
      <c r="O446" s="5002"/>
      <c r="P446" s="5002"/>
      <c r="Q446" s="5002"/>
    </row>
    <row r="447" spans="1:17" ht="16.5" customHeight="1">
      <c r="A447" s="5002"/>
      <c r="B447" s="5621" t="s">
        <v>1109</v>
      </c>
      <c r="C447" s="5622" t="s">
        <v>1110</v>
      </c>
      <c r="D447" s="5622"/>
      <c r="E447" s="5622"/>
      <c r="F447" s="5622"/>
      <c r="G447" s="5623"/>
      <c r="H447" s="5002"/>
      <c r="I447" s="5618" t="s">
        <v>1111</v>
      </c>
      <c r="J447" s="5619"/>
      <c r="K447" s="5173" t="s">
        <v>1112</v>
      </c>
      <c r="L447" s="5173"/>
      <c r="M447" s="5171" t="s">
        <v>1113</v>
      </c>
      <c r="N447" s="5620" t="s">
        <v>1114</v>
      </c>
      <c r="O447" s="5002"/>
      <c r="P447" s="5002"/>
      <c r="Q447" s="5002"/>
    </row>
    <row r="448" spans="1:17">
      <c r="A448" s="5002"/>
      <c r="B448" s="5621" t="s">
        <v>1109</v>
      </c>
      <c r="C448" s="5622" t="s">
        <v>1115</v>
      </c>
      <c r="D448" s="5622"/>
      <c r="E448" s="5622"/>
      <c r="F448" s="5622"/>
      <c r="G448" s="5623"/>
      <c r="H448" s="5002"/>
      <c r="I448" s="5618" t="s">
        <v>1116</v>
      </c>
      <c r="J448" s="5619"/>
      <c r="K448" s="5173" t="s">
        <v>1117</v>
      </c>
      <c r="L448" s="5173"/>
      <c r="M448" s="5171" t="s">
        <v>1118</v>
      </c>
      <c r="N448" s="5620" t="s">
        <v>1119</v>
      </c>
      <c r="O448" s="5002"/>
      <c r="P448" s="5002"/>
      <c r="Q448" s="5002"/>
    </row>
    <row r="449" spans="1:17" ht="15.75" customHeight="1" thickBot="1">
      <c r="A449" s="5002"/>
      <c r="B449" s="5621" t="s">
        <v>1109</v>
      </c>
      <c r="C449" s="5622" t="s">
        <v>1120</v>
      </c>
      <c r="D449" s="5622"/>
      <c r="E449" s="5622"/>
      <c r="F449" s="5622"/>
      <c r="G449" s="5623"/>
      <c r="H449" s="5002"/>
      <c r="I449" s="5624" t="s">
        <v>1121</v>
      </c>
      <c r="J449" s="5625"/>
      <c r="K449" s="5626" t="s">
        <v>1122</v>
      </c>
      <c r="L449" s="5626"/>
      <c r="M449" s="5627" t="s">
        <v>1123</v>
      </c>
      <c r="N449" s="5628" t="s">
        <v>1124</v>
      </c>
      <c r="O449" s="5002"/>
      <c r="P449" s="5002"/>
      <c r="Q449" s="5002"/>
    </row>
    <row r="450" spans="1:17" ht="15.75" customHeight="1">
      <c r="A450" s="5002"/>
      <c r="B450" s="5621" t="s">
        <v>1125</v>
      </c>
      <c r="C450" s="5622" t="s">
        <v>1126</v>
      </c>
      <c r="D450" s="5622"/>
      <c r="E450" s="5622"/>
      <c r="F450" s="5622"/>
      <c r="G450" s="5623"/>
      <c r="H450" s="5002"/>
      <c r="I450" s="5002"/>
      <c r="J450" s="5002"/>
      <c r="K450" s="5002"/>
      <c r="L450" s="5002"/>
      <c r="M450" s="5002"/>
      <c r="N450" s="5002"/>
      <c r="O450" s="5002"/>
      <c r="P450" s="5002"/>
      <c r="Q450" s="5002"/>
    </row>
    <row r="451" spans="1:17" ht="15" customHeight="1">
      <c r="A451" s="5002"/>
      <c r="B451" s="5621" t="s">
        <v>1127</v>
      </c>
      <c r="C451" s="5622" t="s">
        <v>1128</v>
      </c>
      <c r="D451" s="5622"/>
      <c r="E451" s="5622"/>
      <c r="F451" s="5622"/>
      <c r="G451" s="5623"/>
      <c r="H451" s="4992"/>
      <c r="I451" s="5002"/>
      <c r="J451" s="5002"/>
      <c r="K451" s="5002"/>
      <c r="L451" s="5002"/>
      <c r="M451" s="5002"/>
      <c r="N451" s="5002"/>
      <c r="O451" s="5002"/>
      <c r="P451" s="5002"/>
      <c r="Q451" s="5002"/>
    </row>
    <row r="452" spans="1:17">
      <c r="A452" s="5002"/>
      <c r="B452" s="5621" t="s">
        <v>1129</v>
      </c>
      <c r="C452" s="5622" t="s">
        <v>1130</v>
      </c>
      <c r="D452" s="5622"/>
      <c r="E452" s="5622"/>
      <c r="F452" s="5622"/>
      <c r="G452" s="5623"/>
      <c r="H452" s="4992"/>
      <c r="I452" s="5002"/>
      <c r="J452" s="5002"/>
      <c r="K452" s="5002"/>
      <c r="L452" s="5002"/>
      <c r="M452" s="5002"/>
      <c r="N452" s="5002"/>
      <c r="O452" s="5002"/>
      <c r="P452" s="5002"/>
      <c r="Q452" s="5002"/>
    </row>
    <row r="453" spans="1:17">
      <c r="A453" s="5002"/>
      <c r="B453" s="5621" t="s">
        <v>1129</v>
      </c>
      <c r="C453" s="5622" t="s">
        <v>1131</v>
      </c>
      <c r="D453" s="5622"/>
      <c r="E453" s="5622"/>
      <c r="F453" s="5622"/>
      <c r="G453" s="5623"/>
      <c r="H453" s="4992"/>
      <c r="I453" s="5002"/>
      <c r="J453" s="5002"/>
      <c r="K453" s="5002"/>
      <c r="L453" s="5002"/>
      <c r="M453" s="5002"/>
      <c r="N453" s="5002"/>
      <c r="O453" s="5002"/>
      <c r="P453" s="5002"/>
      <c r="Q453" s="5002"/>
    </row>
    <row r="454" spans="1:17">
      <c r="A454" s="5002"/>
      <c r="B454" s="5610" t="s">
        <v>1132</v>
      </c>
      <c r="C454" s="5611" t="s">
        <v>1133</v>
      </c>
      <c r="D454" s="5611"/>
      <c r="E454" s="5611"/>
      <c r="F454" s="5611"/>
      <c r="G454" s="5612"/>
      <c r="H454" s="4992"/>
      <c r="I454" s="5002"/>
      <c r="J454" s="5002"/>
      <c r="K454" s="5002"/>
      <c r="L454" s="5002"/>
      <c r="M454" s="5002"/>
      <c r="N454" s="5002"/>
      <c r="O454" s="5002"/>
      <c r="P454" s="5002"/>
      <c r="Q454" s="5002"/>
    </row>
    <row r="455" spans="1:17">
      <c r="A455" s="5002"/>
      <c r="B455" s="5610"/>
      <c r="C455" s="5611"/>
      <c r="D455" s="5611"/>
      <c r="E455" s="5611"/>
      <c r="F455" s="5611"/>
      <c r="G455" s="5612"/>
      <c r="H455" s="4992"/>
      <c r="I455" s="5002"/>
      <c r="J455" s="5002"/>
      <c r="K455" s="5002"/>
      <c r="L455" s="5002"/>
      <c r="M455" s="5002"/>
      <c r="N455" s="5002"/>
      <c r="O455" s="5002"/>
      <c r="P455" s="5002"/>
      <c r="Q455" s="5002"/>
    </row>
    <row r="456" spans="1:17">
      <c r="A456" s="5002"/>
      <c r="B456" s="5610" t="s">
        <v>1134</v>
      </c>
      <c r="C456" s="5611" t="s">
        <v>1135</v>
      </c>
      <c r="D456" s="5611"/>
      <c r="E456" s="5611"/>
      <c r="F456" s="5611"/>
      <c r="G456" s="5612"/>
      <c r="H456" s="4992"/>
      <c r="I456" s="5002"/>
      <c r="J456" s="5002"/>
      <c r="K456" s="5002"/>
      <c r="L456" s="5002"/>
      <c r="M456" s="5002"/>
      <c r="N456" s="5002"/>
      <c r="O456" s="5002"/>
      <c r="P456" s="5002"/>
      <c r="Q456" s="5002"/>
    </row>
    <row r="457" spans="1:17">
      <c r="A457" s="5002"/>
      <c r="B457" s="5629"/>
      <c r="C457" s="5630"/>
      <c r="D457" s="5630"/>
      <c r="E457" s="5630"/>
      <c r="F457" s="5630"/>
      <c r="G457" s="5631"/>
      <c r="H457" s="4992"/>
      <c r="I457" s="5002"/>
      <c r="J457" s="5002"/>
      <c r="K457" s="5002"/>
      <c r="L457" s="5002"/>
      <c r="M457" s="5002"/>
      <c r="N457" s="5002"/>
      <c r="O457" s="5002"/>
      <c r="P457" s="5002"/>
      <c r="Q457" s="5002"/>
    </row>
    <row r="458" spans="1:17" ht="15.75" thickBot="1">
      <c r="A458" s="5002"/>
      <c r="B458" s="5170"/>
      <c r="C458" s="5170"/>
      <c r="D458" s="5170"/>
      <c r="E458" s="5170"/>
      <c r="F458" s="5170"/>
      <c r="G458" s="5170"/>
      <c r="H458" s="4992"/>
      <c r="I458" s="5171"/>
      <c r="J458" s="5171"/>
      <c r="K458" s="5173"/>
      <c r="L458" s="5173"/>
      <c r="M458" s="5171"/>
      <c r="N458" s="5171"/>
      <c r="O458" s="5002"/>
      <c r="P458" s="5002"/>
      <c r="Q458" s="5002"/>
    </row>
    <row r="459" spans="1:17" ht="15.75">
      <c r="B459" s="5632" t="s">
        <v>1136</v>
      </c>
      <c r="C459" s="5633"/>
      <c r="D459" s="5633"/>
      <c r="E459" s="5634"/>
      <c r="F459" s="5002"/>
      <c r="G459" s="5002"/>
      <c r="H459" s="5635" t="s">
        <v>1137</v>
      </c>
      <c r="I459" s="5636"/>
      <c r="J459" s="5637"/>
      <c r="K459" s="5637"/>
      <c r="L459" s="5637"/>
      <c r="M459" s="5637"/>
      <c r="N459" s="5638"/>
      <c r="O459" s="5002"/>
      <c r="P459" s="5002"/>
      <c r="Q459" s="5002"/>
    </row>
    <row r="460" spans="1:17" ht="25.5">
      <c r="B460" s="5639" t="s">
        <v>1138</v>
      </c>
      <c r="C460" s="5640"/>
      <c r="D460" s="5641" t="s">
        <v>1139</v>
      </c>
      <c r="E460" s="5642">
        <f>(B462*B465)+(C462*C465)+(D462*D465)+(E462*E465)</f>
        <v>228.85000000000002</v>
      </c>
      <c r="F460" s="5002"/>
      <c r="G460" s="5002"/>
      <c r="H460" s="5643" t="s">
        <v>1140</v>
      </c>
      <c r="I460" s="5644" t="s">
        <v>1053</v>
      </c>
      <c r="J460" s="5644" t="s">
        <v>1141</v>
      </c>
      <c r="K460" s="5644" t="s">
        <v>1142</v>
      </c>
      <c r="L460" s="5644" t="s">
        <v>1143</v>
      </c>
      <c r="M460" s="5644" t="s">
        <v>1144</v>
      </c>
      <c r="N460" s="5645" t="s">
        <v>1145</v>
      </c>
      <c r="O460" s="5002"/>
      <c r="P460" s="5002"/>
      <c r="Q460" s="5002"/>
    </row>
    <row r="461" spans="1:17">
      <c r="B461" s="5646"/>
      <c r="C461" s="5647"/>
      <c r="D461" s="5648"/>
      <c r="E461" s="5649"/>
      <c r="F461" s="5002"/>
      <c r="G461" s="5002"/>
      <c r="H461" s="5650">
        <v>0.12</v>
      </c>
      <c r="I461" s="5651">
        <v>1</v>
      </c>
      <c r="J461" s="5651">
        <v>0.11</v>
      </c>
      <c r="K461" s="5651">
        <v>0</v>
      </c>
      <c r="L461" s="5651">
        <v>0.01</v>
      </c>
      <c r="M461" s="5651">
        <v>5.0000000000000001E-3</v>
      </c>
      <c r="N461" s="5652">
        <f>SUM(H461:M461)</f>
        <v>1.2450000000000001</v>
      </c>
      <c r="O461" s="5002"/>
      <c r="P461" s="5002"/>
      <c r="Q461" s="5002"/>
    </row>
    <row r="462" spans="1:17">
      <c r="B462" s="5653">
        <v>6.5000000000000002E-2</v>
      </c>
      <c r="C462" s="5654">
        <v>7.4999999999999997E-2</v>
      </c>
      <c r="D462" s="5654">
        <v>0.12</v>
      </c>
      <c r="E462" s="5655">
        <v>0.15</v>
      </c>
      <c r="F462" s="5002"/>
      <c r="G462" s="5002"/>
      <c r="H462" s="5650"/>
      <c r="I462" s="5651"/>
      <c r="J462" s="5651"/>
      <c r="K462" s="5651"/>
      <c r="L462" s="5651"/>
      <c r="M462" s="5651"/>
      <c r="N462" s="5652"/>
      <c r="O462" s="5002"/>
      <c r="P462" s="5002"/>
      <c r="Q462" s="5002"/>
    </row>
    <row r="463" spans="1:17">
      <c r="B463" s="5656"/>
      <c r="C463" s="5657"/>
      <c r="D463" s="5657"/>
      <c r="E463" s="5658"/>
      <c r="F463" s="5002"/>
      <c r="G463" s="5002"/>
      <c r="H463" s="5659">
        <f>(H461/N461)*N463</f>
        <v>2.1204819277108431</v>
      </c>
      <c r="I463" s="5660">
        <f>(I461/N461)*N463</f>
        <v>17.670682730923691</v>
      </c>
      <c r="J463" s="5660">
        <f>(J461/N461)*N463</f>
        <v>1.9437751004016062</v>
      </c>
      <c r="K463" s="5660">
        <f>(K461/N461)*N463</f>
        <v>0</v>
      </c>
      <c r="L463" s="5660">
        <f>(L461/N461)*N463</f>
        <v>0.17670682730923692</v>
      </c>
      <c r="M463" s="5660">
        <f>(M461/N461)*N463</f>
        <v>8.8353413654618462E-2</v>
      </c>
      <c r="N463" s="5661">
        <v>22</v>
      </c>
      <c r="O463" s="5002"/>
      <c r="P463" s="5002"/>
      <c r="Q463" s="5002"/>
    </row>
    <row r="464" spans="1:17">
      <c r="B464" s="5662" t="s">
        <v>1146</v>
      </c>
      <c r="C464" s="5663" t="s">
        <v>1147</v>
      </c>
      <c r="D464" s="5663" t="s">
        <v>1148</v>
      </c>
      <c r="E464" s="5664" t="s">
        <v>259</v>
      </c>
      <c r="F464" s="5002"/>
      <c r="G464" s="5002"/>
      <c r="H464" s="5659"/>
      <c r="I464" s="5660"/>
      <c r="J464" s="5660"/>
      <c r="K464" s="5660"/>
      <c r="L464" s="5660"/>
      <c r="M464" s="5660"/>
      <c r="N464" s="5661"/>
      <c r="O464" s="5002"/>
      <c r="P464" s="5002"/>
      <c r="Q464" s="5002"/>
    </row>
    <row r="465" spans="1:17">
      <c r="B465" s="5665">
        <v>920</v>
      </c>
      <c r="C465" s="5666">
        <v>1700</v>
      </c>
      <c r="D465" s="5666">
        <v>240</v>
      </c>
      <c r="E465" s="5667">
        <v>85</v>
      </c>
      <c r="F465" s="5002"/>
      <c r="G465" s="5002"/>
      <c r="H465" s="5668" t="s">
        <v>1149</v>
      </c>
      <c r="I465" s="5669"/>
      <c r="J465" s="5669"/>
      <c r="K465" s="5669"/>
      <c r="L465" s="5669"/>
      <c r="M465" s="5669"/>
      <c r="N465" s="5670"/>
      <c r="O465" s="5002"/>
      <c r="P465" s="5002"/>
      <c r="Q465" s="5002"/>
    </row>
    <row r="466" spans="1:17">
      <c r="B466" s="5671"/>
      <c r="C466" s="5672"/>
      <c r="D466" s="5672"/>
      <c r="E466" s="5673"/>
      <c r="F466" s="5002"/>
      <c r="G466" s="5002"/>
      <c r="H466" s="5674">
        <f t="shared" ref="H466:M466" si="2">ROUNDUP(H463,2)</f>
        <v>2.13</v>
      </c>
      <c r="I466" s="5675">
        <f t="shared" si="2"/>
        <v>17.680000000000003</v>
      </c>
      <c r="J466" s="5675">
        <f t="shared" si="2"/>
        <v>1.95</v>
      </c>
      <c r="K466" s="5675">
        <f t="shared" si="2"/>
        <v>0</v>
      </c>
      <c r="L466" s="5675">
        <f t="shared" si="2"/>
        <v>0.18000000000000002</v>
      </c>
      <c r="M466" s="5675">
        <f t="shared" si="2"/>
        <v>0.09</v>
      </c>
      <c r="N466" s="5676">
        <f>SUM(H466:M466)</f>
        <v>22.03</v>
      </c>
      <c r="O466" s="5002"/>
      <c r="P466" s="5002"/>
      <c r="Q466" s="5002"/>
    </row>
    <row r="467" spans="1:17">
      <c r="B467" s="5677" t="s">
        <v>1150</v>
      </c>
      <c r="C467" s="5678">
        <f>SUM(B465:E465)</f>
        <v>2945</v>
      </c>
      <c r="D467" s="5679" t="s">
        <v>1151</v>
      </c>
      <c r="E467" s="5680">
        <f>IF(E460=0,0,E460/D462)</f>
        <v>1907.0833333333335</v>
      </c>
      <c r="F467" s="5002"/>
      <c r="G467" s="5002"/>
      <c r="H467" s="5674"/>
      <c r="I467" s="5675"/>
      <c r="J467" s="5675"/>
      <c r="K467" s="5675"/>
      <c r="L467" s="5675"/>
      <c r="M467" s="5675"/>
      <c r="N467" s="5676"/>
      <c r="O467" s="5002"/>
      <c r="P467" s="5002"/>
      <c r="Q467" s="5002"/>
    </row>
    <row r="468" spans="1:17" ht="15.75" thickBot="1">
      <c r="B468" s="5681"/>
      <c r="C468" s="5682"/>
      <c r="D468" s="5683"/>
      <c r="E468" s="5684"/>
      <c r="F468" s="5002"/>
      <c r="G468" s="5002"/>
      <c r="H468" s="5685" t="s">
        <v>1152</v>
      </c>
      <c r="I468" s="5686"/>
      <c r="J468" s="5686"/>
      <c r="K468" s="5686"/>
      <c r="L468" s="5686"/>
      <c r="M468" s="5686"/>
      <c r="N468" s="5687"/>
      <c r="O468" s="5002"/>
      <c r="P468" s="5002"/>
      <c r="Q468" s="5002"/>
    </row>
    <row r="469" spans="1:17" ht="15.75" thickBot="1">
      <c r="B469" s="5688" t="s">
        <v>1152</v>
      </c>
      <c r="C469" s="5689"/>
      <c r="D469" s="5689"/>
      <c r="E469" s="5690"/>
      <c r="F469" s="5002"/>
      <c r="G469" s="5002"/>
      <c r="H469" s="5002"/>
      <c r="I469" s="4992"/>
      <c r="J469" s="4992"/>
      <c r="K469" s="4992"/>
      <c r="L469" s="4992"/>
      <c r="M469" s="5002"/>
      <c r="N469" s="5002"/>
      <c r="O469" s="5002"/>
      <c r="P469" s="5002"/>
      <c r="Q469" s="5002"/>
    </row>
    <row r="470" spans="1:17" ht="15.75" thickBot="1">
      <c r="A470" s="5002"/>
      <c r="B470" s="5170"/>
      <c r="C470" s="5170"/>
      <c r="D470" s="5170"/>
      <c r="E470" s="5170"/>
      <c r="F470" s="5170"/>
      <c r="G470" s="5170"/>
      <c r="H470" s="4992"/>
      <c r="I470" s="5171"/>
      <c r="J470" s="5171"/>
      <c r="K470" s="5173"/>
      <c r="L470" s="4992"/>
      <c r="M470" s="4992"/>
      <c r="N470" s="4992"/>
      <c r="O470" s="4992"/>
      <c r="P470" s="4992"/>
      <c r="Q470" s="4992"/>
    </row>
    <row r="471" spans="1:17" ht="15" customHeight="1">
      <c r="B471" s="5691" t="s">
        <v>1153</v>
      </c>
      <c r="C471" s="5692"/>
      <c r="D471" s="5692"/>
      <c r="E471" s="5692"/>
      <c r="F471" s="5692"/>
      <c r="G471" s="5692"/>
      <c r="H471" s="5692"/>
      <c r="I471" s="5692"/>
      <c r="J471" s="5692"/>
      <c r="K471" s="5692"/>
      <c r="L471" s="5692"/>
      <c r="M471" s="5692"/>
      <c r="N471" s="5692"/>
      <c r="O471" s="5692"/>
      <c r="P471" s="5692"/>
      <c r="Q471" s="5693"/>
    </row>
    <row r="472" spans="1:17" ht="15.75" customHeight="1" thickBot="1">
      <c r="B472" s="5694"/>
      <c r="C472" s="5695"/>
      <c r="D472" s="5695"/>
      <c r="E472" s="5695"/>
      <c r="F472" s="5695"/>
      <c r="G472" s="5695"/>
      <c r="H472" s="5695"/>
      <c r="I472" s="5695"/>
      <c r="J472" s="5695"/>
      <c r="K472" s="5695"/>
      <c r="L472" s="5695"/>
      <c r="M472" s="5695"/>
      <c r="N472" s="5695"/>
      <c r="O472" s="5695"/>
      <c r="P472" s="5695"/>
      <c r="Q472" s="5696"/>
    </row>
    <row r="473" spans="1:17">
      <c r="A473" s="5002"/>
      <c r="B473" s="5002"/>
      <c r="C473" s="5002"/>
      <c r="D473" s="5002"/>
      <c r="E473" s="5002"/>
      <c r="F473" s="5002"/>
      <c r="G473" s="5002"/>
      <c r="H473" s="5002"/>
      <c r="I473" s="5002"/>
      <c r="J473" s="5002"/>
      <c r="K473" s="5002"/>
      <c r="L473" s="5002"/>
      <c r="M473" s="5002"/>
      <c r="N473" s="5002"/>
      <c r="O473" s="5002"/>
      <c r="P473" s="5002"/>
      <c r="Q473" s="5002"/>
    </row>
    <row r="474" spans="1:17" ht="15.75" thickBot="1">
      <c r="A474" s="5232" t="s">
        <v>909</v>
      </c>
      <c r="B474" s="5697" t="str">
        <f>B475</f>
        <v>Gélatine alimentaire</v>
      </c>
      <c r="C474" s="5697"/>
      <c r="D474" s="5697"/>
      <c r="E474" s="5697"/>
      <c r="F474" s="5697"/>
      <c r="G474" s="5697"/>
      <c r="H474" s="5697"/>
      <c r="I474" s="5697"/>
      <c r="J474" s="5697"/>
      <c r="K474" s="5697"/>
      <c r="L474" s="5697"/>
      <c r="M474" s="5697"/>
      <c r="N474" s="5697"/>
      <c r="O474" s="5002"/>
      <c r="P474" s="5002"/>
      <c r="Q474" s="5002"/>
    </row>
    <row r="475" spans="1:17" ht="15" customHeight="1">
      <c r="A475" s="4121" t="str">
        <f>B475</f>
        <v>Gélatine alimentaire</v>
      </c>
      <c r="B475" s="5698" t="s">
        <v>1154</v>
      </c>
      <c r="C475" s="4123"/>
      <c r="D475" s="4123"/>
      <c r="E475" s="4123"/>
      <c r="F475" s="4123"/>
      <c r="G475" s="4123"/>
      <c r="H475" s="4123"/>
      <c r="I475" s="4123"/>
      <c r="J475" s="4123"/>
      <c r="K475" s="4123"/>
      <c r="L475" s="4123"/>
      <c r="M475" s="4123"/>
      <c r="N475" s="5699"/>
      <c r="O475" s="5002"/>
      <c r="P475" s="5002"/>
      <c r="Q475" s="5002"/>
    </row>
    <row r="476" spans="1:17" ht="15" customHeight="1">
      <c r="A476" s="4121"/>
      <c r="B476" s="5700"/>
      <c r="C476" s="5701"/>
      <c r="D476" s="5701"/>
      <c r="E476" s="5701"/>
      <c r="F476" s="5701"/>
      <c r="G476" s="5701"/>
      <c r="H476" s="5701"/>
      <c r="I476" s="5701"/>
      <c r="J476" s="5701"/>
      <c r="K476" s="5701"/>
      <c r="L476" s="5701"/>
      <c r="M476" s="5701"/>
      <c r="N476" s="4127"/>
      <c r="O476" s="5002"/>
      <c r="P476" s="5002"/>
      <c r="Q476" s="5002"/>
    </row>
    <row r="477" spans="1:17" ht="15" customHeight="1">
      <c r="A477" s="4121"/>
      <c r="B477" s="5702" t="s">
        <v>1155</v>
      </c>
      <c r="C477" s="5703"/>
      <c r="D477" s="5703"/>
      <c r="E477" s="5703"/>
      <c r="F477" s="5703"/>
      <c r="G477" s="5703"/>
      <c r="H477" s="5703"/>
      <c r="I477" s="5703"/>
      <c r="J477" s="5703"/>
      <c r="K477" s="5703"/>
      <c r="L477" s="5703"/>
      <c r="M477" s="5703"/>
      <c r="N477" s="5704"/>
      <c r="O477" s="5002"/>
      <c r="P477" s="5002"/>
      <c r="Q477" s="5002"/>
    </row>
    <row r="478" spans="1:17" ht="15.75" customHeight="1">
      <c r="A478" s="4121"/>
      <c r="B478" s="5705"/>
      <c r="C478" s="5706"/>
      <c r="D478" s="5706"/>
      <c r="E478" s="5706"/>
      <c r="F478" s="5706"/>
      <c r="G478" s="5706"/>
      <c r="H478" s="5706"/>
      <c r="I478" s="5706"/>
      <c r="J478" s="5706"/>
      <c r="K478" s="5706"/>
      <c r="L478" s="5706"/>
      <c r="M478" s="5706"/>
      <c r="N478" s="5707"/>
      <c r="O478" s="5002"/>
      <c r="P478" s="5002"/>
      <c r="Q478" s="5002"/>
    </row>
    <row r="479" spans="1:17" ht="15.75" customHeight="1">
      <c r="A479" s="4121"/>
      <c r="B479" s="5708"/>
      <c r="C479" s="5709"/>
      <c r="D479" s="5709"/>
      <c r="E479" s="5709"/>
      <c r="F479" s="5709"/>
      <c r="G479" s="5709"/>
      <c r="H479" s="5709"/>
      <c r="I479" s="5709"/>
      <c r="J479" s="5709"/>
      <c r="K479" s="5709"/>
      <c r="L479" s="5709"/>
      <c r="M479" s="5709"/>
      <c r="N479" s="5710" t="s">
        <v>1156</v>
      </c>
      <c r="O479" s="5002"/>
      <c r="P479" s="5002"/>
      <c r="Q479" s="5002"/>
    </row>
    <row r="480" spans="1:17" ht="16.5" customHeight="1">
      <c r="A480" s="4121"/>
      <c r="B480" s="5708"/>
      <c r="C480" s="5711" t="s">
        <v>1157</v>
      </c>
      <c r="D480" s="5709"/>
      <c r="E480" s="5709"/>
      <c r="F480" s="5709"/>
      <c r="G480" s="5709"/>
      <c r="H480" s="5709"/>
      <c r="I480" s="5709"/>
      <c r="J480" s="5709"/>
      <c r="K480" s="5709"/>
      <c r="L480" s="5709"/>
      <c r="M480" s="5709"/>
      <c r="N480" s="5712"/>
      <c r="O480" s="5002"/>
      <c r="P480" s="5002"/>
      <c r="Q480" s="5002"/>
    </row>
    <row r="481" spans="1:17" ht="15.75" customHeight="1">
      <c r="A481" s="4121"/>
      <c r="B481" s="5708"/>
      <c r="C481" s="5711" t="s">
        <v>1158</v>
      </c>
      <c r="D481" s="5709"/>
      <c r="E481" s="5709"/>
      <c r="F481" s="5709"/>
      <c r="G481" s="5709"/>
      <c r="H481" s="5709"/>
      <c r="I481" s="5709"/>
      <c r="J481" s="5709"/>
      <c r="K481" s="5709"/>
      <c r="L481" s="5709"/>
      <c r="M481" s="5709"/>
      <c r="N481" s="5712"/>
      <c r="O481" s="5002"/>
      <c r="P481" s="5002"/>
      <c r="Q481" s="5002"/>
    </row>
    <row r="482" spans="1:17" ht="15.75">
      <c r="A482" s="4121"/>
      <c r="B482" s="5708"/>
      <c r="C482" s="5711" t="s">
        <v>1159</v>
      </c>
      <c r="D482" s="5709"/>
      <c r="E482" s="5709"/>
      <c r="F482" s="5709"/>
      <c r="G482" s="5709"/>
      <c r="H482" s="5709"/>
      <c r="I482" s="5709"/>
      <c r="J482" s="5709"/>
      <c r="K482" s="5709"/>
      <c r="L482" s="5709"/>
      <c r="M482" s="5709"/>
      <c r="N482" s="5712"/>
      <c r="O482" s="5002"/>
      <c r="P482" s="5002"/>
      <c r="Q482" s="5002"/>
    </row>
    <row r="483" spans="1:17" ht="15.75" customHeight="1">
      <c r="A483" s="4121"/>
      <c r="B483" s="5708"/>
      <c r="C483" s="5711" t="s">
        <v>1160</v>
      </c>
      <c r="D483" s="5709"/>
      <c r="E483" s="5709"/>
      <c r="F483" s="5709"/>
      <c r="G483" s="5709"/>
      <c r="H483" s="5709"/>
      <c r="I483" s="5709"/>
      <c r="J483" s="5709"/>
      <c r="K483" s="5709"/>
      <c r="L483" s="5709"/>
      <c r="M483" s="5709"/>
      <c r="N483" s="5712"/>
      <c r="O483" s="5002"/>
      <c r="P483" s="5002"/>
      <c r="Q483" s="5002"/>
    </row>
    <row r="484" spans="1:17" ht="15.75">
      <c r="A484" s="4121"/>
      <c r="B484" s="5708"/>
      <c r="C484" s="5711" t="s">
        <v>1161</v>
      </c>
      <c r="D484" s="5709"/>
      <c r="E484" s="5709"/>
      <c r="F484" s="5709"/>
      <c r="G484" s="5709"/>
      <c r="H484" s="5709"/>
      <c r="I484" s="5709"/>
      <c r="J484" s="5709"/>
      <c r="K484" s="5709"/>
      <c r="L484" s="5709"/>
      <c r="M484" s="5709"/>
      <c r="N484" s="5712"/>
      <c r="O484" s="5002"/>
      <c r="P484" s="5002"/>
      <c r="Q484" s="5002"/>
    </row>
    <row r="485" spans="1:17" ht="15.75">
      <c r="A485" s="4121"/>
      <c r="B485" s="5708"/>
      <c r="C485" s="5711" t="s">
        <v>1162</v>
      </c>
      <c r="D485" s="5709"/>
      <c r="E485" s="5709"/>
      <c r="F485" s="5709"/>
      <c r="G485" s="5709"/>
      <c r="H485" s="5709"/>
      <c r="I485" s="5709"/>
      <c r="J485" s="5709"/>
      <c r="K485" s="5709"/>
      <c r="L485" s="5709"/>
      <c r="M485" s="5709"/>
      <c r="N485" s="5712"/>
      <c r="O485" s="5002"/>
      <c r="P485" s="5002"/>
      <c r="Q485" s="5002"/>
    </row>
    <row r="486" spans="1:17" ht="15.75">
      <c r="A486" s="4121"/>
      <c r="B486" s="5708"/>
      <c r="C486" s="5711" t="s">
        <v>1163</v>
      </c>
      <c r="D486" s="5709"/>
      <c r="E486" s="5709"/>
      <c r="F486" s="5709"/>
      <c r="G486" s="5709"/>
      <c r="H486" s="5709"/>
      <c r="I486" s="5709"/>
      <c r="J486" s="5709"/>
      <c r="K486" s="5709"/>
      <c r="L486" s="5709"/>
      <c r="M486" s="5709"/>
      <c r="N486" s="5712"/>
      <c r="O486" s="5002"/>
      <c r="P486" s="5002"/>
      <c r="Q486" s="5002"/>
    </row>
    <row r="487" spans="1:17">
      <c r="A487" s="4121"/>
      <c r="B487" s="5708"/>
      <c r="C487" s="5709"/>
      <c r="D487" s="5709"/>
      <c r="E487" s="5709"/>
      <c r="F487" s="5709"/>
      <c r="G487" s="5709"/>
      <c r="H487" s="5709"/>
      <c r="I487" s="5709"/>
      <c r="J487" s="5709"/>
      <c r="K487" s="5709"/>
      <c r="L487" s="5709"/>
      <c r="M487" s="5709"/>
      <c r="N487" s="5712"/>
      <c r="O487" s="5002"/>
      <c r="P487" s="5002"/>
      <c r="Q487" s="5002"/>
    </row>
    <row r="488" spans="1:17">
      <c r="A488" s="4121"/>
      <c r="B488" s="5708"/>
      <c r="C488" s="5713" t="s">
        <v>1164</v>
      </c>
      <c r="D488" s="5714"/>
      <c r="E488" s="5714"/>
      <c r="F488" s="5714"/>
      <c r="G488" s="5714"/>
      <c r="H488" s="5714"/>
      <c r="I488" s="5714"/>
      <c r="J488" s="5714"/>
      <c r="K488" s="5714"/>
      <c r="L488" s="5714"/>
      <c r="M488" s="5715"/>
      <c r="N488" s="5712"/>
      <c r="O488" s="5002"/>
      <c r="P488" s="5002"/>
      <c r="Q488" s="5002"/>
    </row>
    <row r="489" spans="1:17">
      <c r="A489" s="4121"/>
      <c r="B489" s="5708"/>
      <c r="C489" s="5716"/>
      <c r="D489" s="5717"/>
      <c r="E489" s="5002"/>
      <c r="F489" s="5718" t="s">
        <v>150</v>
      </c>
      <c r="G489" s="5717"/>
      <c r="H489" s="5719" t="s">
        <v>1165</v>
      </c>
      <c r="I489" s="5719"/>
      <c r="J489" s="5719"/>
      <c r="K489" s="5719"/>
      <c r="L489" s="5719"/>
      <c r="M489" s="5720"/>
      <c r="N489" s="5712"/>
      <c r="O489" s="5002"/>
      <c r="P489" s="5002"/>
      <c r="Q489" s="5002"/>
    </row>
    <row r="490" spans="1:17" ht="15.75">
      <c r="A490" s="4121"/>
      <c r="B490" s="5708"/>
      <c r="C490" s="5721" t="s">
        <v>152</v>
      </c>
      <c r="D490" s="5722" t="s">
        <v>1166</v>
      </c>
      <c r="E490" s="5722"/>
      <c r="F490" s="5723">
        <v>2</v>
      </c>
      <c r="G490" s="5724"/>
      <c r="H490" s="5725" t="s">
        <v>1167</v>
      </c>
      <c r="I490" s="5724"/>
      <c r="J490" s="5724"/>
      <c r="K490" s="5726"/>
      <c r="L490" s="5726"/>
      <c r="M490" s="5727"/>
      <c r="N490" s="5712"/>
      <c r="O490" s="5002"/>
      <c r="P490" s="5002"/>
      <c r="Q490" s="5002"/>
    </row>
    <row r="491" spans="1:17" ht="15.75">
      <c r="A491" s="4121"/>
      <c r="B491" s="5708"/>
      <c r="C491" s="5728">
        <v>10</v>
      </c>
      <c r="D491" s="5729" t="s">
        <v>1168</v>
      </c>
      <c r="E491" s="5002"/>
      <c r="F491" s="5730">
        <f>C491*F490</f>
        <v>20</v>
      </c>
      <c r="G491" s="5731"/>
      <c r="H491" s="5732" t="s">
        <v>1169</v>
      </c>
      <c r="I491" s="5724"/>
      <c r="J491" s="5724"/>
      <c r="K491" s="5726"/>
      <c r="L491" s="5726"/>
      <c r="M491" s="5727"/>
      <c r="N491" s="5712"/>
      <c r="O491" s="5002"/>
      <c r="P491" s="5002"/>
      <c r="Q491" s="5002"/>
    </row>
    <row r="492" spans="1:17" ht="15.75">
      <c r="A492" s="4121"/>
      <c r="B492" s="5708"/>
      <c r="C492" s="5733"/>
      <c r="D492" s="5734"/>
      <c r="E492" s="5726"/>
      <c r="F492" s="5726"/>
      <c r="G492" s="5726"/>
      <c r="H492" s="5732" t="s">
        <v>1170</v>
      </c>
      <c r="I492" s="5203"/>
      <c r="J492" s="5724"/>
      <c r="K492" s="5726"/>
      <c r="L492" s="5726"/>
      <c r="M492" s="5727"/>
      <c r="N492" s="5712"/>
      <c r="O492" s="5002"/>
      <c r="P492" s="5002"/>
      <c r="Q492" s="5002"/>
    </row>
    <row r="493" spans="1:17" ht="15.75">
      <c r="A493" s="4121"/>
      <c r="B493" s="5708"/>
      <c r="C493" s="5721"/>
      <c r="D493" s="5735"/>
      <c r="E493" s="5726"/>
      <c r="F493" s="5726"/>
      <c r="G493" s="5726"/>
      <c r="H493" s="5725" t="s">
        <v>1171</v>
      </c>
      <c r="I493" s="5724"/>
      <c r="J493" s="5724"/>
      <c r="K493" s="5726"/>
      <c r="L493" s="5726"/>
      <c r="M493" s="5727"/>
      <c r="N493" s="5712"/>
      <c r="O493" s="5002"/>
      <c r="P493" s="5002"/>
      <c r="Q493" s="5002"/>
    </row>
    <row r="494" spans="1:17" ht="15.75">
      <c r="A494" s="4121"/>
      <c r="B494" s="5708"/>
      <c r="C494" s="239" t="s">
        <v>150</v>
      </c>
      <c r="D494" s="240" t="s">
        <v>1172</v>
      </c>
      <c r="E494" s="5736"/>
      <c r="F494" s="5736"/>
      <c r="G494" s="5736"/>
      <c r="H494" s="5736"/>
      <c r="I494" s="5736"/>
      <c r="J494" s="5736"/>
      <c r="K494" s="5736"/>
      <c r="L494" s="5736"/>
      <c r="M494" s="5737"/>
      <c r="N494" s="5712"/>
      <c r="O494" s="5002"/>
      <c r="P494" s="5002"/>
      <c r="Q494" s="5002"/>
    </row>
    <row r="495" spans="1:17" ht="15.75">
      <c r="A495" s="4121"/>
      <c r="B495" s="5708"/>
      <c r="C495" s="5738" t="s">
        <v>152</v>
      </c>
      <c r="D495" s="5739" t="s">
        <v>1173</v>
      </c>
      <c r="E495" s="5740"/>
      <c r="F495" s="5740"/>
      <c r="G495" s="5740"/>
      <c r="H495" s="5740"/>
      <c r="I495" s="5740"/>
      <c r="J495" s="5740"/>
      <c r="K495" s="5740"/>
      <c r="L495" s="5740"/>
      <c r="M495" s="5741"/>
      <c r="N495" s="5712"/>
      <c r="O495" s="5002"/>
      <c r="P495" s="5002"/>
      <c r="Q495" s="5002"/>
    </row>
    <row r="496" spans="1:17">
      <c r="A496" s="4121"/>
      <c r="B496" s="5742" t="str">
        <f ca="1">CELL("nomfichier",A492)</f>
        <v>E:\0-UPRT\1-UPRT.FR-SITE-WEB\ff-fiches-fabrications\ff-fiches-fabrication-maj-08-2020\[ff-8-restauration-Christian.Frechede.xlsx]Cuisiniers.Pesez</v>
      </c>
      <c r="C496" s="5709"/>
      <c r="D496" s="5709"/>
      <c r="E496" s="5709"/>
      <c r="F496" s="5709"/>
      <c r="G496" s="5709"/>
      <c r="H496" s="5709"/>
      <c r="I496" s="5709"/>
      <c r="J496" s="5709"/>
      <c r="K496" s="5709"/>
      <c r="L496" s="5709"/>
      <c r="M496" s="5709"/>
      <c r="N496" s="5712"/>
      <c r="O496" s="5002"/>
      <c r="P496" s="5002"/>
      <c r="Q496" s="5002"/>
    </row>
    <row r="497" spans="1:17" ht="15" customHeight="1">
      <c r="A497" s="4121"/>
      <c r="B497" s="5743" t="s">
        <v>1174</v>
      </c>
      <c r="C497" s="5744"/>
      <c r="D497" s="5744"/>
      <c r="E497" s="5744"/>
      <c r="F497" s="5744"/>
      <c r="G497" s="5744"/>
      <c r="H497" s="5744"/>
      <c r="I497" s="5744"/>
      <c r="J497" s="5744"/>
      <c r="K497" s="5744"/>
      <c r="L497" s="5744"/>
      <c r="M497" s="5744"/>
      <c r="N497" s="5745"/>
      <c r="O497" s="5002"/>
      <c r="P497" s="5002"/>
      <c r="Q497" s="5002"/>
    </row>
    <row r="498" spans="1:17" ht="15.75" thickBot="1">
      <c r="A498" s="4121"/>
      <c r="B498" s="5322"/>
      <c r="C498" s="5323"/>
      <c r="D498" s="5323"/>
      <c r="E498" s="5323"/>
      <c r="F498" s="5323"/>
      <c r="G498" s="5323"/>
      <c r="H498" s="5323"/>
      <c r="I498" s="5323"/>
      <c r="J498" s="5323"/>
      <c r="K498" s="5323"/>
      <c r="L498" s="5323"/>
      <c r="M498" s="5323"/>
      <c r="N498" s="5324"/>
      <c r="O498" s="5002"/>
      <c r="P498" s="5002"/>
      <c r="Q498" s="5002"/>
    </row>
    <row r="499" spans="1:17">
      <c r="B499" s="5002"/>
      <c r="C499" s="5002"/>
      <c r="D499" s="5002"/>
      <c r="E499" s="5002"/>
      <c r="F499" s="5002"/>
      <c r="G499" s="5002"/>
      <c r="H499" s="5002"/>
      <c r="I499" s="5002"/>
      <c r="J499" s="5002"/>
      <c r="K499" s="5002"/>
      <c r="L499" s="5002"/>
      <c r="M499" s="5002"/>
      <c r="N499" s="5002"/>
      <c r="O499" s="5002"/>
      <c r="P499" s="5002"/>
      <c r="Q499" s="5002"/>
    </row>
    <row r="500" spans="1:17" ht="15.75" thickBot="1">
      <c r="A500" s="5232" t="s">
        <v>909</v>
      </c>
      <c r="B500" s="5697" t="str">
        <f>B501</f>
        <v>ŒUFS poids et %</v>
      </c>
      <c r="C500" s="5697"/>
      <c r="D500" s="5697"/>
      <c r="E500" s="5697"/>
      <c r="F500" s="5697"/>
      <c r="G500" s="5697"/>
      <c r="H500" s="5697"/>
      <c r="I500" s="5697"/>
      <c r="J500" s="5697"/>
      <c r="K500" s="5697"/>
      <c r="L500" s="5697"/>
      <c r="M500" s="5697"/>
      <c r="N500" s="5697"/>
      <c r="O500" s="5002"/>
      <c r="P500" s="5002"/>
      <c r="Q500" s="5002"/>
    </row>
    <row r="501" spans="1:17" ht="15" customHeight="1">
      <c r="A501" s="4121" t="str">
        <f>B501</f>
        <v>ŒUFS poids et %</v>
      </c>
      <c r="B501" s="5698" t="s">
        <v>1175</v>
      </c>
      <c r="C501" s="4123"/>
      <c r="D501" s="4123"/>
      <c r="E501" s="4123"/>
      <c r="F501" s="4123"/>
      <c r="G501" s="4123"/>
      <c r="H501" s="4123"/>
      <c r="I501" s="4123"/>
      <c r="J501" s="4123"/>
      <c r="K501" s="4123"/>
      <c r="L501" s="4123"/>
      <c r="M501" s="4123"/>
      <c r="N501" s="5699"/>
      <c r="O501" s="5002"/>
      <c r="P501" s="5002"/>
      <c r="Q501" s="5002"/>
    </row>
    <row r="502" spans="1:17" ht="15" customHeight="1">
      <c r="A502" s="4121"/>
      <c r="B502" s="5700"/>
      <c r="C502" s="5701"/>
      <c r="D502" s="5701"/>
      <c r="E502" s="5701"/>
      <c r="F502" s="5701"/>
      <c r="G502" s="5701"/>
      <c r="H502" s="5701"/>
      <c r="I502" s="5701"/>
      <c r="J502" s="5701"/>
      <c r="K502" s="5701"/>
      <c r="L502" s="5701"/>
      <c r="M502" s="5701"/>
      <c r="N502" s="4127"/>
      <c r="O502" s="5002"/>
      <c r="P502" s="5002"/>
      <c r="Q502" s="5002"/>
    </row>
    <row r="503" spans="1:17" ht="15" customHeight="1">
      <c r="A503" s="4121"/>
      <c r="B503" s="5702" t="s">
        <v>1176</v>
      </c>
      <c r="C503" s="5703"/>
      <c r="D503" s="5703"/>
      <c r="E503" s="5703"/>
      <c r="F503" s="5703"/>
      <c r="G503" s="5703"/>
      <c r="H503" s="5703"/>
      <c r="I503" s="5703"/>
      <c r="J503" s="5703"/>
      <c r="K503" s="5703"/>
      <c r="L503" s="5703"/>
      <c r="M503" s="5703"/>
      <c r="N503" s="5704"/>
      <c r="O503" s="5002"/>
      <c r="P503" s="5002"/>
      <c r="Q503" s="5002"/>
    </row>
    <row r="504" spans="1:17" ht="15.75" customHeight="1">
      <c r="A504" s="4121"/>
      <c r="B504" s="5705"/>
      <c r="C504" s="5706"/>
      <c r="D504" s="5706"/>
      <c r="E504" s="5706"/>
      <c r="F504" s="5706"/>
      <c r="G504" s="5706"/>
      <c r="H504" s="5706"/>
      <c r="I504" s="5706"/>
      <c r="J504" s="5706"/>
      <c r="K504" s="5706"/>
      <c r="L504" s="5706"/>
      <c r="M504" s="5706"/>
      <c r="N504" s="5707"/>
      <c r="O504" s="5002"/>
      <c r="P504" s="5002"/>
      <c r="Q504" s="5002"/>
    </row>
    <row r="505" spans="1:17" ht="15" customHeight="1">
      <c r="A505" s="4121"/>
      <c r="B505" s="5746" t="s">
        <v>1175</v>
      </c>
      <c r="C505" s="5747"/>
      <c r="D505" s="5747"/>
      <c r="E505" s="5747"/>
      <c r="F505" s="5747"/>
      <c r="G505" s="5747"/>
      <c r="H505" s="5747"/>
      <c r="I505" s="5747"/>
      <c r="J505" s="5747"/>
      <c r="K505" s="5747"/>
      <c r="L505" s="5747"/>
      <c r="M505" s="5747"/>
      <c r="N505" s="5748"/>
      <c r="O505" s="5002"/>
      <c r="P505" s="5002"/>
      <c r="Q505" s="5002"/>
    </row>
    <row r="506" spans="1:17" ht="15.75" customHeight="1">
      <c r="A506" s="4121"/>
      <c r="B506" s="5749" t="s">
        <v>152</v>
      </c>
      <c r="C506" s="5750"/>
      <c r="D506" s="5751" t="s">
        <v>150</v>
      </c>
      <c r="E506" s="5750"/>
      <c r="F506" s="5750"/>
      <c r="G506" s="5752" t="s">
        <v>152</v>
      </c>
      <c r="H506" s="5750"/>
      <c r="I506" s="5751" t="s">
        <v>150</v>
      </c>
      <c r="J506" s="5750"/>
      <c r="K506" s="5752" t="s">
        <v>152</v>
      </c>
      <c r="L506" s="5750"/>
      <c r="M506" s="5751" t="s">
        <v>150</v>
      </c>
      <c r="N506" s="5753"/>
      <c r="O506" s="5002"/>
      <c r="P506" s="5002"/>
      <c r="Q506" s="5002"/>
    </row>
    <row r="507" spans="1:17" ht="18.75" customHeight="1">
      <c r="A507" s="4121"/>
      <c r="B507" s="5754" t="s">
        <v>1177</v>
      </c>
      <c r="C507" s="5755"/>
      <c r="D507" s="5756">
        <v>50</v>
      </c>
      <c r="E507" s="5757">
        <v>1</v>
      </c>
      <c r="F507" s="5758"/>
      <c r="G507" s="5759" t="s">
        <v>1178</v>
      </c>
      <c r="H507" s="5760"/>
      <c r="I507" s="5756">
        <v>20</v>
      </c>
      <c r="J507" s="5761">
        <f>I507/D507</f>
        <v>0.4</v>
      </c>
      <c r="K507" s="5759" t="s">
        <v>1179</v>
      </c>
      <c r="L507" s="5760"/>
      <c r="M507" s="5756">
        <v>30</v>
      </c>
      <c r="N507" s="5762">
        <f>M507/D507</f>
        <v>0.6</v>
      </c>
      <c r="O507" s="5002"/>
      <c r="P507" s="5002"/>
      <c r="Q507" s="5002"/>
    </row>
    <row r="508" spans="1:17" ht="15.75">
      <c r="A508" s="4121"/>
      <c r="B508" s="5763">
        <v>4</v>
      </c>
      <c r="C508" s="5764" t="s">
        <v>1180</v>
      </c>
      <c r="D508" s="5764">
        <f>B508*D507</f>
        <v>200</v>
      </c>
      <c r="E508" s="5729" t="s">
        <v>1061</v>
      </c>
      <c r="F508" s="5002"/>
      <c r="G508" s="5763">
        <v>10</v>
      </c>
      <c r="H508" s="5764" t="s">
        <v>1181</v>
      </c>
      <c r="I508" s="5764">
        <f>G508*I507</f>
        <v>200</v>
      </c>
      <c r="J508" s="5729" t="s">
        <v>1061</v>
      </c>
      <c r="K508" s="5763">
        <v>12</v>
      </c>
      <c r="L508" s="5764" t="s">
        <v>1182</v>
      </c>
      <c r="M508" s="5764">
        <f>K508*M507</f>
        <v>360</v>
      </c>
      <c r="N508" s="5765" t="s">
        <v>1061</v>
      </c>
      <c r="O508" s="5002"/>
      <c r="P508" s="5002"/>
      <c r="Q508" s="5002"/>
    </row>
    <row r="509" spans="1:17" ht="15.75" customHeight="1">
      <c r="A509" s="4121"/>
      <c r="B509" s="5766" t="s">
        <v>975</v>
      </c>
      <c r="C509" s="5767" t="s">
        <v>1183</v>
      </c>
      <c r="D509" s="5767" t="s">
        <v>1184</v>
      </c>
      <c r="E509" s="5767" t="s">
        <v>981</v>
      </c>
      <c r="F509" s="5002"/>
      <c r="G509" s="5766" t="s">
        <v>975</v>
      </c>
      <c r="H509" s="5767" t="s">
        <v>1183</v>
      </c>
      <c r="I509" s="5767" t="s">
        <v>1184</v>
      </c>
      <c r="J509" s="5767" t="s">
        <v>981</v>
      </c>
      <c r="K509" s="5766" t="s">
        <v>975</v>
      </c>
      <c r="L509" s="5767" t="s">
        <v>1183</v>
      </c>
      <c r="M509" s="5767" t="s">
        <v>1184</v>
      </c>
      <c r="N509" s="5768" t="s">
        <v>981</v>
      </c>
      <c r="O509" s="5002"/>
      <c r="P509" s="5002"/>
      <c r="Q509" s="5002"/>
    </row>
    <row r="510" spans="1:17">
      <c r="A510" s="4121"/>
      <c r="B510" s="5769">
        <f>D508</f>
        <v>200</v>
      </c>
      <c r="C510" s="5770">
        <f>B510*C511</f>
        <v>24.489795918367346</v>
      </c>
      <c r="D510" s="5770">
        <f>B510*D511</f>
        <v>22.448979591836736</v>
      </c>
      <c r="E510" s="5770">
        <f>B510*E511</f>
        <v>153.0612244897959</v>
      </c>
      <c r="F510" s="5002"/>
      <c r="G510" s="5769">
        <f>I508</f>
        <v>200</v>
      </c>
      <c r="H510" s="5771">
        <f>G510*H511</f>
        <v>34.4</v>
      </c>
      <c r="I510" s="5771">
        <f>G510*I511</f>
        <v>64.600000000000009</v>
      </c>
      <c r="J510" s="5771">
        <f>G510*J511</f>
        <v>101</v>
      </c>
      <c r="K510" s="5769">
        <f>M508</f>
        <v>360</v>
      </c>
      <c r="L510" s="5770">
        <f>K510*L511</f>
        <v>39.96</v>
      </c>
      <c r="M510" s="5770">
        <f>K510*M511</f>
        <v>0</v>
      </c>
      <c r="N510" s="5772">
        <f>K510*N511</f>
        <v>320</v>
      </c>
      <c r="O510" s="5002"/>
      <c r="P510" s="5002"/>
      <c r="Q510" s="5002"/>
    </row>
    <row r="511" spans="1:17">
      <c r="A511" s="4121"/>
      <c r="B511" s="5773">
        <f>C511+D511+E511</f>
        <v>1</v>
      </c>
      <c r="C511" s="5774">
        <v>0.12244897959183673</v>
      </c>
      <c r="D511" s="5774">
        <v>0.11224489795918367</v>
      </c>
      <c r="E511" s="5774">
        <v>0.76530612244897955</v>
      </c>
      <c r="F511" s="5002"/>
      <c r="G511" s="5773">
        <f>H511+I511+J511</f>
        <v>1</v>
      </c>
      <c r="H511" s="5774">
        <v>0.17199999999999999</v>
      </c>
      <c r="I511" s="5774">
        <v>0.32300000000000001</v>
      </c>
      <c r="J511" s="5774">
        <v>0.505</v>
      </c>
      <c r="K511" s="5773">
        <f>L511+M511+N511</f>
        <v>0.99988888888888894</v>
      </c>
      <c r="L511" s="5774">
        <v>0.111</v>
      </c>
      <c r="M511" s="5775">
        <v>0</v>
      </c>
      <c r="N511" s="5776">
        <v>0.88888888888888895</v>
      </c>
      <c r="O511" s="5002"/>
      <c r="P511" s="5002"/>
      <c r="Q511" s="5002"/>
    </row>
    <row r="512" spans="1:17">
      <c r="A512" s="4121"/>
      <c r="B512" s="5777"/>
      <c r="C512" s="5751" t="s">
        <v>150</v>
      </c>
      <c r="D512" s="5751" t="s">
        <v>150</v>
      </c>
      <c r="E512" s="5751" t="s">
        <v>150</v>
      </c>
      <c r="F512" s="5778"/>
      <c r="G512" s="5777"/>
      <c r="H512" s="5751" t="s">
        <v>150</v>
      </c>
      <c r="I512" s="5751" t="s">
        <v>150</v>
      </c>
      <c r="J512" s="5751" t="s">
        <v>150</v>
      </c>
      <c r="K512" s="5777"/>
      <c r="L512" s="5751" t="s">
        <v>150</v>
      </c>
      <c r="M512" s="5779"/>
      <c r="N512" s="5780" t="s">
        <v>150</v>
      </c>
      <c r="O512" s="5002"/>
      <c r="P512" s="5002"/>
      <c r="Q512" s="5002"/>
    </row>
    <row r="513" spans="1:17">
      <c r="A513" s="4121"/>
      <c r="B513" s="5781" t="s">
        <v>150</v>
      </c>
      <c r="C513" s="5782" t="s">
        <v>1185</v>
      </c>
      <c r="D513" s="5783"/>
      <c r="E513" s="5783"/>
      <c r="F513" s="5783"/>
      <c r="G513" s="5783"/>
      <c r="H513" s="5783"/>
      <c r="I513" s="5783"/>
      <c r="J513" s="5783"/>
      <c r="K513" s="5783"/>
      <c r="L513" s="5783"/>
      <c r="M513" s="5783"/>
      <c r="N513" s="271"/>
      <c r="O513" s="5002"/>
      <c r="P513" s="5002"/>
      <c r="Q513" s="5002"/>
    </row>
    <row r="514" spans="1:17" ht="15.75">
      <c r="A514" s="4121"/>
      <c r="B514" s="5784" t="s">
        <v>152</v>
      </c>
      <c r="C514" s="5785" t="s">
        <v>1186</v>
      </c>
      <c r="D514" s="5783"/>
      <c r="E514" s="5783"/>
      <c r="F514" s="5783"/>
      <c r="G514" s="5783"/>
      <c r="H514" s="5783"/>
      <c r="I514" s="5783"/>
      <c r="J514" s="5783"/>
      <c r="K514" s="5783"/>
      <c r="L514" s="5783"/>
      <c r="M514" s="5709"/>
      <c r="N514" s="274" t="s">
        <v>1156</v>
      </c>
      <c r="O514" s="5002"/>
      <c r="P514" s="5002"/>
      <c r="Q514" s="5002"/>
    </row>
    <row r="515" spans="1:17">
      <c r="A515" s="4121"/>
      <c r="B515" s="5786"/>
      <c r="C515" s="5718"/>
      <c r="D515" s="5787" t="s">
        <v>1187</v>
      </c>
      <c r="E515" s="5788" t="s">
        <v>1188</v>
      </c>
      <c r="F515" s="5002"/>
      <c r="G515" s="5775"/>
      <c r="H515" s="5718"/>
      <c r="I515" s="5718"/>
      <c r="J515" s="5718"/>
      <c r="K515" s="5783"/>
      <c r="L515" s="5783"/>
      <c r="M515" s="5709"/>
      <c r="N515" s="271"/>
      <c r="O515" s="5002"/>
      <c r="P515" s="5002"/>
      <c r="Q515" s="5002"/>
    </row>
    <row r="516" spans="1:17" ht="15" customHeight="1">
      <c r="A516" s="4121"/>
      <c r="B516" s="5743" t="s">
        <v>1174</v>
      </c>
      <c r="C516" s="5744"/>
      <c r="D516" s="5744"/>
      <c r="E516" s="5744"/>
      <c r="F516" s="5744"/>
      <c r="G516" s="5744"/>
      <c r="H516" s="5744"/>
      <c r="I516" s="5744"/>
      <c r="J516" s="5744"/>
      <c r="K516" s="5744"/>
      <c r="L516" s="5744"/>
      <c r="M516" s="5744"/>
      <c r="N516" s="5745"/>
      <c r="O516" s="5002"/>
      <c r="P516" s="5002"/>
      <c r="Q516" s="5002"/>
    </row>
    <row r="517" spans="1:17" ht="15.75" thickBot="1">
      <c r="A517" s="4121"/>
      <c r="B517" s="5322"/>
      <c r="C517" s="5323"/>
      <c r="D517" s="5323"/>
      <c r="E517" s="5323"/>
      <c r="F517" s="5323"/>
      <c r="G517" s="5323"/>
      <c r="H517" s="5323"/>
      <c r="I517" s="5323"/>
      <c r="J517" s="5323"/>
      <c r="K517" s="5323"/>
      <c r="L517" s="5323"/>
      <c r="M517" s="5323"/>
      <c r="N517" s="5324"/>
      <c r="O517" s="5002"/>
      <c r="P517" s="5002"/>
      <c r="Q517" s="5002"/>
    </row>
    <row r="518" spans="1:17">
      <c r="A518" s="5002"/>
      <c r="B518" s="5170"/>
      <c r="C518" s="5170"/>
      <c r="D518" s="5170"/>
      <c r="E518" s="5170"/>
      <c r="F518" s="5170"/>
      <c r="G518" s="5170"/>
      <c r="H518" s="4992"/>
      <c r="I518" s="5171"/>
      <c r="J518" s="5171"/>
      <c r="K518" s="5173"/>
      <c r="L518" s="4992"/>
      <c r="M518" s="4992"/>
      <c r="N518" s="4992"/>
      <c r="O518" s="4992"/>
      <c r="P518" s="4992"/>
      <c r="Q518" s="4992"/>
    </row>
    <row r="519" spans="1:17">
      <c r="A519" s="5063"/>
      <c r="B519" s="5064"/>
      <c r="C519" s="5065"/>
      <c r="D519" s="5065"/>
      <c r="E519" s="5065"/>
      <c r="F519" s="5065"/>
      <c r="G519" s="5065"/>
      <c r="H519" s="5065"/>
      <c r="I519" s="5065"/>
      <c r="J519" s="5064"/>
      <c r="K519" s="5064"/>
      <c r="L519" s="5064"/>
      <c r="M519" s="5063"/>
      <c r="N519" s="5063"/>
      <c r="O519" s="5063"/>
      <c r="P519" s="5063"/>
      <c r="Q519" s="5063"/>
    </row>
    <row r="520" spans="1:17" ht="16.5" thickBot="1">
      <c r="A520" s="5002"/>
      <c r="B520" s="5789"/>
      <c r="C520" s="5790"/>
      <c r="D520" s="5790"/>
      <c r="E520" s="5790"/>
      <c r="F520" s="5790"/>
      <c r="G520" s="5790"/>
      <c r="H520" s="4992"/>
      <c r="I520" s="4992"/>
      <c r="J520" s="4992"/>
      <c r="K520" s="4992"/>
      <c r="L520" s="4992"/>
      <c r="M520" s="4992"/>
      <c r="N520" s="4992"/>
      <c r="O520" s="4992"/>
      <c r="P520" s="4992"/>
      <c r="Q520" s="5002"/>
    </row>
    <row r="521" spans="1:17" ht="15.75">
      <c r="B521" s="5791"/>
      <c r="C521" s="5792"/>
      <c r="D521" s="5792"/>
      <c r="E521" s="5792"/>
      <c r="F521" s="5792"/>
      <c r="G521" s="5792"/>
      <c r="H521" s="5792"/>
      <c r="I521" s="5792"/>
      <c r="J521" s="5793" t="s">
        <v>1189</v>
      </c>
      <c r="K521" s="4992"/>
      <c r="L521" s="4992"/>
      <c r="M521" s="4992"/>
      <c r="N521" s="4992"/>
      <c r="O521" s="4992"/>
      <c r="P521" s="4992"/>
      <c r="Q521" s="5002"/>
    </row>
    <row r="522" spans="1:17">
      <c r="B522" s="5794"/>
      <c r="C522" s="5795" t="s">
        <v>1190</v>
      </c>
      <c r="D522" s="5796">
        <v>0.44</v>
      </c>
      <c r="E522" s="4992"/>
      <c r="F522" s="5797" t="s">
        <v>1190</v>
      </c>
      <c r="G522" s="5796">
        <v>100</v>
      </c>
      <c r="H522" s="4992"/>
      <c r="I522" s="5798" t="s">
        <v>1191</v>
      </c>
      <c r="J522" s="5799">
        <v>115</v>
      </c>
      <c r="K522" s="4992"/>
      <c r="L522" s="4992"/>
      <c r="M522" s="5002"/>
      <c r="N522" s="5002"/>
      <c r="O522" s="5002"/>
      <c r="P522" s="5002"/>
      <c r="Q522" s="5002"/>
    </row>
    <row r="523" spans="1:17">
      <c r="B523" s="5800"/>
      <c r="C523" s="5801" t="s">
        <v>1192</v>
      </c>
      <c r="D523" s="5802">
        <v>60</v>
      </c>
      <c r="E523" s="4992"/>
      <c r="F523" s="5801" t="s">
        <v>1193</v>
      </c>
      <c r="G523" s="5803">
        <v>10</v>
      </c>
      <c r="H523" s="4992"/>
      <c r="I523" s="5797" t="s">
        <v>1190</v>
      </c>
      <c r="J523" s="5804">
        <v>133</v>
      </c>
      <c r="K523" s="4992"/>
      <c r="L523" s="4992"/>
      <c r="M523" s="5002"/>
      <c r="N523" s="5002"/>
      <c r="O523" s="5002"/>
      <c r="P523" s="5002"/>
      <c r="Q523" s="5002"/>
    </row>
    <row r="524" spans="1:17">
      <c r="B524" s="5805"/>
      <c r="C524" s="5806" t="s">
        <v>1193</v>
      </c>
      <c r="D524" s="5807">
        <f>D522*D523%</f>
        <v>0.26400000000000001</v>
      </c>
      <c r="E524" s="4992"/>
      <c r="F524" s="5808" t="s">
        <v>1191</v>
      </c>
      <c r="G524" s="5807">
        <f>IF(G522=0,0,G522+G523)</f>
        <v>110</v>
      </c>
      <c r="H524" s="4992"/>
      <c r="I524" s="5806" t="s">
        <v>1193</v>
      </c>
      <c r="J524" s="5809">
        <f>IF(J522=0,0,IF(J523=0,0,J522-J523))</f>
        <v>-18</v>
      </c>
      <c r="K524" s="4992"/>
      <c r="L524" s="4992"/>
      <c r="M524" s="5002"/>
      <c r="N524" s="5002"/>
      <c r="O524" s="5002"/>
      <c r="P524" s="5002"/>
      <c r="Q524" s="5002"/>
    </row>
    <row r="525" spans="1:17">
      <c r="B525" s="5810"/>
      <c r="C525" s="5808" t="s">
        <v>1191</v>
      </c>
      <c r="D525" s="5807">
        <f>((D522*D523)/100)+D522</f>
        <v>0.70399999999999996</v>
      </c>
      <c r="E525" s="4992"/>
      <c r="F525" s="5811" t="s">
        <v>1192</v>
      </c>
      <c r="G525" s="5812">
        <f>IF(G522=0,0,IF(ISBLANK(G522),0,(G523/G522)*100))</f>
        <v>10</v>
      </c>
      <c r="H525" s="4992"/>
      <c r="I525" s="5811" t="s">
        <v>1192</v>
      </c>
      <c r="J525" s="5813">
        <f>IF(J523=0,0,IF(ISBLANK(J523),0,(J524/J523)*100))</f>
        <v>-13.533834586466165</v>
      </c>
      <c r="K525" s="4992"/>
      <c r="L525" s="4992"/>
      <c r="M525" s="5002"/>
      <c r="N525" s="5002"/>
      <c r="O525" s="5002"/>
      <c r="P525" s="5002"/>
      <c r="Q525" s="5002"/>
    </row>
    <row r="526" spans="1:17">
      <c r="B526" s="5814"/>
      <c r="C526" s="5815"/>
      <c r="D526" s="5816"/>
      <c r="E526" s="5817"/>
      <c r="F526" s="5818"/>
      <c r="G526" s="5819"/>
      <c r="H526" s="5817"/>
      <c r="I526" s="5818"/>
      <c r="J526" s="5820"/>
      <c r="K526" s="4992"/>
      <c r="L526" s="4992"/>
      <c r="M526" s="5002"/>
      <c r="N526" s="5002"/>
      <c r="O526" s="5002"/>
      <c r="P526" s="5002"/>
      <c r="Q526" s="5002"/>
    </row>
    <row r="527" spans="1:17">
      <c r="B527" s="5794"/>
      <c r="C527" s="5797" t="s">
        <v>1190</v>
      </c>
      <c r="D527" s="5796">
        <v>5.8970000000000002</v>
      </c>
      <c r="E527" s="4992"/>
      <c r="F527" s="5798" t="s">
        <v>1191</v>
      </c>
      <c r="G527" s="5803">
        <v>9.64</v>
      </c>
      <c r="H527" s="4992"/>
      <c r="I527" s="5798" t="s">
        <v>1191</v>
      </c>
      <c r="J527" s="5799">
        <v>100</v>
      </c>
      <c r="K527" s="4992"/>
      <c r="L527" s="4992"/>
      <c r="M527" s="5002"/>
      <c r="N527" s="5002"/>
      <c r="O527" s="5002"/>
      <c r="P527" s="5002"/>
      <c r="Q527" s="5002"/>
    </row>
    <row r="528" spans="1:17" ht="45">
      <c r="B528" s="5821"/>
      <c r="C528" s="5798" t="s">
        <v>1191</v>
      </c>
      <c r="D528" s="5803">
        <v>9.64</v>
      </c>
      <c r="E528" s="4992"/>
      <c r="F528" s="5822" t="s">
        <v>1192</v>
      </c>
      <c r="G528" s="5823">
        <v>63.5</v>
      </c>
      <c r="H528" s="4992"/>
      <c r="I528" s="5822" t="s">
        <v>1193</v>
      </c>
      <c r="J528" s="5799">
        <v>50</v>
      </c>
      <c r="K528" s="4992"/>
      <c r="L528" s="4992"/>
      <c r="M528" s="5002"/>
      <c r="N528" s="5002"/>
      <c r="O528" s="5002"/>
      <c r="P528" s="5002"/>
      <c r="Q528" s="5002"/>
    </row>
    <row r="529" spans="1:17">
      <c r="B529" s="5805"/>
      <c r="C529" s="5806" t="s">
        <v>1193</v>
      </c>
      <c r="D529" s="5807">
        <f>IF(D527=0,0,IF(D528=0,0,D528-D527))</f>
        <v>3.7430000000000003</v>
      </c>
      <c r="E529" s="4992"/>
      <c r="F529" s="5806" t="s">
        <v>1193</v>
      </c>
      <c r="G529" s="5807">
        <f>G527-G530</f>
        <v>3.7439755351681958</v>
      </c>
      <c r="H529" s="4992"/>
      <c r="I529" s="5808" t="s">
        <v>1190</v>
      </c>
      <c r="J529" s="5809">
        <f>IF(J527=0,0,IF(ISBLANK(J527),0,J527-J528))</f>
        <v>50</v>
      </c>
      <c r="K529" s="4992"/>
      <c r="L529" s="4992"/>
      <c r="M529" s="5002"/>
      <c r="N529" s="5002"/>
      <c r="O529" s="5002"/>
      <c r="P529" s="5002"/>
      <c r="Q529" s="5002"/>
    </row>
    <row r="530" spans="1:17">
      <c r="B530" s="5824"/>
      <c r="C530" s="5825" t="s">
        <v>1192</v>
      </c>
      <c r="D530" s="5826">
        <f>IF(D527=0,0,IF(ISBLANK(D527),0,(D529/D527)*100))</f>
        <v>63.472952348651859</v>
      </c>
      <c r="E530" s="4992"/>
      <c r="F530" s="5827" t="s">
        <v>1190</v>
      </c>
      <c r="G530" s="5828">
        <f>(G527/(100+G528)*100)</f>
        <v>5.8960244648318048</v>
      </c>
      <c r="H530" s="4992"/>
      <c r="I530" s="5825" t="s">
        <v>1192</v>
      </c>
      <c r="J530" s="5829">
        <f>IF(J529=0,0,IF(ISBLANK(J528),0,(J528/J529)*100))</f>
        <v>100</v>
      </c>
      <c r="K530" s="4992"/>
      <c r="L530" s="4992"/>
      <c r="M530" s="5002"/>
      <c r="N530" s="5002"/>
      <c r="O530" s="5002"/>
      <c r="P530" s="5002"/>
      <c r="Q530" s="5002"/>
    </row>
    <row r="531" spans="1:17">
      <c r="B531" s="5830" t="s">
        <v>1152</v>
      </c>
      <c r="C531" s="5831"/>
      <c r="D531" s="5831"/>
      <c r="E531" s="5831"/>
      <c r="F531" s="5831"/>
      <c r="G531" s="5831"/>
      <c r="H531" s="5831"/>
      <c r="I531" s="5831"/>
      <c r="J531" s="5831"/>
      <c r="K531" s="4992"/>
      <c r="L531" s="4992"/>
      <c r="M531" s="5002"/>
      <c r="N531" s="5002"/>
      <c r="O531" s="5002"/>
      <c r="P531" s="5002"/>
      <c r="Q531" s="5002"/>
    </row>
    <row r="532" spans="1:17">
      <c r="A532" s="5002"/>
      <c r="B532" s="5170"/>
      <c r="C532" s="5170"/>
      <c r="D532" s="5170"/>
      <c r="E532" s="5170"/>
      <c r="F532" s="5170"/>
      <c r="G532" s="5170"/>
      <c r="H532" s="4992"/>
      <c r="I532" s="5171"/>
      <c r="J532" s="5171"/>
      <c r="K532" s="5173"/>
      <c r="L532" s="5173"/>
      <c r="M532" s="5171"/>
      <c r="N532" s="5171"/>
      <c r="O532" s="5002"/>
      <c r="P532" s="5002"/>
      <c r="Q532" s="4992"/>
    </row>
    <row r="533" spans="1:17">
      <c r="A533" s="5002"/>
      <c r="B533" s="5170"/>
      <c r="C533" s="5170"/>
      <c r="D533" s="5170"/>
      <c r="E533" s="5170"/>
      <c r="F533" s="5170"/>
      <c r="G533" s="5170"/>
      <c r="H533" s="4992"/>
      <c r="I533" s="5171"/>
      <c r="J533" s="5171"/>
      <c r="K533" s="5173"/>
      <c r="L533" s="5173"/>
      <c r="M533" s="5171"/>
      <c r="N533" s="5171"/>
      <c r="O533" s="5002"/>
      <c r="P533" s="5002"/>
      <c r="Q533" s="4992"/>
    </row>
    <row r="534" spans="1:17">
      <c r="A534" s="5002"/>
      <c r="B534" s="5832">
        <v>15</v>
      </c>
      <c r="C534" s="5832">
        <v>15</v>
      </c>
      <c r="D534" s="5832">
        <v>15</v>
      </c>
      <c r="E534" s="5832">
        <v>15</v>
      </c>
      <c r="F534" s="5832">
        <v>15</v>
      </c>
      <c r="G534" s="5832">
        <v>15</v>
      </c>
      <c r="H534" s="5833" t="s">
        <v>1194</v>
      </c>
      <c r="I534" s="5832">
        <v>15</v>
      </c>
      <c r="J534" s="5832">
        <v>15</v>
      </c>
      <c r="K534" s="5832">
        <v>15</v>
      </c>
      <c r="L534" s="5832">
        <v>15</v>
      </c>
      <c r="M534" s="5832">
        <v>15</v>
      </c>
      <c r="N534" s="5832">
        <v>15</v>
      </c>
      <c r="O534" s="5834" t="s">
        <v>1194</v>
      </c>
      <c r="P534" s="5002"/>
      <c r="Q534" s="4992"/>
    </row>
    <row r="535" spans="1:17" ht="18">
      <c r="A535" s="5002"/>
      <c r="B535" s="5835" t="s">
        <v>1195</v>
      </c>
      <c r="C535" s="5836"/>
      <c r="D535" s="5836"/>
      <c r="E535" s="5836"/>
      <c r="F535" s="5836"/>
      <c r="G535" s="5837" t="s">
        <v>1196</v>
      </c>
      <c r="H535" s="5002"/>
      <c r="I535" s="5835" t="s">
        <v>1197</v>
      </c>
      <c r="J535" s="5836"/>
      <c r="K535" s="5836"/>
      <c r="L535" s="5836"/>
      <c r="M535" s="5836"/>
      <c r="N535" s="5837" t="s">
        <v>1196</v>
      </c>
      <c r="O535" s="5002"/>
      <c r="P535" s="5002"/>
      <c r="Q535" s="4992"/>
    </row>
    <row r="536" spans="1:17" ht="15.75">
      <c r="A536" s="5002"/>
      <c r="B536" s="5838" t="s">
        <v>1198</v>
      </c>
      <c r="C536" s="5839">
        <v>1000</v>
      </c>
      <c r="D536" s="5840" t="s">
        <v>1198</v>
      </c>
      <c r="E536" s="5839">
        <v>1000</v>
      </c>
      <c r="F536" s="5838" t="s">
        <v>1198</v>
      </c>
      <c r="G536" s="5839">
        <v>100</v>
      </c>
      <c r="H536" s="5002"/>
      <c r="I536" s="5841" t="s">
        <v>1198</v>
      </c>
      <c r="J536" s="5842">
        <v>1</v>
      </c>
      <c r="K536" s="5840" t="s">
        <v>1198</v>
      </c>
      <c r="L536" s="5842">
        <v>1</v>
      </c>
      <c r="M536" s="5838" t="s">
        <v>1198</v>
      </c>
      <c r="N536" s="5842">
        <v>1</v>
      </c>
      <c r="O536" s="5002"/>
      <c r="P536" s="5002"/>
      <c r="Q536" s="4992"/>
    </row>
    <row r="537" spans="1:17" ht="15.75">
      <c r="A537" s="5002"/>
      <c r="B537" s="5843" t="s">
        <v>1199</v>
      </c>
      <c r="C537" s="5844">
        <v>2000</v>
      </c>
      <c r="D537" s="5845" t="s">
        <v>1200</v>
      </c>
      <c r="E537" s="5844">
        <v>327</v>
      </c>
      <c r="F537" s="5843" t="s">
        <v>1201</v>
      </c>
      <c r="G537" s="5846">
        <v>40</v>
      </c>
      <c r="H537" s="5002"/>
      <c r="I537" s="5843" t="s">
        <v>1199</v>
      </c>
      <c r="J537" s="5847">
        <v>2</v>
      </c>
      <c r="K537" s="5845" t="s">
        <v>1200</v>
      </c>
      <c r="L537" s="5847">
        <v>2</v>
      </c>
      <c r="M537" s="5843" t="s">
        <v>1201</v>
      </c>
      <c r="N537" s="5846">
        <v>50</v>
      </c>
      <c r="O537" s="5002"/>
      <c r="P537" s="5002"/>
      <c r="Q537" s="4992"/>
    </row>
    <row r="538" spans="1:17" ht="15.75">
      <c r="A538" s="5002"/>
      <c r="B538" s="5848" t="s">
        <v>1202</v>
      </c>
      <c r="C538" s="5849">
        <f>IF(C536=0,0,IF(C537=0,0,C537-C536))</f>
        <v>1000</v>
      </c>
      <c r="D538" s="5848" t="s">
        <v>1203</v>
      </c>
      <c r="E538" s="5849">
        <f>IF(E536=0,0,E536+E537)</f>
        <v>1327</v>
      </c>
      <c r="F538" s="5848" t="s">
        <v>1202</v>
      </c>
      <c r="G538" s="5850">
        <f>G539*G537%</f>
        <v>66.666666666666671</v>
      </c>
      <c r="H538" s="5002"/>
      <c r="I538" s="5848" t="s">
        <v>1202</v>
      </c>
      <c r="J538" s="5851">
        <f>IF(J536=0,0,IF(J537=0,0,J537-J536))</f>
        <v>1</v>
      </c>
      <c r="K538" s="5848" t="s">
        <v>1203</v>
      </c>
      <c r="L538" s="5851">
        <f>IF(L536=0,0,L536+L537)</f>
        <v>3</v>
      </c>
      <c r="M538" s="5848" t="s">
        <v>1202</v>
      </c>
      <c r="N538" s="5851">
        <f>N539*N537%</f>
        <v>1</v>
      </c>
      <c r="O538" s="5002"/>
      <c r="P538" s="5002"/>
      <c r="Q538" s="4992"/>
    </row>
    <row r="539" spans="1:17" ht="15.75">
      <c r="A539" s="5002"/>
      <c r="B539" s="5852" t="s">
        <v>1204</v>
      </c>
      <c r="C539" s="5853">
        <f>IF(C536=0,0,IF(C537=0,0,C538/C537))</f>
        <v>0.5</v>
      </c>
      <c r="D539" s="5852" t="s">
        <v>1204</v>
      </c>
      <c r="E539" s="5853">
        <f>IF(E536=0,0,E537/E538)</f>
        <v>0.24642049736247174</v>
      </c>
      <c r="F539" s="5848" t="s">
        <v>1203</v>
      </c>
      <c r="G539" s="5850">
        <f>G536/(100-G537)*100</f>
        <v>166.66666666666669</v>
      </c>
      <c r="H539" s="5002"/>
      <c r="I539" s="5852" t="s">
        <v>1204</v>
      </c>
      <c r="J539" s="5853">
        <f>IF(J536=0,0,IF(J537=0,0,J538/J537))</f>
        <v>0.5</v>
      </c>
      <c r="K539" s="5852" t="s">
        <v>1204</v>
      </c>
      <c r="L539" s="5853">
        <f>IF(L536=0,0,L537/L538)</f>
        <v>0.66666666666666663</v>
      </c>
      <c r="M539" s="5848" t="s">
        <v>1203</v>
      </c>
      <c r="N539" s="5854">
        <f>N536/(100-N537)*100</f>
        <v>2</v>
      </c>
      <c r="O539" s="5002"/>
      <c r="P539" s="5002"/>
      <c r="Q539" s="4992"/>
    </row>
    <row r="540" spans="1:17" ht="15.75">
      <c r="A540" s="5002"/>
      <c r="B540" s="5855" t="s">
        <v>1199</v>
      </c>
      <c r="C540" s="5844">
        <v>1780</v>
      </c>
      <c r="D540" s="5856" t="s">
        <v>1199</v>
      </c>
      <c r="E540" s="5844">
        <v>2310</v>
      </c>
      <c r="F540" s="5857" t="s">
        <v>1199</v>
      </c>
      <c r="G540" s="5858">
        <v>500</v>
      </c>
      <c r="H540" s="5002"/>
      <c r="I540" s="5855" t="s">
        <v>1199</v>
      </c>
      <c r="J540" s="5859">
        <v>2</v>
      </c>
      <c r="K540" s="5856" t="s">
        <v>1199</v>
      </c>
      <c r="L540" s="5860">
        <v>2</v>
      </c>
      <c r="M540" s="5856" t="s">
        <v>1199</v>
      </c>
      <c r="N540" s="5859">
        <v>1</v>
      </c>
      <c r="O540" s="5002"/>
      <c r="P540" s="5002"/>
      <c r="Q540" s="4992"/>
    </row>
    <row r="541" spans="1:17" ht="15.75">
      <c r="A541" s="5002"/>
      <c r="B541" s="5861" t="s">
        <v>1198</v>
      </c>
      <c r="C541" s="5839">
        <v>1000</v>
      </c>
      <c r="D541" s="5862" t="s">
        <v>1200</v>
      </c>
      <c r="E541" s="5839">
        <v>720</v>
      </c>
      <c r="F541" s="5862" t="s">
        <v>1201</v>
      </c>
      <c r="G541" s="5863">
        <v>50</v>
      </c>
      <c r="H541" s="5002"/>
      <c r="I541" s="5861" t="s">
        <v>1198</v>
      </c>
      <c r="J541" s="5864">
        <v>1</v>
      </c>
      <c r="K541" s="5862" t="s">
        <v>1200</v>
      </c>
      <c r="L541" s="5864">
        <v>1</v>
      </c>
      <c r="M541" s="5862" t="s">
        <v>1201</v>
      </c>
      <c r="N541" s="5863">
        <v>50</v>
      </c>
      <c r="O541" s="5002"/>
      <c r="P541" s="5002"/>
      <c r="Q541" s="4992"/>
    </row>
    <row r="542" spans="1:17" ht="15.75">
      <c r="A542" s="5002"/>
      <c r="B542" s="5848" t="s">
        <v>1202</v>
      </c>
      <c r="C542" s="5849">
        <f>IF(C540=0,0,IF(C541=0,0,C540-C541))</f>
        <v>780</v>
      </c>
      <c r="D542" s="5848" t="s">
        <v>1205</v>
      </c>
      <c r="E542" s="5849">
        <f>IF(E540=0,0,IF(E541=0,0,E540-E541))</f>
        <v>1590</v>
      </c>
      <c r="F542" s="5848" t="s">
        <v>1202</v>
      </c>
      <c r="G542" s="5849">
        <f>G540*G541%</f>
        <v>250</v>
      </c>
      <c r="H542" s="5002"/>
      <c r="I542" s="5848" t="s">
        <v>1202</v>
      </c>
      <c r="J542" s="5851">
        <f>IF(J540=0,0,IF(J541=0,0,J540-J541))</f>
        <v>1</v>
      </c>
      <c r="K542" s="5848" t="s">
        <v>1205</v>
      </c>
      <c r="L542" s="5851">
        <f>IF(L540=0,0,IF(L541=0,0,L540-L541))</f>
        <v>1</v>
      </c>
      <c r="M542" s="5848" t="s">
        <v>1202</v>
      </c>
      <c r="N542" s="5851">
        <f>N540*N541%</f>
        <v>0.5</v>
      </c>
      <c r="O542" s="5002"/>
      <c r="P542" s="5002"/>
      <c r="Q542" s="4992"/>
    </row>
    <row r="543" spans="1:17" ht="15.75">
      <c r="A543" s="5002"/>
      <c r="B543" s="5852" t="s">
        <v>1204</v>
      </c>
      <c r="C543" s="5853">
        <f>IF(C540=0,0,C542/C540)</f>
        <v>0.43820224719101125</v>
      </c>
      <c r="D543" s="5852" t="s">
        <v>1204</v>
      </c>
      <c r="E543" s="5853">
        <f>IF(E540=0,0,IF(E541=0,0,E541/E540))</f>
        <v>0.31168831168831168</v>
      </c>
      <c r="F543" s="5852" t="s">
        <v>1205</v>
      </c>
      <c r="G543" s="5865">
        <f>G540-G542</f>
        <v>250</v>
      </c>
      <c r="H543" s="5002"/>
      <c r="I543" s="5852" t="s">
        <v>1204</v>
      </c>
      <c r="J543" s="5853">
        <f>IF(J540=0,0,J542/J540)</f>
        <v>0.5</v>
      </c>
      <c r="K543" s="5852" t="s">
        <v>1204</v>
      </c>
      <c r="L543" s="5853">
        <f>IF(L540=0,0,IF(L541=0,0,L541/L540))</f>
        <v>0.5</v>
      </c>
      <c r="M543" s="5852" t="s">
        <v>1205</v>
      </c>
      <c r="N543" s="5866">
        <f>N540-N542</f>
        <v>0.5</v>
      </c>
      <c r="O543" s="5002"/>
      <c r="P543" s="5002"/>
      <c r="Q543" s="4992"/>
    </row>
    <row r="544" spans="1:17">
      <c r="A544" s="5002"/>
      <c r="B544" s="5867" t="s">
        <v>1152</v>
      </c>
      <c r="C544" s="5868"/>
      <c r="D544" s="5868"/>
      <c r="E544" s="5868"/>
      <c r="F544" s="5868"/>
      <c r="G544" s="5868"/>
      <c r="H544" s="5002"/>
      <c r="I544" s="5867" t="s">
        <v>1152</v>
      </c>
      <c r="J544" s="5868"/>
      <c r="K544" s="5868"/>
      <c r="L544" s="5868"/>
      <c r="M544" s="5868"/>
      <c r="N544" s="5868"/>
      <c r="O544" s="5002"/>
      <c r="P544" s="5002"/>
      <c r="Q544" s="4992"/>
    </row>
    <row r="545" spans="1:17">
      <c r="A545" s="5002"/>
      <c r="B545" s="5170"/>
      <c r="C545" s="5170"/>
      <c r="D545" s="5170"/>
      <c r="E545" s="5170"/>
      <c r="F545" s="5170"/>
      <c r="G545" s="5170"/>
      <c r="H545" s="4992"/>
      <c r="I545" s="5171"/>
      <c r="J545" s="5171"/>
      <c r="K545" s="5173"/>
      <c r="L545" s="5173"/>
      <c r="M545" s="5171"/>
      <c r="N545" s="5171"/>
      <c r="O545" s="5002"/>
      <c r="P545" s="5002"/>
      <c r="Q545" s="4992"/>
    </row>
    <row r="546" spans="1:17">
      <c r="A546" s="5063"/>
      <c r="B546" s="5064"/>
      <c r="C546" s="5065"/>
      <c r="D546" s="5065"/>
      <c r="E546" s="5065"/>
      <c r="F546" s="5065"/>
      <c r="G546" s="5065"/>
      <c r="H546" s="5065"/>
      <c r="I546" s="5065"/>
      <c r="J546" s="5064"/>
      <c r="K546" s="5064"/>
      <c r="L546" s="5064"/>
      <c r="M546" s="5063"/>
      <c r="N546" s="5063"/>
      <c r="O546" s="5063"/>
      <c r="P546" s="5063"/>
      <c r="Q546" s="5063"/>
    </row>
    <row r="547" spans="1:17">
      <c r="A547" s="5002"/>
      <c r="B547" s="5170"/>
      <c r="C547" s="5170"/>
      <c r="D547" s="5170"/>
      <c r="E547" s="5170"/>
      <c r="F547" s="5170"/>
      <c r="G547" s="5170"/>
      <c r="H547" s="4992"/>
      <c r="I547" s="5171"/>
      <c r="J547" s="5171"/>
      <c r="K547" s="5173"/>
      <c r="L547" s="5173"/>
      <c r="M547" s="5171"/>
      <c r="N547" s="5171"/>
      <c r="O547" s="5002"/>
      <c r="P547" s="5002"/>
      <c r="Q547" s="4992"/>
    </row>
    <row r="548" spans="1:17">
      <c r="A548" s="5002"/>
      <c r="B548" s="5170"/>
      <c r="C548" s="5170"/>
      <c r="D548" s="5170"/>
      <c r="E548" s="5170"/>
      <c r="F548" s="5170"/>
      <c r="G548" s="5170"/>
      <c r="H548" s="4992"/>
      <c r="I548" s="5171"/>
      <c r="J548" s="5171"/>
      <c r="K548" s="5173"/>
      <c r="L548" s="5173"/>
      <c r="M548" s="5171"/>
      <c r="N548" s="5171"/>
      <c r="O548" s="5002"/>
      <c r="P548" s="5002"/>
      <c r="Q548" s="4992"/>
    </row>
    <row r="549" spans="1:17" ht="15.75">
      <c r="A549" s="5002"/>
      <c r="B549" s="5170"/>
      <c r="C549" s="5170"/>
      <c r="D549" s="5170"/>
      <c r="E549" s="5170"/>
      <c r="F549" s="5170"/>
      <c r="G549" s="5170"/>
      <c r="H549" s="4992"/>
      <c r="I549" s="5171"/>
      <c r="J549" s="5869" t="s">
        <v>1206</v>
      </c>
      <c r="K549" s="5870"/>
      <c r="L549" s="5870"/>
      <c r="M549" s="5871"/>
      <c r="N549" s="5871"/>
      <c r="O549" s="5002"/>
      <c r="P549" s="5002"/>
      <c r="Q549" s="4992"/>
    </row>
    <row r="550" spans="1:17">
      <c r="A550" s="5002"/>
      <c r="B550" s="5170"/>
      <c r="C550" s="5170"/>
      <c r="D550" s="5170"/>
      <c r="E550" s="5170"/>
      <c r="F550" s="5170"/>
      <c r="G550" s="5170"/>
      <c r="H550" s="4992"/>
      <c r="I550" s="5171"/>
      <c r="J550" s="5171"/>
      <c r="K550" s="5173"/>
      <c r="L550" s="5173"/>
      <c r="M550" s="5171"/>
      <c r="N550" s="5171"/>
      <c r="O550" s="5002"/>
      <c r="P550" s="5002"/>
      <c r="Q550" s="4992"/>
    </row>
    <row r="551" spans="1:17" ht="21">
      <c r="A551" s="5002"/>
      <c r="B551" s="5170"/>
      <c r="C551" s="5170"/>
      <c r="D551" s="5170"/>
      <c r="E551" s="5170"/>
      <c r="F551" s="5170"/>
      <c r="G551" s="5170"/>
      <c r="H551" s="4992"/>
      <c r="I551" s="5171"/>
      <c r="J551" s="298" t="s">
        <v>1207</v>
      </c>
      <c r="K551" s="5002"/>
      <c r="L551" s="5002"/>
      <c r="M551" s="5002"/>
      <c r="N551" s="5002"/>
      <c r="O551" s="5002"/>
      <c r="P551" s="5002"/>
      <c r="Q551" s="4992"/>
    </row>
    <row r="552" spans="1:17" ht="23.25">
      <c r="A552" s="5002"/>
      <c r="B552" s="5170"/>
      <c r="C552" s="5170"/>
      <c r="D552" s="5170"/>
      <c r="E552" s="5170"/>
      <c r="F552" s="5170"/>
      <c r="G552" s="5170"/>
      <c r="H552" s="4992"/>
      <c r="I552" s="5171"/>
      <c r="J552" s="4115" t="s">
        <v>1208</v>
      </c>
      <c r="K552" s="4115"/>
      <c r="L552" s="4115"/>
      <c r="M552" s="4115"/>
      <c r="N552" s="4115"/>
      <c r="O552" s="5002"/>
      <c r="P552" s="5002"/>
      <c r="Q552" s="4992"/>
    </row>
    <row r="553" spans="1:17" ht="21">
      <c r="A553" s="5002"/>
      <c r="B553" s="5170"/>
      <c r="C553" s="5170"/>
      <c r="D553" s="5170"/>
      <c r="E553" s="5170"/>
      <c r="F553" s="5170"/>
      <c r="G553" s="5170"/>
      <c r="H553" s="4992"/>
      <c r="I553" s="5171"/>
      <c r="J553" s="5872"/>
      <c r="K553" s="300" t="s">
        <v>1209</v>
      </c>
      <c r="L553" s="5873"/>
      <c r="M553" s="5874"/>
      <c r="N553" s="5171"/>
      <c r="O553" s="5002"/>
      <c r="P553" s="5002"/>
      <c r="Q553" s="4992"/>
    </row>
    <row r="554" spans="1:17" ht="21">
      <c r="A554" s="5002"/>
      <c r="B554" s="5170"/>
      <c r="C554" s="5170"/>
      <c r="D554" s="5170"/>
      <c r="E554" s="5170"/>
      <c r="F554" s="5170"/>
      <c r="G554" s="5170"/>
      <c r="H554" s="4992"/>
      <c r="I554" s="5171"/>
      <c r="J554" s="5872"/>
      <c r="K554" s="300" t="s">
        <v>1210</v>
      </c>
      <c r="L554" s="5873"/>
      <c r="M554" s="5874"/>
      <c r="N554" s="5171"/>
      <c r="O554" s="5002"/>
      <c r="P554" s="5002"/>
      <c r="Q554" s="4992"/>
    </row>
    <row r="555" spans="1:17" ht="21">
      <c r="A555" s="5002"/>
      <c r="B555" s="5170"/>
      <c r="C555" s="5170"/>
      <c r="D555" s="5170"/>
      <c r="E555" s="5170"/>
      <c r="F555" s="5170"/>
      <c r="G555" s="5170"/>
      <c r="H555" s="4992"/>
      <c r="I555" s="5171"/>
      <c r="J555" s="5872"/>
      <c r="K555" s="300" t="s">
        <v>1211</v>
      </c>
      <c r="L555" s="5873"/>
      <c r="M555" s="5874"/>
      <c r="N555" s="5171"/>
      <c r="O555" s="5002"/>
      <c r="P555" s="5002"/>
      <c r="Q555" s="4992"/>
    </row>
    <row r="556" spans="1:17" ht="21">
      <c r="A556" s="5002"/>
      <c r="B556" s="5875" t="s">
        <v>1212</v>
      </c>
      <c r="C556" s="5170"/>
      <c r="D556" s="5170"/>
      <c r="E556" s="5170"/>
      <c r="F556" s="5170"/>
      <c r="G556" s="5170"/>
      <c r="H556" s="4992"/>
      <c r="I556" s="5171"/>
      <c r="J556" s="5872"/>
      <c r="K556" s="300" t="s">
        <v>1213</v>
      </c>
      <c r="L556" s="5873"/>
      <c r="M556" s="5874"/>
      <c r="N556" s="5171"/>
      <c r="O556" s="5002"/>
      <c r="P556" s="5002"/>
      <c r="Q556" s="4992"/>
    </row>
    <row r="557" spans="1:17" ht="21">
      <c r="A557" s="5002"/>
      <c r="B557" s="5875" t="s">
        <v>1214</v>
      </c>
      <c r="C557" s="5170"/>
      <c r="D557" s="5170"/>
      <c r="E557" s="5170"/>
      <c r="F557" s="5170"/>
      <c r="G557" s="5170"/>
      <c r="H557" s="4992"/>
      <c r="I557" s="5171"/>
      <c r="J557" s="5872"/>
      <c r="K557" s="300" t="s">
        <v>1215</v>
      </c>
      <c r="L557" s="5873"/>
      <c r="M557" s="5874"/>
      <c r="N557" s="5171"/>
      <c r="O557" s="5002"/>
      <c r="P557" s="5002"/>
      <c r="Q557" s="4992"/>
    </row>
    <row r="558" spans="1:17" ht="21">
      <c r="A558" s="5002"/>
      <c r="B558" s="5170"/>
      <c r="C558" s="5170"/>
      <c r="D558" s="5170"/>
      <c r="E558" s="5170"/>
      <c r="F558" s="5170"/>
      <c r="G558" s="5170"/>
      <c r="H558" s="4992"/>
      <c r="I558" s="5171"/>
      <c r="J558" s="5872"/>
      <c r="K558" s="300" t="s">
        <v>1216</v>
      </c>
      <c r="L558" s="5873"/>
      <c r="M558" s="5874"/>
      <c r="N558" s="5171"/>
      <c r="O558" s="5002"/>
      <c r="P558" s="5002"/>
      <c r="Q558" s="4992"/>
    </row>
    <row r="559" spans="1:17" ht="21">
      <c r="A559" s="5002"/>
      <c r="B559" s="5876" t="s">
        <v>1217</v>
      </c>
      <c r="C559" s="5002"/>
      <c r="D559" s="5002"/>
      <c r="E559" s="5002"/>
      <c r="F559" s="5170"/>
      <c r="G559" s="5170"/>
      <c r="H559" s="4992"/>
      <c r="I559" s="5171"/>
      <c r="J559" s="5872"/>
      <c r="K559" s="300" t="s">
        <v>1218</v>
      </c>
      <c r="L559" s="5873"/>
      <c r="M559" s="5874"/>
      <c r="N559" s="5171"/>
      <c r="O559" s="5002"/>
      <c r="P559" s="5002"/>
      <c r="Q559" s="4992"/>
    </row>
    <row r="560" spans="1:17">
      <c r="A560" s="5002"/>
      <c r="B560" s="5877" t="s">
        <v>1219</v>
      </c>
      <c r="C560" s="5002"/>
      <c r="D560" s="5002"/>
      <c r="E560" s="5002"/>
      <c r="F560" s="5170"/>
      <c r="G560" s="5170"/>
      <c r="H560" s="4992"/>
      <c r="I560" s="5171"/>
      <c r="J560" s="5171"/>
      <c r="K560" s="5173"/>
      <c r="L560" s="5173"/>
      <c r="M560" s="5171"/>
      <c r="N560" s="5171"/>
      <c r="O560" s="5002"/>
      <c r="P560" s="5002"/>
      <c r="Q560" s="4992"/>
    </row>
    <row r="561" spans="1:17" ht="31.5" customHeight="1" thickBot="1">
      <c r="A561" s="5002"/>
      <c r="B561" s="5875"/>
      <c r="C561" s="5524"/>
      <c r="D561" s="5524"/>
      <c r="E561" s="5524"/>
      <c r="F561" s="5170"/>
      <c r="G561" s="5170"/>
      <c r="H561" s="4992"/>
      <c r="I561" s="5171"/>
      <c r="J561" s="5876"/>
      <c r="K561" s="5173"/>
      <c r="L561" s="5173"/>
      <c r="O561" s="5002"/>
      <c r="P561" s="5002"/>
      <c r="Q561" s="4992"/>
    </row>
    <row r="562" spans="1:17" ht="16.5" customHeight="1" thickBot="1">
      <c r="A562" s="5002"/>
      <c r="B562" s="5172"/>
      <c r="C562" s="5002"/>
      <c r="D562" s="5002"/>
      <c r="E562" s="5002"/>
      <c r="F562" s="5170"/>
      <c r="G562" s="5170"/>
      <c r="H562" s="4992"/>
      <c r="I562" s="5171"/>
      <c r="J562" s="5877"/>
      <c r="K562" s="5173"/>
      <c r="L562" s="5173"/>
      <c r="M562" s="5878" t="s">
        <v>1220</v>
      </c>
      <c r="N562" s="5879"/>
      <c r="O562" s="5002"/>
      <c r="P562" s="5002"/>
      <c r="Q562" s="4992"/>
    </row>
    <row r="563" spans="1:17" ht="15.75">
      <c r="A563" s="5002"/>
      <c r="B563" s="5880" t="s">
        <v>1221</v>
      </c>
      <c r="C563" s="5002"/>
      <c r="D563" s="5002"/>
      <c r="E563" s="5002"/>
      <c r="F563" s="5170"/>
      <c r="G563" s="5881" t="s">
        <v>1222</v>
      </c>
      <c r="H563" s="5882"/>
      <c r="I563" s="5171"/>
      <c r="J563" s="5172"/>
      <c r="K563" s="5172"/>
      <c r="L563" s="5173"/>
      <c r="M563" s="5883" t="s">
        <v>1223</v>
      </c>
      <c r="N563" s="5884"/>
      <c r="O563" s="5002"/>
      <c r="P563" s="5002"/>
      <c r="Q563" s="4992"/>
    </row>
    <row r="564" spans="1:17" ht="15.75">
      <c r="A564" s="5002"/>
      <c r="B564" s="5885" t="s">
        <v>1222</v>
      </c>
      <c r="C564" s="5002"/>
      <c r="D564" s="5002"/>
      <c r="E564" s="5002" t="s">
        <v>1224</v>
      </c>
      <c r="F564" s="5170"/>
      <c r="G564" s="5886"/>
      <c r="H564" s="5887"/>
      <c r="I564" s="5171"/>
      <c r="J564" s="5172" t="s">
        <v>1220</v>
      </c>
      <c r="K564" s="5172"/>
      <c r="L564" s="5173"/>
      <c r="M564" s="5888" t="s">
        <v>1199</v>
      </c>
      <c r="N564" s="5889">
        <v>140</v>
      </c>
      <c r="O564" s="5002"/>
      <c r="P564" s="5002"/>
      <c r="Q564" s="4992"/>
    </row>
    <row r="565" spans="1:17" ht="15.75" customHeight="1">
      <c r="A565" s="5002"/>
      <c r="B565" s="5172" t="s">
        <v>1225</v>
      </c>
      <c r="C565" s="5002"/>
      <c r="D565" s="5002"/>
      <c r="E565" s="5002"/>
      <c r="F565" s="5170"/>
      <c r="G565" s="5890" t="s">
        <v>1199</v>
      </c>
      <c r="H565" s="5891">
        <v>87</v>
      </c>
      <c r="I565" s="5171"/>
      <c r="J565" s="5172" t="s">
        <v>1223</v>
      </c>
      <c r="K565" s="5172"/>
      <c r="L565" s="5173"/>
      <c r="M565" s="5892" t="s">
        <v>1201</v>
      </c>
      <c r="N565" s="5893">
        <v>20</v>
      </c>
      <c r="O565" s="5002"/>
      <c r="P565" s="5002"/>
      <c r="Q565" s="5002"/>
    </row>
    <row r="566" spans="1:17" ht="15.75">
      <c r="A566" s="5002"/>
      <c r="B566" s="5172" t="s">
        <v>1226</v>
      </c>
      <c r="C566" s="5002"/>
      <c r="D566" s="5002"/>
      <c r="E566" s="5002"/>
      <c r="F566" s="5170"/>
      <c r="G566" s="5894" t="s">
        <v>1201</v>
      </c>
      <c r="H566" s="5895">
        <v>5</v>
      </c>
      <c r="I566" s="5171"/>
      <c r="J566" s="5172" t="s">
        <v>1227</v>
      </c>
      <c r="K566" s="5172"/>
      <c r="L566" s="5173"/>
      <c r="M566" s="5896" t="s">
        <v>1202</v>
      </c>
      <c r="N566" s="5897">
        <f>(N564*N565)/100</f>
        <v>28</v>
      </c>
      <c r="O566" s="5002"/>
      <c r="P566" s="5002"/>
      <c r="Q566" s="5002"/>
    </row>
    <row r="567" spans="1:17" ht="15.75">
      <c r="A567" s="5002"/>
      <c r="B567" s="5880" t="s">
        <v>1228</v>
      </c>
      <c r="C567" s="5002"/>
      <c r="D567" s="5002"/>
      <c r="E567" s="5002"/>
      <c r="F567" s="5170"/>
      <c r="G567" s="5898" t="s">
        <v>1229</v>
      </c>
      <c r="H567" s="5899">
        <f>H566/100</f>
        <v>0.05</v>
      </c>
      <c r="I567" s="5171"/>
      <c r="J567" s="5880" t="s">
        <v>1230</v>
      </c>
      <c r="K567" s="5172"/>
      <c r="L567" s="5173"/>
      <c r="M567" s="5896" t="s">
        <v>1229</v>
      </c>
      <c r="N567" s="5900">
        <f>N565/100</f>
        <v>0.2</v>
      </c>
      <c r="O567" s="5002"/>
      <c r="P567" s="5002"/>
      <c r="Q567" s="5002"/>
    </row>
    <row r="568" spans="1:17" ht="16.5" thickBot="1">
      <c r="A568" s="5002"/>
      <c r="B568" s="5172" t="s">
        <v>1231</v>
      </c>
      <c r="C568" s="5002"/>
      <c r="D568" s="5002"/>
      <c r="E568" s="5002"/>
      <c r="F568" s="5170"/>
      <c r="G568" s="5901" t="s">
        <v>1202</v>
      </c>
      <c r="H568" s="5902">
        <f>H565*H567</f>
        <v>4.3500000000000005</v>
      </c>
      <c r="I568" s="5171"/>
      <c r="J568" s="5172" t="s">
        <v>1232</v>
      </c>
      <c r="K568" s="5172"/>
      <c r="L568" s="5173"/>
      <c r="M568" s="5898" t="s">
        <v>1202</v>
      </c>
      <c r="N568" s="5903">
        <f>N564*N567</f>
        <v>28</v>
      </c>
      <c r="O568" s="5002"/>
      <c r="P568" s="5002"/>
      <c r="Q568" s="5002"/>
    </row>
    <row r="569" spans="1:17" ht="16.5" thickBot="1">
      <c r="A569" s="5002"/>
      <c r="B569" s="5172" t="s">
        <v>1233</v>
      </c>
      <c r="C569" s="5002"/>
      <c r="D569" s="5002"/>
      <c r="E569" s="5002"/>
      <c r="F569" s="5170"/>
      <c r="G569" s="5170"/>
      <c r="H569" s="4992"/>
      <c r="I569" s="5171"/>
      <c r="J569" s="5880" t="s">
        <v>1234</v>
      </c>
      <c r="K569" s="5172"/>
      <c r="L569" s="5173"/>
      <c r="M569" s="5904" t="s">
        <v>1230</v>
      </c>
      <c r="N569" s="5905"/>
      <c r="O569" s="5002"/>
      <c r="P569" s="5002"/>
      <c r="Q569" s="5002"/>
    </row>
    <row r="570" spans="1:17" ht="15.75">
      <c r="A570" s="5002"/>
      <c r="B570" s="5880" t="s">
        <v>1235</v>
      </c>
      <c r="C570" s="5002"/>
      <c r="D570" s="5002"/>
      <c r="E570" s="5002"/>
      <c r="F570" s="5170"/>
      <c r="G570" s="5881" t="s">
        <v>1236</v>
      </c>
      <c r="H570" s="5882"/>
      <c r="I570" s="5171"/>
      <c r="J570" s="5172" t="s">
        <v>1237</v>
      </c>
      <c r="K570" s="5172"/>
      <c r="L570" s="5173"/>
      <c r="M570" s="5906" t="s">
        <v>1232</v>
      </c>
      <c r="N570" s="5907"/>
      <c r="O570" s="5002"/>
      <c r="P570" s="5002"/>
      <c r="Q570" s="5002"/>
    </row>
    <row r="571" spans="1:17" ht="15.75">
      <c r="A571" s="5002"/>
      <c r="B571" s="5172"/>
      <c r="C571" s="5002"/>
      <c r="D571" s="5002"/>
      <c r="E571" s="5002"/>
      <c r="F571" s="5170"/>
      <c r="G571" s="5886"/>
      <c r="H571" s="5887"/>
      <c r="I571" s="5171"/>
      <c r="J571" s="5880" t="s">
        <v>1238</v>
      </c>
      <c r="K571" s="5172"/>
      <c r="L571" s="5173"/>
      <c r="M571" s="5908">
        <f>N567</f>
        <v>0.2</v>
      </c>
      <c r="N571" s="5909">
        <f>N564*M571</f>
        <v>28</v>
      </c>
      <c r="O571" s="5910" t="s">
        <v>1239</v>
      </c>
      <c r="P571" s="5002"/>
      <c r="Q571" s="5002"/>
    </row>
    <row r="572" spans="1:17" ht="15.75">
      <c r="A572" s="5002"/>
      <c r="B572" s="5885" t="s">
        <v>1236</v>
      </c>
      <c r="C572" s="5002"/>
      <c r="D572" s="5002"/>
      <c r="E572" s="5002"/>
      <c r="F572" s="5170"/>
      <c r="G572" s="5890" t="s">
        <v>1199</v>
      </c>
      <c r="H572" s="5911">
        <v>87</v>
      </c>
      <c r="I572" s="5171"/>
      <c r="J572" s="5172"/>
      <c r="K572" s="5172"/>
      <c r="L572" s="5173"/>
      <c r="M572" s="5912" t="s">
        <v>1234</v>
      </c>
      <c r="N572" s="5913"/>
      <c r="O572" s="5002"/>
      <c r="P572" s="5002"/>
      <c r="Q572" s="5002"/>
    </row>
    <row r="573" spans="1:17" ht="15.75">
      <c r="A573" s="5002"/>
      <c r="B573" s="5172" t="s">
        <v>1240</v>
      </c>
      <c r="C573" s="5002"/>
      <c r="D573" s="5002"/>
      <c r="E573" s="5002"/>
      <c r="F573" s="5170"/>
      <c r="G573" s="5894" t="s">
        <v>1201</v>
      </c>
      <c r="H573" s="5895">
        <v>5</v>
      </c>
      <c r="I573" s="5171"/>
      <c r="J573" s="5002"/>
      <c r="K573" s="5172"/>
      <c r="L573" s="5173"/>
      <c r="M573" s="5914" t="s">
        <v>1237</v>
      </c>
      <c r="N573" s="5291"/>
      <c r="O573" s="5002"/>
      <c r="P573" s="5002"/>
      <c r="Q573" s="5002"/>
    </row>
    <row r="574" spans="1:17" ht="15.75">
      <c r="A574" s="5002"/>
      <c r="B574" s="5880" t="s">
        <v>1241</v>
      </c>
      <c r="C574" s="5002"/>
      <c r="D574" s="5002"/>
      <c r="E574" s="5002"/>
      <c r="F574" s="5170"/>
      <c r="G574" s="5898" t="s">
        <v>1229</v>
      </c>
      <c r="H574" s="5899">
        <f>(100-H573)/100</f>
        <v>0.95</v>
      </c>
      <c r="I574" s="5171"/>
      <c r="J574" s="5002"/>
      <c r="K574" s="5172"/>
      <c r="L574" s="5173"/>
      <c r="M574" s="5915" t="s">
        <v>1201</v>
      </c>
      <c r="N574" s="5916">
        <v>40</v>
      </c>
      <c r="O574" s="5002"/>
      <c r="P574" s="5002"/>
      <c r="Q574" s="5002"/>
    </row>
    <row r="575" spans="1:17" ht="16.5" thickBot="1">
      <c r="A575" s="5002"/>
      <c r="B575" s="5172" t="s">
        <v>1242</v>
      </c>
      <c r="C575" s="5002"/>
      <c r="D575" s="5002"/>
      <c r="E575" s="5002"/>
      <c r="F575" s="5170"/>
      <c r="G575" s="5901" t="s">
        <v>1205</v>
      </c>
      <c r="H575" s="5902">
        <f>H572*H574</f>
        <v>82.649999999999991</v>
      </c>
      <c r="I575" s="5171"/>
      <c r="J575" s="5002"/>
      <c r="K575" s="5172"/>
      <c r="L575" s="5173"/>
      <c r="M575" s="5908">
        <f>N574/100</f>
        <v>0.4</v>
      </c>
      <c r="N575" s="5909">
        <f>N564*M575</f>
        <v>56</v>
      </c>
      <c r="O575" s="5002"/>
      <c r="P575" s="5002"/>
      <c r="Q575" s="5002"/>
    </row>
    <row r="576" spans="1:17" ht="15.75">
      <c r="A576" s="5002"/>
      <c r="B576" s="5880" t="s">
        <v>1243</v>
      </c>
      <c r="C576" s="5002"/>
      <c r="D576" s="5002"/>
      <c r="E576" s="5002"/>
      <c r="F576" s="5170"/>
      <c r="G576" s="5170"/>
      <c r="H576" s="4992"/>
      <c r="I576" s="5171"/>
      <c r="J576" s="5002"/>
      <c r="K576" s="5172"/>
      <c r="L576" s="5173"/>
      <c r="M576" s="5915" t="s">
        <v>1201</v>
      </c>
      <c r="N576" s="5916">
        <v>90</v>
      </c>
      <c r="O576" s="5002"/>
      <c r="P576" s="5002"/>
      <c r="Q576" s="5002"/>
    </row>
    <row r="577" spans="1:17" ht="15.75">
      <c r="A577" s="5002"/>
      <c r="B577" s="5172" t="s">
        <v>1244</v>
      </c>
      <c r="C577" s="5002"/>
      <c r="D577" s="5002"/>
      <c r="E577" s="5002"/>
      <c r="F577" s="5170"/>
      <c r="G577" s="5170"/>
      <c r="H577" s="4992"/>
      <c r="I577" s="5171"/>
      <c r="J577" s="5002"/>
      <c r="K577" s="5172"/>
      <c r="L577" s="5173"/>
      <c r="M577" s="5906" t="s">
        <v>1238</v>
      </c>
      <c r="N577" s="5907"/>
      <c r="O577" s="5002"/>
      <c r="P577" s="5002"/>
      <c r="Q577" s="5002"/>
    </row>
    <row r="578" spans="1:17" ht="16.5" thickBot="1">
      <c r="A578" s="5002"/>
      <c r="B578" s="5172"/>
      <c r="C578" s="5002"/>
      <c r="D578" s="5002"/>
      <c r="E578" s="5002"/>
      <c r="F578" s="5170"/>
      <c r="G578" s="5170"/>
      <c r="H578" s="4992"/>
      <c r="I578" s="5171"/>
      <c r="J578" s="5002"/>
      <c r="K578" s="5172"/>
      <c r="L578" s="5173"/>
      <c r="M578" s="5917">
        <f>N576/100</f>
        <v>0.9</v>
      </c>
      <c r="N578" s="5918">
        <f>N564*M578</f>
        <v>126</v>
      </c>
      <c r="O578" s="5002"/>
      <c r="P578" s="5002"/>
      <c r="Q578" s="5002"/>
    </row>
    <row r="579" spans="1:17" ht="15.75">
      <c r="A579" s="5002"/>
      <c r="B579" s="5172" t="s">
        <v>1245</v>
      </c>
      <c r="C579" s="5172"/>
      <c r="D579" s="5173"/>
      <c r="E579" s="5172"/>
      <c r="F579" s="5172"/>
      <c r="G579" s="5919" t="s">
        <v>1245</v>
      </c>
      <c r="H579" s="5920"/>
      <c r="I579" s="5171"/>
      <c r="J579" s="5172"/>
      <c r="K579" s="5172"/>
      <c r="L579" s="5172"/>
      <c r="M579" s="5172"/>
      <c r="N579" s="5172"/>
      <c r="O579" s="5002"/>
      <c r="P579" s="5002"/>
      <c r="Q579" s="5002"/>
    </row>
    <row r="580" spans="1:17" ht="15.75">
      <c r="A580" s="5002"/>
      <c r="B580" s="5172" t="s">
        <v>1246</v>
      </c>
      <c r="C580" s="5172"/>
      <c r="D580" s="5173"/>
      <c r="E580" s="5172"/>
      <c r="F580" s="5172"/>
      <c r="G580" s="5921"/>
      <c r="H580" s="5922"/>
      <c r="I580" s="5171"/>
      <c r="J580" s="5172"/>
      <c r="K580" s="5172"/>
      <c r="L580" s="5172"/>
      <c r="M580" s="5172"/>
      <c r="N580" s="5172"/>
      <c r="O580" s="5002"/>
      <c r="P580" s="5002"/>
      <c r="Q580" s="5002"/>
    </row>
    <row r="581" spans="1:17" ht="15.75">
      <c r="A581" s="5002"/>
      <c r="B581" s="5172" t="s">
        <v>1247</v>
      </c>
      <c r="C581" s="5172"/>
      <c r="D581" s="5173"/>
      <c r="E581" s="5172"/>
      <c r="F581" s="5172"/>
      <c r="G581" s="5923" t="s">
        <v>1246</v>
      </c>
      <c r="H581" s="5924"/>
      <c r="I581" s="5171"/>
      <c r="J581" s="5172"/>
      <c r="K581" s="5172"/>
      <c r="L581" s="5172"/>
      <c r="M581" s="5172"/>
      <c r="N581" s="5172"/>
      <c r="O581" s="5002"/>
      <c r="P581" s="5002"/>
      <c r="Q581" s="5002"/>
    </row>
    <row r="582" spans="1:17" ht="15.75">
      <c r="A582" s="5002"/>
      <c r="B582" s="5172" t="s">
        <v>1248</v>
      </c>
      <c r="C582" s="5172"/>
      <c r="D582" s="5173"/>
      <c r="E582" s="5172"/>
      <c r="F582" s="5172"/>
      <c r="G582" s="5925" t="s">
        <v>1247</v>
      </c>
      <c r="H582" s="5926"/>
      <c r="I582" s="5171"/>
      <c r="J582" s="5172"/>
      <c r="K582" s="5172"/>
      <c r="L582" s="5172"/>
      <c r="M582" s="5172"/>
      <c r="N582" s="5172"/>
      <c r="O582" s="5002"/>
      <c r="P582" s="5002"/>
      <c r="Q582" s="5002"/>
    </row>
    <row r="583" spans="1:17" ht="15.75">
      <c r="A583" s="5002"/>
      <c r="B583" s="5172" t="s">
        <v>1249</v>
      </c>
      <c r="C583" s="5172"/>
      <c r="D583" s="5173"/>
      <c r="E583" s="5172"/>
      <c r="F583" s="5172"/>
      <c r="G583" s="5927" t="s">
        <v>1199</v>
      </c>
      <c r="H583" s="5928">
        <v>500</v>
      </c>
      <c r="I583" s="5171"/>
      <c r="J583" s="5172"/>
      <c r="K583" s="5172"/>
      <c r="L583" s="5172"/>
      <c r="M583" s="5172"/>
      <c r="N583" s="5172"/>
      <c r="O583" s="5002"/>
      <c r="P583" s="5002"/>
      <c r="Q583" s="5002"/>
    </row>
    <row r="584" spans="1:17" ht="15.75">
      <c r="A584" s="5002"/>
      <c r="B584" s="5172" t="s">
        <v>1250</v>
      </c>
      <c r="C584" s="5172"/>
      <c r="D584" s="5173"/>
      <c r="E584" s="5172"/>
      <c r="F584" s="5172"/>
      <c r="G584" s="5915" t="s">
        <v>1201</v>
      </c>
      <c r="H584" s="5916">
        <v>8</v>
      </c>
      <c r="I584" s="5171"/>
      <c r="J584" s="5172"/>
      <c r="K584" s="5172"/>
      <c r="L584" s="5172"/>
      <c r="M584" s="5172"/>
      <c r="N584" s="5172"/>
      <c r="O584" s="5002"/>
      <c r="P584" s="5002"/>
      <c r="Q584" s="5002"/>
    </row>
    <row r="585" spans="1:17" ht="15.75">
      <c r="A585" s="5002"/>
      <c r="B585" s="5172"/>
      <c r="C585" s="5172"/>
      <c r="D585" s="5173"/>
      <c r="E585" s="5172"/>
      <c r="F585" s="5172"/>
      <c r="G585" s="5898" t="s">
        <v>1202</v>
      </c>
      <c r="H585" s="5903">
        <f>H583*(H584/100)</f>
        <v>40</v>
      </c>
      <c r="I585" s="5171"/>
      <c r="J585" s="5172"/>
      <c r="K585" s="5172"/>
      <c r="L585" s="5172"/>
      <c r="M585" s="5172"/>
      <c r="N585" s="5172"/>
      <c r="O585" s="5002"/>
      <c r="P585" s="5002"/>
      <c r="Q585" s="5002"/>
    </row>
    <row r="586" spans="1:17" ht="15.75">
      <c r="A586" s="5002"/>
      <c r="B586" s="5172"/>
      <c r="C586" s="5172"/>
      <c r="D586" s="5173"/>
      <c r="E586" s="5172"/>
      <c r="F586" s="5172"/>
      <c r="G586" s="5929" t="s">
        <v>1248</v>
      </c>
      <c r="H586" s="5930"/>
      <c r="I586" s="5171"/>
      <c r="J586" s="5172"/>
      <c r="K586" s="5172"/>
      <c r="L586" s="5172"/>
      <c r="M586" s="5172"/>
      <c r="N586" s="5172"/>
      <c r="O586" s="5002"/>
      <c r="P586" s="5002"/>
      <c r="Q586" s="5002"/>
    </row>
    <row r="587" spans="1:17" ht="15.75">
      <c r="A587" s="5002"/>
      <c r="B587" s="5172"/>
      <c r="C587" s="5172"/>
      <c r="D587" s="5173"/>
      <c r="E587" s="5172"/>
      <c r="F587" s="5172"/>
      <c r="G587" s="5925" t="s">
        <v>1249</v>
      </c>
      <c r="H587" s="5926"/>
      <c r="I587" s="5171"/>
      <c r="J587" s="5172"/>
      <c r="K587" s="5172"/>
      <c r="L587" s="5172"/>
      <c r="M587" s="5172"/>
      <c r="N587" s="5172"/>
      <c r="O587" s="5002"/>
      <c r="P587" s="5002"/>
      <c r="Q587" s="5002"/>
    </row>
    <row r="588" spans="1:17" ht="16.5" thickBot="1">
      <c r="A588" s="5002"/>
      <c r="B588" s="5172"/>
      <c r="C588" s="5172"/>
      <c r="D588" s="5173"/>
      <c r="E588" s="5172"/>
      <c r="F588" s="5172"/>
      <c r="G588" s="5931">
        <f>H584/100</f>
        <v>0.08</v>
      </c>
      <c r="H588" s="5918">
        <f>H583*G588</f>
        <v>40</v>
      </c>
      <c r="I588" s="5171"/>
      <c r="J588" s="5172"/>
      <c r="K588" s="5172"/>
      <c r="L588" s="5172"/>
      <c r="M588" s="5172"/>
      <c r="N588" s="5172"/>
      <c r="O588" s="5002"/>
      <c r="P588" s="5002"/>
      <c r="Q588" s="5002"/>
    </row>
    <row r="589" spans="1:17" ht="15.75">
      <c r="A589" s="5002"/>
      <c r="B589" s="5932"/>
      <c r="C589" s="5002"/>
      <c r="D589" s="5002"/>
      <c r="E589" s="5002"/>
      <c r="F589" s="5170"/>
      <c r="G589" s="5170"/>
      <c r="H589" s="4992"/>
      <c r="I589" s="5171"/>
      <c r="J589" s="5172"/>
      <c r="K589" s="5172"/>
      <c r="L589" s="5172"/>
      <c r="M589" s="5172"/>
      <c r="N589" s="5172"/>
      <c r="O589" s="5002"/>
      <c r="P589" s="5002"/>
      <c r="Q589" s="5002"/>
    </row>
    <row r="590" spans="1:17" ht="16.5" thickBot="1">
      <c r="A590" s="5002"/>
      <c r="B590" s="5932"/>
      <c r="C590" s="5002"/>
      <c r="D590" s="5002"/>
      <c r="E590" s="5002"/>
      <c r="F590" s="5170"/>
      <c r="G590" s="5170"/>
      <c r="H590" s="4992"/>
      <c r="I590" s="5171"/>
      <c r="J590" s="5172"/>
      <c r="K590" s="5172"/>
      <c r="L590" s="5172"/>
      <c r="M590" s="5172"/>
      <c r="N590" s="5172"/>
      <c r="O590" s="5002"/>
      <c r="P590" s="5002"/>
      <c r="Q590" s="5002"/>
    </row>
    <row r="591" spans="1:17" ht="20.25">
      <c r="A591" s="5002"/>
      <c r="B591" s="5933"/>
      <c r="C591" s="5934"/>
      <c r="D591" s="5934"/>
      <c r="E591" s="5934"/>
      <c r="F591" s="5934"/>
      <c r="G591" s="5934"/>
      <c r="H591" s="5935" t="s">
        <v>1251</v>
      </c>
      <c r="I591" s="5171"/>
      <c r="J591" s="5172"/>
      <c r="K591" s="5172"/>
      <c r="L591" s="5172"/>
      <c r="M591" s="5172"/>
      <c r="N591" s="5172"/>
      <c r="O591" s="5002"/>
      <c r="P591" s="5002"/>
      <c r="Q591" s="5002"/>
    </row>
    <row r="592" spans="1:17" ht="15.75">
      <c r="A592" s="5002"/>
      <c r="B592" s="5936" t="s">
        <v>1252</v>
      </c>
      <c r="C592" s="5937"/>
      <c r="D592" s="5938" t="str">
        <f>IF(B593&lt;G593,"Recette imcomplète,il manque",IF(B593&gt;G593,"Trop de produits dans le recette",IF(B593=G593,"")))</f>
        <v>Recette imcomplète,il manque</v>
      </c>
      <c r="E592" s="5939">
        <f>IF(B593=G593,"",IF(B593&lt;G593,G593-B593,IF(B593&gt;G593,B593-G593)))</f>
        <v>2.9999999999999916E-2</v>
      </c>
      <c r="F592" s="5940" t="s">
        <v>1253</v>
      </c>
      <c r="G592" s="5941" t="s">
        <v>1254</v>
      </c>
      <c r="H592" s="5942" t="s">
        <v>1255</v>
      </c>
      <c r="I592" s="5171"/>
      <c r="J592" s="5172"/>
      <c r="K592" s="5172"/>
      <c r="L592" s="5172"/>
      <c r="M592" s="5172"/>
      <c r="N592" s="5172"/>
      <c r="O592" s="5002"/>
      <c r="P592" s="5002"/>
      <c r="Q592" s="5002"/>
    </row>
    <row r="593" spans="1:17" ht="15.75">
      <c r="A593" s="5002"/>
      <c r="B593" s="5943">
        <f>SUM(B594:B599)</f>
        <v>0.97000000000000008</v>
      </c>
      <c r="C593" s="5944"/>
      <c r="D593" s="5945"/>
      <c r="E593" s="5946" t="s">
        <v>1256</v>
      </c>
      <c r="F593" s="5947">
        <v>7</v>
      </c>
      <c r="G593" s="5948">
        <v>1</v>
      </c>
      <c r="H593" s="5949">
        <f>SUM(H594:H599)</f>
        <v>6.9300000000000006</v>
      </c>
      <c r="I593" s="5171"/>
      <c r="J593" s="5172"/>
      <c r="K593" s="5172"/>
      <c r="L593" s="5172"/>
      <c r="M593" s="5172"/>
      <c r="N593" s="5172"/>
      <c r="O593" s="5002"/>
      <c r="P593" s="5002"/>
      <c r="Q593" s="5002"/>
    </row>
    <row r="594" spans="1:17" ht="15.75">
      <c r="A594" s="5002"/>
      <c r="B594" s="5950">
        <v>0.12</v>
      </c>
      <c r="C594" s="5951" t="s">
        <v>1257</v>
      </c>
      <c r="D594" s="5951"/>
      <c r="E594" s="5951"/>
      <c r="F594" s="5952">
        <f>F593*B594</f>
        <v>0.84</v>
      </c>
      <c r="G594" s="5953">
        <v>0</v>
      </c>
      <c r="H594" s="5954">
        <f t="shared" ref="H594:H599" si="3">IF(G594=0,F594,IF(F594="","",F594/(100-G594)*100))</f>
        <v>0.84</v>
      </c>
      <c r="I594" s="5171"/>
      <c r="J594" s="5172"/>
      <c r="K594" s="5172"/>
      <c r="L594" s="5172"/>
      <c r="M594" s="5172"/>
      <c r="N594" s="5172"/>
      <c r="O594" s="5002"/>
      <c r="P594" s="5002"/>
      <c r="Q594" s="5002"/>
    </row>
    <row r="595" spans="1:17" ht="15.75">
      <c r="A595" s="5002"/>
      <c r="B595" s="5950">
        <v>0.08</v>
      </c>
      <c r="C595" s="5951" t="s">
        <v>1258</v>
      </c>
      <c r="D595" s="5951"/>
      <c r="E595" s="5951"/>
      <c r="F595" s="5955">
        <f>F593*B595</f>
        <v>0.56000000000000005</v>
      </c>
      <c r="G595" s="5953">
        <v>0</v>
      </c>
      <c r="H595" s="5954">
        <f t="shared" si="3"/>
        <v>0.56000000000000005</v>
      </c>
      <c r="I595" s="5171"/>
      <c r="J595" s="5172"/>
      <c r="K595" s="5172"/>
      <c r="L595" s="5172"/>
      <c r="M595" s="5172"/>
      <c r="N595" s="5172"/>
      <c r="O595" s="5002"/>
      <c r="P595" s="5002"/>
      <c r="Q595" s="5002"/>
    </row>
    <row r="596" spans="1:17" ht="15.75">
      <c r="A596" s="5002"/>
      <c r="B596" s="5950">
        <v>0.2</v>
      </c>
      <c r="C596" s="5951" t="s">
        <v>1259</v>
      </c>
      <c r="D596" s="5951"/>
      <c r="E596" s="5951"/>
      <c r="F596" s="5955">
        <f>F593*B596</f>
        <v>1.4000000000000001</v>
      </c>
      <c r="G596" s="5953">
        <v>0</v>
      </c>
      <c r="H596" s="5954">
        <f t="shared" si="3"/>
        <v>1.4000000000000001</v>
      </c>
      <c r="I596" s="5171"/>
      <c r="J596" s="5172"/>
      <c r="K596" s="5172"/>
      <c r="L596" s="5172"/>
      <c r="M596" s="5172"/>
      <c r="N596" s="5172"/>
      <c r="O596" s="5002"/>
      <c r="P596" s="5002"/>
      <c r="Q596" s="5002"/>
    </row>
    <row r="597" spans="1:17" ht="15.75">
      <c r="A597" s="5002"/>
      <c r="B597" s="5950">
        <v>0.55000000000000004</v>
      </c>
      <c r="C597" s="5951" t="s">
        <v>1260</v>
      </c>
      <c r="D597" s="5951"/>
      <c r="E597" s="5951"/>
      <c r="F597" s="5955">
        <f>F593*B597</f>
        <v>3.8500000000000005</v>
      </c>
      <c r="G597" s="5953">
        <v>0</v>
      </c>
      <c r="H597" s="5954">
        <f t="shared" si="3"/>
        <v>3.8500000000000005</v>
      </c>
      <c r="I597" s="5171"/>
      <c r="J597" s="5172"/>
      <c r="K597" s="5172"/>
      <c r="L597" s="5172"/>
      <c r="M597" s="5172"/>
      <c r="N597" s="5172"/>
      <c r="O597" s="5002"/>
      <c r="P597" s="5002"/>
      <c r="Q597" s="5002"/>
    </row>
    <row r="598" spans="1:17" ht="15.75">
      <c r="A598" s="5002"/>
      <c r="B598" s="5950">
        <v>0.02</v>
      </c>
      <c r="C598" s="5951" t="s">
        <v>1261</v>
      </c>
      <c r="D598" s="5951"/>
      <c r="E598" s="5951"/>
      <c r="F598" s="5955">
        <f>F593*B598</f>
        <v>0.14000000000000001</v>
      </c>
      <c r="G598" s="5953">
        <v>50</v>
      </c>
      <c r="H598" s="5954">
        <f t="shared" si="3"/>
        <v>0.28000000000000003</v>
      </c>
      <c r="I598" s="5171"/>
      <c r="J598" s="5172"/>
      <c r="K598" s="5172"/>
      <c r="L598" s="5172"/>
      <c r="M598" s="5172"/>
      <c r="N598" s="5172"/>
      <c r="O598" s="5002"/>
      <c r="P598" s="5002"/>
      <c r="Q598" s="5002"/>
    </row>
    <row r="599" spans="1:17" ht="16.5" thickBot="1">
      <c r="A599" s="5002"/>
      <c r="B599" s="5956"/>
      <c r="C599" s="5957"/>
      <c r="D599" s="5957"/>
      <c r="E599" s="5957"/>
      <c r="F599" s="5958">
        <f>F593*B599</f>
        <v>0</v>
      </c>
      <c r="G599" s="5959">
        <v>0</v>
      </c>
      <c r="H599" s="5960">
        <f t="shared" si="3"/>
        <v>0</v>
      </c>
      <c r="I599" s="5171"/>
      <c r="J599" s="5172"/>
      <c r="K599" s="5172"/>
      <c r="L599" s="5172"/>
      <c r="M599" s="5172"/>
      <c r="N599" s="5172"/>
      <c r="O599" s="5002"/>
      <c r="P599" s="5002"/>
      <c r="Q599" s="5002"/>
    </row>
    <row r="600" spans="1:17" ht="15.75">
      <c r="A600" s="5002"/>
      <c r="B600" s="5932"/>
      <c r="C600" s="5002"/>
      <c r="D600" s="5002"/>
      <c r="E600" s="5002"/>
      <c r="F600" s="5170"/>
      <c r="G600" s="5170"/>
      <c r="H600" s="4992"/>
      <c r="I600" s="5171"/>
      <c r="J600" s="5172"/>
      <c r="K600" s="5172"/>
      <c r="L600" s="5172"/>
      <c r="M600" s="5172"/>
      <c r="N600" s="5172"/>
      <c r="O600" s="5002"/>
      <c r="P600" s="5002"/>
      <c r="Q600" s="5002"/>
    </row>
    <row r="601" spans="1:17">
      <c r="A601" s="5063"/>
      <c r="B601" s="5064"/>
      <c r="C601" s="5065"/>
      <c r="D601" s="5065"/>
      <c r="E601" s="5065"/>
      <c r="F601" s="5065"/>
      <c r="G601" s="5065"/>
      <c r="H601" s="5065"/>
      <c r="I601" s="5065"/>
      <c r="J601" s="5064"/>
      <c r="K601" s="5064"/>
      <c r="L601" s="5064"/>
      <c r="M601" s="5063"/>
      <c r="N601" s="5063"/>
      <c r="O601" s="5063"/>
      <c r="P601" s="5063"/>
      <c r="Q601" s="5063"/>
    </row>
    <row r="602" spans="1:17" ht="15.75">
      <c r="A602" s="5002"/>
      <c r="B602" s="5932"/>
      <c r="C602" s="5002"/>
      <c r="D602" s="5002"/>
      <c r="E602" s="5002"/>
      <c r="F602" s="5170"/>
      <c r="G602" s="5170"/>
      <c r="H602" s="4992"/>
      <c r="I602" s="5171"/>
      <c r="J602" s="5172"/>
      <c r="K602" s="5172"/>
      <c r="L602" s="5172"/>
      <c r="M602" s="5172"/>
      <c r="N602" s="5172"/>
      <c r="O602" s="5002"/>
      <c r="P602" s="5002"/>
      <c r="Q602" s="5002"/>
    </row>
    <row r="603" spans="1:17" ht="15.75">
      <c r="A603" s="5002"/>
      <c r="B603" s="5932" t="s">
        <v>1262</v>
      </c>
      <c r="C603" s="5002"/>
      <c r="D603" s="5002"/>
      <c r="E603" s="5002"/>
      <c r="F603" s="5170"/>
      <c r="G603" s="5170"/>
      <c r="H603" s="4992"/>
      <c r="I603" s="5171"/>
      <c r="J603" s="5172"/>
      <c r="K603" s="5172"/>
      <c r="L603" s="5173"/>
      <c r="M603" s="5961"/>
      <c r="N603" s="5962"/>
      <c r="O603" s="5002"/>
      <c r="P603" s="5002"/>
      <c r="Q603" s="5002"/>
    </row>
    <row r="604" spans="1:17" ht="15.75">
      <c r="A604" s="5002"/>
      <c r="B604" s="5963" t="s">
        <v>1263</v>
      </c>
      <c r="C604" s="5963"/>
      <c r="D604" s="5963"/>
      <c r="E604" s="5963"/>
      <c r="F604" s="5963"/>
      <c r="G604" s="5963"/>
      <c r="H604" s="4992"/>
      <c r="I604" s="5171"/>
      <c r="J604" s="5172" t="s">
        <v>1264</v>
      </c>
      <c r="K604" s="5172"/>
      <c r="L604" s="5173"/>
      <c r="M604" s="5171"/>
      <c r="N604" s="5171"/>
      <c r="O604" s="5002"/>
      <c r="P604" s="5002"/>
      <c r="Q604" s="5002"/>
    </row>
    <row r="605" spans="1:17" ht="15.75">
      <c r="A605" s="5002"/>
      <c r="B605" s="5172"/>
      <c r="C605" s="5002"/>
      <c r="D605" s="5002"/>
      <c r="E605" s="5002"/>
      <c r="F605" s="5170"/>
      <c r="G605" s="5170"/>
      <c r="H605" s="4992"/>
      <c r="I605" s="5171"/>
      <c r="J605" s="5875" t="s">
        <v>1265</v>
      </c>
      <c r="K605" s="5172"/>
      <c r="L605" s="5173"/>
      <c r="M605" s="5171"/>
      <c r="N605" s="5171"/>
      <c r="O605" s="5002"/>
      <c r="P605" s="5002"/>
      <c r="Q605" s="5002"/>
    </row>
    <row r="606" spans="1:17" ht="15.75">
      <c r="A606" s="5002"/>
      <c r="B606" s="5172" t="s">
        <v>1266</v>
      </c>
      <c r="C606" s="5002"/>
      <c r="D606" s="5002"/>
      <c r="E606" s="5002"/>
      <c r="F606" s="5170"/>
      <c r="G606" s="5170"/>
      <c r="H606" s="4992"/>
      <c r="I606" s="5171"/>
      <c r="J606" s="5172"/>
      <c r="K606" s="5172"/>
      <c r="L606" s="5173"/>
      <c r="M606" s="5171"/>
      <c r="N606" s="5171"/>
      <c r="O606" s="5002"/>
      <c r="P606" s="5002"/>
      <c r="Q606" s="5002"/>
    </row>
    <row r="607" spans="1:17" ht="15.75">
      <c r="A607" s="5002"/>
      <c r="B607" s="5172" t="s">
        <v>1267</v>
      </c>
      <c r="C607" s="5002"/>
      <c r="D607" s="5002"/>
      <c r="E607" s="5002"/>
      <c r="F607" s="5170"/>
      <c r="G607" s="5170"/>
      <c r="H607" s="4992"/>
      <c r="I607" s="5171"/>
      <c r="J607" s="5172" t="s">
        <v>1268</v>
      </c>
      <c r="K607" s="5172"/>
      <c r="L607" s="5173"/>
      <c r="M607" s="5171"/>
      <c r="N607" s="5171"/>
      <c r="O607" s="5002"/>
      <c r="P607" s="5002"/>
      <c r="Q607" s="5002"/>
    </row>
    <row r="608" spans="1:17" ht="15.75">
      <c r="A608" s="5002"/>
      <c r="B608" s="5172" t="s">
        <v>1269</v>
      </c>
      <c r="C608" s="5002"/>
      <c r="D608" s="5002"/>
      <c r="E608" s="5002"/>
      <c r="F608" s="5170"/>
      <c r="G608" s="5170"/>
      <c r="H608" s="4992"/>
      <c r="I608" s="5171"/>
      <c r="J608" s="5172" t="s">
        <v>1270</v>
      </c>
      <c r="K608" s="5172"/>
      <c r="L608" s="5173"/>
      <c r="M608" s="5171"/>
      <c r="N608" s="5171"/>
      <c r="O608" s="5002"/>
      <c r="P608" s="5002"/>
      <c r="Q608" s="5002"/>
    </row>
    <row r="609" spans="1:17" ht="15.75">
      <c r="A609" s="5002"/>
      <c r="B609" s="5172" t="s">
        <v>1271</v>
      </c>
      <c r="C609" s="5002"/>
      <c r="D609" s="5002"/>
      <c r="E609" s="5002"/>
      <c r="F609" s="5170"/>
      <c r="G609" s="5170"/>
      <c r="H609" s="4992"/>
      <c r="I609" s="5171"/>
      <c r="J609" s="5172" t="s">
        <v>1272</v>
      </c>
      <c r="K609" s="5172"/>
      <c r="L609" s="5173"/>
      <c r="M609" s="5171"/>
      <c r="N609" s="5171"/>
      <c r="O609" s="5002"/>
      <c r="P609" s="5002"/>
      <c r="Q609" s="4992"/>
    </row>
    <row r="610" spans="1:17" ht="15.75">
      <c r="A610" s="5002"/>
      <c r="B610" s="5963" t="s">
        <v>1273</v>
      </c>
      <c r="C610" s="5963"/>
      <c r="D610" s="5963"/>
      <c r="E610" s="5963"/>
      <c r="F610" s="5170"/>
      <c r="G610" s="5170"/>
      <c r="H610" s="4992"/>
      <c r="I610" s="5171"/>
      <c r="J610" s="5172" t="s">
        <v>1274</v>
      </c>
      <c r="K610" s="5172"/>
      <c r="L610" s="5173"/>
      <c r="M610" s="5171"/>
      <c r="N610" s="5171"/>
      <c r="O610" s="5002"/>
      <c r="P610" s="5002"/>
      <c r="Q610" s="4992"/>
    </row>
    <row r="611" spans="1:17" ht="15.75">
      <c r="A611" s="5002"/>
      <c r="B611" s="5172"/>
      <c r="C611" s="5002"/>
      <c r="D611" s="5002"/>
      <c r="E611" s="5002"/>
      <c r="F611" s="5170"/>
      <c r="G611" s="5170"/>
      <c r="H611" s="4992"/>
      <c r="I611" s="5171"/>
      <c r="J611" s="5875" t="s">
        <v>1275</v>
      </c>
      <c r="K611" s="5172"/>
      <c r="L611" s="5173"/>
      <c r="M611" s="5171"/>
      <c r="N611" s="5171"/>
      <c r="O611" s="5002"/>
      <c r="P611" s="5002"/>
      <c r="Q611" s="4992"/>
    </row>
    <row r="612" spans="1:17" ht="15.75">
      <c r="A612" s="5002"/>
      <c r="B612" s="5880" t="s">
        <v>1276</v>
      </c>
      <c r="C612" s="5002"/>
      <c r="D612" s="5002"/>
      <c r="E612" s="5002"/>
      <c r="F612" s="5170"/>
      <c r="G612" s="5170"/>
      <c r="H612" s="4992"/>
      <c r="I612" s="5171"/>
      <c r="J612" s="5875" t="s">
        <v>1277</v>
      </c>
      <c r="K612" s="5172"/>
      <c r="L612" s="5173"/>
      <c r="M612" s="5171"/>
      <c r="N612" s="5171"/>
      <c r="O612" s="5002"/>
      <c r="P612" s="5002"/>
      <c r="Q612" s="4992"/>
    </row>
    <row r="613" spans="1:17" ht="15.75">
      <c r="A613" s="5002"/>
      <c r="B613" s="5963" t="s">
        <v>1278</v>
      </c>
      <c r="C613" s="5963"/>
      <c r="D613" s="5963"/>
      <c r="E613" s="5963"/>
      <c r="F613" s="5963"/>
      <c r="G613" s="5170"/>
      <c r="H613" s="4992"/>
      <c r="I613" s="5171"/>
      <c r="J613" s="5172"/>
      <c r="K613" s="5172"/>
      <c r="L613" s="5173"/>
      <c r="M613" s="5171"/>
      <c r="N613" s="5171"/>
      <c r="O613" s="5002"/>
      <c r="P613" s="5002"/>
      <c r="Q613" s="4992"/>
    </row>
    <row r="614" spans="1:17" ht="15.75">
      <c r="A614" s="5002"/>
      <c r="B614" s="5172"/>
      <c r="C614" s="5002"/>
      <c r="D614" s="5002"/>
      <c r="E614" s="5002"/>
      <c r="F614" s="5170"/>
      <c r="G614" s="5170"/>
      <c r="H614" s="4992"/>
      <c r="I614" s="5171"/>
      <c r="J614" s="5880" t="s">
        <v>1279</v>
      </c>
      <c r="K614" s="5172"/>
      <c r="L614" s="5173"/>
      <c r="M614" s="5171"/>
      <c r="N614" s="5171"/>
      <c r="O614" s="5002"/>
      <c r="P614" s="5002"/>
      <c r="Q614" s="4992"/>
    </row>
    <row r="615" spans="1:17" ht="15.75">
      <c r="A615" s="5002"/>
      <c r="B615" s="5172"/>
      <c r="C615" s="5002"/>
      <c r="D615" s="5002"/>
      <c r="E615" s="5002"/>
      <c r="F615" s="5170"/>
      <c r="G615" s="5170"/>
      <c r="H615" s="4992"/>
      <c r="I615" s="5171"/>
      <c r="J615" s="5875" t="s">
        <v>1280</v>
      </c>
      <c r="K615" s="5172"/>
      <c r="L615" s="5173"/>
      <c r="M615" s="5171"/>
      <c r="N615" s="5171"/>
      <c r="O615" s="5002"/>
      <c r="P615" s="5002"/>
      <c r="Q615" s="4992"/>
    </row>
    <row r="616" spans="1:17" ht="15.75">
      <c r="A616" s="5002"/>
      <c r="B616" s="5880" t="s">
        <v>1281</v>
      </c>
      <c r="C616" s="5002"/>
      <c r="D616" s="5002"/>
      <c r="E616" s="5002"/>
      <c r="F616" s="5170"/>
      <c r="G616" s="5170"/>
      <c r="H616" s="4992"/>
      <c r="I616" s="5171"/>
      <c r="J616" s="5172"/>
      <c r="K616" s="5172"/>
      <c r="L616" s="5173"/>
      <c r="M616" s="5171"/>
      <c r="N616" s="5171"/>
      <c r="O616" s="5002"/>
      <c r="P616" s="5002"/>
      <c r="Q616" s="4992"/>
    </row>
    <row r="617" spans="1:17" ht="15.75">
      <c r="A617" s="5002"/>
      <c r="B617" s="5963" t="s">
        <v>1282</v>
      </c>
      <c r="C617" s="5963"/>
      <c r="D617" s="5963"/>
      <c r="E617" s="5963"/>
      <c r="F617" s="5963"/>
      <c r="G617" s="5963"/>
      <c r="H617" s="4992"/>
      <c r="I617" s="5171"/>
      <c r="J617" s="5172" t="s">
        <v>1283</v>
      </c>
      <c r="K617" s="5172"/>
      <c r="L617" s="5173"/>
      <c r="M617" s="5171"/>
      <c r="N617" s="5171"/>
      <c r="O617" s="5002"/>
      <c r="P617" s="5002"/>
      <c r="Q617" s="4992"/>
    </row>
    <row r="618" spans="1:17" ht="15.75">
      <c r="A618" s="5002"/>
      <c r="B618" s="5963" t="s">
        <v>1284</v>
      </c>
      <c r="C618" s="5963"/>
      <c r="D618" s="5963"/>
      <c r="E618" s="5963"/>
      <c r="F618" s="5963"/>
      <c r="G618" s="5963"/>
      <c r="H618" s="4992"/>
      <c r="I618" s="5171"/>
      <c r="J618" s="5875" t="s">
        <v>1285</v>
      </c>
      <c r="K618" s="5172"/>
      <c r="L618" s="5173"/>
      <c r="M618" s="5171"/>
      <c r="N618" s="5171"/>
      <c r="O618" s="5002"/>
      <c r="P618" s="5002"/>
      <c r="Q618" s="4992"/>
    </row>
    <row r="619" spans="1:17" ht="15.75">
      <c r="A619" s="5002"/>
      <c r="B619" s="5172"/>
      <c r="C619" s="5002"/>
      <c r="D619" s="5002"/>
      <c r="E619" s="5002"/>
      <c r="F619" s="5170"/>
      <c r="G619" s="5170"/>
      <c r="H619" s="4992"/>
      <c r="I619" s="5171"/>
      <c r="J619" s="5172"/>
      <c r="K619" s="5172"/>
      <c r="L619" s="5173"/>
      <c r="M619" s="5171"/>
      <c r="N619" s="5171"/>
      <c r="O619" s="5002"/>
      <c r="P619" s="5002"/>
      <c r="Q619" s="4992"/>
    </row>
    <row r="620" spans="1:17" ht="15.75">
      <c r="A620" s="5002"/>
      <c r="B620" s="5880" t="s">
        <v>1286</v>
      </c>
      <c r="C620" s="5002"/>
      <c r="D620" s="5002"/>
      <c r="E620" s="5002"/>
      <c r="F620" s="5170"/>
      <c r="G620" s="5170"/>
      <c r="H620" s="4992"/>
      <c r="I620" s="5171"/>
      <c r="J620" s="5172" t="s">
        <v>1287</v>
      </c>
      <c r="K620" s="5172"/>
      <c r="L620" s="5173"/>
      <c r="M620" s="5171"/>
      <c r="N620" s="5171"/>
      <c r="O620" s="5002"/>
      <c r="P620" s="5002"/>
      <c r="Q620" s="4992"/>
    </row>
    <row r="621" spans="1:17" ht="15.75">
      <c r="A621" s="5002"/>
      <c r="B621" s="5172" t="s">
        <v>1288</v>
      </c>
      <c r="C621" s="5002"/>
      <c r="D621" s="5002"/>
      <c r="E621" s="5002"/>
      <c r="F621" s="5170"/>
      <c r="G621" s="5170"/>
      <c r="H621" s="4992"/>
      <c r="I621" s="5171"/>
      <c r="J621" s="5875" t="s">
        <v>1289</v>
      </c>
      <c r="K621" s="5172"/>
      <c r="L621" s="5173"/>
      <c r="M621" s="5171"/>
      <c r="N621" s="5171"/>
      <c r="O621" s="5002"/>
      <c r="P621" s="5002"/>
      <c r="Q621" s="4992"/>
    </row>
    <row r="622" spans="1:17" ht="15.75">
      <c r="A622" s="5002"/>
      <c r="B622" s="5172" t="s">
        <v>1290</v>
      </c>
      <c r="C622" s="5002"/>
      <c r="D622" s="5002"/>
      <c r="E622" s="5002"/>
      <c r="F622" s="5170"/>
      <c r="G622" s="5170"/>
      <c r="H622" s="4992"/>
      <c r="I622" s="5171"/>
      <c r="J622" s="5172"/>
      <c r="K622" s="5172"/>
      <c r="L622" s="5173"/>
      <c r="M622" s="5171"/>
      <c r="N622" s="5171"/>
      <c r="O622" s="5002"/>
      <c r="P622" s="5002"/>
      <c r="Q622" s="4992"/>
    </row>
    <row r="623" spans="1:17" ht="15.75">
      <c r="A623" s="5002"/>
      <c r="B623" s="5172" t="s">
        <v>1291</v>
      </c>
      <c r="C623" s="5002"/>
      <c r="D623" s="5002"/>
      <c r="E623" s="5002"/>
      <c r="F623" s="5170"/>
      <c r="G623" s="5170"/>
      <c r="H623" s="4992"/>
      <c r="I623" s="5171"/>
      <c r="J623" s="5885" t="s">
        <v>1292</v>
      </c>
      <c r="K623" s="5172"/>
      <c r="L623" s="5173"/>
      <c r="M623" s="5171"/>
      <c r="N623" s="5171"/>
      <c r="O623" s="5002"/>
      <c r="P623" s="5002"/>
      <c r="Q623" s="4992"/>
    </row>
    <row r="624" spans="1:17" ht="15.75">
      <c r="A624" s="5002"/>
      <c r="B624" s="5963" t="s">
        <v>1293</v>
      </c>
      <c r="C624" s="5963"/>
      <c r="D624" s="5963"/>
      <c r="E624" s="5963"/>
      <c r="F624" s="5963"/>
      <c r="G624" s="5170"/>
      <c r="H624" s="4992"/>
      <c r="I624" s="5171"/>
      <c r="J624" s="5875" t="s">
        <v>1294</v>
      </c>
      <c r="K624" s="5172"/>
      <c r="L624" s="5173"/>
      <c r="M624" s="5171"/>
      <c r="N624" s="5171"/>
      <c r="O624" s="5002"/>
      <c r="P624" s="5002"/>
      <c r="Q624" s="4992"/>
    </row>
    <row r="625" spans="1:17" ht="15.75">
      <c r="A625" s="5002"/>
      <c r="B625" s="5172"/>
      <c r="C625" s="5002"/>
      <c r="D625" s="5002"/>
      <c r="E625" s="5002"/>
      <c r="F625" s="5170"/>
      <c r="G625" s="5170"/>
      <c r="H625" s="4992"/>
      <c r="I625" s="5171"/>
      <c r="J625" s="5875" t="s">
        <v>1295</v>
      </c>
      <c r="K625" s="5172"/>
      <c r="L625" s="5173"/>
      <c r="M625" s="5171"/>
      <c r="N625" s="5171"/>
      <c r="O625" s="5002"/>
      <c r="P625" s="5002"/>
      <c r="Q625" s="4992"/>
    </row>
    <row r="626" spans="1:17" ht="15.75">
      <c r="A626" s="5002"/>
      <c r="B626" s="5172"/>
      <c r="C626" s="5002"/>
      <c r="D626" s="5002"/>
      <c r="E626" s="5002"/>
      <c r="F626" s="5170"/>
      <c r="G626" s="5170"/>
      <c r="H626" s="4992"/>
      <c r="I626" s="5171"/>
      <c r="J626" s="5875" t="s">
        <v>1296</v>
      </c>
      <c r="K626" s="5172"/>
      <c r="L626" s="5173"/>
      <c r="M626" s="5171"/>
      <c r="N626" s="5171"/>
      <c r="O626" s="5002"/>
      <c r="P626" s="5002"/>
      <c r="Q626" s="4992"/>
    </row>
    <row r="627" spans="1:17" ht="15.75">
      <c r="A627" s="5002"/>
      <c r="B627" s="5172" t="s">
        <v>1297</v>
      </c>
      <c r="C627" s="5002"/>
      <c r="D627" s="5002"/>
      <c r="E627" s="5002"/>
      <c r="F627" s="5170"/>
      <c r="G627" s="5170"/>
      <c r="H627" s="4992"/>
      <c r="I627" s="5171"/>
      <c r="J627" s="5172"/>
      <c r="K627" s="5172"/>
      <c r="L627" s="5173"/>
      <c r="M627" s="5171"/>
      <c r="N627" s="5171"/>
      <c r="O627" s="5002"/>
      <c r="P627" s="5002"/>
      <c r="Q627" s="4992"/>
    </row>
    <row r="628" spans="1:17" ht="15.75">
      <c r="A628" s="5002"/>
      <c r="B628" s="5963" t="s">
        <v>1298</v>
      </c>
      <c r="C628" s="5963"/>
      <c r="D628" s="5963"/>
      <c r="E628" s="5963"/>
      <c r="F628" s="5170"/>
      <c r="G628" s="5170"/>
      <c r="H628" s="4992"/>
      <c r="I628" s="5171"/>
      <c r="J628" s="5880" t="s">
        <v>1299</v>
      </c>
      <c r="K628" s="5172"/>
      <c r="L628" s="5173"/>
      <c r="M628" s="5171"/>
      <c r="N628" s="5171"/>
      <c r="O628" s="5002"/>
      <c r="P628" s="5002"/>
      <c r="Q628" s="4992"/>
    </row>
    <row r="629" spans="1:17" ht="15.75">
      <c r="A629" s="5002"/>
      <c r="B629" s="5172"/>
      <c r="C629" s="5002"/>
      <c r="D629" s="5002"/>
      <c r="E629" s="5002"/>
      <c r="F629" s="5170"/>
      <c r="G629" s="5170"/>
      <c r="H629" s="4992"/>
      <c r="I629" s="5171"/>
      <c r="J629" s="5875" t="s">
        <v>1300</v>
      </c>
      <c r="K629" s="5172"/>
      <c r="L629" s="5173"/>
      <c r="M629" s="5171"/>
      <c r="N629" s="5171"/>
      <c r="O629" s="5002"/>
      <c r="P629" s="5002"/>
      <c r="Q629" s="4992"/>
    </row>
    <row r="630" spans="1:17" ht="15.75">
      <c r="A630" s="5002"/>
      <c r="B630" s="5172"/>
      <c r="C630" s="5002"/>
      <c r="D630" s="5002"/>
      <c r="E630" s="5002"/>
      <c r="F630" s="5170"/>
      <c r="G630" s="5170"/>
      <c r="H630" s="4992"/>
      <c r="I630" s="5171"/>
      <c r="J630" s="5875"/>
      <c r="K630" s="5172"/>
      <c r="L630" s="5173"/>
      <c r="M630" s="5171"/>
      <c r="N630" s="5171"/>
      <c r="O630" s="5002"/>
      <c r="P630" s="5002"/>
      <c r="Q630" s="4992"/>
    </row>
    <row r="631" spans="1:17">
      <c r="A631" s="5063"/>
      <c r="B631" s="5064"/>
      <c r="C631" s="5065"/>
      <c r="D631" s="5065"/>
      <c r="E631" s="5065"/>
      <c r="F631" s="5065"/>
      <c r="G631" s="5065"/>
      <c r="H631" s="5065"/>
      <c r="I631" s="5065"/>
      <c r="J631" s="5064"/>
      <c r="K631" s="5064"/>
      <c r="L631" s="5064"/>
      <c r="M631" s="5063"/>
      <c r="N631" s="5063"/>
      <c r="O631" s="5063"/>
      <c r="P631" s="5063"/>
      <c r="Q631" s="5063"/>
    </row>
    <row r="632" spans="1:17">
      <c r="A632" s="5002"/>
      <c r="B632" s="4992"/>
      <c r="C632" s="4992"/>
      <c r="D632" s="4992"/>
      <c r="E632" s="4992"/>
      <c r="F632" s="4992"/>
      <c r="G632" s="4992"/>
      <c r="H632" s="4992"/>
      <c r="I632" s="4992"/>
      <c r="J632" s="4992"/>
      <c r="K632" s="4992"/>
      <c r="L632" s="4992"/>
      <c r="M632" s="4992"/>
      <c r="N632" s="4992"/>
      <c r="O632" s="4992"/>
      <c r="P632" s="4992"/>
      <c r="Q632" s="4992"/>
    </row>
    <row r="633" spans="1:17">
      <c r="A633" s="5002"/>
      <c r="B633" s="4992"/>
      <c r="C633" s="4992"/>
      <c r="D633" s="4992"/>
      <c r="E633" s="4992"/>
      <c r="F633" s="4992"/>
      <c r="G633" s="4992"/>
      <c r="H633" s="4992"/>
      <c r="I633" s="4992"/>
      <c r="J633" s="4992"/>
      <c r="K633" s="4992"/>
      <c r="L633" s="4992"/>
      <c r="M633" s="4992"/>
      <c r="N633" s="4992"/>
      <c r="O633" s="4992"/>
      <c r="P633" s="4992"/>
      <c r="Q633" s="4992"/>
    </row>
    <row r="634" spans="1:17" ht="15.75">
      <c r="A634" s="5002"/>
      <c r="B634" s="4992"/>
      <c r="C634" s="4992"/>
      <c r="D634" s="4992"/>
      <c r="E634" s="4992"/>
      <c r="F634" s="4992"/>
      <c r="G634" s="5964" t="str">
        <f>SUBSTITUTE(ADDRESS(1,COLUMN(),4),"1","")</f>
        <v>G</v>
      </c>
      <c r="H634" s="4992" t="s">
        <v>1301</v>
      </c>
      <c r="I634" s="4992"/>
      <c r="J634" s="4992"/>
      <c r="K634" s="4992"/>
      <c r="L634" s="4992"/>
      <c r="M634" s="4992"/>
      <c r="N634" s="4992"/>
      <c r="O634" s="4992"/>
      <c r="P634" s="4992"/>
      <c r="Q634" s="4992"/>
    </row>
    <row r="635" spans="1:17" ht="15.75">
      <c r="A635" s="5002"/>
      <c r="B635" s="4992"/>
      <c r="C635" s="5965" t="s">
        <v>1302</v>
      </c>
      <c r="D635" s="5966"/>
      <c r="E635" s="5966"/>
      <c r="F635" s="5966"/>
      <c r="G635" s="5966"/>
      <c r="H635" s="5966"/>
      <c r="I635" s="5966"/>
      <c r="J635" s="5966"/>
      <c r="K635" s="5966"/>
      <c r="L635" s="5967"/>
      <c r="M635" s="5002"/>
      <c r="N635" s="5002"/>
      <c r="O635" s="5002"/>
      <c r="P635" s="5002"/>
      <c r="Q635" s="5002"/>
    </row>
    <row r="636" spans="1:17">
      <c r="A636" s="5002"/>
      <c r="B636" s="4992"/>
      <c r="C636" s="5968" t="s">
        <v>1303</v>
      </c>
      <c r="D636" s="5969"/>
      <c r="E636" s="5969"/>
      <c r="F636" s="5970">
        <v>1</v>
      </c>
      <c r="G636" s="5971">
        <f>F636</f>
        <v>1</v>
      </c>
      <c r="H636" s="5972" t="s">
        <v>1304</v>
      </c>
      <c r="I636" s="5972"/>
      <c r="J636" s="5973" t="s">
        <v>1305</v>
      </c>
      <c r="K636" s="5974" t="s">
        <v>1306</v>
      </c>
      <c r="L636" s="5975"/>
      <c r="M636" s="5002"/>
      <c r="N636" s="5002"/>
      <c r="O636" s="5002"/>
      <c r="P636" s="5002"/>
      <c r="Q636" s="5002"/>
    </row>
    <row r="637" spans="1:17">
      <c r="A637" s="5002"/>
      <c r="B637" s="4992"/>
      <c r="C637" s="5976" t="s">
        <v>1307</v>
      </c>
      <c r="D637" s="5977"/>
      <c r="E637" s="5977"/>
      <c r="F637" s="5978">
        <v>25</v>
      </c>
      <c r="G637" s="5971">
        <f>G636</f>
        <v>1</v>
      </c>
      <c r="H637" s="5979">
        <f t="shared" ref="H637:H643" si="4">(G637*F637)/100</f>
        <v>0.25</v>
      </c>
      <c r="I637" s="5979"/>
      <c r="J637" s="5980">
        <v>20</v>
      </c>
      <c r="K637" s="5981">
        <f t="shared" ref="K637:K643" si="5">H637/(100-J637)*100</f>
        <v>0.3125</v>
      </c>
      <c r="L637" s="5982"/>
      <c r="M637" s="5002"/>
      <c r="N637" s="5002"/>
      <c r="O637" s="5002"/>
      <c r="P637" s="5002"/>
      <c r="Q637" s="5002"/>
    </row>
    <row r="638" spans="1:17">
      <c r="A638" s="5002"/>
      <c r="B638" s="4992"/>
      <c r="C638" s="5976" t="s">
        <v>1308</v>
      </c>
      <c r="D638" s="5977"/>
      <c r="E638" s="5977"/>
      <c r="F638" s="5978">
        <v>20</v>
      </c>
      <c r="G638" s="5971">
        <f>G636</f>
        <v>1</v>
      </c>
      <c r="H638" s="5979">
        <f t="shared" si="4"/>
        <v>0.2</v>
      </c>
      <c r="I638" s="5979"/>
      <c r="J638" s="5980">
        <v>25</v>
      </c>
      <c r="K638" s="5981">
        <f t="shared" si="5"/>
        <v>0.26666666666666672</v>
      </c>
      <c r="L638" s="5982"/>
      <c r="M638" s="5002"/>
      <c r="N638" s="5002"/>
      <c r="O638" s="5002"/>
      <c r="P638" s="5002"/>
      <c r="Q638" s="5002"/>
    </row>
    <row r="639" spans="1:17">
      <c r="A639" s="5002"/>
      <c r="B639" s="4992"/>
      <c r="C639" s="5976" t="s">
        <v>1309</v>
      </c>
      <c r="D639" s="5977"/>
      <c r="E639" s="5977"/>
      <c r="F639" s="5978">
        <v>15</v>
      </c>
      <c r="G639" s="5971">
        <f>G636</f>
        <v>1</v>
      </c>
      <c r="H639" s="5979">
        <f t="shared" si="4"/>
        <v>0.15</v>
      </c>
      <c r="I639" s="5979"/>
      <c r="J639" s="5980">
        <v>20</v>
      </c>
      <c r="K639" s="5981">
        <f t="shared" si="5"/>
        <v>0.1875</v>
      </c>
      <c r="L639" s="5982"/>
      <c r="M639" s="5002"/>
      <c r="N639" s="5002"/>
      <c r="O639" s="5002"/>
      <c r="P639" s="5002"/>
      <c r="Q639" s="5002"/>
    </row>
    <row r="640" spans="1:17">
      <c r="A640" s="5002"/>
      <c r="B640" s="4992"/>
      <c r="C640" s="5976" t="s">
        <v>1310</v>
      </c>
      <c r="D640" s="5977"/>
      <c r="E640" s="5977"/>
      <c r="F640" s="5978">
        <v>15</v>
      </c>
      <c r="G640" s="5971">
        <f>G636</f>
        <v>1</v>
      </c>
      <c r="H640" s="5979">
        <f t="shared" si="4"/>
        <v>0.15</v>
      </c>
      <c r="I640" s="5979"/>
      <c r="J640" s="5980">
        <v>0</v>
      </c>
      <c r="K640" s="5981">
        <f t="shared" si="5"/>
        <v>0.15</v>
      </c>
      <c r="L640" s="5982"/>
      <c r="M640" s="5002"/>
      <c r="N640" s="5002"/>
      <c r="O640" s="5002"/>
      <c r="P640" s="5002"/>
      <c r="Q640" s="5002"/>
    </row>
    <row r="641" spans="1:17">
      <c r="A641" s="5002"/>
      <c r="B641" s="4992"/>
      <c r="C641" s="5976" t="s">
        <v>1311</v>
      </c>
      <c r="D641" s="5977"/>
      <c r="E641" s="5977"/>
      <c r="F641" s="5978">
        <v>10</v>
      </c>
      <c r="G641" s="5971">
        <f>G636</f>
        <v>1</v>
      </c>
      <c r="H641" s="5979">
        <f t="shared" si="4"/>
        <v>0.1</v>
      </c>
      <c r="I641" s="5979"/>
      <c r="J641" s="5980">
        <v>20</v>
      </c>
      <c r="K641" s="5981">
        <f t="shared" si="5"/>
        <v>0.125</v>
      </c>
      <c r="L641" s="5982"/>
      <c r="M641" s="5002"/>
      <c r="N641" s="5002"/>
      <c r="O641" s="5002"/>
      <c r="P641" s="5002"/>
      <c r="Q641" s="5002"/>
    </row>
    <row r="642" spans="1:17">
      <c r="A642" s="5002"/>
      <c r="B642" s="4992"/>
      <c r="C642" s="5976" t="s">
        <v>1312</v>
      </c>
      <c r="D642" s="5977"/>
      <c r="E642" s="5977"/>
      <c r="F642" s="5978">
        <v>7.5</v>
      </c>
      <c r="G642" s="5971">
        <f>G636</f>
        <v>1</v>
      </c>
      <c r="H642" s="5979">
        <f t="shared" si="4"/>
        <v>7.4999999999999997E-2</v>
      </c>
      <c r="I642" s="5979"/>
      <c r="J642" s="5980">
        <v>20</v>
      </c>
      <c r="K642" s="5981">
        <f t="shared" si="5"/>
        <v>9.375E-2</v>
      </c>
      <c r="L642" s="5982"/>
      <c r="M642" s="5002"/>
      <c r="N642" s="5002"/>
      <c r="O642" s="5002"/>
      <c r="P642" s="5002"/>
      <c r="Q642" s="5002"/>
    </row>
    <row r="643" spans="1:17">
      <c r="A643" s="5002"/>
      <c r="B643" s="4992"/>
      <c r="C643" s="5976" t="s">
        <v>1313</v>
      </c>
      <c r="D643" s="5977"/>
      <c r="E643" s="5977"/>
      <c r="F643" s="5978">
        <v>7.5</v>
      </c>
      <c r="G643" s="5971">
        <f>G636</f>
        <v>1</v>
      </c>
      <c r="H643" s="5979">
        <f t="shared" si="4"/>
        <v>7.4999999999999997E-2</v>
      </c>
      <c r="I643" s="5979"/>
      <c r="J643" s="5980">
        <v>20</v>
      </c>
      <c r="K643" s="5981">
        <f t="shared" si="5"/>
        <v>9.375E-2</v>
      </c>
      <c r="L643" s="5982"/>
      <c r="M643" s="5002"/>
      <c r="N643" s="5002"/>
      <c r="O643" s="5002"/>
      <c r="P643" s="5002"/>
      <c r="Q643" s="5002"/>
    </row>
    <row r="644" spans="1:17">
      <c r="A644" s="5002"/>
      <c r="B644" s="4992"/>
      <c r="C644" s="5983" t="s">
        <v>1314</v>
      </c>
      <c r="D644" s="5984"/>
      <c r="E644" s="5984"/>
      <c r="F644" s="5985">
        <f>SUM(F637:F643)</f>
        <v>100</v>
      </c>
      <c r="G644" s="5986"/>
      <c r="H644" s="5724"/>
      <c r="I644" s="4992"/>
      <c r="J644" s="5724"/>
      <c r="K644" s="5724"/>
      <c r="L644" s="5987"/>
      <c r="M644" s="5002"/>
      <c r="N644" s="5002"/>
      <c r="O644" s="5002"/>
      <c r="P644" s="5002"/>
      <c r="Q644" s="5002"/>
    </row>
    <row r="645" spans="1:17">
      <c r="A645" s="5002"/>
      <c r="B645" s="4992"/>
      <c r="C645" s="5988"/>
      <c r="D645" s="5778"/>
      <c r="E645" s="5778"/>
      <c r="F645" s="5989"/>
      <c r="G645" s="5990"/>
      <c r="H645" s="5990"/>
      <c r="I645" s="5991"/>
      <c r="J645" s="5990"/>
      <c r="K645" s="5990"/>
      <c r="L645" s="5992"/>
      <c r="M645" s="5002"/>
      <c r="N645" s="5002"/>
      <c r="O645" s="5002"/>
      <c r="P645" s="5002"/>
      <c r="Q645" s="5002"/>
    </row>
    <row r="646" spans="1:17">
      <c r="A646" s="5002"/>
      <c r="B646" s="4992"/>
      <c r="C646" s="4992"/>
      <c r="D646" s="4992"/>
      <c r="E646" s="4992"/>
      <c r="F646" s="4992"/>
      <c r="G646" s="4992"/>
      <c r="H646" s="4992"/>
      <c r="I646" s="4992"/>
      <c r="J646" s="4992"/>
      <c r="K646" s="4992"/>
      <c r="L646" s="4992"/>
      <c r="M646" s="5002"/>
      <c r="N646" s="5002"/>
      <c r="O646" s="5002"/>
      <c r="P646" s="5002"/>
      <c r="Q646" s="5002"/>
    </row>
    <row r="647" spans="1:17" ht="15.75" thickBot="1">
      <c r="A647" s="5002"/>
      <c r="B647" s="4992"/>
      <c r="C647" s="4992"/>
      <c r="D647" s="4992"/>
      <c r="E647" s="4992"/>
      <c r="F647" s="4992"/>
      <c r="G647" s="4992"/>
      <c r="H647" s="4992"/>
      <c r="I647" s="4992"/>
      <c r="J647" s="4992"/>
      <c r="K647" s="4992"/>
      <c r="L647" s="4992"/>
      <c r="M647" s="5002"/>
      <c r="N647" s="5002"/>
      <c r="O647" s="5002"/>
      <c r="P647" s="5002"/>
      <c r="Q647" s="5002"/>
    </row>
    <row r="648" spans="1:17" ht="18.75">
      <c r="A648" s="5002"/>
      <c r="B648" s="4992"/>
      <c r="C648" s="5993" t="s">
        <v>1315</v>
      </c>
      <c r="D648" s="4063"/>
      <c r="E648" s="4063"/>
      <c r="F648" s="4063"/>
      <c r="G648" s="4063"/>
      <c r="H648" s="4063"/>
      <c r="I648" s="4063"/>
      <c r="J648" s="4063"/>
      <c r="K648" s="4063"/>
      <c r="L648" s="5994"/>
      <c r="M648" s="5002"/>
      <c r="N648" s="5002"/>
      <c r="O648" s="5002"/>
      <c r="P648" s="5002"/>
      <c r="Q648" s="5002"/>
    </row>
    <row r="649" spans="1:17">
      <c r="A649" s="5002"/>
      <c r="B649" s="4992"/>
      <c r="C649" s="5995" t="s">
        <v>1316</v>
      </c>
      <c r="D649" s="5996"/>
      <c r="E649" s="5996"/>
      <c r="F649" s="5996"/>
      <c r="G649" s="5996"/>
      <c r="H649" s="5996"/>
      <c r="I649" s="5996"/>
      <c r="J649" s="5996"/>
      <c r="K649" s="5996"/>
      <c r="L649" s="4067"/>
      <c r="M649" s="5002"/>
      <c r="N649" s="5002"/>
      <c r="O649" s="5002"/>
      <c r="P649" s="5002"/>
      <c r="Q649" s="5002"/>
    </row>
    <row r="650" spans="1:17" ht="18">
      <c r="A650" s="5002"/>
      <c r="B650" s="4992"/>
      <c r="C650" s="5997" t="s">
        <v>1317</v>
      </c>
      <c r="D650" s="5998"/>
      <c r="E650" s="5998"/>
      <c r="F650" s="5998"/>
      <c r="G650" s="5998"/>
      <c r="H650" s="5998"/>
      <c r="I650" s="5998"/>
      <c r="J650" s="5998"/>
      <c r="K650" s="5998"/>
      <c r="L650" s="5999"/>
      <c r="M650" s="5002"/>
      <c r="N650" s="5002"/>
      <c r="O650" s="5002"/>
      <c r="P650" s="5002"/>
      <c r="Q650" s="5002"/>
    </row>
    <row r="651" spans="1:17">
      <c r="A651" s="5002"/>
      <c r="B651" s="4992"/>
      <c r="C651" s="6000" t="str">
        <f ca="1">CELL("nomfichier")</f>
        <v>E:\0-UPRT\1-UPRT.FR-SITE-WEB\ff-fiches-fabrications\ff-fiches-fabrication-maj-08-2020\[ff-8-restauration-Christian.Frechede.xlsx]Formats-Formules-Fonctions</v>
      </c>
      <c r="D651" s="6001"/>
      <c r="E651" s="6001"/>
      <c r="F651" s="6001"/>
      <c r="G651" s="6001"/>
      <c r="H651" s="6001"/>
      <c r="I651" s="6001"/>
      <c r="J651" s="6001"/>
      <c r="K651" s="6001"/>
      <c r="L651" s="6002"/>
      <c r="M651" s="5002"/>
      <c r="N651" s="5002"/>
      <c r="O651" s="5002"/>
      <c r="P651" s="5002"/>
      <c r="Q651" s="5002"/>
    </row>
    <row r="652" spans="1:17" ht="26.25">
      <c r="A652" s="5002"/>
      <c r="B652" s="4992"/>
      <c r="C652" s="6003" t="s">
        <v>1318</v>
      </c>
      <c r="D652" s="6004"/>
      <c r="E652" s="6004"/>
      <c r="F652" s="6004"/>
      <c r="G652" s="6004"/>
      <c r="H652" s="6004"/>
      <c r="I652" s="6004"/>
      <c r="J652" s="6004"/>
      <c r="K652" s="6004"/>
      <c r="L652" s="6005"/>
      <c r="M652" s="5002"/>
      <c r="N652" s="5002"/>
      <c r="O652" s="5002"/>
      <c r="P652" s="5002"/>
      <c r="Q652" s="5002"/>
    </row>
    <row r="653" spans="1:17" ht="26.25">
      <c r="A653" s="5002"/>
      <c r="B653" s="4992"/>
      <c r="C653" s="5388"/>
      <c r="D653" s="6006"/>
      <c r="E653" s="6006" t="s">
        <v>1319</v>
      </c>
      <c r="F653" s="4992"/>
      <c r="G653" s="6007">
        <f ca="1">TODAY()</f>
        <v>44545</v>
      </c>
      <c r="H653" s="6008"/>
      <c r="I653" s="6009"/>
      <c r="J653" s="6010">
        <f ca="1">NOW()</f>
        <v>44545.461550462962</v>
      </c>
      <c r="K653" s="6010"/>
      <c r="L653" s="6011"/>
      <c r="M653" s="5002"/>
      <c r="N653" s="5002"/>
      <c r="O653" s="5002"/>
      <c r="P653" s="5002"/>
      <c r="Q653" s="5002"/>
    </row>
    <row r="654" spans="1:17" ht="15.75">
      <c r="A654" s="5002"/>
      <c r="B654" s="4992"/>
      <c r="C654" s="6012">
        <v>1</v>
      </c>
      <c r="D654" s="6013" t="s">
        <v>1320</v>
      </c>
      <c r="E654" s="5002"/>
      <c r="F654" s="4992"/>
      <c r="G654" s="6014"/>
      <c r="H654" s="6014"/>
      <c r="I654" s="6014"/>
      <c r="J654" s="6014"/>
      <c r="K654" s="6014"/>
      <c r="L654" s="6015"/>
      <c r="M654" s="5002"/>
      <c r="N654" s="5002"/>
      <c r="O654" s="5002"/>
      <c r="P654" s="5002"/>
      <c r="Q654" s="5002"/>
    </row>
    <row r="655" spans="1:17">
      <c r="A655" s="5002"/>
      <c r="B655" s="4992"/>
      <c r="C655" s="6012"/>
      <c r="D655" s="6016" t="s">
        <v>308</v>
      </c>
      <c r="E655" s="6016"/>
      <c r="F655" s="6016"/>
      <c r="G655" s="6017"/>
      <c r="H655" s="6018" t="s">
        <v>256</v>
      </c>
      <c r="I655" s="6019" t="s">
        <v>257</v>
      </c>
      <c r="J655" s="6019" t="s">
        <v>258</v>
      </c>
      <c r="K655" s="6019" t="s">
        <v>259</v>
      </c>
      <c r="L655" s="6020" t="s">
        <v>260</v>
      </c>
      <c r="M655" s="5002"/>
      <c r="N655" s="5002"/>
      <c r="O655" s="5002"/>
      <c r="P655" s="5002"/>
      <c r="Q655" s="5002"/>
    </row>
    <row r="656" spans="1:17" ht="15.75">
      <c r="A656" s="5002"/>
      <c r="B656" s="4992"/>
      <c r="C656" s="6012"/>
      <c r="D656" s="6016" t="s">
        <v>261</v>
      </c>
      <c r="E656" s="6016"/>
      <c r="F656" s="6016"/>
      <c r="G656" s="6021">
        <f>SUM(H656:L656)</f>
        <v>2170</v>
      </c>
      <c r="H656" s="6022">
        <v>550</v>
      </c>
      <c r="I656" s="6022">
        <v>920</v>
      </c>
      <c r="J656" s="6022">
        <v>340</v>
      </c>
      <c r="K656" s="6022">
        <v>150</v>
      </c>
      <c r="L656" s="6023">
        <v>210</v>
      </c>
      <c r="M656" s="5002"/>
      <c r="N656" s="5002"/>
      <c r="O656" s="5002"/>
      <c r="P656" s="5002"/>
      <c r="Q656" s="5002"/>
    </row>
    <row r="657" spans="1:17" ht="15.75">
      <c r="A657" s="5002"/>
      <c r="B657" s="4992"/>
      <c r="C657" s="6024"/>
      <c r="D657" s="6025"/>
      <c r="E657" s="6025"/>
      <c r="F657" s="6025"/>
      <c r="G657" s="6021"/>
      <c r="H657" s="6026"/>
      <c r="I657" s="6026"/>
      <c r="J657" s="6026"/>
      <c r="K657" s="6026"/>
      <c r="L657" s="6027"/>
      <c r="M657" s="5002"/>
      <c r="N657" s="5002"/>
      <c r="O657" s="5002"/>
      <c r="P657" s="5002"/>
      <c r="Q657" s="5002"/>
    </row>
    <row r="658" spans="1:17" ht="15.75">
      <c r="A658" s="5002"/>
      <c r="B658" s="4992"/>
      <c r="C658" s="6012">
        <v>2</v>
      </c>
      <c r="D658" s="6013" t="s">
        <v>1321</v>
      </c>
      <c r="E658" s="5002"/>
      <c r="F658" s="4992"/>
      <c r="G658" s="5002"/>
      <c r="H658" s="5002"/>
      <c r="I658" s="5002"/>
      <c r="J658" s="5002"/>
      <c r="K658" s="5002"/>
      <c r="L658" s="5291"/>
      <c r="M658" s="5002"/>
      <c r="N658" s="5002"/>
      <c r="O658" s="5002"/>
      <c r="P658" s="5002"/>
      <c r="Q658" s="5002"/>
    </row>
    <row r="659" spans="1:17">
      <c r="A659" s="5002"/>
      <c r="B659" s="4992"/>
      <c r="C659" s="6012"/>
      <c r="D659" s="6028" t="s">
        <v>1322</v>
      </c>
      <c r="E659" s="6028"/>
      <c r="F659" s="6028"/>
      <c r="G659" s="6029">
        <f>(H659*H656)+(I659*I656)+(J659*J656)+(K659*K656)+(L659*L656)</f>
        <v>1470</v>
      </c>
      <c r="H659" s="6030">
        <v>0</v>
      </c>
      <c r="I659" s="6030">
        <v>1</v>
      </c>
      <c r="J659" s="6030">
        <v>1</v>
      </c>
      <c r="K659" s="6030">
        <v>0</v>
      </c>
      <c r="L659" s="6031">
        <v>1</v>
      </c>
      <c r="M659" s="5002"/>
      <c r="N659" s="5002"/>
      <c r="O659" s="5002"/>
      <c r="P659" s="5002"/>
      <c r="Q659" s="5002"/>
    </row>
    <row r="660" spans="1:17">
      <c r="A660" s="5002"/>
      <c r="B660" s="4992"/>
      <c r="C660" s="6012"/>
      <c r="D660" s="6028" t="s">
        <v>1323</v>
      </c>
      <c r="E660" s="6028"/>
      <c r="F660" s="6028"/>
      <c r="G660" s="6029">
        <f>(H660*H656)+(I660*I656)+(J660*J656)+(K660*K656)+(L660*L656)</f>
        <v>850</v>
      </c>
      <c r="H660" s="6030">
        <v>1</v>
      </c>
      <c r="I660" s="6030">
        <v>0</v>
      </c>
      <c r="J660" s="6030">
        <v>0</v>
      </c>
      <c r="K660" s="6030">
        <v>2</v>
      </c>
      <c r="L660" s="6031">
        <v>0</v>
      </c>
      <c r="M660" s="5002"/>
      <c r="N660" s="5002"/>
      <c r="O660" s="5002"/>
      <c r="P660" s="5002"/>
      <c r="Q660" s="5002"/>
    </row>
    <row r="661" spans="1:17">
      <c r="A661" s="5002"/>
      <c r="B661" s="4992"/>
      <c r="C661" s="6012"/>
      <c r="D661" s="6028" t="s">
        <v>1324</v>
      </c>
      <c r="E661" s="6028"/>
      <c r="F661" s="6028"/>
      <c r="G661" s="6029">
        <f>(H661*H656)+(I661*I656)+(J661*J656)+(K661*K656)+(L661*L656)</f>
        <v>1895</v>
      </c>
      <c r="H661" s="6032">
        <v>0.5</v>
      </c>
      <c r="I661" s="6030">
        <v>1</v>
      </c>
      <c r="J661" s="6030">
        <v>1</v>
      </c>
      <c r="K661" s="6030">
        <v>1</v>
      </c>
      <c r="L661" s="6031">
        <v>1</v>
      </c>
      <c r="M661" s="5002"/>
      <c r="N661" s="5002"/>
      <c r="O661" s="5002"/>
      <c r="P661" s="5002"/>
      <c r="Q661" s="5002"/>
    </row>
    <row r="662" spans="1:17">
      <c r="A662" s="5002"/>
      <c r="B662" s="4992"/>
      <c r="C662" s="6012"/>
      <c r="D662" s="6028" t="s">
        <v>1325</v>
      </c>
      <c r="E662" s="6028"/>
      <c r="F662" s="6028"/>
      <c r="G662" s="6029">
        <f>(H662*H656)+(I662*I656)+(J662*J656)+(K662*K656)+(L662*L656)</f>
        <v>1190</v>
      </c>
      <c r="H662" s="6030">
        <v>0</v>
      </c>
      <c r="I662" s="6030">
        <v>0</v>
      </c>
      <c r="J662" s="6030">
        <v>2</v>
      </c>
      <c r="K662" s="6030">
        <v>2</v>
      </c>
      <c r="L662" s="6031">
        <v>1</v>
      </c>
      <c r="M662" s="5002"/>
      <c r="N662" s="5002"/>
      <c r="O662" s="5002"/>
      <c r="P662" s="5002"/>
      <c r="Q662" s="5002"/>
    </row>
    <row r="663" spans="1:17">
      <c r="A663" s="5002"/>
      <c r="B663" s="4992"/>
      <c r="C663" s="6012"/>
      <c r="D663" s="6028" t="s">
        <v>1326</v>
      </c>
      <c r="E663" s="6028"/>
      <c r="F663" s="6028"/>
      <c r="G663" s="6029">
        <f>(H663*H656)+(I663*I656)+(J663*J656)+(K663*K656)+(L663*L656)</f>
        <v>2540</v>
      </c>
      <c r="H663" s="6030">
        <v>1</v>
      </c>
      <c r="I663" s="6030">
        <v>2</v>
      </c>
      <c r="J663" s="6030">
        <v>0</v>
      </c>
      <c r="K663" s="6030">
        <v>1</v>
      </c>
      <c r="L663" s="6031">
        <v>0</v>
      </c>
      <c r="M663" s="5002"/>
      <c r="N663" s="5002"/>
      <c r="O663" s="5002"/>
      <c r="P663" s="5002"/>
      <c r="Q663" s="5002"/>
    </row>
    <row r="664" spans="1:17" ht="15.75">
      <c r="A664" s="5002"/>
      <c r="B664" s="4992"/>
      <c r="C664" s="6024"/>
      <c r="D664" s="6033"/>
      <c r="E664" s="5002"/>
      <c r="F664" s="4992"/>
      <c r="G664" s="6029"/>
      <c r="H664" s="6018" t="s">
        <v>256</v>
      </c>
      <c r="I664" s="6019" t="s">
        <v>257</v>
      </c>
      <c r="J664" s="6019" t="s">
        <v>258</v>
      </c>
      <c r="K664" s="6019" t="s">
        <v>259</v>
      </c>
      <c r="L664" s="6020" t="s">
        <v>260</v>
      </c>
      <c r="M664" s="5002"/>
      <c r="N664" s="5002"/>
      <c r="O664" s="5002"/>
      <c r="P664" s="5002"/>
      <c r="Q664" s="5002"/>
    </row>
    <row r="665" spans="1:17" ht="15.75">
      <c r="A665" s="5002"/>
      <c r="B665" s="4992"/>
      <c r="C665" s="6024"/>
      <c r="D665" s="6033"/>
      <c r="E665" s="5002"/>
      <c r="F665" s="4992"/>
      <c r="G665" s="6034" t="s">
        <v>1327</v>
      </c>
      <c r="H665" s="6035">
        <f>SUM(H659:H664)</f>
        <v>2.5</v>
      </c>
      <c r="I665" s="6035">
        <f>SUM(I659:I664)</f>
        <v>4</v>
      </c>
      <c r="J665" s="6035">
        <f>SUM(J659:J664)</f>
        <v>4</v>
      </c>
      <c r="K665" s="6035">
        <f>SUM(K659:K664)</f>
        <v>6</v>
      </c>
      <c r="L665" s="6036">
        <f>SUM(L659:L664)</f>
        <v>3</v>
      </c>
      <c r="M665" s="5002"/>
      <c r="N665" s="5002"/>
      <c r="O665" s="5002"/>
      <c r="P665" s="5002"/>
      <c r="Q665" s="5002"/>
    </row>
    <row r="666" spans="1:17">
      <c r="A666" s="5002"/>
      <c r="B666" s="4992"/>
      <c r="C666" s="6037"/>
      <c r="D666" s="6033"/>
      <c r="E666" s="5002"/>
      <c r="F666" s="4992"/>
      <c r="G666" s="6038"/>
      <c r="H666" s="6039"/>
      <c r="I666" s="6039"/>
      <c r="J666" s="6039"/>
      <c r="K666" s="6039"/>
      <c r="L666" s="6040"/>
      <c r="M666" s="5002"/>
      <c r="N666" s="5002"/>
      <c r="O666" s="5002"/>
      <c r="P666" s="5002"/>
      <c r="Q666" s="5002"/>
    </row>
    <row r="667" spans="1:17" ht="15.75">
      <c r="A667" s="5002"/>
      <c r="B667" s="4992"/>
      <c r="C667" s="6041">
        <v>3</v>
      </c>
      <c r="D667" s="6028" t="s">
        <v>1328</v>
      </c>
      <c r="E667" s="6028"/>
      <c r="F667" s="6028"/>
      <c r="G667" s="6042">
        <f>(H667*H656)+(I667*I656)+(J667*J656)+(K667*K656)+(L667*L656)</f>
        <v>208.60000000000002</v>
      </c>
      <c r="H667" s="6043">
        <v>0.06</v>
      </c>
      <c r="I667" s="6043">
        <v>0.08</v>
      </c>
      <c r="J667" s="6043">
        <v>0.15</v>
      </c>
      <c r="K667" s="6043">
        <v>0.2</v>
      </c>
      <c r="L667" s="6044">
        <v>0.1</v>
      </c>
      <c r="M667" s="5002"/>
      <c r="N667" s="5002"/>
      <c r="O667" s="5002"/>
      <c r="P667" s="5002"/>
      <c r="Q667" s="5002"/>
    </row>
    <row r="668" spans="1:17">
      <c r="A668" s="5002"/>
      <c r="B668" s="4992"/>
      <c r="C668" s="6037"/>
      <c r="D668" s="6045"/>
      <c r="E668" s="6046"/>
      <c r="F668" s="6047"/>
      <c r="G668" s="6029"/>
      <c r="H668" s="6039"/>
      <c r="I668" s="6039"/>
      <c r="J668" s="6039"/>
      <c r="K668" s="6039"/>
      <c r="L668" s="6040"/>
      <c r="M668" s="5002"/>
      <c r="N668" s="5002"/>
      <c r="O668" s="5002"/>
      <c r="P668" s="5002"/>
      <c r="Q668" s="5002"/>
    </row>
    <row r="669" spans="1:17" ht="15.75">
      <c r="A669" s="5002"/>
      <c r="B669" s="4992"/>
      <c r="C669" s="6041">
        <v>4</v>
      </c>
      <c r="D669" s="6028" t="s">
        <v>1329</v>
      </c>
      <c r="E669" s="6028"/>
      <c r="F669" s="6028"/>
      <c r="G669" s="6042">
        <f>(H669*H656)+(I669*I656)+(J669*J656)+(K669*K656)+(L669*L656)</f>
        <v>213.5</v>
      </c>
      <c r="H669" s="6043">
        <v>0.06</v>
      </c>
      <c r="I669" s="6043">
        <v>0.1</v>
      </c>
      <c r="J669" s="6043">
        <v>0.12</v>
      </c>
      <c r="K669" s="6043">
        <v>0.15</v>
      </c>
      <c r="L669" s="6044">
        <v>0.12</v>
      </c>
      <c r="M669" s="5002"/>
      <c r="N669" s="5002"/>
      <c r="O669" s="5002"/>
      <c r="P669" s="5002"/>
      <c r="Q669" s="5002"/>
    </row>
    <row r="670" spans="1:17">
      <c r="A670" s="5002"/>
      <c r="B670" s="4992"/>
      <c r="C670" s="6037"/>
      <c r="D670" s="6045"/>
      <c r="E670" s="6046"/>
      <c r="F670" s="6047"/>
      <c r="G670" s="6029"/>
      <c r="H670" s="6039"/>
      <c r="I670" s="6039"/>
      <c r="J670" s="6039"/>
      <c r="K670" s="6039"/>
      <c r="L670" s="6040"/>
      <c r="M670" s="5002"/>
      <c r="N670" s="5002"/>
      <c r="O670" s="5002"/>
      <c r="P670" s="5002"/>
      <c r="Q670" s="5002"/>
    </row>
    <row r="671" spans="1:17" ht="15.75">
      <c r="A671" s="5002"/>
      <c r="B671" s="4992"/>
      <c r="C671" s="6041">
        <v>5</v>
      </c>
      <c r="D671" s="6028" t="s">
        <v>1121</v>
      </c>
      <c r="E671" s="6028"/>
      <c r="F671" s="6028"/>
      <c r="G671" s="6042">
        <f>(H671*H656)+(I671*I656)+(J671*J656)+(K671*K656)+(L671*L656)</f>
        <v>237.5</v>
      </c>
      <c r="H671" s="6043">
        <v>0.06</v>
      </c>
      <c r="I671" s="6043">
        <v>0.1</v>
      </c>
      <c r="J671" s="6043">
        <v>0.15</v>
      </c>
      <c r="K671" s="6043">
        <v>0.2</v>
      </c>
      <c r="L671" s="6044">
        <v>0.15</v>
      </c>
      <c r="M671" s="5002"/>
      <c r="N671" s="5002"/>
      <c r="O671" s="5002"/>
      <c r="P671" s="5002"/>
      <c r="Q671" s="5002"/>
    </row>
    <row r="672" spans="1:17" ht="15.75" thickBot="1">
      <c r="A672" s="5002"/>
      <c r="B672" s="4992"/>
      <c r="C672" s="6048"/>
      <c r="D672" s="6049"/>
      <c r="E672" s="6050"/>
      <c r="F672" s="6051"/>
      <c r="G672" s="6052"/>
      <c r="H672" s="6053"/>
      <c r="I672" s="6053"/>
      <c r="J672" s="6050"/>
      <c r="K672" s="6050"/>
      <c r="L672" s="5360"/>
      <c r="M672" s="5002"/>
      <c r="N672" s="5002"/>
      <c r="O672" s="5002"/>
      <c r="P672" s="5002"/>
      <c r="Q672" s="5002"/>
    </row>
    <row r="673" spans="1:17">
      <c r="A673" s="5002"/>
      <c r="B673" s="4992"/>
      <c r="C673" s="4992"/>
      <c r="D673" s="4992"/>
      <c r="E673" s="4992"/>
      <c r="F673" s="4992"/>
      <c r="G673" s="4992"/>
      <c r="H673" s="4992"/>
      <c r="I673" s="4992"/>
      <c r="J673" s="4992"/>
      <c r="K673" s="4992"/>
      <c r="L673" s="4992"/>
      <c r="M673" s="5002"/>
      <c r="N673" s="5002"/>
      <c r="O673" s="5002"/>
      <c r="P673" s="5002"/>
      <c r="Q673" s="5002"/>
    </row>
    <row r="674" spans="1:17">
      <c r="A674" s="5063"/>
      <c r="B674" s="5064"/>
      <c r="C674" s="5065"/>
      <c r="D674" s="5065"/>
      <c r="E674" s="5065"/>
      <c r="F674" s="5065"/>
      <c r="G674" s="5065"/>
      <c r="H674" s="5065"/>
      <c r="I674" s="5065"/>
      <c r="J674" s="5064"/>
      <c r="K674" s="5064"/>
      <c r="L674" s="5064"/>
      <c r="M674" s="5063"/>
      <c r="N674" s="5063"/>
      <c r="O674" s="5063"/>
      <c r="P674" s="5063"/>
      <c r="Q674" s="5063"/>
    </row>
    <row r="675" spans="1:17" ht="15.75" thickBot="1">
      <c r="A675" s="5002"/>
      <c r="B675" s="4992"/>
      <c r="C675" s="4992"/>
      <c r="D675" s="4992"/>
      <c r="E675" s="4992"/>
      <c r="F675" s="4992"/>
      <c r="G675" s="4992"/>
      <c r="H675" s="4992"/>
      <c r="I675" s="4992"/>
      <c r="J675" s="4992"/>
      <c r="K675" s="4992"/>
      <c r="L675" s="4992"/>
      <c r="M675" s="5002"/>
      <c r="N675" s="5002"/>
      <c r="O675" s="5002"/>
      <c r="P675" s="5002"/>
      <c r="Q675" s="5002"/>
    </row>
    <row r="676" spans="1:17" ht="18">
      <c r="A676" s="5002"/>
      <c r="B676" s="4992"/>
      <c r="C676" s="6054" t="s">
        <v>1330</v>
      </c>
      <c r="D676" s="6055"/>
      <c r="E676" s="6055"/>
      <c r="F676" s="6055"/>
      <c r="G676" s="6055"/>
      <c r="H676" s="6055"/>
      <c r="I676" s="6055"/>
      <c r="J676" s="6055"/>
      <c r="K676" s="6055"/>
      <c r="L676" s="6056"/>
      <c r="M676" s="5002"/>
      <c r="N676" s="5002"/>
      <c r="O676" s="5002"/>
      <c r="P676" s="5002"/>
      <c r="Q676" s="5002"/>
    </row>
    <row r="677" spans="1:17">
      <c r="A677" s="5002"/>
      <c r="B677" s="4992"/>
      <c r="C677" s="6057" t="s">
        <v>1331</v>
      </c>
      <c r="D677" s="6058"/>
      <c r="E677" s="6058"/>
      <c r="F677" s="6058"/>
      <c r="G677" s="6058"/>
      <c r="H677" s="6058"/>
      <c r="I677" s="6058"/>
      <c r="J677" s="6059"/>
      <c r="K677" s="6059"/>
      <c r="L677" s="6060"/>
      <c r="M677" s="5002"/>
      <c r="N677" s="5002"/>
      <c r="O677" s="5002"/>
      <c r="P677" s="5002"/>
      <c r="Q677" s="5002"/>
    </row>
    <row r="678" spans="1:17">
      <c r="A678" s="5002"/>
      <c r="B678" s="4992"/>
      <c r="C678" s="6061" t="s">
        <v>1332</v>
      </c>
      <c r="D678" s="6062"/>
      <c r="E678" s="6062"/>
      <c r="F678" s="6062"/>
      <c r="G678" s="6062"/>
      <c r="H678" s="6062"/>
      <c r="I678" s="6062"/>
      <c r="J678" s="6062"/>
      <c r="K678" s="6062"/>
      <c r="L678" s="6063"/>
      <c r="M678" s="5002"/>
      <c r="N678" s="5002"/>
      <c r="O678" s="5002"/>
      <c r="P678" s="5002"/>
      <c r="Q678" s="5002"/>
    </row>
    <row r="679" spans="1:17">
      <c r="A679" s="5002"/>
      <c r="B679" s="4992"/>
      <c r="C679" s="6061"/>
      <c r="D679" s="6062"/>
      <c r="E679" s="6062"/>
      <c r="F679" s="6062"/>
      <c r="G679" s="6062"/>
      <c r="H679" s="6062"/>
      <c r="I679" s="6062"/>
      <c r="J679" s="6062"/>
      <c r="K679" s="6062"/>
      <c r="L679" s="6063"/>
      <c r="M679" s="5002"/>
      <c r="N679" s="5002"/>
      <c r="O679" s="5002"/>
      <c r="P679" s="5002"/>
      <c r="Q679" s="5002"/>
    </row>
    <row r="680" spans="1:17">
      <c r="A680" s="5002"/>
      <c r="B680" s="4992"/>
      <c r="C680" s="6061"/>
      <c r="D680" s="6062"/>
      <c r="E680" s="6062"/>
      <c r="F680" s="6062"/>
      <c r="G680" s="6062"/>
      <c r="H680" s="6062"/>
      <c r="I680" s="6062"/>
      <c r="J680" s="6062"/>
      <c r="K680" s="6062"/>
      <c r="L680" s="6063"/>
      <c r="M680" s="5002"/>
      <c r="N680" s="5002"/>
      <c r="O680" s="5002"/>
      <c r="P680" s="5002"/>
      <c r="Q680" s="5002"/>
    </row>
    <row r="681" spans="1:17">
      <c r="A681" s="5002"/>
      <c r="B681" s="4992"/>
      <c r="C681" s="6061"/>
      <c r="D681" s="6062"/>
      <c r="E681" s="6062"/>
      <c r="F681" s="6062"/>
      <c r="G681" s="6062"/>
      <c r="H681" s="6062"/>
      <c r="I681" s="6062"/>
      <c r="J681" s="6062"/>
      <c r="K681" s="6062"/>
      <c r="L681" s="6063"/>
      <c r="M681" s="5002"/>
      <c r="N681" s="5002"/>
      <c r="O681" s="5002"/>
      <c r="P681" s="5002"/>
      <c r="Q681" s="5002"/>
    </row>
    <row r="682" spans="1:17">
      <c r="A682" s="5002"/>
      <c r="B682" s="4992"/>
      <c r="C682" s="6061" t="s">
        <v>1333</v>
      </c>
      <c r="D682" s="6062"/>
      <c r="E682" s="6062"/>
      <c r="F682" s="6062"/>
      <c r="G682" s="6062"/>
      <c r="H682" s="6062"/>
      <c r="I682" s="6062"/>
      <c r="J682" s="6062"/>
      <c r="K682" s="6062"/>
      <c r="L682" s="6063"/>
      <c r="M682" s="5002"/>
      <c r="N682" s="5002"/>
      <c r="O682" s="5002"/>
      <c r="P682" s="5002"/>
      <c r="Q682" s="5002"/>
    </row>
    <row r="683" spans="1:17">
      <c r="A683" s="5002"/>
      <c r="B683" s="4992"/>
      <c r="C683" s="6061"/>
      <c r="D683" s="6062"/>
      <c r="E683" s="6062"/>
      <c r="F683" s="6062"/>
      <c r="G683" s="6062"/>
      <c r="H683" s="6062"/>
      <c r="I683" s="6062"/>
      <c r="J683" s="6062"/>
      <c r="K683" s="6062"/>
      <c r="L683" s="6063"/>
      <c r="M683" s="5002"/>
      <c r="N683" s="5002"/>
      <c r="O683" s="5002"/>
      <c r="P683" s="5002"/>
      <c r="Q683" s="5002"/>
    </row>
    <row r="684" spans="1:17">
      <c r="A684" s="5002"/>
      <c r="B684" s="4992"/>
      <c r="C684" s="6061"/>
      <c r="D684" s="6062"/>
      <c r="E684" s="6062"/>
      <c r="F684" s="6062"/>
      <c r="G684" s="6062"/>
      <c r="H684" s="6062"/>
      <c r="I684" s="6062"/>
      <c r="J684" s="6062"/>
      <c r="K684" s="6062"/>
      <c r="L684" s="6063"/>
      <c r="M684" s="5002"/>
      <c r="N684" s="5002"/>
      <c r="O684" s="5002"/>
      <c r="P684" s="5002"/>
      <c r="Q684" s="5002"/>
    </row>
    <row r="685" spans="1:17">
      <c r="A685" s="5002"/>
      <c r="B685" s="4992"/>
      <c r="C685" s="6064"/>
      <c r="D685" s="6065"/>
      <c r="E685" s="6065"/>
      <c r="F685" s="6065"/>
      <c r="G685" s="6065"/>
      <c r="H685" s="6065"/>
      <c r="I685" s="6065"/>
      <c r="J685" s="6065"/>
      <c r="K685" s="6065"/>
      <c r="L685" s="6066"/>
      <c r="M685" s="5002"/>
      <c r="N685" s="5002"/>
      <c r="O685" s="5002"/>
      <c r="P685" s="5002"/>
      <c r="Q685" s="5002"/>
    </row>
    <row r="686" spans="1:17">
      <c r="A686" s="5002"/>
      <c r="B686" s="4992"/>
      <c r="C686" s="6067" t="s">
        <v>1334</v>
      </c>
      <c r="D686" s="6068"/>
      <c r="E686" s="6068"/>
      <c r="F686" s="6068"/>
      <c r="G686" s="6069" t="s">
        <v>1335</v>
      </c>
      <c r="H686" s="6069"/>
      <c r="I686" s="6070">
        <v>0.09</v>
      </c>
      <c r="J686" s="6071" t="s">
        <v>1336</v>
      </c>
      <c r="K686" s="6071"/>
      <c r="L686" s="6072">
        <v>0.12</v>
      </c>
      <c r="M686" s="5002"/>
      <c r="N686" s="5002"/>
      <c r="O686" s="5002"/>
      <c r="P686" s="5002"/>
      <c r="Q686" s="5002"/>
    </row>
    <row r="687" spans="1:17">
      <c r="A687" s="5002"/>
      <c r="B687" s="4992"/>
      <c r="C687" s="6067"/>
      <c r="D687" s="6068"/>
      <c r="E687" s="6068"/>
      <c r="F687" s="6068"/>
      <c r="G687" s="6069"/>
      <c r="H687" s="6069"/>
      <c r="I687" s="6070"/>
      <c r="J687" s="6071"/>
      <c r="K687" s="6071"/>
      <c r="L687" s="6072"/>
      <c r="M687" s="5002"/>
      <c r="N687" s="5002"/>
      <c r="O687" s="5002"/>
      <c r="P687" s="5002"/>
      <c r="Q687" s="5002"/>
    </row>
    <row r="688" spans="1:17" ht="18">
      <c r="A688" s="5002"/>
      <c r="B688" s="4992"/>
      <c r="C688" s="6073"/>
      <c r="D688" s="6074"/>
      <c r="E688" s="6074"/>
      <c r="F688" s="6074"/>
      <c r="G688" s="6075"/>
      <c r="H688" s="6075"/>
      <c r="I688" s="6076"/>
      <c r="J688" s="6077"/>
      <c r="K688" s="6077"/>
      <c r="L688" s="6078"/>
      <c r="M688" s="5002"/>
      <c r="N688" s="5002"/>
      <c r="O688" s="5002"/>
      <c r="P688" s="5002"/>
      <c r="Q688" s="5002"/>
    </row>
    <row r="689" spans="1:17">
      <c r="A689" s="5002"/>
      <c r="B689" s="4992"/>
      <c r="C689" s="6079" t="str">
        <f>IF(E689="","produit à servir","produits entiers à couper en ")</f>
        <v xml:space="preserve">produits entiers à couper en </v>
      </c>
      <c r="D689" s="6080"/>
      <c r="E689" s="6081">
        <f>IF(K696=1,"",K696)</f>
        <v>1.5</v>
      </c>
      <c r="F689" s="6082">
        <f>LARGE(F697:F701,1)</f>
        <v>3</v>
      </c>
      <c r="G689" s="6082" t="s">
        <v>935</v>
      </c>
      <c r="H689" s="6082" t="s">
        <v>1337</v>
      </c>
      <c r="I689" s="6082">
        <f>LARGE(G697:G701,1)</f>
        <v>2</v>
      </c>
      <c r="J689" s="6082" t="s">
        <v>1338</v>
      </c>
      <c r="K689" s="6083"/>
      <c r="L689" s="6084"/>
      <c r="M689" s="5002"/>
      <c r="N689" s="5002"/>
      <c r="O689" s="5002"/>
      <c r="P689" s="5002"/>
      <c r="Q689" s="5002"/>
    </row>
    <row r="690" spans="1:17">
      <c r="A690" s="5002"/>
      <c r="B690" s="4992"/>
      <c r="C690" s="6079"/>
      <c r="D690" s="6080"/>
      <c r="E690" s="6081"/>
      <c r="F690" s="6082"/>
      <c r="G690" s="6082"/>
      <c r="H690" s="6082"/>
      <c r="I690" s="6082"/>
      <c r="J690" s="6082"/>
      <c r="K690" s="6083"/>
      <c r="L690" s="6084"/>
      <c r="M690" s="5002"/>
      <c r="N690" s="5002"/>
      <c r="O690" s="5002"/>
      <c r="P690" s="5002"/>
      <c r="Q690" s="5002"/>
    </row>
    <row r="691" spans="1:17" ht="15.75">
      <c r="A691" s="5002"/>
      <c r="B691" s="4992"/>
      <c r="C691" s="6085"/>
      <c r="D691" s="6086"/>
      <c r="E691" s="6087"/>
      <c r="F691" s="6088"/>
      <c r="G691" s="6088"/>
      <c r="H691" s="6088"/>
      <c r="I691" s="6088"/>
      <c r="J691" s="6089"/>
      <c r="K691" s="6090"/>
      <c r="L691" s="6091"/>
      <c r="M691" s="5002"/>
      <c r="N691" s="5002"/>
      <c r="O691" s="5002"/>
      <c r="P691" s="5002"/>
      <c r="Q691" s="5002"/>
    </row>
    <row r="692" spans="1:17">
      <c r="A692" s="5002"/>
      <c r="B692" s="4992"/>
      <c r="C692" s="6092" t="str">
        <f>IF(D692="","MOINS","Servir ")</f>
        <v xml:space="preserve">Servir </v>
      </c>
      <c r="D692" s="6093">
        <f>IF(F689-1=0,"",F689-1)</f>
        <v>2</v>
      </c>
      <c r="E692" s="6094" t="str">
        <f>IF(D692="","",IF(G692=1,"produits entiers de","produits coupés en "))</f>
        <v>produits entiers de</v>
      </c>
      <c r="F692" s="6094"/>
      <c r="G692" s="6093">
        <f>IF(D692="","",I689/D692)</f>
        <v>1</v>
      </c>
      <c r="H692" s="6082" t="str">
        <f>IF(D692="","","parts")</f>
        <v>parts</v>
      </c>
      <c r="I692" s="6094" t="str">
        <f>IF(D692="","","grammage unitaire")</f>
        <v>grammage unitaire</v>
      </c>
      <c r="J692" s="6094"/>
      <c r="K692" s="6095">
        <f>IF(D692="","",I686/G692)</f>
        <v>0.09</v>
      </c>
      <c r="L692" s="6096"/>
      <c r="M692" s="5002"/>
      <c r="N692" s="5002"/>
      <c r="O692" s="5002"/>
      <c r="P692" s="5002"/>
      <c r="Q692" s="5002"/>
    </row>
    <row r="693" spans="1:17">
      <c r="A693" s="5002"/>
      <c r="B693" s="4992"/>
      <c r="C693" s="6092"/>
      <c r="D693" s="6093"/>
      <c r="E693" s="6094"/>
      <c r="F693" s="6094"/>
      <c r="G693" s="6093"/>
      <c r="H693" s="6082"/>
      <c r="I693" s="6094"/>
      <c r="J693" s="6094"/>
      <c r="K693" s="6095"/>
      <c r="L693" s="6096"/>
      <c r="M693" s="5002"/>
      <c r="N693" s="5002"/>
      <c r="O693" s="5002"/>
      <c r="P693" s="5002"/>
      <c r="Q693" s="5002"/>
    </row>
    <row r="694" spans="1:17">
      <c r="A694" s="5002"/>
      <c r="B694" s="4992"/>
      <c r="C694" s="6092" t="str">
        <f>IF(D692="","","plus")</f>
        <v>plus</v>
      </c>
      <c r="D694" s="6097">
        <f>IF(D692="","",F689-D692)</f>
        <v>1</v>
      </c>
      <c r="E694" s="6094" t="str">
        <f>IF(D694="","","produit coupé en ")</f>
        <v xml:space="preserve">produit coupé en </v>
      </c>
      <c r="F694" s="6094"/>
      <c r="G694" s="6097">
        <f>IF(E694="","",I689)</f>
        <v>2</v>
      </c>
      <c r="H694" s="6082" t="str">
        <f>IF(E694="","","parts")</f>
        <v>parts</v>
      </c>
      <c r="I694" s="6098"/>
      <c r="J694" s="6099" t="str">
        <f>IF(D694="","moins"," de")</f>
        <v xml:space="preserve"> de</v>
      </c>
      <c r="K694" s="6095">
        <f>IF(E694="",I686-L686,I686/G694)</f>
        <v>4.4999999999999998E-2</v>
      </c>
      <c r="L694" s="6096"/>
      <c r="M694" s="5002"/>
      <c r="N694" s="5002"/>
      <c r="O694" s="5002"/>
      <c r="P694" s="5002"/>
      <c r="Q694" s="5002"/>
    </row>
    <row r="695" spans="1:17">
      <c r="A695" s="5002"/>
      <c r="B695" s="4992"/>
      <c r="C695" s="6092"/>
      <c r="D695" s="6097"/>
      <c r="E695" s="6094"/>
      <c r="F695" s="6094"/>
      <c r="G695" s="6097"/>
      <c r="H695" s="6082"/>
      <c r="I695" s="6098"/>
      <c r="J695" s="6099"/>
      <c r="K695" s="6095"/>
      <c r="L695" s="6096"/>
      <c r="M695" s="5002"/>
      <c r="N695" s="5002"/>
      <c r="O695" s="5002"/>
      <c r="P695" s="5002"/>
      <c r="Q695" s="5002"/>
    </row>
    <row r="696" spans="1:17" ht="22.5">
      <c r="A696" s="5002"/>
      <c r="B696" s="4992"/>
      <c r="C696" s="6100" t="s">
        <v>1339</v>
      </c>
      <c r="D696" s="6101" t="s">
        <v>1340</v>
      </c>
      <c r="E696" s="6101" t="s">
        <v>1341</v>
      </c>
      <c r="F696" s="6102" t="s">
        <v>1342</v>
      </c>
      <c r="G696" s="6102"/>
      <c r="H696" s="6103" t="s">
        <v>1343</v>
      </c>
      <c r="I696" s="6104" t="s">
        <v>1337</v>
      </c>
      <c r="J696" s="6104"/>
      <c r="K696" s="6105">
        <f>LARGE(L697:L701,1)</f>
        <v>1.5</v>
      </c>
      <c r="L696" s="6106">
        <f>SMALL(E697:E701,COUNTIF(E697:E701,0)+1)</f>
        <v>3.0000000000000027E-2</v>
      </c>
      <c r="M696" s="5002"/>
      <c r="N696" s="5002"/>
      <c r="O696" s="5002"/>
      <c r="P696" s="5002"/>
      <c r="Q696" s="5002"/>
    </row>
    <row r="697" spans="1:17">
      <c r="A697" s="5002"/>
      <c r="B697" s="4992"/>
      <c r="C697" s="6107">
        <f>L686*I697</f>
        <v>0</v>
      </c>
      <c r="D697" s="6108">
        <f>I686*H697</f>
        <v>0.09</v>
      </c>
      <c r="E697" s="6108">
        <f>D697-C697</f>
        <v>0.09</v>
      </c>
      <c r="F697" s="6109">
        <f>IF(E697=L696,H697,0)</f>
        <v>0</v>
      </c>
      <c r="G697" s="6109">
        <f>IF(F697&gt;0,I697,0)</f>
        <v>0</v>
      </c>
      <c r="H697" s="6105">
        <v>1</v>
      </c>
      <c r="I697" s="6110">
        <f>INT(J697)</f>
        <v>0</v>
      </c>
      <c r="J697" s="6110">
        <f>D697/L686</f>
        <v>0.75</v>
      </c>
      <c r="K697" s="6105">
        <f>IF(F697=0,0,F697/G697)</f>
        <v>0</v>
      </c>
      <c r="L697" s="6111">
        <f>ROUNDDOWN(K697,1)</f>
        <v>0</v>
      </c>
      <c r="M697" s="5002"/>
      <c r="N697" s="5002"/>
      <c r="O697" s="5002"/>
      <c r="P697" s="5002"/>
      <c r="Q697" s="5002"/>
    </row>
    <row r="698" spans="1:17">
      <c r="A698" s="5002"/>
      <c r="B698" s="4992"/>
      <c r="C698" s="6107">
        <f>L686*I698</f>
        <v>0.12</v>
      </c>
      <c r="D698" s="6108">
        <f>I686*H698</f>
        <v>0.18</v>
      </c>
      <c r="E698" s="6108">
        <f>D698-C698</f>
        <v>0.06</v>
      </c>
      <c r="F698" s="6109">
        <f>IF(E698=L696,H698,0)</f>
        <v>0</v>
      </c>
      <c r="G698" s="6109">
        <f>IF(F698&gt;0,I698,0)</f>
        <v>0</v>
      </c>
      <c r="H698" s="6105">
        <v>2</v>
      </c>
      <c r="I698" s="6110">
        <f>INT(J698)</f>
        <v>1</v>
      </c>
      <c r="J698" s="6110">
        <f>D698/L686</f>
        <v>1.5</v>
      </c>
      <c r="K698" s="6105">
        <f>IF(F698=0,0,F698/G698)</f>
        <v>0</v>
      </c>
      <c r="L698" s="6111">
        <f>ROUNDDOWN(K698,1)</f>
        <v>0</v>
      </c>
      <c r="M698" s="5002"/>
      <c r="N698" s="5002"/>
      <c r="O698" s="5002"/>
      <c r="P698" s="5002"/>
      <c r="Q698" s="5002"/>
    </row>
    <row r="699" spans="1:17">
      <c r="A699" s="5002"/>
      <c r="B699" s="4992"/>
      <c r="C699" s="6107">
        <f>L686*I699</f>
        <v>0.24</v>
      </c>
      <c r="D699" s="6108">
        <f>I686*H699</f>
        <v>0.27</v>
      </c>
      <c r="E699" s="6108">
        <f>D699-C699</f>
        <v>3.0000000000000027E-2</v>
      </c>
      <c r="F699" s="6109">
        <f>IF(E699=L696,H699,0)</f>
        <v>3</v>
      </c>
      <c r="G699" s="6109">
        <f>IF(F699&gt;0,I699,0)</f>
        <v>2</v>
      </c>
      <c r="H699" s="6105">
        <v>3</v>
      </c>
      <c r="I699" s="6110">
        <f>INT(J699)</f>
        <v>2</v>
      </c>
      <c r="J699" s="6110">
        <f>D699/L686</f>
        <v>2.2500000000000004</v>
      </c>
      <c r="K699" s="6105">
        <f>IF(F699=0,0,F699/G699)</f>
        <v>1.5</v>
      </c>
      <c r="L699" s="6111">
        <f>ROUNDDOWN(K699,1)</f>
        <v>1.5</v>
      </c>
      <c r="M699" s="5002"/>
      <c r="N699" s="5002"/>
      <c r="O699" s="5002"/>
      <c r="P699" s="5002"/>
      <c r="Q699" s="5002"/>
    </row>
    <row r="700" spans="1:17">
      <c r="A700" s="5002"/>
      <c r="B700" s="4992"/>
      <c r="C700" s="6107">
        <f>L686*I700</f>
        <v>0.36</v>
      </c>
      <c r="D700" s="6108">
        <f>I686*H700</f>
        <v>0.36</v>
      </c>
      <c r="E700" s="6108">
        <f>D700-C700</f>
        <v>0</v>
      </c>
      <c r="F700" s="6109">
        <f>IF(E700=L696,H700,0)</f>
        <v>0</v>
      </c>
      <c r="G700" s="6109">
        <f>IF(F700&gt;0,I700,0)</f>
        <v>0</v>
      </c>
      <c r="H700" s="6105">
        <v>4</v>
      </c>
      <c r="I700" s="6110">
        <f>INT(J700)</f>
        <v>3</v>
      </c>
      <c r="J700" s="6110">
        <f>D700/L686</f>
        <v>3</v>
      </c>
      <c r="K700" s="6105">
        <f>IF(F700=0,0,F700/G700)</f>
        <v>0</v>
      </c>
      <c r="L700" s="6111">
        <f>ROUNDDOWN(K700,1)</f>
        <v>0</v>
      </c>
      <c r="M700" s="5002"/>
      <c r="N700" s="5002"/>
      <c r="O700" s="5002"/>
      <c r="P700" s="5002"/>
      <c r="Q700" s="5002"/>
    </row>
    <row r="701" spans="1:17" ht="15.75" thickBot="1">
      <c r="A701" s="5002"/>
      <c r="B701" s="4992"/>
      <c r="C701" s="6112">
        <f>L686*I701</f>
        <v>0.36</v>
      </c>
      <c r="D701" s="6113">
        <f>I686*H701</f>
        <v>0.44999999999999996</v>
      </c>
      <c r="E701" s="6113">
        <f>D701-C701</f>
        <v>8.9999999999999969E-2</v>
      </c>
      <c r="F701" s="6114">
        <f>IF(E701=L696,H701,0)</f>
        <v>0</v>
      </c>
      <c r="G701" s="6114">
        <f>IF(F701&gt;0,I701,0)</f>
        <v>0</v>
      </c>
      <c r="H701" s="6115">
        <v>5</v>
      </c>
      <c r="I701" s="6116">
        <f>INT(J701)</f>
        <v>3</v>
      </c>
      <c r="J701" s="6116">
        <f>D701/L686</f>
        <v>3.7499999999999996</v>
      </c>
      <c r="K701" s="6115">
        <f>IF(F701=0,0,F701/G701)</f>
        <v>0</v>
      </c>
      <c r="L701" s="6117">
        <f>ROUNDDOWN(K701,1)</f>
        <v>0</v>
      </c>
      <c r="M701" s="5002"/>
      <c r="N701" s="5002"/>
      <c r="O701" s="5002"/>
      <c r="P701" s="5002"/>
      <c r="Q701" s="5002"/>
    </row>
    <row r="702" spans="1:17">
      <c r="A702" s="5002"/>
      <c r="B702" s="4992"/>
      <c r="C702" s="4992"/>
      <c r="D702" s="4992"/>
      <c r="E702" s="4992"/>
      <c r="F702" s="4992"/>
      <c r="G702" s="4992"/>
      <c r="H702" s="4992"/>
      <c r="I702" s="4992"/>
      <c r="J702" s="4992"/>
      <c r="K702" s="4992"/>
      <c r="L702" s="4992"/>
      <c r="M702" s="5002"/>
      <c r="N702" s="5002"/>
      <c r="O702" s="5002"/>
      <c r="P702" s="5002"/>
      <c r="Q702" s="5002"/>
    </row>
    <row r="703" spans="1:17">
      <c r="A703" s="5002"/>
      <c r="B703" s="4992"/>
      <c r="C703" s="4992"/>
      <c r="D703" s="4992"/>
      <c r="E703" s="4992"/>
      <c r="F703" s="4992"/>
      <c r="G703" s="4992"/>
      <c r="H703" s="4992"/>
      <c r="I703" s="4992"/>
      <c r="J703" s="4992"/>
      <c r="K703" s="4992"/>
      <c r="L703" s="4992"/>
      <c r="M703" s="5002"/>
      <c r="N703" s="5002"/>
      <c r="O703" s="5002"/>
      <c r="P703" s="5002"/>
      <c r="Q703" s="5002"/>
    </row>
    <row r="704" spans="1:17" ht="18">
      <c r="A704" s="5002"/>
      <c r="B704" s="4992"/>
      <c r="C704" s="6118" t="s">
        <v>1344</v>
      </c>
      <c r="D704" s="6119"/>
      <c r="E704" s="6119"/>
      <c r="F704" s="6119"/>
      <c r="G704" s="6119"/>
      <c r="H704" s="6119"/>
      <c r="I704" s="6119"/>
      <c r="J704" s="6119"/>
      <c r="K704" s="6119"/>
      <c r="L704" s="6119"/>
      <c r="M704" s="6120"/>
      <c r="N704" s="5002"/>
      <c r="O704" s="5002"/>
      <c r="P704" s="5002"/>
      <c r="Q704" s="5002"/>
    </row>
    <row r="705" spans="1:17" ht="15.75">
      <c r="A705" s="5002"/>
      <c r="B705" s="4992"/>
      <c r="C705" s="6121" t="s">
        <v>1345</v>
      </c>
      <c r="D705" s="6122"/>
      <c r="E705" s="6122"/>
      <c r="F705" s="6122"/>
      <c r="G705" s="6122"/>
      <c r="H705" s="6122"/>
      <c r="I705" s="6122"/>
      <c r="J705" s="6122"/>
      <c r="K705" s="6122"/>
      <c r="L705" s="6122"/>
      <c r="M705" s="6123"/>
      <c r="N705" s="5002"/>
      <c r="O705" s="5002"/>
      <c r="P705" s="5002"/>
      <c r="Q705" s="5002"/>
    </row>
    <row r="706" spans="1:17" ht="15.75">
      <c r="A706" s="5002"/>
      <c r="B706" s="4992"/>
      <c r="C706" s="6124"/>
      <c r="D706" s="6125"/>
      <c r="E706" s="6126" t="s">
        <v>1346</v>
      </c>
      <c r="F706" s="6126"/>
      <c r="G706" s="6126"/>
      <c r="H706" s="6126"/>
      <c r="I706" s="6126"/>
      <c r="J706" s="6126"/>
      <c r="K706" s="6126"/>
      <c r="L706" s="6126"/>
      <c r="M706" s="6127"/>
      <c r="N706" s="5002"/>
      <c r="O706" s="5002"/>
      <c r="P706" s="5002"/>
      <c r="Q706" s="5002"/>
    </row>
    <row r="707" spans="1:17">
      <c r="A707" s="5002"/>
      <c r="B707" s="4992"/>
      <c r="C707" s="6128" t="s">
        <v>1176</v>
      </c>
      <c r="D707" s="6129"/>
      <c r="E707" s="6129"/>
      <c r="F707" s="6129"/>
      <c r="G707" s="6129"/>
      <c r="H707" s="6129"/>
      <c r="I707" s="6129"/>
      <c r="J707" s="6129"/>
      <c r="K707" s="6129"/>
      <c r="L707" s="6129"/>
      <c r="M707" s="6130"/>
      <c r="N707" s="5002"/>
      <c r="O707" s="5002"/>
      <c r="P707" s="5002"/>
      <c r="Q707" s="5002"/>
    </row>
    <row r="708" spans="1:17">
      <c r="A708" s="5002"/>
      <c r="B708" s="4992"/>
      <c r="C708" s="6131" t="s">
        <v>1347</v>
      </c>
      <c r="D708" s="6132"/>
      <c r="E708" s="6133" t="s">
        <v>1348</v>
      </c>
      <c r="F708" s="6133"/>
      <c r="G708" s="5002"/>
      <c r="H708" s="4992"/>
      <c r="I708" s="4992"/>
      <c r="J708" s="5002"/>
      <c r="K708" s="6134"/>
      <c r="L708" s="5002"/>
      <c r="M708" s="6135"/>
      <c r="N708" s="5002"/>
      <c r="O708" s="5002"/>
      <c r="P708" s="5002"/>
      <c r="Q708" s="5002"/>
    </row>
    <row r="709" spans="1:17">
      <c r="A709" s="5002"/>
      <c r="B709" s="4992"/>
      <c r="C709" s="6131"/>
      <c r="D709" s="6132"/>
      <c r="E709" s="6133"/>
      <c r="F709" s="6133"/>
      <c r="G709" s="5002"/>
      <c r="H709" s="4992"/>
      <c r="I709" s="4992"/>
      <c r="J709" s="5002"/>
      <c r="K709" s="6134"/>
      <c r="L709" s="5002"/>
      <c r="M709" s="6135"/>
      <c r="N709" s="5002"/>
      <c r="O709" s="5002"/>
      <c r="P709" s="5002"/>
      <c r="Q709" s="5002"/>
    </row>
    <row r="710" spans="1:17">
      <c r="A710" s="5002"/>
      <c r="B710" s="4992"/>
      <c r="C710" s="6136">
        <v>10</v>
      </c>
      <c r="D710" s="6137"/>
      <c r="E710" s="6137">
        <v>0.1</v>
      </c>
      <c r="F710" s="6137"/>
      <c r="G710" s="5002"/>
      <c r="H710" s="4992"/>
      <c r="I710" s="4992"/>
      <c r="J710" s="5002"/>
      <c r="K710" s="6138" t="s">
        <v>1349</v>
      </c>
      <c r="L710" s="6139">
        <f>C710/E710</f>
        <v>100</v>
      </c>
      <c r="M710" s="6135"/>
      <c r="N710" s="5002"/>
      <c r="O710" s="5002"/>
      <c r="P710" s="5002"/>
      <c r="Q710" s="5002"/>
    </row>
    <row r="711" spans="1:17">
      <c r="A711" s="5002"/>
      <c r="B711" s="4992"/>
      <c r="C711" s="6136">
        <v>1</v>
      </c>
      <c r="D711" s="6137"/>
      <c r="E711" s="6137">
        <v>7.0000000000000007E-2</v>
      </c>
      <c r="F711" s="6137"/>
      <c r="G711" s="5002"/>
      <c r="H711" s="4992"/>
      <c r="I711" s="4992"/>
      <c r="J711" s="5002"/>
      <c r="K711" s="6138" t="s">
        <v>1349</v>
      </c>
      <c r="L711" s="6139">
        <f>C711/E711</f>
        <v>14.285714285714285</v>
      </c>
      <c r="M711" s="6135"/>
      <c r="N711" s="5002"/>
      <c r="O711" s="5002"/>
      <c r="P711" s="5002"/>
      <c r="Q711" s="5002"/>
    </row>
    <row r="712" spans="1:17">
      <c r="A712" s="5002"/>
      <c r="B712" s="4992"/>
      <c r="C712" s="6140"/>
      <c r="D712" s="6141"/>
      <c r="E712" s="6142"/>
      <c r="F712" s="6141"/>
      <c r="G712" s="5002"/>
      <c r="H712" s="4992"/>
      <c r="I712" s="4992"/>
      <c r="J712" s="5002"/>
      <c r="K712" s="5002"/>
      <c r="L712" s="5002"/>
      <c r="M712" s="6135"/>
      <c r="N712" s="5002"/>
      <c r="O712" s="5002"/>
      <c r="P712" s="5002"/>
      <c r="Q712" s="5002"/>
    </row>
    <row r="713" spans="1:17" ht="15.75">
      <c r="A713" s="5002"/>
      <c r="B713" s="4992"/>
      <c r="C713" s="6143" t="s">
        <v>1345</v>
      </c>
      <c r="D713" s="6144"/>
      <c r="E713" s="6144"/>
      <c r="F713" s="6144"/>
      <c r="G713" s="6144"/>
      <c r="H713" s="6144"/>
      <c r="I713" s="6144"/>
      <c r="J713" s="6144"/>
      <c r="K713" s="6144"/>
      <c r="L713" s="6144"/>
      <c r="M713" s="6145"/>
      <c r="N713" s="5002"/>
      <c r="O713" s="5002"/>
      <c r="P713" s="5002"/>
      <c r="Q713" s="5002"/>
    </row>
    <row r="714" spans="1:17" ht="15.75">
      <c r="A714" s="5002"/>
      <c r="B714" s="4992"/>
      <c r="C714" s="6146"/>
      <c r="D714" s="6147"/>
      <c r="E714" s="6148" t="s">
        <v>1350</v>
      </c>
      <c r="F714" s="6148"/>
      <c r="G714" s="6148"/>
      <c r="H714" s="6148"/>
      <c r="I714" s="6148"/>
      <c r="J714" s="6148"/>
      <c r="K714" s="6148"/>
      <c r="L714" s="6148"/>
      <c r="M714" s="6149"/>
      <c r="N714" s="5002"/>
      <c r="O714" s="5002"/>
      <c r="P714" s="5002"/>
      <c r="Q714" s="5002"/>
    </row>
    <row r="715" spans="1:17">
      <c r="A715" s="5002"/>
      <c r="B715" s="4992"/>
      <c r="C715" s="6131" t="s">
        <v>1347</v>
      </c>
      <c r="D715" s="6132"/>
      <c r="E715" s="6133" t="s">
        <v>1351</v>
      </c>
      <c r="F715" s="6133"/>
      <c r="G715" s="6150" t="s">
        <v>1352</v>
      </c>
      <c r="H715" s="6150"/>
      <c r="I715" s="6150"/>
      <c r="J715" s="6151"/>
      <c r="K715" s="6151"/>
      <c r="L715" s="6151"/>
      <c r="M715" s="6152" t="s">
        <v>1353</v>
      </c>
      <c r="N715" s="5002"/>
      <c r="O715" s="5002"/>
      <c r="P715" s="5002"/>
      <c r="Q715" s="5002"/>
    </row>
    <row r="716" spans="1:17">
      <c r="A716" s="5002"/>
      <c r="B716" s="4992"/>
      <c r="C716" s="6131"/>
      <c r="D716" s="6132"/>
      <c r="E716" s="6133"/>
      <c r="F716" s="6133"/>
      <c r="G716" s="6150"/>
      <c r="H716" s="6150"/>
      <c r="I716" s="6150"/>
      <c r="J716" s="6151"/>
      <c r="K716" s="6151"/>
      <c r="L716" s="6151"/>
      <c r="M716" s="6152"/>
      <c r="N716" s="5002"/>
      <c r="O716" s="5002"/>
      <c r="P716" s="5002"/>
      <c r="Q716" s="5002"/>
    </row>
    <row r="717" spans="1:17">
      <c r="A717" s="5002"/>
      <c r="B717" s="4992"/>
      <c r="C717" s="6136">
        <v>0.9</v>
      </c>
      <c r="D717" s="6137"/>
      <c r="E717" s="6153">
        <v>7</v>
      </c>
      <c r="F717" s="6153"/>
      <c r="G717" s="6154" t="s">
        <v>1354</v>
      </c>
      <c r="H717" s="6154"/>
      <c r="I717" s="6154"/>
      <c r="J717" s="6155">
        <f>C717</f>
        <v>0.9</v>
      </c>
      <c r="K717" s="6029" t="s">
        <v>1337</v>
      </c>
      <c r="L717" s="6156">
        <f>E717</f>
        <v>7</v>
      </c>
      <c r="M717" s="6157">
        <f>C717/E717</f>
        <v>0.12857142857142859</v>
      </c>
      <c r="N717" s="5002"/>
      <c r="O717" s="5002"/>
      <c r="P717" s="5002"/>
      <c r="Q717" s="5002"/>
    </row>
    <row r="718" spans="1:17">
      <c r="A718" s="5002"/>
      <c r="B718" s="4992"/>
      <c r="C718" s="6136">
        <v>3.5</v>
      </c>
      <c r="D718" s="6137"/>
      <c r="E718" s="6153">
        <v>20</v>
      </c>
      <c r="F718" s="6153"/>
      <c r="G718" s="6154" t="s">
        <v>1355</v>
      </c>
      <c r="H718" s="6154"/>
      <c r="I718" s="6154"/>
      <c r="J718" s="6155">
        <f>C718</f>
        <v>3.5</v>
      </c>
      <c r="K718" s="6029" t="s">
        <v>1337</v>
      </c>
      <c r="L718" s="6156">
        <f>E718</f>
        <v>20</v>
      </c>
      <c r="M718" s="6157">
        <f>C718/E718</f>
        <v>0.17499999999999999</v>
      </c>
      <c r="N718" s="5002"/>
      <c r="O718" s="5002"/>
      <c r="P718" s="5002"/>
      <c r="Q718" s="5002"/>
    </row>
    <row r="719" spans="1:17">
      <c r="A719" s="5002"/>
      <c r="B719" s="4992"/>
      <c r="C719" s="6158"/>
      <c r="D719" s="6159"/>
      <c r="E719" s="5778"/>
      <c r="F719" s="6159"/>
      <c r="G719" s="5778"/>
      <c r="H719" s="6159"/>
      <c r="I719" s="6159"/>
      <c r="J719" s="5778"/>
      <c r="K719" s="5778"/>
      <c r="L719" s="5778"/>
      <c r="M719" s="6160"/>
      <c r="N719" s="5002"/>
      <c r="O719" s="5002"/>
      <c r="P719" s="5002"/>
      <c r="Q719" s="5002"/>
    </row>
    <row r="720" spans="1:17">
      <c r="A720" s="5002"/>
      <c r="B720" s="4992"/>
      <c r="C720" s="5002"/>
      <c r="D720" s="5002"/>
      <c r="E720" s="5002"/>
      <c r="F720" s="5002"/>
      <c r="G720" s="5002"/>
      <c r="H720" s="5002"/>
      <c r="I720" s="5002"/>
      <c r="J720" s="5002"/>
      <c r="K720" s="5002"/>
      <c r="L720" s="4992"/>
      <c r="M720" s="5002"/>
      <c r="N720" s="5002"/>
      <c r="O720" s="5002"/>
      <c r="P720" s="5002"/>
      <c r="Q720" s="5002"/>
    </row>
    <row r="721" spans="1:17" ht="15.75" thickBot="1">
      <c r="A721" s="5002"/>
      <c r="B721" s="4992"/>
      <c r="C721" s="5002"/>
      <c r="D721" s="5002"/>
      <c r="E721" s="5002"/>
      <c r="F721" s="5002"/>
      <c r="G721" s="5002"/>
      <c r="H721" s="5002"/>
      <c r="I721" s="5002"/>
      <c r="J721" s="5002"/>
      <c r="K721" s="5002"/>
      <c r="L721" s="4992"/>
      <c r="M721" s="5002"/>
      <c r="N721" s="5002"/>
      <c r="O721" s="5002"/>
      <c r="P721" s="5002"/>
      <c r="Q721" s="5002"/>
    </row>
    <row r="722" spans="1:17">
      <c r="A722" s="5002"/>
      <c r="B722" s="4992"/>
      <c r="C722" s="6161" t="s">
        <v>1356</v>
      </c>
      <c r="D722" s="6162"/>
      <c r="E722" s="6163" t="s">
        <v>1357</v>
      </c>
      <c r="F722" s="6163"/>
      <c r="G722" s="6164" t="s">
        <v>1358</v>
      </c>
      <c r="H722" s="6165" t="s">
        <v>1176</v>
      </c>
      <c r="I722" s="6165"/>
      <c r="J722" s="6165"/>
      <c r="K722" s="6165"/>
      <c r="L722" s="6165"/>
      <c r="M722" s="6166"/>
      <c r="N722" s="5002"/>
      <c r="O722" s="5002"/>
      <c r="P722" s="5002"/>
      <c r="Q722" s="5002"/>
    </row>
    <row r="723" spans="1:17">
      <c r="A723" s="5002"/>
      <c r="B723" s="4992"/>
      <c r="C723" s="6167"/>
      <c r="D723" s="6168"/>
      <c r="E723" s="6169"/>
      <c r="F723" s="6169"/>
      <c r="G723" s="6170"/>
      <c r="H723" s="6171"/>
      <c r="I723" s="6171"/>
      <c r="J723" s="6171"/>
      <c r="K723" s="6171"/>
      <c r="L723" s="6171"/>
      <c r="M723" s="6172"/>
      <c r="N723" s="5002"/>
      <c r="O723" s="5002"/>
      <c r="P723" s="5002"/>
      <c r="Q723" s="5002"/>
    </row>
    <row r="724" spans="1:17">
      <c r="A724" s="5002"/>
      <c r="B724" s="4992"/>
      <c r="C724" s="6173">
        <v>32</v>
      </c>
      <c r="D724" s="6174"/>
      <c r="E724" s="6175">
        <v>1.45</v>
      </c>
      <c r="F724" s="6175"/>
      <c r="G724" s="6176">
        <f>C724/E724</f>
        <v>22.068965517241381</v>
      </c>
      <c r="H724" s="6177" t="s">
        <v>1359</v>
      </c>
      <c r="I724" s="6177"/>
      <c r="J724" s="6177"/>
      <c r="K724" s="6177"/>
      <c r="L724" s="6177"/>
      <c r="M724" s="6178"/>
      <c r="N724" s="5002"/>
      <c r="O724" s="5002"/>
      <c r="P724" s="5002"/>
      <c r="Q724" s="5002"/>
    </row>
    <row r="725" spans="1:17">
      <c r="A725" s="5002"/>
      <c r="B725" s="4992"/>
      <c r="C725" s="6173"/>
      <c r="D725" s="6174"/>
      <c r="E725" s="6175"/>
      <c r="F725" s="6175"/>
      <c r="G725" s="6176"/>
      <c r="H725" s="6177"/>
      <c r="I725" s="6177"/>
      <c r="J725" s="6177"/>
      <c r="K725" s="6177"/>
      <c r="L725" s="6177"/>
      <c r="M725" s="6178"/>
      <c r="N725" s="5002"/>
      <c r="O725" s="5002"/>
      <c r="P725" s="5002"/>
      <c r="Q725" s="5002"/>
    </row>
    <row r="726" spans="1:17" ht="15.75">
      <c r="A726" s="5002"/>
      <c r="B726" s="4992"/>
      <c r="C726" s="6179" t="s">
        <v>1360</v>
      </c>
      <c r="D726" s="6180"/>
      <c r="E726" s="6180"/>
      <c r="F726" s="6180"/>
      <c r="G726" s="6180"/>
      <c r="H726" s="6180"/>
      <c r="I726" s="6180"/>
      <c r="J726" s="6180"/>
      <c r="K726" s="6180"/>
      <c r="L726" s="6180"/>
      <c r="M726" s="6181"/>
      <c r="N726" s="5002"/>
      <c r="O726" s="5002"/>
      <c r="P726" s="5002"/>
      <c r="Q726" s="5002"/>
    </row>
    <row r="727" spans="1:17" ht="15.75">
      <c r="A727" s="5002"/>
      <c r="B727" s="4992"/>
      <c r="C727" s="6182">
        <v>32</v>
      </c>
      <c r="D727" s="6183"/>
      <c r="E727" s="6184">
        <v>1.2</v>
      </c>
      <c r="F727" s="6184"/>
      <c r="G727" s="6185">
        <f t="shared" ref="G727:G738" si="6">C727/E727</f>
        <v>26.666666666666668</v>
      </c>
      <c r="H727" s="6186" t="s">
        <v>1361</v>
      </c>
      <c r="I727" s="6187"/>
      <c r="J727" s="6187"/>
      <c r="K727" s="6187"/>
      <c r="L727" s="6188"/>
      <c r="M727" s="6189"/>
      <c r="N727" s="5002"/>
      <c r="O727" s="5002"/>
      <c r="P727" s="5002"/>
      <c r="Q727" s="5002"/>
    </row>
    <row r="728" spans="1:17" ht="15.75">
      <c r="A728" s="5002"/>
      <c r="B728" s="4992"/>
      <c r="C728" s="6182">
        <v>12</v>
      </c>
      <c r="D728" s="6183"/>
      <c r="E728" s="6184">
        <v>1</v>
      </c>
      <c r="F728" s="6184"/>
      <c r="G728" s="6185">
        <f t="shared" si="6"/>
        <v>12</v>
      </c>
      <c r="H728" s="6186" t="s">
        <v>1362</v>
      </c>
      <c r="I728" s="6187"/>
      <c r="J728" s="6187"/>
      <c r="K728" s="6187"/>
      <c r="L728" s="6188"/>
      <c r="M728" s="6189"/>
      <c r="N728" s="5002"/>
      <c r="O728" s="5002"/>
      <c r="P728" s="5002"/>
      <c r="Q728" s="5002"/>
    </row>
    <row r="729" spans="1:17" ht="15.75">
      <c r="A729" s="5002"/>
      <c r="B729" s="4992"/>
      <c r="C729" s="6182">
        <v>32</v>
      </c>
      <c r="D729" s="6183"/>
      <c r="E729" s="6184">
        <v>2</v>
      </c>
      <c r="F729" s="6184"/>
      <c r="G729" s="6185">
        <f t="shared" si="6"/>
        <v>16</v>
      </c>
      <c r="H729" s="6186" t="s">
        <v>1363</v>
      </c>
      <c r="I729" s="6187"/>
      <c r="J729" s="6187"/>
      <c r="K729" s="6187"/>
      <c r="L729" s="6188"/>
      <c r="M729" s="6189"/>
      <c r="N729" s="5002"/>
      <c r="O729" s="5002"/>
      <c r="P729" s="5002"/>
      <c r="Q729" s="5002"/>
    </row>
    <row r="730" spans="1:17" ht="15.75">
      <c r="A730" s="5002"/>
      <c r="B730" s="4992"/>
      <c r="C730" s="6182">
        <v>32</v>
      </c>
      <c r="D730" s="6183"/>
      <c r="E730" s="6184">
        <v>1.2</v>
      </c>
      <c r="F730" s="6184"/>
      <c r="G730" s="6185">
        <f t="shared" si="6"/>
        <v>26.666666666666668</v>
      </c>
      <c r="H730" s="6186" t="s">
        <v>1363</v>
      </c>
      <c r="I730" s="6187"/>
      <c r="J730" s="6187"/>
      <c r="K730" s="6187"/>
      <c r="L730" s="6188"/>
      <c r="M730" s="6189"/>
      <c r="N730" s="5002"/>
      <c r="O730" s="5002"/>
      <c r="P730" s="5002"/>
      <c r="Q730" s="5002"/>
    </row>
    <row r="731" spans="1:17" ht="15.75">
      <c r="A731" s="5002"/>
      <c r="B731" s="4992"/>
      <c r="C731" s="6182">
        <v>33</v>
      </c>
      <c r="D731" s="6183"/>
      <c r="E731" s="6184">
        <v>1.3</v>
      </c>
      <c r="F731" s="6184"/>
      <c r="G731" s="6185">
        <f t="shared" si="6"/>
        <v>25.384615384615383</v>
      </c>
      <c r="H731" s="6186" t="s">
        <v>1364</v>
      </c>
      <c r="I731" s="6187"/>
      <c r="J731" s="6187"/>
      <c r="K731" s="6187"/>
      <c r="L731" s="6188"/>
      <c r="M731" s="6189"/>
      <c r="N731" s="5002"/>
      <c r="O731" s="5002"/>
      <c r="P731" s="5002"/>
      <c r="Q731" s="5002"/>
    </row>
    <row r="732" spans="1:17" ht="15.75">
      <c r="A732" s="5002"/>
      <c r="B732" s="4992"/>
      <c r="C732" s="6182">
        <v>33</v>
      </c>
      <c r="D732" s="6183"/>
      <c r="E732" s="6184">
        <v>1.5</v>
      </c>
      <c r="F732" s="6184"/>
      <c r="G732" s="6185">
        <f t="shared" si="6"/>
        <v>22</v>
      </c>
      <c r="H732" s="6186" t="s">
        <v>1365</v>
      </c>
      <c r="I732" s="6187"/>
      <c r="J732" s="6187"/>
      <c r="K732" s="6187"/>
      <c r="L732" s="6188"/>
      <c r="M732" s="6189"/>
      <c r="N732" s="5002"/>
      <c r="O732" s="5002"/>
      <c r="P732" s="5002"/>
      <c r="Q732" s="5002"/>
    </row>
    <row r="733" spans="1:17" ht="15.75">
      <c r="A733" s="5002"/>
      <c r="B733" s="4992"/>
      <c r="C733" s="6182">
        <v>30</v>
      </c>
      <c r="D733" s="6183"/>
      <c r="E733" s="6184">
        <v>1.2</v>
      </c>
      <c r="F733" s="6184"/>
      <c r="G733" s="6185">
        <f t="shared" si="6"/>
        <v>25</v>
      </c>
      <c r="H733" s="6186" t="s">
        <v>1366</v>
      </c>
      <c r="I733" s="6187"/>
      <c r="J733" s="6187"/>
      <c r="K733" s="6187"/>
      <c r="L733" s="6188"/>
      <c r="M733" s="6189"/>
      <c r="N733" s="5002"/>
      <c r="O733" s="5002"/>
      <c r="P733" s="5002"/>
      <c r="Q733" s="5002"/>
    </row>
    <row r="734" spans="1:17" ht="15.75">
      <c r="A734" s="5002"/>
      <c r="B734" s="4992"/>
      <c r="C734" s="6182">
        <v>33</v>
      </c>
      <c r="D734" s="6183"/>
      <c r="E734" s="6184">
        <v>1.6</v>
      </c>
      <c r="F734" s="6184"/>
      <c r="G734" s="6185">
        <f t="shared" si="6"/>
        <v>20.625</v>
      </c>
      <c r="H734" s="6186" t="s">
        <v>1367</v>
      </c>
      <c r="I734" s="6187"/>
      <c r="J734" s="6187"/>
      <c r="K734" s="6187"/>
      <c r="L734" s="6188"/>
      <c r="M734" s="6189"/>
      <c r="N734" s="5002"/>
      <c r="O734" s="5002"/>
      <c r="P734" s="5002"/>
      <c r="Q734" s="5002"/>
    </row>
    <row r="735" spans="1:17" ht="15.75">
      <c r="A735" s="5002"/>
      <c r="B735" s="4992"/>
      <c r="C735" s="6182">
        <v>33</v>
      </c>
      <c r="D735" s="6183"/>
      <c r="E735" s="6184">
        <v>2</v>
      </c>
      <c r="F735" s="6184"/>
      <c r="G735" s="6185">
        <f t="shared" si="6"/>
        <v>16.5</v>
      </c>
      <c r="H735" s="6186" t="s">
        <v>1368</v>
      </c>
      <c r="I735" s="6187"/>
      <c r="J735" s="6187"/>
      <c r="K735" s="6187"/>
      <c r="L735" s="6188"/>
      <c r="M735" s="6189"/>
      <c r="N735" s="5002"/>
      <c r="O735" s="5002"/>
      <c r="P735" s="5002"/>
      <c r="Q735" s="5002"/>
    </row>
    <row r="736" spans="1:17" ht="15.75">
      <c r="A736" s="5002"/>
      <c r="B736" s="4992"/>
      <c r="C736" s="6182">
        <v>48</v>
      </c>
      <c r="D736" s="6183"/>
      <c r="E736" s="6184">
        <v>6</v>
      </c>
      <c r="F736" s="6184"/>
      <c r="G736" s="6185">
        <f t="shared" si="6"/>
        <v>8</v>
      </c>
      <c r="H736" s="6186" t="s">
        <v>1369</v>
      </c>
      <c r="I736" s="6187"/>
      <c r="J736" s="6187"/>
      <c r="K736" s="6187"/>
      <c r="L736" s="6188"/>
      <c r="M736" s="6189"/>
      <c r="N736" s="5002"/>
      <c r="O736" s="5002"/>
      <c r="P736" s="5002"/>
      <c r="Q736" s="5002"/>
    </row>
    <row r="737" spans="1:17" ht="15.75">
      <c r="A737" s="5002"/>
      <c r="B737" s="4992"/>
      <c r="C737" s="6182">
        <v>1</v>
      </c>
      <c r="D737" s="6183"/>
      <c r="E737" s="6184">
        <v>0.25</v>
      </c>
      <c r="F737" s="6184"/>
      <c r="G737" s="6185">
        <f t="shared" si="6"/>
        <v>4</v>
      </c>
      <c r="H737" s="6186" t="s">
        <v>1370</v>
      </c>
      <c r="I737" s="6187"/>
      <c r="J737" s="6187"/>
      <c r="K737" s="6187"/>
      <c r="L737" s="6188"/>
      <c r="M737" s="6189"/>
      <c r="N737" s="5002"/>
      <c r="O737" s="5002"/>
      <c r="P737" s="5002"/>
      <c r="Q737" s="5002"/>
    </row>
    <row r="738" spans="1:17" ht="15.75">
      <c r="A738" s="5002"/>
      <c r="B738" s="4992"/>
      <c r="C738" s="6182">
        <v>25</v>
      </c>
      <c r="D738" s="6183"/>
      <c r="E738" s="6184">
        <v>1</v>
      </c>
      <c r="F738" s="6184"/>
      <c r="G738" s="6185">
        <f t="shared" si="6"/>
        <v>25</v>
      </c>
      <c r="H738" s="6186" t="s">
        <v>1371</v>
      </c>
      <c r="I738" s="6187"/>
      <c r="J738" s="6187"/>
      <c r="K738" s="6187"/>
      <c r="L738" s="6188"/>
      <c r="M738" s="6189"/>
      <c r="N738" s="5002"/>
      <c r="O738" s="5002"/>
      <c r="P738" s="5002"/>
      <c r="Q738" s="5002"/>
    </row>
    <row r="739" spans="1:17" ht="15.75">
      <c r="A739" s="5002"/>
      <c r="B739" s="4992"/>
      <c r="C739" s="6190"/>
      <c r="D739" s="6191"/>
      <c r="E739" s="6192"/>
      <c r="F739" s="6192"/>
      <c r="G739" s="6185"/>
      <c r="H739" s="6186"/>
      <c r="I739" s="6187"/>
      <c r="J739" s="6187"/>
      <c r="K739" s="6187"/>
      <c r="L739" s="6188"/>
      <c r="M739" s="6189"/>
      <c r="N739" s="5002"/>
      <c r="O739" s="5002"/>
      <c r="P739" s="5002"/>
      <c r="Q739" s="5002"/>
    </row>
    <row r="740" spans="1:17" ht="15.75">
      <c r="A740" s="5002"/>
      <c r="B740" s="4992"/>
      <c r="C740" s="6193" t="s">
        <v>1372</v>
      </c>
      <c r="D740" s="6191"/>
      <c r="E740" s="6192"/>
      <c r="F740" s="6192"/>
      <c r="G740" s="6185"/>
      <c r="H740" s="6186"/>
      <c r="I740" s="6187"/>
      <c r="J740" s="6187"/>
      <c r="K740" s="6187"/>
      <c r="L740" s="6188"/>
      <c r="M740" s="6189"/>
      <c r="N740" s="5002"/>
      <c r="O740" s="5002"/>
      <c r="P740" s="5002"/>
      <c r="Q740" s="5002"/>
    </row>
    <row r="741" spans="1:17">
      <c r="A741" s="5002"/>
      <c r="B741" s="4992"/>
      <c r="C741" s="6194" t="s">
        <v>1373</v>
      </c>
      <c r="D741" s="6195"/>
      <c r="E741" s="6195"/>
      <c r="F741" s="6195"/>
      <c r="G741" s="6195"/>
      <c r="H741" s="6195"/>
      <c r="I741" s="6195"/>
      <c r="J741" s="6195"/>
      <c r="K741" s="6195"/>
      <c r="L741" s="6195"/>
      <c r="M741" s="6196"/>
      <c r="N741" s="5002"/>
      <c r="O741" s="5002"/>
      <c r="P741" s="5002"/>
      <c r="Q741" s="5002"/>
    </row>
    <row r="742" spans="1:17">
      <c r="A742" s="5002"/>
      <c r="B742" s="4992"/>
      <c r="C742" s="6194"/>
      <c r="D742" s="6195"/>
      <c r="E742" s="6195"/>
      <c r="F742" s="6195"/>
      <c r="G742" s="6195"/>
      <c r="H742" s="6195"/>
      <c r="I742" s="6195"/>
      <c r="J742" s="6195"/>
      <c r="K742" s="6195"/>
      <c r="L742" s="6195"/>
      <c r="M742" s="6196"/>
      <c r="N742" s="5002"/>
      <c r="O742" s="5002"/>
      <c r="P742" s="5002"/>
      <c r="Q742" s="5002"/>
    </row>
    <row r="743" spans="1:17" ht="15.75" thickBot="1">
      <c r="A743" s="5002"/>
      <c r="B743" s="4992"/>
      <c r="C743" s="6197"/>
      <c r="D743" s="6198"/>
      <c r="E743" s="6198"/>
      <c r="F743" s="6198"/>
      <c r="G743" s="6198"/>
      <c r="H743" s="6198"/>
      <c r="I743" s="6198"/>
      <c r="J743" s="6198"/>
      <c r="K743" s="6198"/>
      <c r="L743" s="6198"/>
      <c r="M743" s="6199"/>
      <c r="N743" s="5002"/>
      <c r="O743" s="5002"/>
      <c r="P743" s="5002"/>
      <c r="Q743" s="5002"/>
    </row>
    <row r="744" spans="1:17">
      <c r="A744" s="5002"/>
      <c r="B744" s="4992"/>
      <c r="C744" s="4992"/>
      <c r="D744" s="4992"/>
      <c r="E744" s="4992"/>
      <c r="F744" s="4992"/>
      <c r="G744" s="4992"/>
      <c r="H744" s="4992"/>
      <c r="I744" s="4992"/>
      <c r="J744" s="4992"/>
      <c r="K744" s="4992"/>
      <c r="L744" s="4992"/>
      <c r="M744" s="5002"/>
      <c r="N744" s="5002"/>
      <c r="O744" s="5002"/>
      <c r="P744" s="5002"/>
      <c r="Q744" s="5002"/>
    </row>
    <row r="745" spans="1:17">
      <c r="A745" s="5063"/>
      <c r="B745" s="5064"/>
      <c r="C745" s="5065"/>
      <c r="D745" s="5065"/>
      <c r="E745" s="5065"/>
      <c r="F745" s="5065"/>
      <c r="G745" s="5065"/>
      <c r="H745" s="5065"/>
      <c r="I745" s="5065"/>
      <c r="J745" s="5064"/>
      <c r="K745" s="5064"/>
      <c r="L745" s="5064"/>
      <c r="M745" s="5063"/>
      <c r="N745" s="5063"/>
      <c r="O745" s="5063"/>
      <c r="P745" s="5063"/>
      <c r="Q745" s="5063"/>
    </row>
    <row r="746" spans="1:17">
      <c r="A746" s="5002"/>
      <c r="B746" s="4992"/>
      <c r="C746" s="4992"/>
      <c r="D746" s="4992"/>
      <c r="E746" s="4992"/>
      <c r="F746" s="4992"/>
      <c r="G746" s="4992"/>
      <c r="H746" s="4992"/>
      <c r="I746" s="4992"/>
      <c r="J746" s="4992"/>
      <c r="K746" s="4992"/>
      <c r="L746" s="4992"/>
      <c r="M746" s="5002"/>
      <c r="N746" s="5002"/>
      <c r="O746" s="5002"/>
      <c r="P746" s="5002"/>
      <c r="Q746" s="5002"/>
    </row>
    <row r="747" spans="1:17" ht="20.25">
      <c r="A747" s="5002"/>
      <c r="B747" s="6200" t="s">
        <v>1374</v>
      </c>
      <c r="C747" s="6200"/>
      <c r="D747" s="6200"/>
      <c r="E747" s="6200"/>
      <c r="F747" s="6200"/>
      <c r="G747" s="6200"/>
      <c r="H747" s="6200"/>
      <c r="I747" s="6200"/>
      <c r="J747" s="6200"/>
      <c r="K747" s="6200"/>
      <c r="L747" s="6200"/>
      <c r="M747" s="6200"/>
      <c r="N747" s="6200"/>
      <c r="O747" s="4992"/>
      <c r="P747" s="4992"/>
      <c r="Q747" s="4992"/>
    </row>
    <row r="748" spans="1:17">
      <c r="A748" s="5002"/>
      <c r="B748" s="6201"/>
      <c r="C748" s="6202"/>
      <c r="D748" s="6202"/>
      <c r="E748" s="6202"/>
      <c r="F748" s="6202"/>
      <c r="G748" s="6202"/>
      <c r="H748" s="6202"/>
      <c r="I748" s="6202"/>
      <c r="J748" s="6202"/>
      <c r="K748" s="6202"/>
      <c r="L748" s="6202"/>
      <c r="M748" s="6202"/>
      <c r="N748" s="6203"/>
      <c r="O748" s="4992"/>
      <c r="P748" s="4992"/>
      <c r="Q748" s="4992"/>
    </row>
    <row r="749" spans="1:17" ht="18">
      <c r="A749" s="5002"/>
      <c r="B749" s="6204" t="s">
        <v>1375</v>
      </c>
      <c r="C749" s="6205"/>
      <c r="D749" s="6205"/>
      <c r="E749" s="6205"/>
      <c r="F749" s="6205"/>
      <c r="G749" s="6205"/>
      <c r="H749" s="6205"/>
      <c r="I749" s="6205"/>
      <c r="J749" s="6205"/>
      <c r="K749" s="6205"/>
      <c r="L749" s="6205"/>
      <c r="M749" s="6205"/>
      <c r="N749" s="6206"/>
      <c r="O749" s="4992"/>
      <c r="P749" s="4992"/>
      <c r="Q749" s="4992"/>
    </row>
    <row r="750" spans="1:17" ht="18">
      <c r="A750" s="5002"/>
      <c r="B750" s="6207"/>
      <c r="C750" s="6208"/>
      <c r="D750" s="6208"/>
      <c r="E750" s="6208"/>
      <c r="F750" s="6208"/>
      <c r="G750" s="6208"/>
      <c r="H750" s="6208"/>
      <c r="I750" s="6208"/>
      <c r="J750" s="6208"/>
      <c r="K750" s="6208"/>
      <c r="L750" s="6208"/>
      <c r="M750" s="6208"/>
      <c r="N750" s="6209"/>
      <c r="O750" s="4992"/>
      <c r="P750" s="4992"/>
      <c r="Q750" s="4992"/>
    </row>
    <row r="751" spans="1:17" ht="15.75">
      <c r="A751" s="5002"/>
      <c r="B751" s="6210"/>
      <c r="C751" s="6211"/>
      <c r="D751" s="6211"/>
      <c r="E751" s="6212" t="s">
        <v>1376</v>
      </c>
      <c r="F751" s="6213">
        <v>250</v>
      </c>
      <c r="G751" s="6213">
        <v>620</v>
      </c>
      <c r="H751" s="6213">
        <v>37</v>
      </c>
      <c r="I751" s="6213">
        <v>14</v>
      </c>
      <c r="J751" s="6088">
        <f>SUM(F751:I751)</f>
        <v>921</v>
      </c>
      <c r="K751" s="6214" t="s">
        <v>114</v>
      </c>
      <c r="L751" s="6215"/>
      <c r="M751" s="5002"/>
      <c r="N751" s="6216"/>
      <c r="O751" s="4992"/>
      <c r="P751" s="4992"/>
      <c r="Q751" s="4992"/>
    </row>
    <row r="752" spans="1:17" ht="15.75">
      <c r="A752" s="5002"/>
      <c r="B752" s="6210"/>
      <c r="C752" s="6211"/>
      <c r="D752" s="6211"/>
      <c r="E752" s="6217" t="s">
        <v>1377</v>
      </c>
      <c r="F752" s="6218">
        <v>4.4999999999999998E-2</v>
      </c>
      <c r="G752" s="6218">
        <v>7.0000000000000007E-2</v>
      </c>
      <c r="H752" s="6218">
        <v>0.11</v>
      </c>
      <c r="I752" s="6219">
        <v>0.13</v>
      </c>
      <c r="J752" s="5002"/>
      <c r="K752" s="6220" t="s">
        <v>1378</v>
      </c>
      <c r="L752" s="6221">
        <v>25</v>
      </c>
      <c r="M752" s="6222" t="s">
        <v>1379</v>
      </c>
      <c r="N752" s="6216"/>
      <c r="O752" s="4992"/>
      <c r="P752" s="4992"/>
      <c r="Q752" s="4992"/>
    </row>
    <row r="753" spans="1:17" ht="15.75">
      <c r="A753" s="5002"/>
      <c r="B753" s="6210"/>
      <c r="C753" s="6211"/>
      <c r="D753" s="6211"/>
      <c r="E753" s="6223" t="s">
        <v>1380</v>
      </c>
      <c r="F753" s="6224" t="s">
        <v>256</v>
      </c>
      <c r="G753" s="6225" t="s">
        <v>257</v>
      </c>
      <c r="H753" s="6226" t="s">
        <v>258</v>
      </c>
      <c r="I753" s="6225" t="s">
        <v>259</v>
      </c>
      <c r="J753" s="6227" t="s">
        <v>1381</v>
      </c>
      <c r="K753" s="6227"/>
      <c r="L753" s="6227"/>
      <c r="M753" s="5002"/>
      <c r="N753" s="6216"/>
      <c r="O753" s="4992"/>
      <c r="P753" s="4992"/>
      <c r="Q753" s="4992"/>
    </row>
    <row r="754" spans="1:17">
      <c r="A754" s="5002"/>
      <c r="B754" s="6210"/>
      <c r="C754" s="6211"/>
      <c r="D754" s="6211"/>
      <c r="E754" s="6228" t="s">
        <v>1382</v>
      </c>
      <c r="F754" s="6229">
        <f>F752*F751</f>
        <v>11.25</v>
      </c>
      <c r="G754" s="6229">
        <f>G752*G751</f>
        <v>43.400000000000006</v>
      </c>
      <c r="H754" s="6229">
        <f>H752*H751</f>
        <v>4.07</v>
      </c>
      <c r="I754" s="6230">
        <f>I752*I751</f>
        <v>1.82</v>
      </c>
      <c r="J754" s="6231">
        <f>SUM(F754:I754)</f>
        <v>60.540000000000006</v>
      </c>
      <c r="K754" s="6231"/>
      <c r="L754" s="6232" t="s">
        <v>1383</v>
      </c>
      <c r="M754" s="5002"/>
      <c r="N754" s="6135"/>
      <c r="O754" s="4992"/>
      <c r="P754" s="4992"/>
      <c r="Q754" s="4992"/>
    </row>
    <row r="755" spans="1:17" ht="18">
      <c r="A755" s="5002"/>
      <c r="B755" s="6210"/>
      <c r="C755" s="6211"/>
      <c r="D755" s="6211"/>
      <c r="E755" s="6034" t="s">
        <v>1384</v>
      </c>
      <c r="F755" s="6233">
        <f>F754/(100-L752)*100</f>
        <v>15</v>
      </c>
      <c r="G755" s="6233">
        <f>G754/(100-L752)*100</f>
        <v>57.866666666666674</v>
      </c>
      <c r="H755" s="6233">
        <f>H754/(100-L752)*100</f>
        <v>5.4266666666666667</v>
      </c>
      <c r="I755" s="6234">
        <f>I754/(100-L752)*100</f>
        <v>2.4266666666666667</v>
      </c>
      <c r="J755" s="6235">
        <f>SUM(F755:I755)</f>
        <v>80.72</v>
      </c>
      <c r="K755" s="6236"/>
      <c r="L755" s="6089" t="s">
        <v>1385</v>
      </c>
      <c r="M755" s="5002"/>
      <c r="N755" s="6135"/>
      <c r="O755" s="4992"/>
      <c r="P755" s="4992"/>
      <c r="Q755" s="4992"/>
    </row>
    <row r="756" spans="1:17">
      <c r="A756" s="5002"/>
      <c r="B756" s="6210"/>
      <c r="C756" s="6211"/>
      <c r="D756" s="6211"/>
      <c r="E756" s="6211"/>
      <c r="F756" s="6211"/>
      <c r="G756" s="6211"/>
      <c r="H756" s="6211"/>
      <c r="I756" s="6211"/>
      <c r="J756" s="6237">
        <f>J755-J754</f>
        <v>20.179999999999993</v>
      </c>
      <c r="K756" s="6237"/>
      <c r="L756" s="6238" t="s">
        <v>1386</v>
      </c>
      <c r="M756" s="6239"/>
      <c r="N756" s="6216"/>
      <c r="O756" s="4992"/>
      <c r="P756" s="4992"/>
      <c r="Q756" s="4992"/>
    </row>
    <row r="757" spans="1:17">
      <c r="A757" s="5002"/>
      <c r="B757" s="6210"/>
      <c r="C757" s="6211"/>
      <c r="D757" s="6211"/>
      <c r="E757" s="6211"/>
      <c r="F757" s="6211"/>
      <c r="G757" s="6211"/>
      <c r="H757" s="6211"/>
      <c r="I757" s="6211"/>
      <c r="J757" s="6240">
        <f>(J756/J751)*1000</f>
        <v>21.910966340933761</v>
      </c>
      <c r="K757" s="6237"/>
      <c r="L757" s="6238" t="s">
        <v>1387</v>
      </c>
      <c r="M757" s="6239"/>
      <c r="N757" s="6216"/>
      <c r="O757" s="4992"/>
      <c r="P757" s="4992"/>
      <c r="Q757" s="4992"/>
    </row>
    <row r="758" spans="1:17">
      <c r="A758" s="5002"/>
      <c r="B758" s="6210"/>
      <c r="C758" s="6241" t="s">
        <v>1379</v>
      </c>
      <c r="D758" s="6242" t="s">
        <v>1388</v>
      </c>
      <c r="E758" s="6211"/>
      <c r="F758" s="6211"/>
      <c r="G758" s="6211"/>
      <c r="H758" s="6211"/>
      <c r="I758" s="6211"/>
      <c r="J758" s="6211"/>
      <c r="K758" s="6211"/>
      <c r="L758" s="6211"/>
      <c r="M758" s="6211"/>
      <c r="N758" s="6216"/>
      <c r="O758" s="4992"/>
      <c r="P758" s="4992"/>
      <c r="Q758" s="4992"/>
    </row>
    <row r="759" spans="1:17">
      <c r="A759" s="5002"/>
      <c r="B759" s="6210"/>
      <c r="C759" s="6243"/>
      <c r="D759" s="6242" t="s">
        <v>1389</v>
      </c>
      <c r="E759" s="6211"/>
      <c r="F759" s="6211"/>
      <c r="G759" s="6211"/>
      <c r="H759" s="6211"/>
      <c r="I759" s="6211"/>
      <c r="J759" s="6211"/>
      <c r="K759" s="6211"/>
      <c r="L759" s="6211"/>
      <c r="M759" s="6211"/>
      <c r="N759" s="6216"/>
      <c r="O759" s="4992"/>
      <c r="P759" s="4992"/>
      <c r="Q759" s="4992"/>
    </row>
    <row r="760" spans="1:17">
      <c r="A760" s="5002"/>
      <c r="B760" s="6244"/>
      <c r="C760" s="5991"/>
      <c r="D760" s="5991"/>
      <c r="E760" s="5991"/>
      <c r="F760" s="5991"/>
      <c r="G760" s="5991"/>
      <c r="H760" s="5991"/>
      <c r="I760" s="5991"/>
      <c r="J760" s="5991"/>
      <c r="K760" s="5991"/>
      <c r="L760" s="5991"/>
      <c r="M760" s="5991"/>
      <c r="N760" s="5992"/>
      <c r="O760" s="4992"/>
      <c r="P760" s="4992"/>
      <c r="Q760" s="4992"/>
    </row>
    <row r="761" spans="1:17">
      <c r="A761" s="5002"/>
      <c r="B761" s="4992"/>
      <c r="C761" s="4992"/>
      <c r="D761" s="4992"/>
      <c r="E761" s="4992"/>
      <c r="F761" s="4992"/>
      <c r="G761" s="4992"/>
      <c r="H761" s="4992"/>
      <c r="I761" s="4992"/>
      <c r="J761" s="4992"/>
      <c r="K761" s="4992"/>
      <c r="L761" s="4992"/>
      <c r="M761" s="5002"/>
      <c r="N761" s="5002"/>
      <c r="O761" s="5002"/>
      <c r="P761" s="5002"/>
      <c r="Q761" s="5002"/>
    </row>
    <row r="762" spans="1:17" ht="15.75" thickBot="1">
      <c r="A762" s="5002"/>
      <c r="B762" s="4992"/>
      <c r="C762" s="4992"/>
      <c r="D762" s="4992"/>
      <c r="E762" s="4992"/>
      <c r="F762" s="4992"/>
      <c r="G762" s="4992"/>
      <c r="H762" s="4992"/>
      <c r="I762" s="4992"/>
      <c r="J762" s="4992"/>
      <c r="K762" s="4992"/>
      <c r="L762" s="4992"/>
      <c r="M762" s="5002"/>
      <c r="N762" s="5002"/>
      <c r="O762" s="5002"/>
      <c r="P762" s="5002"/>
      <c r="Q762" s="5002"/>
    </row>
    <row r="763" spans="1:17">
      <c r="A763" s="6245" t="s">
        <v>909</v>
      </c>
      <c r="B763" s="6246" t="s">
        <v>1390</v>
      </c>
      <c r="C763" s="6247"/>
      <c r="D763" s="6247"/>
      <c r="E763" s="6247"/>
      <c r="F763" s="6247"/>
      <c r="G763" s="6247"/>
      <c r="H763" s="6247"/>
      <c r="I763" s="6247"/>
      <c r="J763" s="6247"/>
      <c r="K763" s="6247"/>
      <c r="L763" s="6247"/>
      <c r="M763" s="6247"/>
      <c r="N763" s="6248">
        <v>1</v>
      </c>
      <c r="O763" s="5002"/>
      <c r="P763" s="5002"/>
      <c r="Q763" s="5002"/>
    </row>
    <row r="764" spans="1:17">
      <c r="A764" s="6249"/>
      <c r="B764" s="6250"/>
      <c r="C764" s="6251"/>
      <c r="D764" s="6251"/>
      <c r="E764" s="6251"/>
      <c r="F764" s="6251"/>
      <c r="G764" s="6251"/>
      <c r="H764" s="6251"/>
      <c r="I764" s="6251"/>
      <c r="J764" s="6251"/>
      <c r="K764" s="6251"/>
      <c r="L764" s="6251"/>
      <c r="M764" s="6251"/>
      <c r="N764" s="6252"/>
      <c r="O764" s="5002"/>
      <c r="P764" s="5002"/>
      <c r="Q764" s="5002"/>
    </row>
    <row r="765" spans="1:17" ht="20.25">
      <c r="A765" s="6253"/>
      <c r="B765" s="6254" t="s">
        <v>1391</v>
      </c>
      <c r="C765" s="6255"/>
      <c r="D765" s="6255"/>
      <c r="E765" s="6255"/>
      <c r="F765" s="6255"/>
      <c r="G765" s="6255"/>
      <c r="H765" s="6255"/>
      <c r="I765" s="6255"/>
      <c r="J765" s="6255"/>
      <c r="K765" s="6255"/>
      <c r="L765" s="6255"/>
      <c r="M765" s="6255"/>
      <c r="N765" s="6256"/>
      <c r="O765" s="5002"/>
      <c r="P765" s="5002"/>
      <c r="Q765" s="5002"/>
    </row>
    <row r="766" spans="1:17">
      <c r="A766" s="6253"/>
      <c r="B766" s="6257" t="s">
        <v>1392</v>
      </c>
      <c r="C766" s="6258"/>
      <c r="D766" s="6258"/>
      <c r="E766" s="6258"/>
      <c r="F766" s="6258"/>
      <c r="G766" s="6258"/>
      <c r="H766" s="6258"/>
      <c r="I766" s="6258"/>
      <c r="J766" s="6258"/>
      <c r="K766" s="6258"/>
      <c r="L766" s="6258"/>
      <c r="M766" s="6258"/>
      <c r="N766" s="6259"/>
      <c r="O766" s="5002"/>
      <c r="P766" s="5002"/>
      <c r="Q766" s="5002"/>
    </row>
    <row r="767" spans="1:17">
      <c r="A767" s="6253"/>
      <c r="B767" s="6257"/>
      <c r="C767" s="6258"/>
      <c r="D767" s="6258"/>
      <c r="E767" s="6258"/>
      <c r="F767" s="6258"/>
      <c r="G767" s="6258"/>
      <c r="H767" s="6258"/>
      <c r="I767" s="6258"/>
      <c r="J767" s="6258"/>
      <c r="K767" s="6258"/>
      <c r="L767" s="6258"/>
      <c r="M767" s="6258"/>
      <c r="N767" s="6259"/>
      <c r="O767" s="5002"/>
      <c r="P767" s="5002"/>
      <c r="Q767" s="5002"/>
    </row>
    <row r="768" spans="1:17">
      <c r="A768" s="6253"/>
      <c r="B768" s="6257"/>
      <c r="C768" s="6258"/>
      <c r="D768" s="6258"/>
      <c r="E768" s="6258"/>
      <c r="F768" s="6258"/>
      <c r="G768" s="6258"/>
      <c r="H768" s="6258"/>
      <c r="I768" s="6258"/>
      <c r="J768" s="6258"/>
      <c r="K768" s="6258"/>
      <c r="L768" s="6258"/>
      <c r="M768" s="6258"/>
      <c r="N768" s="6259"/>
      <c r="O768" s="5002"/>
      <c r="P768" s="5002"/>
      <c r="Q768" s="5002"/>
    </row>
    <row r="769" spans="1:17">
      <c r="A769" s="6253"/>
      <c r="B769" s="6257"/>
      <c r="C769" s="6258"/>
      <c r="D769" s="6258"/>
      <c r="E769" s="6258"/>
      <c r="F769" s="6258"/>
      <c r="G769" s="6258"/>
      <c r="H769" s="6258"/>
      <c r="I769" s="6258"/>
      <c r="J769" s="6258"/>
      <c r="K769" s="6258"/>
      <c r="L769" s="6258"/>
      <c r="M769" s="6258"/>
      <c r="N769" s="6259"/>
      <c r="O769" s="5002"/>
      <c r="P769" s="5002"/>
      <c r="Q769" s="5002"/>
    </row>
    <row r="770" spans="1:17">
      <c r="A770" s="6253"/>
      <c r="B770" s="6260"/>
      <c r="C770" s="6261"/>
      <c r="D770" s="6261"/>
      <c r="E770" s="6261"/>
      <c r="F770" s="6261"/>
      <c r="G770" s="6261"/>
      <c r="H770" s="6261"/>
      <c r="I770" s="6261"/>
      <c r="J770" s="6261"/>
      <c r="K770" s="6261"/>
      <c r="L770" s="6261"/>
      <c r="M770" s="6261"/>
      <c r="N770" s="6262"/>
      <c r="O770" s="5002"/>
      <c r="P770" s="5002"/>
      <c r="Q770" s="5002"/>
    </row>
    <row r="771" spans="1:17">
      <c r="A771" s="6253"/>
      <c r="B771" s="6263"/>
      <c r="C771" s="6264"/>
      <c r="D771" s="6264"/>
      <c r="E771" s="6264"/>
      <c r="F771" s="6264"/>
      <c r="G771" s="6264"/>
      <c r="H771" s="6264"/>
      <c r="I771" s="6264"/>
      <c r="J771" s="6264"/>
      <c r="K771" s="6264"/>
      <c r="L771" s="6265" t="s">
        <v>150</v>
      </c>
      <c r="M771" s="6265"/>
      <c r="N771" s="6266"/>
      <c r="O771" s="5002"/>
      <c r="P771" s="5002"/>
      <c r="Q771" s="5002"/>
    </row>
    <row r="772" spans="1:17" ht="15.75">
      <c r="A772" s="6253"/>
      <c r="B772" s="6264"/>
      <c r="C772" s="6264"/>
      <c r="D772" s="6264"/>
      <c r="E772" s="6264"/>
      <c r="F772" s="6264"/>
      <c r="G772" s="6264"/>
      <c r="H772" s="6264"/>
      <c r="I772" s="6264"/>
      <c r="J772" s="6264"/>
      <c r="K772" s="6267" t="s">
        <v>1393</v>
      </c>
      <c r="L772" s="6268" t="s">
        <v>1394</v>
      </c>
      <c r="M772" s="6269"/>
      <c r="N772" s="6266"/>
      <c r="O772" s="5002"/>
      <c r="P772" s="5002"/>
      <c r="Q772" s="5002"/>
    </row>
    <row r="773" spans="1:17">
      <c r="A773" s="6253"/>
      <c r="B773" s="6263"/>
      <c r="C773" s="6264"/>
      <c r="D773" s="6264"/>
      <c r="E773" s="6264"/>
      <c r="F773" s="6264"/>
      <c r="G773" s="6264"/>
      <c r="H773" s="6264"/>
      <c r="I773" s="6264"/>
      <c r="J773" s="6264"/>
      <c r="K773" s="6264"/>
      <c r="L773" s="6264"/>
      <c r="M773" s="6270"/>
      <c r="N773" s="6266"/>
      <c r="O773" s="5002"/>
      <c r="P773" s="5002"/>
      <c r="Q773" s="5002"/>
    </row>
    <row r="774" spans="1:17" ht="18">
      <c r="A774" s="6253"/>
      <c r="B774" s="6263"/>
      <c r="C774" s="6264"/>
      <c r="D774" s="6264"/>
      <c r="E774" s="6264"/>
      <c r="F774" s="6271" t="s">
        <v>308</v>
      </c>
      <c r="G774" s="6272" t="s">
        <v>256</v>
      </c>
      <c r="H774" s="6273" t="s">
        <v>257</v>
      </c>
      <c r="I774" s="6274" t="s">
        <v>258</v>
      </c>
      <c r="J774" s="6273" t="s">
        <v>259</v>
      </c>
      <c r="K774" s="6273" t="s">
        <v>1395</v>
      </c>
      <c r="L774" s="6264"/>
      <c r="M774" s="6264"/>
      <c r="N774" s="6266"/>
      <c r="O774" s="5002"/>
      <c r="P774" s="5002"/>
      <c r="Q774" s="5002"/>
    </row>
    <row r="775" spans="1:17" ht="18.75">
      <c r="A775" s="6253"/>
      <c r="B775" s="6263"/>
      <c r="C775" s="6264"/>
      <c r="D775" s="6264"/>
      <c r="E775" s="6264"/>
      <c r="F775" s="6275" t="s">
        <v>1376</v>
      </c>
      <c r="G775" s="6276">
        <v>50</v>
      </c>
      <c r="H775" s="6276">
        <v>500</v>
      </c>
      <c r="I775" s="6276">
        <v>150</v>
      </c>
      <c r="J775" s="6276">
        <v>13</v>
      </c>
      <c r="K775" s="6276">
        <v>13</v>
      </c>
      <c r="L775" s="6088">
        <f>SUM(G775:K775)</f>
        <v>726</v>
      </c>
      <c r="M775" s="6277" t="s">
        <v>114</v>
      </c>
      <c r="N775" s="6266"/>
      <c r="O775" s="5002"/>
      <c r="P775" s="5002"/>
      <c r="Q775" s="5002"/>
    </row>
    <row r="776" spans="1:17" ht="18.75">
      <c r="A776" s="6253"/>
      <c r="B776" s="6263"/>
      <c r="C776" s="6264"/>
      <c r="D776" s="6264"/>
      <c r="E776" s="6264"/>
      <c r="F776" s="6278" t="s">
        <v>1396</v>
      </c>
      <c r="G776" s="6279">
        <v>0.5</v>
      </c>
      <c r="H776" s="6279">
        <v>1</v>
      </c>
      <c r="I776" s="6279">
        <v>1</v>
      </c>
      <c r="J776" s="6279">
        <v>2</v>
      </c>
      <c r="K776" s="6279">
        <v>1</v>
      </c>
      <c r="L776" s="6280">
        <f>SUM(G776:K776)/COUNTIF(G776:K776,"&gt;0")</f>
        <v>1.1000000000000001</v>
      </c>
      <c r="M776" s="6277" t="s">
        <v>1397</v>
      </c>
      <c r="N776" s="6266"/>
      <c r="O776" s="5002"/>
      <c r="P776" s="5002"/>
      <c r="Q776" s="5002"/>
    </row>
    <row r="777" spans="1:17" ht="18">
      <c r="A777" s="6253"/>
      <c r="B777" s="6263"/>
      <c r="C777" s="6264"/>
      <c r="D777" s="6264"/>
      <c r="E777" s="6264"/>
      <c r="F777" s="6281" t="s">
        <v>1398</v>
      </c>
      <c r="G777" s="6282">
        <f>G776*G775</f>
        <v>25</v>
      </c>
      <c r="H777" s="6283">
        <f>H776*H775</f>
        <v>500</v>
      </c>
      <c r="I777" s="6283">
        <f>I776*I775</f>
        <v>150</v>
      </c>
      <c r="J777" s="6283">
        <f>J776*J775</f>
        <v>26</v>
      </c>
      <c r="K777" s="6283">
        <f>K776*K775</f>
        <v>13</v>
      </c>
      <c r="L777" s="6088">
        <f>SUM(G777:K777)</f>
        <v>714</v>
      </c>
      <c r="M777" s="6277" t="str">
        <f>L772</f>
        <v>pommes</v>
      </c>
      <c r="N777" s="6266"/>
      <c r="O777" s="5002"/>
      <c r="P777" s="5002"/>
      <c r="Q777" s="5002"/>
    </row>
    <row r="778" spans="1:17">
      <c r="A778" s="6253"/>
      <c r="B778" s="6263"/>
      <c r="C778" s="6264"/>
      <c r="D778" s="6264"/>
      <c r="E778" s="6264"/>
      <c r="F778" s="6264"/>
      <c r="G778" s="6284" t="str">
        <f>L772</f>
        <v>pommes</v>
      </c>
      <c r="H778" s="6284" t="str">
        <f>L772</f>
        <v>pommes</v>
      </c>
      <c r="I778" s="6284" t="str">
        <f>L772</f>
        <v>pommes</v>
      </c>
      <c r="J778" s="6284" t="str">
        <f>L772</f>
        <v>pommes</v>
      </c>
      <c r="K778" s="6284" t="str">
        <f>L772</f>
        <v>pommes</v>
      </c>
      <c r="L778" s="6264"/>
      <c r="M778" s="6270"/>
      <c r="N778" s="6266"/>
      <c r="O778" s="5002"/>
      <c r="P778" s="5002"/>
      <c r="Q778" s="5002"/>
    </row>
    <row r="779" spans="1:17" ht="18">
      <c r="A779" s="6253"/>
      <c r="B779" s="6285"/>
      <c r="C779" s="6286" t="s">
        <v>1378</v>
      </c>
      <c r="D779" s="6287">
        <v>10</v>
      </c>
      <c r="E779" s="6288" t="s">
        <v>152</v>
      </c>
      <c r="F779" s="6289"/>
      <c r="G779" s="6289"/>
      <c r="H779" s="6264"/>
      <c r="I779" s="6264"/>
      <c r="J779" s="6264"/>
      <c r="K779" s="6264"/>
      <c r="L779" s="6264"/>
      <c r="M779" s="6270"/>
      <c r="N779" s="6266"/>
      <c r="O779" s="5002"/>
      <c r="P779" s="5002"/>
      <c r="Q779" s="5002"/>
    </row>
    <row r="780" spans="1:17" ht="18">
      <c r="A780" s="6253"/>
      <c r="B780" s="6263"/>
      <c r="C780" s="6264"/>
      <c r="D780" s="6264"/>
      <c r="E780" s="6264"/>
      <c r="F780" s="6281" t="s">
        <v>1384</v>
      </c>
      <c r="G780" s="6290">
        <f>G777/(100-D779)*100</f>
        <v>27.777777777777779</v>
      </c>
      <c r="H780" s="6290">
        <f>H777/(100-D779)*100</f>
        <v>555.55555555555554</v>
      </c>
      <c r="I780" s="6290">
        <f>I777/(100-D779)*100</f>
        <v>166.66666666666669</v>
      </c>
      <c r="J780" s="6290">
        <f>J777/(100-D779)*100</f>
        <v>28.888888888888886</v>
      </c>
      <c r="K780" s="6290">
        <f>K777/(100-D779)*100</f>
        <v>14.444444444444443</v>
      </c>
      <c r="L780" s="6291">
        <f>SUM(G780:K780)</f>
        <v>793.33333333333337</v>
      </c>
      <c r="M780" s="6277" t="str">
        <f>L772</f>
        <v>pommes</v>
      </c>
      <c r="N780" s="6266"/>
      <c r="O780" s="5002"/>
      <c r="P780" s="5002"/>
      <c r="Q780" s="5002"/>
    </row>
    <row r="781" spans="1:17" ht="18">
      <c r="A781" s="6253"/>
      <c r="B781" s="6263"/>
      <c r="C781" s="6264"/>
      <c r="D781" s="6264"/>
      <c r="E781" s="6264"/>
      <c r="F781" s="6281"/>
      <c r="G781" s="6292" t="str">
        <f>L772</f>
        <v>pommes</v>
      </c>
      <c r="H781" s="6292" t="str">
        <f>L772</f>
        <v>pommes</v>
      </c>
      <c r="I781" s="6292" t="str">
        <f>L772</f>
        <v>pommes</v>
      </c>
      <c r="J781" s="6292" t="str">
        <f>L772</f>
        <v>pommes</v>
      </c>
      <c r="K781" s="6292" t="str">
        <f>L772</f>
        <v>pommes</v>
      </c>
      <c r="L781" s="6088"/>
      <c r="M781" s="6277"/>
      <c r="N781" s="6266"/>
      <c r="O781" s="5002"/>
      <c r="P781" s="5002"/>
      <c r="Q781" s="5002"/>
    </row>
    <row r="782" spans="1:17">
      <c r="A782" s="6253"/>
      <c r="B782" s="6293"/>
      <c r="C782" s="6294"/>
      <c r="D782" s="6294"/>
      <c r="E782" s="6294"/>
      <c r="F782" s="6294"/>
      <c r="G782" s="6294"/>
      <c r="H782" s="6294"/>
      <c r="I782" s="6294"/>
      <c r="J782" s="6294"/>
      <c r="K782" s="6294"/>
      <c r="L782" s="6294"/>
      <c r="M782" s="6294"/>
      <c r="N782" s="6295"/>
      <c r="O782" s="5002"/>
      <c r="P782" s="5002"/>
      <c r="Q782" s="5002"/>
    </row>
    <row r="783" spans="1:17" ht="18.75">
      <c r="A783" s="6253"/>
      <c r="B783" s="6296" t="s">
        <v>150</v>
      </c>
      <c r="C783" s="6297" t="s">
        <v>1399</v>
      </c>
      <c r="D783" s="6298"/>
      <c r="E783" s="6298"/>
      <c r="F783" s="6298"/>
      <c r="G783" s="6298"/>
      <c r="H783" s="6298"/>
      <c r="I783" s="6298"/>
      <c r="J783" s="6298"/>
      <c r="K783" s="6298"/>
      <c r="L783" s="6298"/>
      <c r="M783" s="6298"/>
      <c r="N783" s="6299"/>
      <c r="O783" s="5002"/>
      <c r="P783" s="5002"/>
      <c r="Q783" s="5002"/>
    </row>
    <row r="784" spans="1:17" ht="18.75">
      <c r="A784" s="6253"/>
      <c r="B784" s="6300"/>
      <c r="C784" s="6268" t="s">
        <v>1400</v>
      </c>
      <c r="D784" s="6269"/>
      <c r="E784" s="6301"/>
      <c r="F784" s="6268" t="s">
        <v>122</v>
      </c>
      <c r="G784" s="6269"/>
      <c r="H784" s="6301"/>
      <c r="I784" s="6268" t="s">
        <v>1401</v>
      </c>
      <c r="J784" s="6269"/>
      <c r="K784" s="6301"/>
      <c r="L784" s="6268" t="s">
        <v>1402</v>
      </c>
      <c r="M784" s="6269"/>
      <c r="N784" s="6302"/>
      <c r="O784" s="5002"/>
      <c r="P784" s="5002"/>
      <c r="Q784" s="5002"/>
    </row>
    <row r="785" spans="1:17" ht="18.75">
      <c r="A785" s="6253"/>
      <c r="B785" s="6303" t="s">
        <v>152</v>
      </c>
      <c r="C785" s="6304" t="s">
        <v>1403</v>
      </c>
      <c r="D785" s="6301"/>
      <c r="E785" s="6301"/>
      <c r="F785" s="6301"/>
      <c r="G785" s="6301"/>
      <c r="H785" s="6301"/>
      <c r="I785" s="6301"/>
      <c r="J785" s="6301"/>
      <c r="K785" s="6301"/>
      <c r="L785" s="6301"/>
      <c r="M785" s="6301"/>
      <c r="N785" s="6302"/>
      <c r="O785" s="5002"/>
      <c r="P785" s="5002"/>
      <c r="Q785" s="5002"/>
    </row>
    <row r="786" spans="1:17">
      <c r="A786" s="6253"/>
      <c r="B786" s="6305" t="s">
        <v>1404</v>
      </c>
      <c r="C786" s="6306"/>
      <c r="D786" s="6306"/>
      <c r="E786" s="6306"/>
      <c r="F786" s="6306"/>
      <c r="G786" s="6306"/>
      <c r="H786" s="6306"/>
      <c r="I786" s="6306"/>
      <c r="J786" s="6306"/>
      <c r="K786" s="6306"/>
      <c r="L786" s="6306"/>
      <c r="M786" s="6306"/>
      <c r="N786" s="6307"/>
      <c r="O786" s="5002"/>
      <c r="P786" s="5002"/>
      <c r="Q786" s="5002"/>
    </row>
    <row r="787" spans="1:17">
      <c r="A787" s="6253"/>
      <c r="B787" s="6308"/>
      <c r="C787" s="6309"/>
      <c r="D787" s="6309"/>
      <c r="E787" s="6309"/>
      <c r="F787" s="6309"/>
      <c r="G787" s="6309"/>
      <c r="H787" s="6309"/>
      <c r="I787" s="6309"/>
      <c r="J787" s="6309"/>
      <c r="K787" s="6309"/>
      <c r="L787" s="6309"/>
      <c r="M787" s="6309"/>
      <c r="N787" s="6310"/>
      <c r="O787" s="5002"/>
      <c r="P787" s="5002"/>
      <c r="Q787" s="5002"/>
    </row>
    <row r="788" spans="1:17">
      <c r="A788" s="6253"/>
      <c r="B788" s="6311" t="s">
        <v>358</v>
      </c>
      <c r="C788" s="6312" t="str">
        <f ca="1">CELL("nomfichier")</f>
        <v>E:\0-UPRT\1-UPRT.FR-SITE-WEB\ff-fiches-fabrications\ff-fiches-fabrication-maj-08-2020\[ff-8-restauration-Christian.Frechede.xlsx]Formats-Formules-Fonctions</v>
      </c>
      <c r="D788" s="6312"/>
      <c r="E788" s="6312"/>
      <c r="F788" s="6312"/>
      <c r="G788" s="6312"/>
      <c r="H788" s="6312"/>
      <c r="I788" s="6312"/>
      <c r="J788" s="6312"/>
      <c r="K788" s="6312"/>
      <c r="L788" s="6312"/>
      <c r="M788" s="6312"/>
      <c r="N788" s="6313"/>
      <c r="O788" s="5002"/>
      <c r="P788" s="5002"/>
      <c r="Q788" s="5002"/>
    </row>
    <row r="789" spans="1:17">
      <c r="A789" s="6253"/>
      <c r="B789" s="6314" t="s">
        <v>359</v>
      </c>
      <c r="C789" s="6315" t="s">
        <v>1405</v>
      </c>
      <c r="D789" s="6315"/>
      <c r="E789" s="6315"/>
      <c r="F789" s="6315"/>
      <c r="G789" s="6315"/>
      <c r="H789" s="6315"/>
      <c r="I789" s="6315"/>
      <c r="J789" s="6315"/>
      <c r="K789" s="6315"/>
      <c r="L789" s="6315"/>
      <c r="M789" s="6315"/>
      <c r="N789" s="6316"/>
      <c r="O789" s="5002"/>
      <c r="P789" s="5002"/>
      <c r="Q789" s="5002"/>
    </row>
    <row r="790" spans="1:17" ht="15.75" thickBot="1">
      <c r="A790" s="6253"/>
      <c r="B790" s="6317" t="s">
        <v>361</v>
      </c>
      <c r="C790" s="6318"/>
      <c r="D790" s="6318"/>
      <c r="E790" s="6318"/>
      <c r="F790" s="6318"/>
      <c r="G790" s="6318"/>
      <c r="H790" s="6318"/>
      <c r="I790" s="6318"/>
      <c r="J790" s="6318"/>
      <c r="K790" s="6318"/>
      <c r="L790" s="6318"/>
      <c r="M790" s="6318"/>
      <c r="N790" s="6319"/>
      <c r="O790" s="5002"/>
      <c r="P790" s="5002"/>
      <c r="Q790" s="5002"/>
    </row>
    <row r="791" spans="1:17" ht="39.75" customHeight="1" thickBot="1">
      <c r="O791" s="5002"/>
      <c r="P791" s="5002"/>
      <c r="Q791" s="5002"/>
    </row>
    <row r="792" spans="1:17">
      <c r="A792" s="6245" t="s">
        <v>909</v>
      </c>
      <c r="B792" s="6246" t="s">
        <v>1406</v>
      </c>
      <c r="C792" s="6247"/>
      <c r="D792" s="6247"/>
      <c r="E792" s="6247"/>
      <c r="F792" s="6247"/>
      <c r="G792" s="6247"/>
      <c r="H792" s="6247"/>
      <c r="I792" s="6247"/>
      <c r="J792" s="6247"/>
      <c r="K792" s="6247"/>
      <c r="L792" s="6247"/>
      <c r="M792" s="6247"/>
      <c r="N792" s="6248">
        <v>2</v>
      </c>
      <c r="O792" s="5002"/>
      <c r="P792" s="5002"/>
      <c r="Q792" s="5002"/>
    </row>
    <row r="793" spans="1:17">
      <c r="A793" s="6249"/>
      <c r="B793" s="6250"/>
      <c r="C793" s="6251"/>
      <c r="D793" s="6251"/>
      <c r="E793" s="6251"/>
      <c r="F793" s="6251"/>
      <c r="G793" s="6251"/>
      <c r="H793" s="6251"/>
      <c r="I793" s="6251"/>
      <c r="J793" s="6251"/>
      <c r="K793" s="6251"/>
      <c r="L793" s="6251"/>
      <c r="M793" s="6251"/>
      <c r="N793" s="6252"/>
      <c r="O793" s="5002"/>
      <c r="P793" s="5002"/>
      <c r="Q793" s="5002"/>
    </row>
    <row r="794" spans="1:17" ht="20.25">
      <c r="A794" s="6253"/>
      <c r="B794" s="6254" t="s">
        <v>1391</v>
      </c>
      <c r="C794" s="6255"/>
      <c r="D794" s="6255"/>
      <c r="E794" s="6255"/>
      <c r="F794" s="6255"/>
      <c r="G794" s="6255"/>
      <c r="H794" s="6255"/>
      <c r="I794" s="6255"/>
      <c r="J794" s="6255"/>
      <c r="K794" s="6255"/>
      <c r="L794" s="6255"/>
      <c r="M794" s="6255"/>
      <c r="N794" s="6256"/>
      <c r="O794" s="5002"/>
      <c r="P794" s="5002"/>
      <c r="Q794" s="5002"/>
    </row>
    <row r="795" spans="1:17">
      <c r="A795" s="6253"/>
      <c r="B795" s="6257" t="s">
        <v>1407</v>
      </c>
      <c r="C795" s="6258"/>
      <c r="D795" s="6258"/>
      <c r="E795" s="6258"/>
      <c r="F795" s="6258"/>
      <c r="G795" s="6258"/>
      <c r="H795" s="6258"/>
      <c r="I795" s="6258"/>
      <c r="J795" s="6258"/>
      <c r="K795" s="6258"/>
      <c r="L795" s="6258"/>
      <c r="M795" s="6258"/>
      <c r="N795" s="6259"/>
      <c r="O795" s="5002"/>
      <c r="P795" s="5002"/>
      <c r="Q795" s="5002"/>
    </row>
    <row r="796" spans="1:17">
      <c r="A796" s="6253"/>
      <c r="B796" s="6257"/>
      <c r="C796" s="6258"/>
      <c r="D796" s="6258"/>
      <c r="E796" s="6258"/>
      <c r="F796" s="6258"/>
      <c r="G796" s="6258"/>
      <c r="H796" s="6258"/>
      <c r="I796" s="6258"/>
      <c r="J796" s="6258"/>
      <c r="K796" s="6258"/>
      <c r="L796" s="6258"/>
      <c r="M796" s="6258"/>
      <c r="N796" s="6259"/>
      <c r="O796" s="5002"/>
      <c r="P796" s="5002"/>
      <c r="Q796" s="5002"/>
    </row>
    <row r="797" spans="1:17">
      <c r="A797" s="6253"/>
      <c r="B797" s="6257"/>
      <c r="C797" s="6258"/>
      <c r="D797" s="6258"/>
      <c r="E797" s="6258"/>
      <c r="F797" s="6258"/>
      <c r="G797" s="6258"/>
      <c r="H797" s="6258"/>
      <c r="I797" s="6258"/>
      <c r="J797" s="6258"/>
      <c r="K797" s="6258"/>
      <c r="L797" s="6258"/>
      <c r="M797" s="6258"/>
      <c r="N797" s="6259"/>
      <c r="O797" s="5002"/>
      <c r="P797" s="5002"/>
      <c r="Q797" s="5002"/>
    </row>
    <row r="798" spans="1:17">
      <c r="A798" s="6253"/>
      <c r="B798" s="6257"/>
      <c r="C798" s="6258"/>
      <c r="D798" s="6258"/>
      <c r="E798" s="6258"/>
      <c r="F798" s="6258"/>
      <c r="G798" s="6258"/>
      <c r="H798" s="6258"/>
      <c r="I798" s="6258"/>
      <c r="J798" s="6258"/>
      <c r="K798" s="6258"/>
      <c r="L798" s="6258"/>
      <c r="M798" s="6258"/>
      <c r="N798" s="6259"/>
      <c r="O798" s="5002"/>
      <c r="P798" s="5002"/>
      <c r="Q798" s="5002"/>
    </row>
    <row r="799" spans="1:17">
      <c r="A799" s="6253"/>
      <c r="B799" s="6260"/>
      <c r="C799" s="6261"/>
      <c r="D799" s="6261"/>
      <c r="E799" s="6261"/>
      <c r="F799" s="6261"/>
      <c r="G799" s="6261"/>
      <c r="H799" s="6261"/>
      <c r="I799" s="6261"/>
      <c r="J799" s="6261"/>
      <c r="K799" s="6261"/>
      <c r="L799" s="6261"/>
      <c r="M799" s="6261"/>
      <c r="N799" s="6262"/>
      <c r="O799" s="5002"/>
      <c r="P799" s="5002"/>
      <c r="Q799" s="5002"/>
    </row>
    <row r="800" spans="1:17">
      <c r="A800" s="6253"/>
      <c r="B800" s="6320"/>
      <c r="C800" s="6321"/>
      <c r="D800" s="6321"/>
      <c r="E800" s="6321"/>
      <c r="F800" s="6321"/>
      <c r="G800" s="6321"/>
      <c r="H800" s="6321"/>
      <c r="I800" s="6321"/>
      <c r="J800" s="6321"/>
      <c r="K800" s="6321"/>
      <c r="L800" s="6322" t="s">
        <v>150</v>
      </c>
      <c r="M800" s="6322"/>
      <c r="N800" s="6323"/>
      <c r="O800" s="5002"/>
      <c r="P800" s="5002"/>
      <c r="Q800" s="5002"/>
    </row>
    <row r="801" spans="1:17" ht="18">
      <c r="A801" s="6253"/>
      <c r="B801" s="6320"/>
      <c r="C801" s="6321"/>
      <c r="D801" s="6321"/>
      <c r="E801" s="6321"/>
      <c r="F801" s="6321"/>
      <c r="G801" s="6321"/>
      <c r="H801" s="6321"/>
      <c r="I801" s="6321"/>
      <c r="K801" s="6281" t="s">
        <v>1408</v>
      </c>
      <c r="L801" s="6324">
        <v>2.4</v>
      </c>
      <c r="M801" s="6324"/>
      <c r="N801" s="6323"/>
      <c r="O801" s="5002"/>
      <c r="P801" s="5002"/>
      <c r="Q801" s="5002"/>
    </row>
    <row r="802" spans="1:17">
      <c r="A802" s="6253"/>
      <c r="B802" s="6325"/>
      <c r="C802" s="6326"/>
      <c r="D802" s="6326"/>
      <c r="E802" s="6326"/>
      <c r="F802" s="6321"/>
      <c r="G802" s="6321"/>
      <c r="H802" s="6321"/>
      <c r="I802" s="6321"/>
      <c r="J802" s="6321"/>
      <c r="K802" s="6327"/>
      <c r="L802" s="6324"/>
      <c r="M802" s="6324"/>
      <c r="N802" s="6323"/>
      <c r="O802" s="5002"/>
      <c r="P802" s="5002"/>
      <c r="Q802" s="5002"/>
    </row>
    <row r="803" spans="1:17">
      <c r="A803" s="6253"/>
      <c r="B803" s="6320"/>
      <c r="C803" s="6321"/>
      <c r="D803" s="6321"/>
      <c r="E803" s="6321"/>
      <c r="F803" s="6321"/>
      <c r="G803" s="6321"/>
      <c r="H803" s="6321"/>
      <c r="I803" s="6321"/>
      <c r="J803" s="6321"/>
      <c r="K803" s="6321"/>
      <c r="L803" s="6321"/>
      <c r="M803" s="6321"/>
      <c r="N803" s="6323"/>
      <c r="O803" s="5002"/>
      <c r="P803" s="5002"/>
      <c r="Q803" s="5002"/>
    </row>
    <row r="804" spans="1:17" ht="18">
      <c r="A804" s="6253"/>
      <c r="B804" s="6320"/>
      <c r="C804" s="6321"/>
      <c r="D804" s="6321"/>
      <c r="E804" s="6321"/>
      <c r="F804" s="6328" t="s">
        <v>308</v>
      </c>
      <c r="G804" s="6329" t="s">
        <v>256</v>
      </c>
      <c r="H804" s="6329" t="s">
        <v>257</v>
      </c>
      <c r="I804" s="6330" t="s">
        <v>258</v>
      </c>
      <c r="J804" s="6329" t="s">
        <v>259</v>
      </c>
      <c r="K804" s="6329" t="s">
        <v>1395</v>
      </c>
      <c r="L804" s="6321"/>
      <c r="M804" s="6321"/>
      <c r="N804" s="6323"/>
      <c r="O804" s="5002"/>
      <c r="P804" s="5002"/>
      <c r="Q804" s="5002"/>
    </row>
    <row r="805" spans="1:17" ht="18">
      <c r="A805" s="6253"/>
      <c r="B805" s="6320"/>
      <c r="C805" s="6321"/>
      <c r="D805" s="6321"/>
      <c r="E805" s="6321"/>
      <c r="F805" s="6278" t="s">
        <v>1409</v>
      </c>
      <c r="G805" s="6331">
        <v>0.05</v>
      </c>
      <c r="H805" s="6331">
        <v>0.08</v>
      </c>
      <c r="I805" s="6331">
        <v>0.11</v>
      </c>
      <c r="J805" s="6331">
        <v>0.125</v>
      </c>
      <c r="K805" s="6331">
        <v>7.0000000000000007E-2</v>
      </c>
      <c r="L805" s="6280">
        <f>SUM(G805:K805)/COUNTIF(G805:K805,"&gt;0")</f>
        <v>8.6999999999999994E-2</v>
      </c>
      <c r="M805" s="6277" t="s">
        <v>1397</v>
      </c>
      <c r="N805" s="6323"/>
      <c r="O805" s="5002"/>
      <c r="P805" s="5002"/>
      <c r="Q805" s="5002"/>
    </row>
    <row r="806" spans="1:17" ht="18.75">
      <c r="A806" s="6253"/>
      <c r="B806" s="6320"/>
      <c r="C806" s="6321"/>
      <c r="D806" s="6321"/>
      <c r="E806" s="6321"/>
      <c r="F806" s="6281" t="s">
        <v>1410</v>
      </c>
      <c r="G806" s="6332">
        <f>L801/G805</f>
        <v>47.999999999999993</v>
      </c>
      <c r="H806" s="6332">
        <f>L801/H805</f>
        <v>30</v>
      </c>
      <c r="I806" s="6332">
        <f>L801/I805</f>
        <v>21.818181818181817</v>
      </c>
      <c r="J806" s="6332">
        <f>L801/J805</f>
        <v>19.2</v>
      </c>
      <c r="K806" s="6332">
        <f>L801/K805</f>
        <v>34.285714285714285</v>
      </c>
      <c r="L806" s="6089" t="s">
        <v>1411</v>
      </c>
      <c r="M806" s="6277"/>
      <c r="N806" s="6323"/>
      <c r="O806" s="5002"/>
      <c r="P806" s="5002"/>
      <c r="Q806" s="5002"/>
    </row>
    <row r="807" spans="1:17" ht="18.75">
      <c r="A807" s="6253"/>
      <c r="B807" s="6333" t="s">
        <v>150</v>
      </c>
      <c r="C807" s="6334" t="s">
        <v>1412</v>
      </c>
      <c r="D807" s="6321"/>
      <c r="E807" s="6321"/>
      <c r="F807" s="6281"/>
      <c r="G807" s="6335"/>
      <c r="H807" s="6335"/>
      <c r="I807" s="6335"/>
      <c r="J807" s="6335"/>
      <c r="K807" s="6335"/>
      <c r="L807" s="6089"/>
      <c r="M807" s="6277"/>
      <c r="N807" s="6323"/>
      <c r="O807" s="5002"/>
      <c r="P807" s="5002"/>
      <c r="Q807" s="5002"/>
    </row>
    <row r="808" spans="1:17">
      <c r="A808" s="6253"/>
      <c r="B808" s="6336" t="s">
        <v>1413</v>
      </c>
      <c r="C808" s="6337"/>
      <c r="D808" s="6337"/>
      <c r="E808" s="6337"/>
      <c r="F808" s="6337"/>
      <c r="G808" s="6337"/>
      <c r="H808" s="6337"/>
      <c r="I808" s="6337"/>
      <c r="J808" s="6337"/>
      <c r="K808" s="6337"/>
      <c r="L808" s="6337"/>
      <c r="M808" s="6337"/>
      <c r="N808" s="6338"/>
      <c r="O808" s="5002"/>
      <c r="P808" s="5002"/>
      <c r="Q808" s="5002"/>
    </row>
    <row r="809" spans="1:17" ht="15.75">
      <c r="A809" s="6253"/>
      <c r="B809" s="6339"/>
      <c r="C809" s="6340"/>
      <c r="D809" s="6340"/>
      <c r="E809" s="6340"/>
      <c r="F809" s="6321"/>
      <c r="G809" s="6321"/>
      <c r="H809" s="6088"/>
      <c r="I809" s="6088"/>
      <c r="J809" s="6088"/>
      <c r="K809" s="6088"/>
      <c r="L809" s="6341" t="s">
        <v>152</v>
      </c>
      <c r="M809" s="6341"/>
      <c r="N809" s="6323"/>
      <c r="O809" s="5002"/>
      <c r="P809" s="5002"/>
      <c r="Q809" s="5002"/>
    </row>
    <row r="810" spans="1:17" ht="15.75">
      <c r="A810" s="6253"/>
      <c r="B810" s="6339"/>
      <c r="C810" s="6340"/>
      <c r="D810" s="6340"/>
      <c r="E810" s="6340"/>
      <c r="F810" s="6321"/>
      <c r="G810" s="6321"/>
      <c r="H810" s="6088"/>
      <c r="I810" s="6088"/>
      <c r="J810" s="6088"/>
      <c r="K810" s="6342" t="s">
        <v>1393</v>
      </c>
      <c r="L810" s="6343" t="s">
        <v>122</v>
      </c>
      <c r="M810" s="6344"/>
      <c r="N810" s="6323"/>
      <c r="O810" s="5002"/>
      <c r="P810" s="5002"/>
      <c r="Q810" s="5002"/>
    </row>
    <row r="811" spans="1:17" ht="18">
      <c r="A811" s="6253"/>
      <c r="B811" s="6320"/>
      <c r="C811" s="6321"/>
      <c r="D811" s="6088"/>
      <c r="E811" s="6088"/>
      <c r="F811" s="6088"/>
      <c r="G811" s="6088"/>
      <c r="H811" s="6088"/>
      <c r="I811" s="6088"/>
      <c r="J811" s="6088"/>
      <c r="K811" s="6088"/>
      <c r="L811" s="6088"/>
      <c r="M811" s="6277"/>
      <c r="N811" s="6323"/>
      <c r="O811" s="5002"/>
      <c r="P811" s="5002"/>
      <c r="Q811" s="5002"/>
    </row>
    <row r="812" spans="1:17" ht="18.75">
      <c r="A812" s="6253"/>
      <c r="B812" s="6320"/>
      <c r="C812" s="6321"/>
      <c r="D812" s="6321"/>
      <c r="E812" s="6321"/>
      <c r="F812" s="6275" t="s">
        <v>1376</v>
      </c>
      <c r="G812" s="6276">
        <v>50</v>
      </c>
      <c r="H812" s="6276">
        <v>500</v>
      </c>
      <c r="I812" s="6276">
        <v>150</v>
      </c>
      <c r="J812" s="6276">
        <v>13</v>
      </c>
      <c r="K812" s="6276">
        <v>13</v>
      </c>
      <c r="L812" s="6088">
        <f>SUM(G812:K812)</f>
        <v>726</v>
      </c>
      <c r="M812" s="6277" t="s">
        <v>114</v>
      </c>
      <c r="N812" s="6323"/>
      <c r="O812" s="5002"/>
      <c r="P812" s="5002"/>
      <c r="Q812" s="5002"/>
    </row>
    <row r="813" spans="1:17" ht="18.75">
      <c r="A813" s="6253"/>
      <c r="B813" s="6320"/>
      <c r="C813" s="6321"/>
      <c r="D813" s="6321"/>
      <c r="E813" s="6321"/>
      <c r="F813" s="6281" t="s">
        <v>1414</v>
      </c>
      <c r="G813" s="6345">
        <f>G805*G812</f>
        <v>2.5</v>
      </c>
      <c r="H813" s="6345">
        <f>H805*H812</f>
        <v>40</v>
      </c>
      <c r="I813" s="6345">
        <f>I805*I812</f>
        <v>16.5</v>
      </c>
      <c r="J813" s="6345">
        <f>J805*J812</f>
        <v>1.625</v>
      </c>
      <c r="K813" s="6345">
        <f>K805*K812</f>
        <v>0.91000000000000014</v>
      </c>
      <c r="L813" s="6088">
        <f>SUM(G813:K813)</f>
        <v>61.534999999999997</v>
      </c>
      <c r="M813" s="6277" t="str">
        <f>L810</f>
        <v>Kg</v>
      </c>
      <c r="N813" s="6323"/>
      <c r="O813" s="5002"/>
      <c r="P813" s="5002"/>
      <c r="Q813" s="5002"/>
    </row>
    <row r="814" spans="1:17">
      <c r="A814" s="6253"/>
      <c r="B814" s="6320"/>
      <c r="C814" s="6321"/>
      <c r="D814" s="6321"/>
      <c r="E814" s="6321"/>
      <c r="F814" s="6321"/>
      <c r="G814" s="6284" t="str">
        <f>L810</f>
        <v>Kg</v>
      </c>
      <c r="H814" s="6284" t="str">
        <f>L810</f>
        <v>Kg</v>
      </c>
      <c r="I814" s="6284" t="str">
        <f>L810</f>
        <v>Kg</v>
      </c>
      <c r="J814" s="6284" t="str">
        <f>L810</f>
        <v>Kg</v>
      </c>
      <c r="K814" s="6284" t="str">
        <f>L810</f>
        <v>Kg</v>
      </c>
      <c r="L814" s="6321"/>
      <c r="M814" s="6346"/>
      <c r="N814" s="6323"/>
      <c r="O814" s="5002"/>
      <c r="P814" s="5002"/>
      <c r="Q814" s="5002"/>
    </row>
    <row r="815" spans="1:17" ht="18">
      <c r="A815" s="6253"/>
      <c r="B815" s="5388"/>
      <c r="C815" s="6286" t="s">
        <v>1378</v>
      </c>
      <c r="D815" s="6287">
        <v>50</v>
      </c>
      <c r="E815" s="6288" t="s">
        <v>154</v>
      </c>
      <c r="H815" s="6321"/>
      <c r="I815" s="6321"/>
      <c r="J815" s="6321"/>
      <c r="K815" s="6321"/>
      <c r="L815" s="6321"/>
      <c r="M815" s="6346"/>
      <c r="N815" s="6323"/>
      <c r="O815" s="5002"/>
      <c r="P815" s="5002"/>
      <c r="Q815" s="5002"/>
    </row>
    <row r="816" spans="1:17" ht="18">
      <c r="A816" s="6253"/>
      <c r="B816" s="6320"/>
      <c r="C816" s="6321"/>
      <c r="D816" s="6321"/>
      <c r="E816" s="6321"/>
      <c r="F816" s="6281" t="s">
        <v>1384</v>
      </c>
      <c r="G816" s="6290">
        <f>G813/(100-D815)*100</f>
        <v>5</v>
      </c>
      <c r="H816" s="6290">
        <f>H813/(100-D815)*100</f>
        <v>80</v>
      </c>
      <c r="I816" s="6290">
        <f>I813/(100-D815)*100</f>
        <v>33</v>
      </c>
      <c r="J816" s="6290">
        <f>J813/(100-D815)*100</f>
        <v>3.25</v>
      </c>
      <c r="K816" s="6290">
        <f>K813/(100-D815)*100</f>
        <v>1.8200000000000005</v>
      </c>
      <c r="L816" s="6088">
        <f>SUM(G816:K816)</f>
        <v>123.07000000000001</v>
      </c>
      <c r="M816" s="6277" t="str">
        <f>L810</f>
        <v>Kg</v>
      </c>
      <c r="N816" s="6323"/>
      <c r="O816" s="5002"/>
      <c r="P816" s="5002"/>
      <c r="Q816" s="5002"/>
    </row>
    <row r="817" spans="1:17" ht="18">
      <c r="A817" s="6253"/>
      <c r="B817" s="6320"/>
      <c r="C817" s="6321"/>
      <c r="D817" s="6321"/>
      <c r="E817" s="6321"/>
      <c r="F817" s="6281"/>
      <c r="G817" s="6292" t="str">
        <f>L810</f>
        <v>Kg</v>
      </c>
      <c r="H817" s="6292" t="str">
        <f>L810</f>
        <v>Kg</v>
      </c>
      <c r="I817" s="6292" t="str">
        <f>L810</f>
        <v>Kg</v>
      </c>
      <c r="J817" s="6292" t="str">
        <f>L810</f>
        <v>Kg</v>
      </c>
      <c r="K817" s="6292" t="str">
        <f>L810</f>
        <v>Kg</v>
      </c>
      <c r="L817" s="6088"/>
      <c r="M817" s="6277"/>
      <c r="N817" s="6323"/>
      <c r="O817" s="5002"/>
      <c r="P817" s="5002"/>
      <c r="Q817" s="5002"/>
    </row>
    <row r="818" spans="1:17" ht="15.75">
      <c r="A818" s="6253"/>
      <c r="B818" s="6347" t="s">
        <v>154</v>
      </c>
      <c r="C818" s="6304" t="s">
        <v>1403</v>
      </c>
      <c r="D818" s="6348"/>
      <c r="E818" s="6348"/>
      <c r="F818" s="6348"/>
      <c r="G818" s="6348"/>
      <c r="H818" s="6348"/>
      <c r="I818" s="6348"/>
      <c r="J818" s="6348"/>
      <c r="K818" s="6348"/>
      <c r="L818" s="6348"/>
      <c r="M818" s="6348"/>
      <c r="N818" s="6349"/>
      <c r="O818" s="5002"/>
      <c r="P818" s="5002"/>
      <c r="Q818" s="5002"/>
    </row>
    <row r="819" spans="1:17" ht="18.75">
      <c r="A819" s="6253"/>
      <c r="B819" s="6350" t="s">
        <v>152</v>
      </c>
      <c r="C819" s="6351" t="s">
        <v>1399</v>
      </c>
      <c r="D819" s="6298"/>
      <c r="E819" s="6298"/>
      <c r="F819" s="6298"/>
      <c r="G819" s="6298"/>
      <c r="H819" s="6298"/>
      <c r="I819" s="6298"/>
      <c r="J819" s="6298"/>
      <c r="K819" s="6298"/>
      <c r="L819" s="6298"/>
      <c r="M819" s="6298"/>
      <c r="N819" s="6299"/>
      <c r="O819" s="5002"/>
      <c r="P819" s="5002"/>
      <c r="Q819" s="5002"/>
    </row>
    <row r="820" spans="1:17" ht="18.75">
      <c r="A820" s="6253"/>
      <c r="B820" s="6300"/>
      <c r="C820" s="6343" t="s">
        <v>122</v>
      </c>
      <c r="D820" s="6344"/>
      <c r="E820" s="6301"/>
      <c r="F820" s="6343" t="s">
        <v>1401</v>
      </c>
      <c r="G820" s="6344"/>
      <c r="H820" s="6301"/>
      <c r="I820" s="6343" t="s">
        <v>1402</v>
      </c>
      <c r="J820" s="6344"/>
      <c r="K820" s="6301"/>
      <c r="L820" s="6343" t="s">
        <v>1400</v>
      </c>
      <c r="M820" s="6344"/>
      <c r="N820" s="6302"/>
      <c r="O820" s="5002"/>
      <c r="P820" s="5002"/>
      <c r="Q820" s="5002"/>
    </row>
    <row r="821" spans="1:17" ht="18.75">
      <c r="A821" s="6253"/>
      <c r="B821" s="6300"/>
      <c r="C821" s="6301"/>
      <c r="D821" s="6301"/>
      <c r="E821" s="6301"/>
      <c r="F821" s="6301"/>
      <c r="G821" s="6301"/>
      <c r="H821" s="6301"/>
      <c r="I821" s="6301"/>
      <c r="J821" s="6301"/>
      <c r="K821" s="6301"/>
      <c r="L821" s="6301"/>
      <c r="M821" s="6301"/>
      <c r="N821" s="6302"/>
      <c r="O821" s="5002"/>
      <c r="P821" s="5002"/>
      <c r="Q821" s="5002"/>
    </row>
    <row r="822" spans="1:17">
      <c r="A822" s="6253"/>
      <c r="B822" s="6305" t="s">
        <v>1404</v>
      </c>
      <c r="C822" s="6306"/>
      <c r="D822" s="6306"/>
      <c r="E822" s="6306"/>
      <c r="F822" s="6306"/>
      <c r="G822" s="6306"/>
      <c r="H822" s="6306"/>
      <c r="I822" s="6306"/>
      <c r="J822" s="6306"/>
      <c r="K822" s="6306"/>
      <c r="L822" s="6306"/>
      <c r="M822" s="6306"/>
      <c r="N822" s="6307"/>
      <c r="O822" s="5002"/>
      <c r="P822" s="5002"/>
      <c r="Q822" s="5002"/>
    </row>
    <row r="823" spans="1:17">
      <c r="A823" s="6253"/>
      <c r="B823" s="6308"/>
      <c r="C823" s="6309"/>
      <c r="D823" s="6309"/>
      <c r="E823" s="6309"/>
      <c r="F823" s="6309"/>
      <c r="G823" s="6309"/>
      <c r="H823" s="6309"/>
      <c r="I823" s="6309"/>
      <c r="J823" s="6309"/>
      <c r="K823" s="6309"/>
      <c r="L823" s="6309"/>
      <c r="M823" s="6309"/>
      <c r="N823" s="6310"/>
      <c r="O823" s="5002"/>
      <c r="P823" s="5002"/>
      <c r="Q823" s="5002"/>
    </row>
    <row r="824" spans="1:17">
      <c r="A824" s="6253"/>
      <c r="B824" s="6311" t="s">
        <v>358</v>
      </c>
      <c r="C824" s="6312" t="str">
        <f ca="1">CELL("nomfichier")</f>
        <v>E:\0-UPRT\1-UPRT.FR-SITE-WEB\ff-fiches-fabrications\ff-fiches-fabrication-maj-08-2020\[ff-8-restauration-Christian.Frechede.xlsx]Formats-Formules-Fonctions</v>
      </c>
      <c r="D824" s="6312"/>
      <c r="E824" s="6312"/>
      <c r="F824" s="6312"/>
      <c r="G824" s="6312"/>
      <c r="H824" s="6312"/>
      <c r="I824" s="6312"/>
      <c r="J824" s="6312"/>
      <c r="K824" s="6312"/>
      <c r="L824" s="6312"/>
      <c r="M824" s="6312"/>
      <c r="N824" s="6313"/>
      <c r="O824" s="5002"/>
      <c r="P824" s="5002"/>
      <c r="Q824" s="5002"/>
    </row>
    <row r="825" spans="1:17">
      <c r="A825" s="6253"/>
      <c r="B825" s="6314" t="s">
        <v>359</v>
      </c>
      <c r="C825" s="6315" t="s">
        <v>1405</v>
      </c>
      <c r="D825" s="6315"/>
      <c r="E825" s="6315"/>
      <c r="F825" s="6315"/>
      <c r="G825" s="6315"/>
      <c r="H825" s="6315"/>
      <c r="I825" s="6315"/>
      <c r="J825" s="6315"/>
      <c r="K825" s="6315"/>
      <c r="L825" s="6315"/>
      <c r="M825" s="6315"/>
      <c r="N825" s="6316"/>
      <c r="O825" s="5002"/>
      <c r="P825" s="5002"/>
      <c r="Q825" s="5002"/>
    </row>
    <row r="826" spans="1:17" ht="15.75" thickBot="1">
      <c r="A826" s="6253"/>
      <c r="B826" s="6317" t="s">
        <v>361</v>
      </c>
      <c r="C826" s="6318"/>
      <c r="D826" s="6318"/>
      <c r="E826" s="6318"/>
      <c r="F826" s="6318"/>
      <c r="G826" s="6318"/>
      <c r="H826" s="6318"/>
      <c r="I826" s="6318"/>
      <c r="J826" s="6318"/>
      <c r="K826" s="6318"/>
      <c r="L826" s="6318"/>
      <c r="M826" s="6318"/>
      <c r="N826" s="6319"/>
      <c r="O826" s="5002"/>
      <c r="P826" s="5002"/>
      <c r="Q826" s="5002"/>
    </row>
    <row r="827" spans="1:17">
      <c r="A827" s="5002"/>
      <c r="B827" s="4992"/>
      <c r="C827" s="4992"/>
      <c r="D827" s="4992"/>
      <c r="E827" s="4992"/>
      <c r="F827" s="4992"/>
      <c r="G827" s="4992"/>
      <c r="H827" s="4992"/>
      <c r="I827" s="4992"/>
      <c r="J827" s="4992"/>
      <c r="K827" s="4992"/>
      <c r="L827" s="4992"/>
      <c r="M827" s="5002"/>
      <c r="N827" s="5002"/>
      <c r="O827" s="5002"/>
      <c r="P827" s="5002"/>
      <c r="Q827" s="5002"/>
    </row>
    <row r="828" spans="1:17">
      <c r="A828" s="5002"/>
      <c r="B828" s="4992"/>
      <c r="C828" s="4992"/>
      <c r="D828" s="4992"/>
      <c r="E828" s="4992"/>
      <c r="F828" s="4992"/>
      <c r="G828" s="4992"/>
      <c r="H828" s="4992"/>
      <c r="I828" s="4992"/>
      <c r="J828" s="4992"/>
      <c r="K828" s="4992"/>
      <c r="L828" s="4992"/>
      <c r="M828" s="5002"/>
      <c r="N828" s="5002"/>
      <c r="O828" s="5002"/>
      <c r="P828" s="5002"/>
      <c r="Q828" s="5002"/>
    </row>
    <row r="829" spans="1:17">
      <c r="A829" s="5002"/>
      <c r="B829" s="4992"/>
      <c r="C829" s="5002"/>
      <c r="D829" s="5002"/>
      <c r="E829" s="5002"/>
      <c r="F829" s="5002"/>
      <c r="G829" s="5002"/>
      <c r="H829" s="5002"/>
      <c r="I829" s="5002"/>
      <c r="J829" s="5002"/>
      <c r="K829" s="5002"/>
      <c r="L829" s="5002"/>
      <c r="M829" s="5002"/>
      <c r="N829" s="5002"/>
      <c r="O829" s="5002"/>
      <c r="P829" s="5002"/>
      <c r="Q829" s="5002"/>
    </row>
    <row r="830" spans="1:17" ht="15" customHeight="1">
      <c r="A830" s="6352" t="s">
        <v>1415</v>
      </c>
      <c r="B830" s="6353"/>
      <c r="C830" s="6353"/>
      <c r="D830" s="6353"/>
      <c r="E830" s="6353"/>
      <c r="F830" s="6353"/>
      <c r="G830" s="6353"/>
      <c r="H830" s="6353"/>
      <c r="I830" s="6353"/>
      <c r="J830" s="6353"/>
      <c r="K830" s="6353"/>
      <c r="L830" s="6353"/>
      <c r="M830" s="6353"/>
      <c r="N830" s="6353"/>
      <c r="O830" s="6353"/>
      <c r="P830" s="6353"/>
      <c r="Q830" s="6353"/>
    </row>
    <row r="831" spans="1:17" ht="15.75" customHeight="1">
      <c r="A831" s="6352"/>
      <c r="B831" s="6353"/>
      <c r="C831" s="6353"/>
      <c r="D831" s="6353"/>
      <c r="E831" s="6353"/>
      <c r="F831" s="6353"/>
      <c r="G831" s="6353"/>
      <c r="H831" s="6353"/>
      <c r="I831" s="6353"/>
      <c r="J831" s="6353"/>
      <c r="K831" s="6353"/>
      <c r="L831" s="6353"/>
      <c r="M831" s="6353"/>
      <c r="N831" s="6353"/>
      <c r="O831" s="6353"/>
      <c r="P831" s="6353"/>
      <c r="Q831" s="6353"/>
    </row>
    <row r="832" spans="1:17" ht="20.100000000000001" customHeight="1">
      <c r="A832" s="5002"/>
      <c r="B832" s="5002"/>
      <c r="C832" s="5002"/>
      <c r="D832" s="5002"/>
      <c r="E832" s="5002"/>
      <c r="F832" s="5002"/>
      <c r="G832" s="5002"/>
      <c r="H832" s="5002"/>
      <c r="I832" s="5002"/>
      <c r="J832" s="5002"/>
      <c r="K832" s="5002"/>
      <c r="L832" s="5002"/>
      <c r="M832" s="5002"/>
      <c r="N832" s="5002"/>
      <c r="O832" s="5002"/>
      <c r="P832" s="5002"/>
      <c r="Q832" s="5002"/>
    </row>
    <row r="833" spans="1:17" ht="20.100000000000001" customHeight="1">
      <c r="A833" s="5002"/>
      <c r="B833" s="5002"/>
      <c r="C833" s="5002"/>
      <c r="D833" s="5002"/>
      <c r="E833" s="6354" t="s">
        <v>1416</v>
      </c>
      <c r="F833" s="6354"/>
      <c r="G833" s="6354"/>
      <c r="H833" s="5002"/>
      <c r="I833" s="5002"/>
      <c r="J833" s="5002"/>
      <c r="K833" s="5002"/>
      <c r="L833" s="5002"/>
      <c r="M833" s="5002"/>
      <c r="N833" s="5002"/>
      <c r="O833" s="5002"/>
      <c r="P833" s="5002"/>
      <c r="Q833" s="5002"/>
    </row>
    <row r="834" spans="1:17" ht="20.100000000000001" customHeight="1">
      <c r="A834" s="5002"/>
      <c r="B834" s="5002"/>
      <c r="C834" s="5002"/>
      <c r="D834" s="5002"/>
      <c r="E834" s="6354"/>
      <c r="F834" s="6354" t="s">
        <v>1417</v>
      </c>
      <c r="G834" s="6354"/>
      <c r="H834" s="5002"/>
      <c r="I834" s="5002"/>
      <c r="J834" s="5002"/>
      <c r="K834" s="5002"/>
      <c r="L834" s="5002"/>
      <c r="M834" s="5002"/>
      <c r="N834" s="5002"/>
      <c r="O834" s="5002"/>
      <c r="P834" s="5002"/>
      <c r="Q834" s="5002"/>
    </row>
    <row r="835" spans="1:17" ht="20.100000000000001" customHeight="1">
      <c r="A835" s="5002"/>
      <c r="B835" s="5002"/>
      <c r="C835" s="5002"/>
      <c r="D835" s="5002"/>
      <c r="E835" s="6354"/>
      <c r="F835" s="6354" t="s">
        <v>1418</v>
      </c>
      <c r="G835" s="6354"/>
      <c r="H835" s="5002"/>
      <c r="I835" s="5002"/>
      <c r="J835" s="5002"/>
      <c r="K835" s="5002"/>
      <c r="L835" s="5002"/>
      <c r="M835" s="5002"/>
      <c r="N835" s="5002"/>
      <c r="O835" s="5002"/>
      <c r="P835" s="5002"/>
      <c r="Q835" s="5002"/>
    </row>
    <row r="836" spans="1:17" ht="20.100000000000001" customHeight="1">
      <c r="A836" s="5002"/>
      <c r="B836" s="5002"/>
      <c r="C836" s="5002"/>
      <c r="D836" s="5002"/>
      <c r="E836" s="6354"/>
      <c r="F836" s="6354" t="s">
        <v>1419</v>
      </c>
      <c r="G836" s="6354"/>
      <c r="H836" s="5002"/>
      <c r="I836" s="5002"/>
      <c r="J836" s="5002"/>
      <c r="K836" s="5002"/>
      <c r="L836" s="5002"/>
      <c r="M836" s="5002"/>
      <c r="N836" s="5002"/>
      <c r="O836" s="5002"/>
      <c r="P836" s="5002"/>
      <c r="Q836" s="5002"/>
    </row>
    <row r="837" spans="1:17" ht="20.100000000000001" customHeight="1">
      <c r="A837" s="5002"/>
      <c r="B837" s="5002"/>
      <c r="C837" s="5002"/>
      <c r="D837" s="5002"/>
      <c r="E837" s="5002"/>
      <c r="F837" s="6354" t="s">
        <v>1420</v>
      </c>
      <c r="G837" s="5002"/>
      <c r="H837" s="5002"/>
      <c r="I837" s="5002"/>
      <c r="J837" s="5002"/>
      <c r="K837" s="5002"/>
      <c r="L837" s="5002"/>
      <c r="M837" s="5002"/>
      <c r="N837" s="5002"/>
      <c r="O837" s="5002"/>
      <c r="P837" s="5002"/>
      <c r="Q837" s="5002"/>
    </row>
    <row r="838" spans="1:17" ht="20.100000000000001" customHeight="1">
      <c r="A838" s="5002"/>
      <c r="B838" s="5002"/>
      <c r="C838" s="5002"/>
      <c r="D838" s="5002"/>
      <c r="E838" s="6354" t="s">
        <v>1421</v>
      </c>
      <c r="F838" s="5002"/>
      <c r="G838" s="5002"/>
      <c r="H838" s="5002"/>
      <c r="I838" s="5002"/>
      <c r="J838" s="5002"/>
      <c r="K838" s="5002"/>
      <c r="L838" s="5002"/>
      <c r="M838" s="5002"/>
      <c r="N838" s="5002"/>
      <c r="O838" s="5002"/>
      <c r="P838" s="5002"/>
      <c r="Q838" s="5002"/>
    </row>
    <row r="839" spans="1:17" ht="20.100000000000001" customHeight="1">
      <c r="A839" s="5002"/>
      <c r="B839" s="5002"/>
      <c r="C839" s="5002"/>
      <c r="D839" s="5002"/>
      <c r="E839" s="5002"/>
      <c r="F839" s="5002"/>
      <c r="G839" s="5002"/>
      <c r="H839" s="5002"/>
      <c r="I839" s="5002"/>
      <c r="J839" s="5002"/>
      <c r="K839" s="5002"/>
      <c r="L839" s="5002"/>
      <c r="M839" s="5002"/>
      <c r="N839" s="5002"/>
      <c r="O839" s="5002"/>
      <c r="P839" s="5002"/>
      <c r="Q839" s="5002"/>
    </row>
    <row r="840" spans="1:17" ht="20.100000000000001" customHeight="1">
      <c r="A840" s="5002"/>
      <c r="B840" s="5002"/>
      <c r="C840" s="5002"/>
      <c r="D840" s="5002"/>
      <c r="E840" s="5002"/>
      <c r="F840" s="5002"/>
      <c r="G840" s="5002"/>
      <c r="H840" s="5002"/>
      <c r="I840" s="5002"/>
      <c r="J840" s="5002"/>
      <c r="K840" s="5002"/>
      <c r="L840" s="5002"/>
      <c r="M840" s="5002"/>
      <c r="N840" s="5002"/>
      <c r="O840" s="5002"/>
      <c r="P840" s="5002"/>
      <c r="Q840" s="5002"/>
    </row>
    <row r="841" spans="1:17" ht="20.100000000000001" customHeight="1">
      <c r="A841" s="5002"/>
      <c r="B841" s="5002"/>
      <c r="C841" s="5002"/>
      <c r="D841" s="5002"/>
      <c r="E841" s="5002"/>
      <c r="F841" s="5002"/>
      <c r="G841" s="5002"/>
      <c r="H841" s="5002"/>
      <c r="I841" s="5002"/>
      <c r="J841" s="5002"/>
      <c r="K841" s="5002"/>
      <c r="L841" s="5002"/>
      <c r="M841" s="5002"/>
      <c r="N841" s="5002"/>
      <c r="O841" s="5002"/>
      <c r="P841" s="5002"/>
      <c r="Q841" s="5002"/>
    </row>
    <row r="842" spans="1:17" ht="20.100000000000001" customHeight="1">
      <c r="A842" s="5002"/>
      <c r="B842" s="5002"/>
      <c r="C842" s="5002"/>
      <c r="D842" s="5002"/>
      <c r="E842" s="5002"/>
      <c r="F842" s="5002"/>
      <c r="G842" s="5002"/>
      <c r="H842" s="5002"/>
      <c r="I842" s="5002"/>
      <c r="J842" s="5002"/>
      <c r="K842" s="5002"/>
      <c r="L842" s="5002"/>
      <c r="M842" s="5002"/>
      <c r="N842" s="5002"/>
      <c r="O842" s="5002"/>
      <c r="P842" s="5002"/>
      <c r="Q842" s="5002"/>
    </row>
    <row r="843" spans="1:17" ht="20.100000000000001" customHeight="1">
      <c r="A843" s="5002"/>
      <c r="B843" s="5002"/>
      <c r="C843" s="6355" t="s">
        <v>1422</v>
      </c>
      <c r="D843" s="6355"/>
      <c r="E843" s="6355"/>
      <c r="F843" s="6355"/>
      <c r="G843" s="6355"/>
      <c r="H843" s="6355"/>
      <c r="I843" s="6355" t="s">
        <v>1423</v>
      </c>
      <c r="J843" s="5002"/>
      <c r="K843" s="5002"/>
      <c r="L843" s="5002"/>
      <c r="M843" s="5002"/>
      <c r="N843" s="5002"/>
      <c r="O843" s="5002"/>
      <c r="P843" s="5002"/>
      <c r="Q843" s="5002"/>
    </row>
    <row r="844" spans="1:17" ht="20.100000000000001" customHeight="1">
      <c r="A844" s="5002"/>
      <c r="B844" s="5002"/>
      <c r="C844" s="5002"/>
      <c r="D844" s="5002"/>
      <c r="E844" s="5002"/>
      <c r="F844" s="5002"/>
      <c r="G844" s="5002"/>
      <c r="H844" s="5002"/>
      <c r="I844" s="5002"/>
      <c r="J844" s="5002"/>
      <c r="K844" s="5002"/>
      <c r="L844" s="5002"/>
      <c r="M844" s="5002"/>
      <c r="N844" s="5002"/>
      <c r="O844" s="5002"/>
      <c r="P844" s="5002"/>
      <c r="Q844" s="5002"/>
    </row>
    <row r="845" spans="1:17" ht="20.100000000000001" customHeight="1">
      <c r="A845" s="5002"/>
      <c r="B845" s="5002"/>
      <c r="C845" s="5002"/>
      <c r="D845" s="6355" t="s">
        <v>1424</v>
      </c>
      <c r="E845" s="5002"/>
      <c r="F845" s="5002"/>
      <c r="G845" s="5002"/>
      <c r="H845" s="5002"/>
      <c r="I845" s="6355"/>
      <c r="J845" s="5002"/>
      <c r="K845" s="5002"/>
      <c r="L845" s="5002"/>
      <c r="M845" s="5002"/>
      <c r="N845" s="5002"/>
      <c r="O845" s="5002"/>
      <c r="P845" s="5002"/>
      <c r="Q845" s="5002"/>
    </row>
    <row r="846" spans="1:17" ht="20.100000000000001" customHeight="1">
      <c r="A846" s="5002"/>
      <c r="B846" s="5002"/>
      <c r="C846" s="5002"/>
      <c r="D846" s="6355" t="s">
        <v>99</v>
      </c>
      <c r="E846" s="5002"/>
      <c r="F846" s="5002"/>
      <c r="G846" s="5002"/>
      <c r="H846" s="6356" t="s">
        <v>101</v>
      </c>
      <c r="I846" s="6355"/>
      <c r="J846" s="5002"/>
      <c r="K846" s="5002"/>
      <c r="L846" s="5002"/>
      <c r="M846" s="5002"/>
      <c r="N846" s="5002"/>
      <c r="O846" s="5002"/>
      <c r="P846" s="5002"/>
      <c r="Q846" s="5002"/>
    </row>
    <row r="847" spans="1:17" ht="20.100000000000001" customHeight="1">
      <c r="A847" s="5002"/>
      <c r="B847" s="5002"/>
      <c r="C847" s="5002"/>
      <c r="D847" s="6355" t="s">
        <v>100</v>
      </c>
      <c r="E847" s="5002"/>
      <c r="F847" s="5002"/>
      <c r="G847" s="5002"/>
      <c r="H847" s="6357"/>
      <c r="I847" s="6357" t="s">
        <v>1425</v>
      </c>
      <c r="J847" s="5002"/>
      <c r="K847" s="5002"/>
      <c r="L847" s="5002"/>
      <c r="M847" s="5002"/>
      <c r="N847" s="5002"/>
      <c r="O847" s="5002"/>
      <c r="P847" s="5002"/>
      <c r="Q847" s="5002"/>
    </row>
    <row r="848" spans="1:17" ht="20.100000000000001" customHeight="1">
      <c r="A848" s="5002"/>
      <c r="B848" s="5002"/>
      <c r="C848" s="5002"/>
      <c r="D848" s="6355" t="s">
        <v>101</v>
      </c>
      <c r="E848" s="5002"/>
      <c r="F848" s="5002"/>
      <c r="G848" s="5002"/>
      <c r="H848" s="6357"/>
      <c r="I848" s="6357" t="s">
        <v>1426</v>
      </c>
      <c r="J848" s="5002"/>
      <c r="K848" s="5002"/>
      <c r="L848" s="5002"/>
      <c r="M848" s="5002"/>
      <c r="N848" s="5002"/>
      <c r="O848" s="5002"/>
      <c r="P848" s="5002"/>
      <c r="Q848" s="5002"/>
    </row>
    <row r="849" spans="1:17" ht="20.100000000000001" customHeight="1">
      <c r="A849" s="5002"/>
      <c r="B849" s="5002"/>
      <c r="C849" s="5002"/>
      <c r="D849" s="6355" t="s">
        <v>111</v>
      </c>
      <c r="E849" s="5002"/>
      <c r="F849" s="5002"/>
      <c r="G849" s="5002"/>
      <c r="H849" s="6356" t="s">
        <v>142</v>
      </c>
      <c r="I849" s="5002"/>
      <c r="J849" s="5002"/>
      <c r="K849" s="5002"/>
      <c r="L849" s="5002"/>
      <c r="M849" s="5002"/>
      <c r="N849" s="5002"/>
      <c r="O849" s="5002"/>
      <c r="P849" s="5002"/>
      <c r="Q849" s="5002"/>
    </row>
    <row r="850" spans="1:17" ht="20.100000000000001" customHeight="1">
      <c r="A850" s="5002"/>
      <c r="B850" s="5002"/>
      <c r="C850" s="5002"/>
      <c r="D850" s="6355" t="s">
        <v>1427</v>
      </c>
      <c r="E850" s="5002"/>
      <c r="F850" s="5002"/>
      <c r="G850" s="5002"/>
      <c r="H850" s="6357"/>
      <c r="I850" s="6357" t="s">
        <v>1428</v>
      </c>
      <c r="J850" s="5002"/>
      <c r="K850" s="5002"/>
      <c r="L850" s="6355"/>
      <c r="M850" s="5002"/>
      <c r="N850" s="5002"/>
      <c r="O850" s="5002"/>
      <c r="P850" s="5002"/>
      <c r="Q850" s="5002"/>
    </row>
    <row r="851" spans="1:17" ht="20.100000000000001" customHeight="1">
      <c r="A851" s="5002"/>
      <c r="B851" s="5002"/>
      <c r="C851" s="5002"/>
      <c r="D851" s="5002"/>
      <c r="E851" s="5002"/>
      <c r="F851" s="5002"/>
      <c r="G851" s="5002"/>
      <c r="H851" s="6356" t="s">
        <v>145</v>
      </c>
      <c r="I851" s="6355"/>
      <c r="J851" s="6355"/>
      <c r="K851" s="5002"/>
      <c r="L851" s="6355"/>
      <c r="M851" s="5002"/>
      <c r="N851" s="5002"/>
      <c r="O851" s="5002"/>
      <c r="P851" s="5002"/>
      <c r="Q851" s="5002"/>
    </row>
    <row r="852" spans="1:17" ht="20.100000000000001" customHeight="1">
      <c r="A852" s="5002"/>
      <c r="B852" s="5002"/>
      <c r="C852" s="5002"/>
      <c r="D852" s="6355" t="s">
        <v>1429</v>
      </c>
      <c r="E852" s="5002"/>
      <c r="F852" s="5002"/>
      <c r="G852" s="5002"/>
      <c r="H852" s="6357"/>
      <c r="I852" s="6357" t="s">
        <v>1430</v>
      </c>
      <c r="J852" s="6357"/>
      <c r="K852" s="5002"/>
      <c r="L852" s="6355"/>
      <c r="M852" s="5002"/>
      <c r="N852" s="5002"/>
      <c r="O852" s="5002"/>
      <c r="P852" s="5002"/>
      <c r="Q852" s="5002"/>
    </row>
    <row r="853" spans="1:17" ht="20.100000000000001" customHeight="1">
      <c r="A853" s="5002"/>
      <c r="B853" s="5002"/>
      <c r="C853" s="5002"/>
      <c r="D853" s="6355" t="s">
        <v>99</v>
      </c>
      <c r="E853" s="5002"/>
      <c r="F853" s="5002"/>
      <c r="G853" s="5002"/>
      <c r="H853" s="6356" t="s">
        <v>146</v>
      </c>
      <c r="I853" s="6355"/>
      <c r="J853" s="5002"/>
      <c r="K853" s="5002"/>
      <c r="L853" s="6355"/>
      <c r="M853" s="5002"/>
      <c r="N853" s="5002"/>
      <c r="O853" s="5002"/>
      <c r="P853" s="5002"/>
      <c r="Q853" s="5002"/>
    </row>
    <row r="854" spans="1:17" ht="20.100000000000001" customHeight="1">
      <c r="A854" s="5002"/>
      <c r="B854" s="5002"/>
      <c r="C854" s="5002"/>
      <c r="D854" s="6355" t="s">
        <v>100</v>
      </c>
      <c r="E854" s="5002"/>
      <c r="F854" s="5002"/>
      <c r="G854" s="5002"/>
      <c r="H854" s="6357"/>
      <c r="I854" s="6357" t="s">
        <v>1431</v>
      </c>
      <c r="J854" s="5002"/>
      <c r="K854" s="5002"/>
      <c r="L854" s="6355"/>
      <c r="M854" s="5002"/>
      <c r="N854" s="5002"/>
      <c r="O854" s="5002"/>
      <c r="P854" s="5002"/>
      <c r="Q854" s="5002"/>
    </row>
    <row r="855" spans="1:17" ht="20.100000000000001" customHeight="1">
      <c r="A855" s="5002"/>
      <c r="B855" s="5002"/>
      <c r="C855" s="5002"/>
      <c r="D855" s="6355" t="s">
        <v>101</v>
      </c>
      <c r="E855" s="5002"/>
      <c r="F855" s="5002"/>
      <c r="G855" s="5002"/>
      <c r="H855" s="6356" t="s">
        <v>147</v>
      </c>
      <c r="I855" s="6355"/>
      <c r="J855" s="5002"/>
      <c r="K855" s="5002"/>
      <c r="L855" s="6355"/>
      <c r="M855" s="5002"/>
      <c r="N855" s="5002"/>
      <c r="O855" s="5002"/>
      <c r="P855" s="5002"/>
      <c r="Q855" s="5002"/>
    </row>
    <row r="856" spans="1:17" ht="20.100000000000001" customHeight="1">
      <c r="A856" s="5002"/>
      <c r="B856" s="5002"/>
      <c r="C856" s="5002"/>
      <c r="D856" s="6355" t="s">
        <v>111</v>
      </c>
      <c r="E856" s="5002"/>
      <c r="F856" s="5002"/>
      <c r="G856" s="5002"/>
      <c r="H856" s="6357"/>
      <c r="I856" s="6357" t="s">
        <v>1432</v>
      </c>
      <c r="J856" s="5002"/>
      <c r="K856" s="5002"/>
      <c r="L856" s="6355"/>
      <c r="M856" s="5002"/>
      <c r="N856" s="5002"/>
      <c r="O856" s="5002"/>
      <c r="P856" s="5002"/>
      <c r="Q856" s="5002"/>
    </row>
    <row r="857" spans="1:17" ht="20.100000000000001" customHeight="1">
      <c r="A857" s="5002"/>
      <c r="B857" s="5002"/>
      <c r="C857" s="5002"/>
      <c r="D857" s="6355" t="s">
        <v>1427</v>
      </c>
      <c r="E857" s="5002"/>
      <c r="F857" s="5002"/>
      <c r="G857" s="5002"/>
      <c r="H857" s="6356" t="s">
        <v>538</v>
      </c>
      <c r="I857" s="6355"/>
      <c r="J857" s="5002"/>
      <c r="K857" s="5002"/>
      <c r="L857" s="5002"/>
      <c r="M857" s="5002"/>
      <c r="N857" s="5002"/>
      <c r="O857" s="5002"/>
      <c r="P857" s="5002"/>
      <c r="Q857" s="5002"/>
    </row>
    <row r="858" spans="1:17" ht="20.100000000000001" customHeight="1">
      <c r="A858" s="5002"/>
      <c r="B858" s="5002"/>
      <c r="C858" s="5002"/>
      <c r="D858" s="6355"/>
      <c r="E858" s="5002"/>
      <c r="F858" s="5002"/>
      <c r="G858" s="5002"/>
      <c r="H858" s="6357"/>
      <c r="I858" s="6357" t="s">
        <v>1433</v>
      </c>
      <c r="J858" s="5002"/>
      <c r="K858" s="5002"/>
      <c r="L858" s="6355"/>
      <c r="M858" s="5002"/>
      <c r="N858" s="5002"/>
      <c r="O858" s="5002"/>
      <c r="P858" s="5002"/>
      <c r="Q858" s="5002"/>
    </row>
    <row r="859" spans="1:17" ht="20.100000000000001" customHeight="1">
      <c r="A859" s="5002"/>
      <c r="B859" s="5002"/>
      <c r="C859" s="5002"/>
      <c r="D859" s="6355" t="s">
        <v>1434</v>
      </c>
      <c r="E859" s="5002"/>
      <c r="F859" s="5002"/>
      <c r="G859" s="5002"/>
      <c r="H859" s="6357"/>
      <c r="I859" s="6357" t="s">
        <v>1435</v>
      </c>
      <c r="J859" s="5002"/>
      <c r="K859" s="5002"/>
      <c r="L859" s="5002"/>
      <c r="M859" s="5002"/>
      <c r="N859" s="5002"/>
      <c r="O859" s="5002"/>
      <c r="P859" s="5002"/>
      <c r="Q859" s="5002"/>
    </row>
    <row r="860" spans="1:17" ht="20.100000000000001" customHeight="1">
      <c r="A860" s="5002"/>
      <c r="B860" s="5002"/>
      <c r="C860" s="5002"/>
      <c r="D860" s="6355" t="s">
        <v>99</v>
      </c>
      <c r="E860" s="5002"/>
      <c r="F860" s="5002"/>
      <c r="G860" s="5002"/>
      <c r="H860" s="6357"/>
      <c r="I860" s="6357" t="s">
        <v>1436</v>
      </c>
      <c r="J860" s="5002"/>
      <c r="K860" s="5002"/>
      <c r="L860" s="5002"/>
      <c r="M860" s="5002"/>
      <c r="N860" s="5002"/>
      <c r="O860" s="5002"/>
      <c r="P860" s="5002"/>
      <c r="Q860" s="5002"/>
    </row>
    <row r="861" spans="1:17" ht="20.100000000000001" customHeight="1">
      <c r="A861" s="5002"/>
      <c r="B861" s="5002"/>
      <c r="C861" s="5002"/>
      <c r="D861" s="6355" t="s">
        <v>100</v>
      </c>
      <c r="E861" s="5002"/>
      <c r="F861" s="5002"/>
      <c r="G861" s="5002"/>
      <c r="H861" s="6357"/>
      <c r="I861" s="6357" t="s">
        <v>1437</v>
      </c>
      <c r="J861" s="5002"/>
      <c r="K861" s="5002"/>
      <c r="L861" s="5002"/>
      <c r="M861" s="5002"/>
      <c r="N861" s="5002"/>
      <c r="O861" s="5002"/>
      <c r="P861" s="5002"/>
      <c r="Q861" s="5002"/>
    </row>
    <row r="862" spans="1:17" ht="20.100000000000001" customHeight="1">
      <c r="A862" s="5002"/>
      <c r="B862" s="5002"/>
      <c r="C862" s="5002"/>
      <c r="D862" s="6355" t="s">
        <v>101</v>
      </c>
      <c r="E862" s="5002"/>
      <c r="F862" s="5002"/>
      <c r="G862" s="5002"/>
      <c r="H862" s="5002"/>
      <c r="I862" s="5002"/>
      <c r="J862" s="5002"/>
      <c r="K862" s="5002"/>
      <c r="L862" s="5002"/>
      <c r="M862" s="5002"/>
      <c r="N862" s="5002"/>
      <c r="O862" s="5002"/>
      <c r="P862" s="5002"/>
      <c r="Q862" s="5002"/>
    </row>
    <row r="863" spans="1:17" ht="20.100000000000001" customHeight="1">
      <c r="A863" s="5002"/>
      <c r="B863" s="5002"/>
      <c r="C863" s="5002"/>
      <c r="D863" s="6358" t="s">
        <v>1438</v>
      </c>
      <c r="E863" s="6358"/>
      <c r="F863" s="5002"/>
      <c r="G863" s="5002"/>
      <c r="H863" s="5002"/>
      <c r="I863" s="5002"/>
      <c r="J863" s="5002"/>
      <c r="K863" s="5002"/>
      <c r="L863" s="5002"/>
      <c r="M863" s="5002"/>
      <c r="N863" s="5002"/>
      <c r="O863" s="5002"/>
      <c r="P863" s="5002"/>
      <c r="Q863" s="5002"/>
    </row>
    <row r="864" spans="1:17" ht="20.100000000000001" customHeight="1">
      <c r="A864" s="5002"/>
      <c r="B864" s="5002"/>
      <c r="C864" s="5002"/>
      <c r="D864" s="6355" t="s">
        <v>111</v>
      </c>
      <c r="E864" s="5002"/>
      <c r="F864" s="5002"/>
      <c r="G864" s="5002"/>
      <c r="H864" s="5002"/>
      <c r="I864" s="5002"/>
      <c r="J864" s="5002"/>
      <c r="K864" s="5002"/>
      <c r="L864" s="5002"/>
      <c r="M864" s="5002"/>
      <c r="N864" s="5002"/>
      <c r="O864" s="5002"/>
      <c r="P864" s="5002"/>
      <c r="Q864" s="5002"/>
    </row>
    <row r="865" spans="1:17" ht="20.100000000000001" customHeight="1">
      <c r="A865" s="5002"/>
      <c r="B865" s="5002"/>
      <c r="C865" s="5002"/>
      <c r="D865" s="6355" t="s">
        <v>1427</v>
      </c>
      <c r="E865" s="5002"/>
      <c r="F865" s="5002"/>
      <c r="G865" s="5002"/>
      <c r="H865" s="5002"/>
      <c r="I865" s="5002"/>
      <c r="J865" s="5002"/>
      <c r="K865" s="5002"/>
      <c r="L865" s="5002"/>
      <c r="M865" s="5002"/>
      <c r="N865" s="5002"/>
      <c r="O865" s="5002"/>
      <c r="P865" s="5002"/>
      <c r="Q865" s="5002"/>
    </row>
    <row r="866" spans="1:17" ht="20.100000000000001" customHeight="1">
      <c r="A866" s="5002"/>
      <c r="B866" s="5002"/>
      <c r="C866" s="5002"/>
      <c r="D866" s="6355"/>
      <c r="E866" s="5002"/>
      <c r="F866" s="5002"/>
      <c r="G866" s="5002"/>
      <c r="H866" s="5002"/>
      <c r="I866" s="5002"/>
      <c r="J866" s="5002"/>
      <c r="K866" s="5002"/>
      <c r="L866" s="5002"/>
      <c r="M866" s="5002"/>
      <c r="N866" s="5002"/>
      <c r="O866" s="5002"/>
      <c r="P866" s="5002"/>
      <c r="Q866" s="5002"/>
    </row>
    <row r="867" spans="1:17" ht="20.100000000000001" customHeight="1">
      <c r="A867" s="5002"/>
      <c r="B867" s="5002"/>
      <c r="C867" s="5002"/>
      <c r="D867" s="6355" t="s">
        <v>1439</v>
      </c>
      <c r="E867" s="5002"/>
      <c r="F867" s="5002"/>
      <c r="G867" s="5002"/>
      <c r="H867" s="5002"/>
      <c r="I867" s="5002"/>
      <c r="J867" s="5002"/>
      <c r="K867" s="5002"/>
      <c r="L867" s="5002"/>
      <c r="M867" s="5002"/>
      <c r="N867" s="5002"/>
      <c r="O867" s="5002"/>
      <c r="P867" s="5002"/>
      <c r="Q867" s="5002"/>
    </row>
    <row r="868" spans="1:17" ht="20.100000000000001" customHeight="1">
      <c r="A868" s="5002"/>
      <c r="B868" s="5002"/>
      <c r="C868" s="5002"/>
      <c r="D868" s="6355" t="s">
        <v>99</v>
      </c>
      <c r="E868" s="5002"/>
      <c r="F868" s="5002"/>
      <c r="G868" s="5002"/>
      <c r="H868" s="5002"/>
      <c r="I868" s="5002"/>
      <c r="J868" s="5002"/>
      <c r="K868" s="5002"/>
      <c r="L868" s="5002"/>
      <c r="M868" s="5002"/>
      <c r="N868" s="5002"/>
      <c r="O868" s="5002"/>
      <c r="P868" s="5002"/>
      <c r="Q868" s="5002"/>
    </row>
    <row r="869" spans="1:17" ht="20.100000000000001" customHeight="1">
      <c r="A869" s="5002"/>
      <c r="B869" s="5002"/>
      <c r="C869" s="5002"/>
      <c r="D869" s="6355" t="s">
        <v>100</v>
      </c>
      <c r="E869" s="5002"/>
      <c r="F869" s="5002"/>
      <c r="G869" s="5002"/>
      <c r="H869" s="5002"/>
      <c r="I869" s="5002"/>
      <c r="J869" s="5002"/>
      <c r="K869" s="5002"/>
      <c r="L869" s="5002"/>
      <c r="M869" s="5002"/>
      <c r="N869" s="5002"/>
      <c r="O869" s="5002"/>
      <c r="P869" s="5002"/>
      <c r="Q869" s="5002"/>
    </row>
    <row r="870" spans="1:17" ht="20.100000000000001" customHeight="1">
      <c r="A870" s="5002"/>
      <c r="B870" s="5002"/>
      <c r="C870" s="5002"/>
      <c r="D870" s="6355" t="s">
        <v>101</v>
      </c>
      <c r="E870" s="5002"/>
      <c r="F870" s="5002"/>
      <c r="G870" s="5002"/>
      <c r="H870" s="5002"/>
      <c r="I870" s="5002"/>
      <c r="J870" s="5002"/>
      <c r="K870" s="5002"/>
      <c r="L870" s="5002"/>
      <c r="M870" s="5002"/>
      <c r="N870" s="5002"/>
      <c r="O870" s="5002"/>
      <c r="P870" s="5002"/>
      <c r="Q870" s="5002"/>
    </row>
    <row r="871" spans="1:17" ht="20.100000000000001" customHeight="1">
      <c r="A871" s="5002"/>
      <c r="B871" s="5002"/>
      <c r="C871" s="5002"/>
      <c r="D871" s="6355" t="s">
        <v>111</v>
      </c>
      <c r="E871" s="5002"/>
      <c r="F871" s="5002"/>
      <c r="G871" s="5002"/>
      <c r="H871" s="5002"/>
      <c r="I871" s="5002"/>
      <c r="J871" s="5002"/>
      <c r="K871" s="5002"/>
      <c r="L871" s="5002"/>
      <c r="M871" s="5002"/>
      <c r="N871" s="5002"/>
      <c r="O871" s="5002"/>
      <c r="P871" s="5002"/>
      <c r="Q871" s="5002"/>
    </row>
    <row r="872" spans="1:17" ht="20.100000000000001" customHeight="1">
      <c r="A872" s="5002"/>
      <c r="B872" s="5002"/>
      <c r="C872" s="5002"/>
      <c r="D872" s="6355" t="s">
        <v>1427</v>
      </c>
      <c r="E872" s="5002"/>
      <c r="F872" s="5002"/>
      <c r="G872" s="5002"/>
      <c r="H872" s="5002"/>
      <c r="I872" s="5002"/>
      <c r="J872" s="5002"/>
      <c r="K872" s="5002"/>
      <c r="L872" s="5002"/>
      <c r="M872" s="5002"/>
      <c r="N872" s="5002"/>
      <c r="O872" s="5002"/>
      <c r="P872" s="5002"/>
      <c r="Q872" s="5002"/>
    </row>
    <row r="873" spans="1:17" ht="20.100000000000001" customHeight="1">
      <c r="A873" s="5002"/>
      <c r="B873" s="5002"/>
      <c r="C873" s="5002"/>
      <c r="D873" s="6355"/>
      <c r="E873" s="5002"/>
      <c r="F873" s="5002"/>
      <c r="G873" s="5002"/>
      <c r="H873" s="5002"/>
      <c r="I873" s="5002"/>
      <c r="J873" s="5002"/>
      <c r="K873" s="5002"/>
      <c r="L873" s="5002"/>
      <c r="M873" s="5002"/>
      <c r="N873" s="5002"/>
      <c r="O873" s="5002"/>
      <c r="P873" s="5002"/>
      <c r="Q873" s="5002"/>
    </row>
    <row r="874" spans="1:17">
      <c r="A874" s="6321"/>
      <c r="B874" s="6359"/>
      <c r="C874" s="6359"/>
      <c r="D874" s="6359"/>
      <c r="E874" s="6359"/>
      <c r="F874" s="6359"/>
      <c r="G874" s="6359"/>
      <c r="H874" s="6359"/>
      <c r="I874" s="6359"/>
      <c r="J874" s="6359"/>
      <c r="K874" s="6359"/>
      <c r="L874" s="6359"/>
      <c r="M874" s="6359"/>
      <c r="N874" s="6359"/>
      <c r="O874" s="6359"/>
      <c r="P874" s="6359"/>
      <c r="Q874" s="6359"/>
    </row>
    <row r="875" spans="1:17" ht="18">
      <c r="A875" s="5002"/>
      <c r="B875" s="4992"/>
      <c r="C875" s="6360" t="s">
        <v>1440</v>
      </c>
      <c r="D875" s="4992"/>
      <c r="E875" s="4992"/>
      <c r="F875" s="4992"/>
      <c r="G875" s="4992"/>
      <c r="H875" s="4992"/>
      <c r="I875" s="4992"/>
      <c r="J875" s="4992"/>
      <c r="K875" s="4992"/>
      <c r="L875" s="4992"/>
      <c r="M875" s="4992"/>
      <c r="N875" s="4992"/>
      <c r="O875" s="4992"/>
      <c r="P875" s="4992"/>
      <c r="Q875" s="4992"/>
    </row>
    <row r="876" spans="1:17">
      <c r="A876" s="5002"/>
      <c r="B876" s="4992"/>
      <c r="C876" s="4992"/>
      <c r="D876" s="4992"/>
      <c r="E876" s="4992"/>
      <c r="F876" s="4992"/>
      <c r="G876" s="4992"/>
      <c r="H876" s="4992"/>
      <c r="I876" s="4992"/>
      <c r="J876" s="4992"/>
      <c r="K876" s="4992"/>
      <c r="L876" s="4992"/>
      <c r="M876" s="5002"/>
      <c r="N876" s="5002"/>
      <c r="O876" s="5002"/>
      <c r="P876" s="5002"/>
      <c r="Q876" s="5002"/>
    </row>
    <row r="877" spans="1:17" ht="18">
      <c r="A877" s="5002"/>
      <c r="B877" s="5002"/>
      <c r="C877" s="6360" t="s">
        <v>1441</v>
      </c>
      <c r="D877" s="5002"/>
      <c r="E877" s="5002"/>
      <c r="F877" s="5002"/>
      <c r="G877" s="5002"/>
      <c r="H877" s="5002"/>
      <c r="I877" s="5002"/>
      <c r="J877" s="5002"/>
      <c r="K877" s="5002"/>
      <c r="L877" s="5002"/>
      <c r="M877" s="5002"/>
      <c r="N877" s="5002"/>
      <c r="O877" s="5002"/>
      <c r="P877" s="5002"/>
      <c r="Q877" s="5002"/>
    </row>
    <row r="878" spans="1:17">
      <c r="A878" s="5002"/>
      <c r="B878" s="5002"/>
      <c r="C878" s="5002"/>
      <c r="D878" s="5002"/>
      <c r="E878" s="5002"/>
      <c r="F878" s="5002"/>
      <c r="G878" s="5002"/>
      <c r="H878" s="5002"/>
      <c r="I878" s="5002"/>
      <c r="J878" s="5002"/>
      <c r="K878" s="5002"/>
      <c r="L878" s="5002"/>
      <c r="M878" s="5002"/>
      <c r="N878" s="5002"/>
      <c r="O878" s="5002"/>
      <c r="P878" s="5002"/>
      <c r="Q878" s="5002"/>
    </row>
    <row r="879" spans="1:17">
      <c r="A879" s="5063"/>
      <c r="B879" s="5064"/>
      <c r="C879" s="5065"/>
      <c r="D879" s="5065"/>
      <c r="E879" s="5065"/>
      <c r="F879" s="5065"/>
      <c r="G879" s="5065"/>
      <c r="H879" s="5065"/>
      <c r="I879" s="5065"/>
      <c r="J879" s="5064"/>
      <c r="K879" s="5064"/>
      <c r="L879" s="5064"/>
      <c r="M879" s="5063"/>
      <c r="N879" s="5063"/>
      <c r="O879" s="5063"/>
      <c r="P879" s="5063"/>
      <c r="Q879" s="5063"/>
    </row>
    <row r="881" spans="1:17" ht="20.100000000000001" customHeight="1">
      <c r="A881" s="5002"/>
      <c r="B881" s="5002"/>
      <c r="M881" s="5002"/>
      <c r="N881" s="5002"/>
      <c r="O881" s="5002"/>
      <c r="P881" s="5002"/>
      <c r="Q881" s="5002"/>
    </row>
    <row r="882" spans="1:17" ht="20.100000000000001" customHeight="1">
      <c r="A882" s="5002"/>
      <c r="B882" s="5002"/>
      <c r="M882" s="5002"/>
      <c r="N882" s="5002"/>
      <c r="O882" s="5002"/>
      <c r="P882" s="5002"/>
      <c r="Q882" s="5002"/>
    </row>
    <row r="883" spans="1:17" ht="20.100000000000001" customHeight="1">
      <c r="A883" s="5002"/>
      <c r="B883" s="5002"/>
      <c r="M883" s="5002"/>
      <c r="N883" s="5002"/>
      <c r="O883" s="5002"/>
      <c r="P883" s="5002"/>
      <c r="Q883" s="5002"/>
    </row>
    <row r="884" spans="1:17" ht="20.100000000000001" customHeight="1">
      <c r="A884" s="5002"/>
      <c r="B884" s="5002"/>
      <c r="M884" s="5002"/>
      <c r="N884" s="5002"/>
      <c r="O884" s="5002"/>
      <c r="P884" s="5002"/>
      <c r="Q884" s="5002"/>
    </row>
    <row r="885" spans="1:17" ht="20.100000000000001" customHeight="1">
      <c r="A885" s="5002"/>
      <c r="B885" s="5002"/>
      <c r="M885" s="5002"/>
      <c r="N885" s="5002"/>
      <c r="O885" s="5002"/>
      <c r="P885" s="5002"/>
      <c r="Q885" s="5002"/>
    </row>
    <row r="886" spans="1:17" ht="20.100000000000001" customHeight="1">
      <c r="A886" s="5002"/>
      <c r="B886" s="5002"/>
      <c r="M886" s="5002"/>
      <c r="N886" s="5002"/>
      <c r="O886" s="5002"/>
      <c r="P886" s="5002"/>
      <c r="Q886" s="5002"/>
    </row>
    <row r="887" spans="1:17" ht="20.100000000000001" customHeight="1">
      <c r="A887" s="5002"/>
      <c r="B887" s="5002"/>
      <c r="M887" s="5002"/>
      <c r="N887" s="5002"/>
      <c r="O887" s="5002"/>
      <c r="P887" s="5002"/>
      <c r="Q887" s="5002"/>
    </row>
    <row r="888" spans="1:17" ht="20.100000000000001" customHeight="1">
      <c r="A888" s="5002"/>
      <c r="B888" s="5002"/>
      <c r="M888" s="5002"/>
      <c r="N888" s="5002"/>
      <c r="O888" s="5002"/>
      <c r="P888" s="5002"/>
      <c r="Q888" s="5002"/>
    </row>
    <row r="889" spans="1:17" ht="20.100000000000001" customHeight="1">
      <c r="A889" s="5002"/>
      <c r="B889" s="5002"/>
      <c r="M889" s="5002"/>
      <c r="N889" s="5002"/>
      <c r="O889" s="5002"/>
      <c r="P889" s="5002"/>
      <c r="Q889" s="5002"/>
    </row>
    <row r="890" spans="1:17" ht="20.100000000000001" customHeight="1">
      <c r="A890" s="5002"/>
      <c r="B890" s="5002"/>
      <c r="M890" s="5002"/>
      <c r="N890" s="5002"/>
      <c r="O890" s="5002"/>
      <c r="P890" s="5002"/>
      <c r="Q890" s="5002"/>
    </row>
    <row r="891" spans="1:17">
      <c r="A891" s="5002"/>
      <c r="B891" s="4992"/>
      <c r="M891" s="5002"/>
      <c r="N891" s="5002"/>
      <c r="O891" s="5002"/>
      <c r="P891" s="5002"/>
      <c r="Q891" s="5002"/>
    </row>
    <row r="892" spans="1:17">
      <c r="A892" s="5002"/>
      <c r="B892" s="4992"/>
      <c r="M892" s="5002"/>
      <c r="N892" s="5002"/>
      <c r="O892" s="5002"/>
      <c r="P892" s="5002"/>
      <c r="Q892" s="5002"/>
    </row>
    <row r="893" spans="1:17">
      <c r="A893" s="5002"/>
      <c r="B893" s="4992"/>
      <c r="M893" s="5002"/>
      <c r="N893" s="5002"/>
      <c r="O893" s="5002"/>
      <c r="P893" s="5002"/>
      <c r="Q893" s="5002"/>
    </row>
    <row r="894" spans="1:17">
      <c r="A894" s="5002"/>
      <c r="B894" s="4992"/>
      <c r="M894" s="5002"/>
      <c r="N894" s="5002"/>
      <c r="O894" s="5002"/>
      <c r="P894" s="5002"/>
      <c r="Q894" s="5002"/>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F45FC049-29F8-43A9-86AA-E6554ADC4EF7}"/>
    <hyperlink ref="C438" r:id="rId2" xr:uid="{A3DDA5F2-39C6-41FA-8A17-44357D373221}"/>
    <hyperlink ref="C59" r:id="rId3" xr:uid="{C7832D13-5913-42A3-9D6D-C2E7A95CCFDF}"/>
    <hyperlink ref="C61" r:id="rId4" xr:uid="{78BD9C80-9903-485D-9F35-3362809D653C}"/>
    <hyperlink ref="B604" r:id="rId5" xr:uid="{037BC6E5-3DAD-4237-9E26-E8DD4FD1A392}"/>
    <hyperlink ref="B610" r:id="rId6" xr:uid="{FE093CC3-771E-434C-8B25-8BDC239763D0}"/>
    <hyperlink ref="B618" r:id="rId7" xr:uid="{18EE921D-1960-4DB6-B107-087DA904849D}"/>
    <hyperlink ref="B617" r:id="rId8" xr:uid="{56E2F797-C469-468E-B2C4-BCC0227FCFFA}"/>
    <hyperlink ref="B624" r:id="rId9" xr:uid="{84BF393C-849C-48F3-806D-1719A13E49F1}"/>
    <hyperlink ref="B628" r:id="rId10" xr:uid="{A96336AF-3D17-4240-9BB5-7CB6DF8E5218}"/>
    <hyperlink ref="B613" r:id="rId11" xr:uid="{F245A92B-0CC2-4DDC-9816-89B7B7739176}"/>
    <hyperlink ref="J611" r:id="rId12" xr:uid="{19352D39-DBF8-47E4-9150-6F7605F82728}"/>
    <hyperlink ref="J612" r:id="rId13" xr:uid="{CD17FF3D-2DAB-4560-8524-44E869D0ECD7}"/>
    <hyperlink ref="J605" r:id="rId14" xr:uid="{FFD87825-35C0-40B0-9245-98A263BFF179}"/>
    <hyperlink ref="J618" r:id="rId15" xr:uid="{5B76F7EC-2C9E-4D54-8DAF-A51C7B2183DE}"/>
    <hyperlink ref="J624" r:id="rId16" xr:uid="{CA2F5904-0F51-4C9E-95DB-76E27CDEE4F2}"/>
    <hyperlink ref="J615" r:id="rId17" xr:uid="{4E3C8848-F278-4B79-BF9F-BC7DCBCE7776}"/>
    <hyperlink ref="J629" r:id="rId18" xr:uid="{48AE0F67-D2FC-413C-AEB9-8D5731438D08}"/>
    <hyperlink ref="J625" r:id="rId19" xr:uid="{D27DAF1F-D757-444E-9689-EA46AD8EFA95}"/>
    <hyperlink ref="J626" r:id="rId20" xr:uid="{129A3433-6D7C-4DC7-8406-838A107160DE}"/>
    <hyperlink ref="J621" r:id="rId21" xr:uid="{25A80F3A-5508-4013-A8C4-A82DAE0BE132}"/>
    <hyperlink ref="J552" r:id="rId22" xr:uid="{57273851-54F4-4818-9A5C-11A8641A455E}"/>
    <hyperlink ref="K554" r:id="rId23" xr:uid="{2EC24A9C-75D1-44DA-9A1F-DAA76CA69726}"/>
    <hyperlink ref="K556" r:id="rId24" xr:uid="{A4036683-5775-4BF7-9C58-CA1A5346A20E}"/>
    <hyperlink ref="K557" r:id="rId25" xr:uid="{268C8C3A-A19D-46F5-810C-CB25D47341EE}"/>
    <hyperlink ref="K553" r:id="rId26" xr:uid="{0C237D52-865C-41FA-915C-DEF039681BDE}"/>
    <hyperlink ref="K558" r:id="rId27" xr:uid="{D5E57224-689B-4AD2-BB8A-F6E7F7C8FC7C}"/>
    <hyperlink ref="K559" r:id="rId28" xr:uid="{DB49B2B1-B390-4CD8-B0CB-027667407267}"/>
    <hyperlink ref="K555" r:id="rId29" xr:uid="{14D237F5-DEDE-4012-88A6-AAD19BD87B31}"/>
    <hyperlink ref="C152" r:id="rId30" xr:uid="{923F9530-289D-46C0-92F1-BE83AED1F14B}"/>
    <hyperlink ref="C154" r:id="rId31" xr:uid="{B4C98321-076C-459B-9FA3-D0B4CAB54202}"/>
    <hyperlink ref="C156" r:id="rId32" xr:uid="{81C7BE05-AF67-4F96-AD66-1B2F6B57D6DB}"/>
    <hyperlink ref="B556" r:id="rId33" xr:uid="{E144C548-9842-409B-8D7B-30874C756167}"/>
    <hyperlink ref="B557" r:id="rId34" xr:uid="{A6C80822-65CC-43C9-9862-B0BAFA2C2E98}"/>
    <hyperlink ref="B560" r:id="rId35" xr:uid="{D1406CCC-0FB1-49EA-A0DA-E577A555EEC8}"/>
    <hyperlink ref="C179" r:id="rId36" display="http://www.mdf-xlpages.com/modules/publisher/item.php?itemid=167" xr:uid="{3F72EEE6-66B6-4E73-857D-C98F76AB7615}"/>
    <hyperlink ref="C180" r:id="rId37" display="http://www.mdf-xlpages.com/modules/publisher/item.php?itemid=149" xr:uid="{F6ACBF4B-DC25-4A5C-818A-6779AC2694B7}"/>
    <hyperlink ref="C181" r:id="rId38" display="http://www.mdf-xlpages.com/modules/publisher/item.php?itemid=152" xr:uid="{C88911FC-B706-4A96-964A-34E618FC3E03}"/>
    <hyperlink ref="C182" r:id="rId39" display="http://www.mdf-xlpages.com/modules/publisher/item.php?itemid=153" xr:uid="{DFD80181-64FD-4B58-9722-AF6D8E85B799}"/>
    <hyperlink ref="C184" r:id="rId40" display="http://www.mdf-xlpages.com/modules/publisher/item.php?itemid=134" xr:uid="{303F422B-D387-42D5-A6E9-F4A4771CF551}"/>
    <hyperlink ref="C185" r:id="rId41" display="http://www.mdf-xlpages.com/modules/publisher/item.php?itemid=105" xr:uid="{339A3B81-C02A-4532-A41F-559BED343AAC}"/>
    <hyperlink ref="C186" r:id="rId42" display="http://www.mdf-xlpages.com/modules/publisher/item.php?itemid=91" xr:uid="{01FBC3E6-CBC2-4C98-AC53-D2F3B8AC5263}"/>
    <hyperlink ref="C187" r:id="rId43" display="http://www.mdf-xlpages.com/modules/publisher/item.php?itemid=99" xr:uid="{C15BFAF7-240C-484E-A8EC-64E793ABB15D}"/>
    <hyperlink ref="C188" r:id="rId44" display="http://www.mdf-xlpages.com/modules/publisher/item.php?itemid=98" xr:uid="{D2B724BE-EF21-41D2-AB41-1D23B673C96E}"/>
    <hyperlink ref="C189" r:id="rId45" display="http://www.mdf-xlpages.com/modules/publisher/item.php?itemid=86" xr:uid="{CD387CB2-544D-4E39-BE94-D7488CF34A1B}"/>
    <hyperlink ref="C190" r:id="rId46" display="http://www.mdf-xlpages.com/modules/publisher/item.php?itemid=97" xr:uid="{D34168E0-638A-47C8-9D22-1C7E8E3CD2CE}"/>
    <hyperlink ref="C191" r:id="rId47" display="http://www.mdf-xlpages.com/modules/publisher/item.php?itemid=93" xr:uid="{014E7515-EDD9-49A3-9FDD-4455E3164350}"/>
    <hyperlink ref="C192" r:id="rId48" display="http://www.mdf-xlpages.com/modules/publisher/item.php?itemid=84" xr:uid="{5FAF0CA1-A3FE-465C-9F26-50DEA43FDE96}"/>
    <hyperlink ref="C193" r:id="rId49" display="http://www.mdf-xlpages.com/modules/publisher/item.php?itemid=94" xr:uid="{C0C12D4F-7891-4C60-8BF7-7A633F5BC3E9}"/>
    <hyperlink ref="C194" r:id="rId50" display="http://www.mdf-xlpages.com/modules/publisher/item.php?itemid=83" xr:uid="{9CF9A276-7506-4140-BAC5-DA1A0F101B17}"/>
    <hyperlink ref="C195" r:id="rId51" display="http://www.mdf-xlpages.com/modules/publisher/item.php?itemid=87" xr:uid="{30374B0F-A359-48E0-A84E-EF5E02B6951D}"/>
    <hyperlink ref="C196" r:id="rId52" display="http://www.mdf-xlpages.com/modules/publisher/item.php?itemid=85" xr:uid="{8FD5F1A2-544B-4EE8-9B94-71FCD8572C65}"/>
    <hyperlink ref="C197" r:id="rId53" display="http://www.mdf-xlpages.com/modules/publisher/item.php?itemid=81" xr:uid="{F58EB78E-D203-4513-B1F2-ADBFB0ABF3F6}"/>
    <hyperlink ref="C198" r:id="rId54" display="http://www.mdf-xlpages.com/modules/publisher/item.php?itemid=82" xr:uid="{FE49DD4E-8041-4F12-B5C6-69AC06B3851D}"/>
    <hyperlink ref="C199" r:id="rId55" display="http://www.mdf-xlpages.com/modules/publisher/item.php?itemid=90" xr:uid="{3651A540-B143-415A-A7D5-EF6DF3EAA951}"/>
    <hyperlink ref="C200" r:id="rId56" display="http://www.mdf-xlpages.com/modules/publisher/item.php?itemid=76" xr:uid="{359E1208-0EA1-48F3-9D33-27299E1A803E}"/>
    <hyperlink ref="C201" r:id="rId57" display="http://www.mdf-xlpages.com/modules/publisher/item.php?itemid=64" xr:uid="{F55E8F05-9779-4493-87E4-5A5BA85DF3D3}"/>
    <hyperlink ref="C202" r:id="rId58" display="http://www.mdf-xlpages.com/modules/publisher/item.php?itemid=63" xr:uid="{9EDBF4D7-7105-42ED-B1A1-82FAD0B3CFCA}"/>
    <hyperlink ref="C203" r:id="rId59" display="http://www.mdf-xlpages.com/modules/publisher/item.php?itemid=62" xr:uid="{00FB4310-F93C-41D1-B36B-285E3CA37FC7}"/>
    <hyperlink ref="C204" r:id="rId60" display="http://www.mdf-xlpages.com/modules/publisher/item.php?itemid=25" xr:uid="{C398ABD0-950E-4F1B-ACBB-F764A3371049}"/>
    <hyperlink ref="D176" r:id="rId61" xr:uid="{BF976B68-DC18-4E7C-82DF-E962B9ABD253}"/>
    <hyperlink ref="C158" r:id="rId62" xr:uid="{7A3FFE52-BDB9-4707-96A0-7617E3A3C2E4}"/>
    <hyperlink ref="C64" r:id="rId63" xr:uid="{93A8D99B-A46A-431A-A16A-3EE9E4DF3A43}"/>
    <hyperlink ref="C66" r:id="rId64" display="http://www.uprt.fr/mesimages/fichiers-uprt/ff-fiches-fabrication/ff-fiches-fabrication-maj-02-2015/ff-documents-divers-maj-02-2015/ff-fiches-apprentis-Patissiers-07-03-2016.xlsx" xr:uid="{EB7D08C4-B42F-4D8E-9D16-3CC017216E63}"/>
    <hyperlink ref="C68" r:id="rId65" display="http://www.uprt.fr/mesimages/fichiers-uprt/ff-fiches-fabrication/ff-fiches-fabrication-maj-02-2015/ff-documents-divers-maj-02-2015/ff-Croquis.xlsx" xr:uid="{936F822C-B95B-46CA-B33C-DD68A5B2A315}"/>
    <hyperlink ref="C70" r:id="rId66" display="http://www.uprt.fr/mesimages/fichiers-uprt/ff-fiches-fabrication/ff-fiches-fabrication-maj-02-2015/ff-documents-divers-maj-02-2015/ff-qualiterecettes2007.xls" xr:uid="{7CE95DB3-63C7-4B11-A78B-BE9D8C39F88F}"/>
    <hyperlink ref="C72" r:id="rId67" display="http://www.uprt.fr/mesimages/fichiers-uprt/ff-fiches-fabrication/ff-fiches-fabrication-maj-02-2015/ff-documents-divers-maj-02-2015/ff-tableau-cuisson.pdf" xr:uid="{17876E76-B9FF-48F1-A95E-C914B142481A}"/>
    <hyperlink ref="C76" r:id="rId68" xr:uid="{A7130B10-85D8-4A1E-A4C9-6407919BC817}"/>
    <hyperlink ref="K431" r:id="rId69" xr:uid="{1909F226-5AEC-4D26-9DA2-6392BD8AA489}"/>
    <hyperlink ref="F431" r:id="rId70" xr:uid="{E6F2B3F0-19DE-4477-9B2B-5693780E3DFB}"/>
    <hyperlink ref="C132" r:id="rId71" xr:uid="{B1915F25-7F68-4A9E-B7AD-2CD337AFDFD5}"/>
    <hyperlink ref="C134" r:id="rId72" xr:uid="{C4C9EE08-B295-4D7E-8106-26107DB2A4FD}"/>
    <hyperlink ref="C137" r:id="rId73" xr:uid="{32A7D674-4EA1-4665-93B5-8D9FEA248D1B}"/>
    <hyperlink ref="C140" r:id="rId74" tooltip="Télécharger" display="http://joseph.larmarange.net/IMG/pdf/memo_caracteres_speciaux_windows.pdf" xr:uid="{C7F585CD-9440-40FE-964B-344561FAA90E}"/>
    <hyperlink ref="C143" r:id="rId75" xr:uid="{398BB049-BC9C-4120-AB4B-9B4EDA3EC06A}"/>
    <hyperlink ref="C148" r:id="rId76" xr:uid="{DD36A0CC-AF6D-438E-AEFF-23FEFF5AB170}"/>
    <hyperlink ref="C6" r:id="rId77" xr:uid="{0ACF81FF-A8D7-49C3-98E8-EFFDC84E01D3}"/>
    <hyperlink ref="C127" r:id="rId78" xr:uid="{18BCD06C-B2FE-4337-8C7D-9926B9ADC0C8}"/>
    <hyperlink ref="C129:F129" r:id="rId79" display="visualiseur d'Emoji et de symboles" xr:uid="{91BA8A5D-882E-4CD7-90D6-309B071FBFA6}"/>
    <hyperlink ref="C145" r:id="rId80" xr:uid="{7E1CBCC4-518D-4C40-ACDB-EC29CAA65BE8}"/>
    <hyperlink ref="C125:H125" r:id="rId81" display="caractères  Alphanumériques cerclés" xr:uid="{7FC9C23C-EACA-4688-84B5-7BF7B27BD9F2}"/>
    <hyperlink ref="C74" r:id="rId82" display="http://www.uprt.fr/mesimages/fichiers-uprt/pt-procedures-techniques/PT-bonnes-pratiques.doc" xr:uid="{9FF9F497-0B36-4A57-AB88-19525B98B7C2}"/>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9045E814-2EA9-43F6-B008-9A70A485E536}"/>
    <hyperlink ref="H491" r:id="rId84" xr:uid="{D390FADA-BED9-4DB2-BAE2-DCB1A5333552}"/>
    <hyperlink ref="H492" r:id="rId85" xr:uid="{46583018-53A3-4F84-BEF6-DEEA063B789F}"/>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E5686F98-1930-46C5-ABEB-84A6EC389B35}"/>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4208B425-1FB2-460E-84D9-E0C634DF8AFD}"/>
    <hyperlink ref="B223" r:id="rId88" xr:uid="{4CB9445A-1A82-4C3C-AEBF-870D85BABD4D}"/>
    <hyperlink ref="B228" r:id="rId89" location="6" display="http://matoumatheux.ac-rennes.fr/num/numeration/doigt.htm - 6" xr:uid="{83B99907-D7A3-469E-9504-440D3F4EB057}"/>
    <hyperlink ref="B229" r:id="rId90" location="6" display="http://matoumatheux.ac-rennes.fr/num/probleme/classer.htm - 6" xr:uid="{2B9BD5FC-059E-438C-996A-943CF2D42AC8}"/>
    <hyperlink ref="B230" r:id="rId91" location="6" display="http://matoumatheux.ac-rennes.fr/num/probleme/seringue.htm - 6" xr:uid="{65A02DDB-E04C-4B4F-9065-60A59A39C33B}"/>
    <hyperlink ref="B231" r:id="rId92" location="6" display="http://matoumatheux.ac-rennes.fr/num/probleme/etiquettes.htm - 6" xr:uid="{F0B0F1E3-DCB4-4529-AB1C-6DD14A5427D3}"/>
    <hyperlink ref="G223" r:id="rId93" location="6" display="http://matoumatheux.ac-rennes.fr/num/fractions/6/menthe1.htm - 6" xr:uid="{2B8F746D-9F45-4CC6-9FE0-54F13B14253D}"/>
    <hyperlink ref="G225" r:id="rId94" location="6" display="http://matoumatheux.ac-rennes.fr/num/fractions/6/cocktail2.htm - 6" xr:uid="{EEF75347-1AD2-4473-A249-F85707C55E6F}"/>
    <hyperlink ref="G224" r:id="rId95" location="6" display="http://matoumatheux.ac-rennes.fr/num/fractions/6/cocktail1.htm - 6" xr:uid="{AE7514D4-C4AA-404E-BE5E-30F2C482360A}"/>
    <hyperlink ref="G226" r:id="rId96" location="6" display="http://matoumatheux.ac-rennes.fr/num/fractions/6/cocktail3.htm - 6" xr:uid="{B551D8F0-8902-44FE-882E-2E1AE46E2A4D}"/>
    <hyperlink ref="G227" r:id="rId97" location="6" display="http://matoumatheux.ac-rennes.fr/num/fractions/6/cocktail4.htm - 6" xr:uid="{839313EB-6835-4EA9-A20A-019BF9AE6C83}"/>
    <hyperlink ref="G229" r:id="rId98" location="6" display="http://matoumatheux.ac-rennes.fr/num/fractions/6/fractionsM.htm - 6" xr:uid="{FADCCBE7-5A3F-48FE-87D5-13C736663C76}"/>
    <hyperlink ref="G230" r:id="rId99" location="6" display="http://matoumatheux.ac-rennes.fr/num/fractions/6/fractionsM2.htm - 6" xr:uid="{8050294F-3BAC-4768-9DDD-32E2B376BC6C}"/>
    <hyperlink ref="G228" r:id="rId100" location="6" display="http://matoumatheux.ac-rennes.fr/num/fractions/6/menthe.htm - 6" xr:uid="{394CFE20-58A0-4C87-8538-188BC0110487}"/>
    <hyperlink ref="G231" r:id="rId101" location="6" display="http://matoumatheux.ac-rennes.fr/num/fractions/6/poisson.htm - 6" xr:uid="{625037DB-E1B3-4C59-8819-028B6D6FD5E8}"/>
    <hyperlink ref="G232" r:id="rId102" location="6" display="http://matoumatheux.ac-rennes.fr/num/proportionnalite/6/creme.htm - 6" xr:uid="{40D75A01-2501-405B-AAC7-D124CC2F08A7}"/>
    <hyperlink ref="K223" r:id="rId103" location="6" display="http://matoumatheux.ac-rennes.fr/num/proportionnalite/6/gateauriz.htm - 6" xr:uid="{545B3CAF-1501-41EB-842D-8B84A444642A}"/>
    <hyperlink ref="K224" r:id="rId104" location="6" display="http://matoumatheux.ac-rennes.fr/num/proportionnalite/6/far.htm - 6" xr:uid="{155D4346-5223-426D-97A7-88AF2EE521AB}"/>
    <hyperlink ref="K225" r:id="rId105" location="6" display="http://matoumatheux.ac-rennes.fr/num/proportionnalite/6/boulangerie.htm - 6" xr:uid="{25EA9E84-4617-4340-8D73-BFAACF43C0AE}"/>
    <hyperlink ref="B232" r:id="rId106" location="6" display="http://matoumatheux.ac-rennes.fr/geom/unite/mesureur.htm - 6" xr:uid="{D9DD91C9-BCD3-4EF0-8501-372610CBC390}"/>
    <hyperlink ref="K228" r:id="rId107" location="6" display="http://matoumatheux.ac-rennes.fr/cours/mesures/convlong.htm - 6" xr:uid="{191A44F7-FB03-4C85-83E5-4BEFD2B55B73}"/>
    <hyperlink ref="K229" r:id="rId108" location="6" display="http://matoumatheux.ac-rennes.fr/cours/mesures/convmasse.htm - 6" xr:uid="{BA4C0258-18A8-4FAE-B4DB-C23AAB09B634}"/>
    <hyperlink ref="K230" r:id="rId109" location="6" display="http://matoumatheux.ac-rennes.fr/geom/cercle/Bebert11.htm - 6" xr:uid="{D6A49445-7A31-45F5-94AB-6B2A62B383FE}"/>
    <hyperlink ref="K231" r:id="rId110" location="6" display="http://matoumatheux.ac-rennes.fr/geom/cercle/Bebert21.htm - 6" xr:uid="{0AE94150-6CE3-4E56-BDBB-F357B293169B}"/>
    <hyperlink ref="K232" r:id="rId111" location="6" display="http://matoumatheux.ac-rennes.fr/geom/cercle/chien.htm - 6" xr:uid="{51853C10-3DFF-4F13-99D2-A043131560EA}"/>
    <hyperlink ref="O223" r:id="rId112" location="6" display="http://matoumatheux.ac-rennes.fr/geom/solides/6/ruban.htm - 6" xr:uid="{24B7324C-006C-4143-836E-1D35E5ED0C70}"/>
    <hyperlink ref="O224" r:id="rId113" location="5" display="http://matoumatheux.ac-rennes.fr/geom/cercle/5/aire.htm - 5" xr:uid="{FE2A9285-C34F-4F1E-8A88-D001D567744A}"/>
    <hyperlink ref="O225" r:id="rId114" location="5" display="http://matoumatheux.ac-rennes.fr/geom/cercle/5/rayon.htm - 5" xr:uid="{3342FA93-E09B-4347-AE8E-3677C16C9A59}"/>
    <hyperlink ref="O226" r:id="rId115" location="5" display="http://matoumatheux.ac-rennes.fr/geom/cercle/5/couronne.htm - 5" xr:uid="{22BDF294-8121-4CDB-9242-63BD5D293F4E}"/>
    <hyperlink ref="O227" r:id="rId116" location="5" display="http://matoumatheux.ac-rennes.fr/geom/solides/5/airecylindre.htm - 5" xr:uid="{131F3A18-1B20-401E-8FBC-4D6D64F497C5}"/>
    <hyperlink ref="O228" r:id="rId117" location="5" display="http://matoumatheux.ac-rennes.fr/geom/solides/5/volcylindre.htm - 5" xr:uid="{0D20B1DF-0A4F-4D5D-A4E5-6B2ED6EE30C8}"/>
    <hyperlink ref="O230" r:id="rId118" location="4" display="http://matoumatheux.ac-rennes.fr/num/puissances/gateau.htm - 4" xr:uid="{A74A343F-0B82-4ED4-900A-C3AD72BE58CB}"/>
    <hyperlink ref="O229" r:id="rId119" location="4" display="http://matoumatheux.ac-rennes.fr/cours/volume/cylindre.htm - 4" xr:uid="{A4F25BF0-F601-41A6-9938-53CB568D1702}"/>
    <hyperlink ref="O231" r:id="rId120" location="4" display="http://matoumatheux.ac-rennes.fr/cours/aire/airerect.htm - 4" xr:uid="{40E31F87-9EFD-4AAA-9C27-343D046E8239}"/>
    <hyperlink ref="O232" r:id="rId121" location="3" display="http://matoumatheux.ac-rennes.fr/num/diviseur/probleme1.htm - 3" xr:uid="{C34B87EB-FF37-4EEC-BEAD-EBFE00AE7BD8}"/>
    <hyperlink ref="O233" r:id="rId122" location="3" display="http://matoumatheux.ac-rennes.fr/num/courbe/casserole.htm - 3" xr:uid="{7156F81F-C96B-4B9B-9924-65658B3D0E23}"/>
    <hyperlink ref="B236" r:id="rId123" xr:uid="{AA2D6D60-6DAB-4A60-8BF4-EC52B8B0F023}"/>
    <hyperlink ref="G236" r:id="rId124" xr:uid="{0E64EDE9-F5BA-4DFA-8E6A-264BD746ED25}"/>
    <hyperlink ref="K236" r:id="rId125" xr:uid="{39EFA2C0-A298-4A30-9DA9-D49D1B51A61E}"/>
    <hyperlink ref="O236" r:id="rId126" location="q=RECETTES+PATISSERIE" xr:uid="{22DB575D-B1E3-408E-B1E6-CAF2A6C06380}"/>
    <hyperlink ref="E239" r:id="rId127" xr:uid="{3409D9F8-D147-49FA-885A-08CB42B6CD0C}"/>
    <hyperlink ref="G239" r:id="rId128" xr:uid="{3B23EB3C-D7EE-485C-9A6A-B010D78671D4}"/>
    <hyperlink ref="J239" r:id="rId129" xr:uid="{7CA515D8-FA1C-4E97-BA23-96E8018A03DE}"/>
    <hyperlink ref="M239" r:id="rId130" xr:uid="{EF34482B-7F6A-4755-87D4-E567BC9940A6}"/>
    <hyperlink ref="J280" r:id="rId131" xr:uid="{375F588F-3E03-4E86-9A72-AC552AC4CD90}"/>
    <hyperlink ref="B404" r:id="rId132" xr:uid="{682D0A31-40D9-4F14-A511-6D1E27EE7676}"/>
    <hyperlink ref="D369" r:id="rId133" xr:uid="{43E63EE0-8034-4BFC-8026-DD51C709A73F}"/>
  </hyperlinks>
  <pageMargins left="0.7" right="0.7" top="0.75" bottom="0.75" header="0.3" footer="0.3"/>
  <pageSetup paperSize="9" orientation="portrait" r:id="rId134"/>
  <drawing r:id="rId13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4B898-618E-4035-87A8-465D9FF18480}">
  <dimension ref="A1:AX131"/>
  <sheetViews>
    <sheetView showZeros="0" showWhiteSpace="0" zoomScaleNormal="100" zoomScalePageLayoutView="58" workbookViewId="0">
      <selection activeCell="L13" sqref="L13"/>
    </sheetView>
  </sheetViews>
  <sheetFormatPr baseColWidth="10" defaultRowHeight="15"/>
  <cols>
    <col min="1" max="1" width="3.7109375" style="813" customWidth="1"/>
    <col min="2" max="2" width="5.42578125" style="1838" customWidth="1"/>
    <col min="3" max="3" width="29.85546875" style="1838" customWidth="1"/>
    <col min="4" max="4" width="5.42578125" style="1838" customWidth="1"/>
    <col min="5" max="5" width="35.5703125" style="1838" customWidth="1"/>
    <col min="6" max="6" width="5.42578125" style="1838" customWidth="1"/>
    <col min="7" max="7" width="33.28515625" style="1838" customWidth="1"/>
    <col min="8" max="8" width="5.42578125" style="1838" customWidth="1"/>
    <col min="9" max="9" width="32.28515625" style="1838" customWidth="1"/>
    <col min="10" max="10" width="3.42578125" style="1838" customWidth="1"/>
    <col min="11" max="11" width="4.140625" style="1838" customWidth="1"/>
    <col min="12" max="12" width="5.42578125" style="1838" customWidth="1"/>
    <col min="13" max="13" width="20.28515625" style="1838" customWidth="1"/>
    <col min="14" max="14" width="5.42578125" style="1838" customWidth="1"/>
    <col min="15" max="15" width="18.7109375" style="1838" customWidth="1"/>
    <col min="16" max="16" width="5.42578125" style="1838" customWidth="1"/>
    <col min="17" max="17" width="18.85546875" style="1838" customWidth="1"/>
    <col min="18" max="18" width="5.42578125" style="1838" customWidth="1"/>
    <col min="19" max="19" width="16.28515625" style="1838" customWidth="1"/>
    <col min="20" max="20" width="2.85546875" style="1838" customWidth="1"/>
    <col min="21" max="21" width="5.42578125" style="813" customWidth="1"/>
    <col min="22" max="22" width="4.7109375" style="813" customWidth="1"/>
    <col min="23" max="23" width="34.140625" style="813" customWidth="1"/>
    <col min="24" max="24" width="5.7109375" style="813" customWidth="1"/>
    <col min="25" max="25" width="25.7109375" style="813" customWidth="1"/>
    <col min="26" max="26" width="5.5703125" style="813" bestFit="1" customWidth="1"/>
    <col min="27" max="27" width="27.42578125" style="813" customWidth="1"/>
    <col min="28" max="28" width="5.5703125" style="813" bestFit="1" customWidth="1"/>
    <col min="29" max="29" width="36.7109375" style="813" customWidth="1"/>
    <col min="30" max="30" width="5.5703125" style="813" bestFit="1" customWidth="1"/>
    <col min="31" max="31" width="34" style="813" customWidth="1"/>
    <col min="32" max="32" width="5.5703125" style="813" bestFit="1" customWidth="1"/>
    <col min="33" max="33" width="25.7109375" style="813" customWidth="1"/>
    <col min="34" max="40" width="11.42578125" style="813"/>
    <col min="41" max="41" width="11.42578125" style="4991"/>
    <col min="42" max="42" width="168.42578125" style="4991" customWidth="1"/>
    <col min="43" max="43" width="11.42578125" style="813"/>
    <col min="44" max="44" width="4.7109375" style="6372" customWidth="1"/>
    <col min="45" max="45" width="40.7109375" style="6372" customWidth="1"/>
    <col min="46" max="46" width="12.7109375" style="6372" customWidth="1"/>
    <col min="47" max="47" width="4.85546875" style="6372" customWidth="1"/>
    <col min="48" max="48" width="4.7109375" style="6372" customWidth="1"/>
    <col min="49" max="49" width="40.7109375" style="6372" customWidth="1"/>
    <col min="50" max="50" width="12.7109375" style="6372" customWidth="1"/>
    <col min="51" max="254" width="11.42578125" style="813"/>
    <col min="255" max="255" width="5.42578125" style="813" customWidth="1"/>
    <col min="256" max="256" width="43.5703125" style="813" customWidth="1"/>
    <col min="257" max="257" width="5.42578125" style="813" customWidth="1"/>
    <col min="258" max="258" width="43.5703125" style="813" customWidth="1"/>
    <col min="259" max="259" width="5.42578125" style="813" customWidth="1"/>
    <col min="260" max="260" width="43.5703125" style="813" customWidth="1"/>
    <col min="261" max="261" width="5.42578125" style="813" customWidth="1"/>
    <col min="262" max="262" width="43.5703125" style="813" customWidth="1"/>
    <col min="263" max="263" width="3.42578125" style="813" customWidth="1"/>
    <col min="264" max="264" width="13.7109375" style="813" customWidth="1"/>
    <col min="265" max="265" width="5.42578125" style="813" customWidth="1"/>
    <col min="266" max="266" width="43.5703125" style="813" customWidth="1"/>
    <col min="267" max="267" width="5.42578125" style="813" customWidth="1"/>
    <col min="268" max="268" width="43.5703125" style="813" customWidth="1"/>
    <col min="269" max="269" width="5.42578125" style="813" customWidth="1"/>
    <col min="270" max="270" width="43.5703125" style="813" customWidth="1"/>
    <col min="271" max="271" width="5.42578125" style="813" customWidth="1"/>
    <col min="272" max="272" width="43.5703125" style="813" customWidth="1"/>
    <col min="273" max="273" width="2.85546875" style="813" customWidth="1"/>
    <col min="274" max="510" width="11.42578125" style="813"/>
    <col min="511" max="511" width="5.42578125" style="813" customWidth="1"/>
    <col min="512" max="512" width="43.5703125" style="813" customWidth="1"/>
    <col min="513" max="513" width="5.42578125" style="813" customWidth="1"/>
    <col min="514" max="514" width="43.5703125" style="813" customWidth="1"/>
    <col min="515" max="515" width="5.42578125" style="813" customWidth="1"/>
    <col min="516" max="516" width="43.5703125" style="813" customWidth="1"/>
    <col min="517" max="517" width="5.42578125" style="813" customWidth="1"/>
    <col min="518" max="518" width="43.5703125" style="813" customWidth="1"/>
    <col min="519" max="519" width="3.42578125" style="813" customWidth="1"/>
    <col min="520" max="520" width="13.7109375" style="813" customWidth="1"/>
    <col min="521" max="521" width="5.42578125" style="813" customWidth="1"/>
    <col min="522" max="522" width="43.5703125" style="813" customWidth="1"/>
    <col min="523" max="523" width="5.42578125" style="813" customWidth="1"/>
    <col min="524" max="524" width="43.5703125" style="813" customWidth="1"/>
    <col min="525" max="525" width="5.42578125" style="813" customWidth="1"/>
    <col min="526" max="526" width="43.5703125" style="813" customWidth="1"/>
    <col min="527" max="527" width="5.42578125" style="813" customWidth="1"/>
    <col min="528" max="528" width="43.5703125" style="813" customWidth="1"/>
    <col min="529" max="529" width="2.85546875" style="813" customWidth="1"/>
    <col min="530" max="766" width="11.42578125" style="813"/>
    <col min="767" max="767" width="5.42578125" style="813" customWidth="1"/>
    <col min="768" max="768" width="43.5703125" style="813" customWidth="1"/>
    <col min="769" max="769" width="5.42578125" style="813" customWidth="1"/>
    <col min="770" max="770" width="43.5703125" style="813" customWidth="1"/>
    <col min="771" max="771" width="5.42578125" style="813" customWidth="1"/>
    <col min="772" max="772" width="43.5703125" style="813" customWidth="1"/>
    <col min="773" max="773" width="5.42578125" style="813" customWidth="1"/>
    <col min="774" max="774" width="43.5703125" style="813" customWidth="1"/>
    <col min="775" max="775" width="3.42578125" style="813" customWidth="1"/>
    <col min="776" max="776" width="13.7109375" style="813" customWidth="1"/>
    <col min="777" max="777" width="5.42578125" style="813" customWidth="1"/>
    <col min="778" max="778" width="43.5703125" style="813" customWidth="1"/>
    <col min="779" max="779" width="5.42578125" style="813" customWidth="1"/>
    <col min="780" max="780" width="43.5703125" style="813" customWidth="1"/>
    <col min="781" max="781" width="5.42578125" style="813" customWidth="1"/>
    <col min="782" max="782" width="43.5703125" style="813" customWidth="1"/>
    <col min="783" max="783" width="5.42578125" style="813" customWidth="1"/>
    <col min="784" max="784" width="43.5703125" style="813" customWidth="1"/>
    <col min="785" max="785" width="2.85546875" style="813" customWidth="1"/>
    <col min="786" max="1022" width="11.42578125" style="813"/>
    <col min="1023" max="1023" width="5.42578125" style="813" customWidth="1"/>
    <col min="1024" max="1024" width="43.5703125" style="813" customWidth="1"/>
    <col min="1025" max="1025" width="5.42578125" style="813" customWidth="1"/>
    <col min="1026" max="1026" width="43.5703125" style="813" customWidth="1"/>
    <col min="1027" max="1027" width="5.42578125" style="813" customWidth="1"/>
    <col min="1028" max="1028" width="43.5703125" style="813" customWidth="1"/>
    <col min="1029" max="1029" width="5.42578125" style="813" customWidth="1"/>
    <col min="1030" max="1030" width="43.5703125" style="813" customWidth="1"/>
    <col min="1031" max="1031" width="3.42578125" style="813" customWidth="1"/>
    <col min="1032" max="1032" width="13.7109375" style="813" customWidth="1"/>
    <col min="1033" max="1033" width="5.42578125" style="813" customWidth="1"/>
    <col min="1034" max="1034" width="43.5703125" style="813" customWidth="1"/>
    <col min="1035" max="1035" width="5.42578125" style="813" customWidth="1"/>
    <col min="1036" max="1036" width="43.5703125" style="813" customWidth="1"/>
    <col min="1037" max="1037" width="5.42578125" style="813" customWidth="1"/>
    <col min="1038" max="1038" width="43.5703125" style="813" customWidth="1"/>
    <col min="1039" max="1039" width="5.42578125" style="813" customWidth="1"/>
    <col min="1040" max="1040" width="43.5703125" style="813" customWidth="1"/>
    <col min="1041" max="1041" width="2.85546875" style="813" customWidth="1"/>
    <col min="1042" max="1278" width="11.42578125" style="813"/>
    <col min="1279" max="1279" width="5.42578125" style="813" customWidth="1"/>
    <col min="1280" max="1280" width="43.5703125" style="813" customWidth="1"/>
    <col min="1281" max="1281" width="5.42578125" style="813" customWidth="1"/>
    <col min="1282" max="1282" width="43.5703125" style="813" customWidth="1"/>
    <col min="1283" max="1283" width="5.42578125" style="813" customWidth="1"/>
    <col min="1284" max="1284" width="43.5703125" style="813" customWidth="1"/>
    <col min="1285" max="1285" width="5.42578125" style="813" customWidth="1"/>
    <col min="1286" max="1286" width="43.5703125" style="813" customWidth="1"/>
    <col min="1287" max="1287" width="3.42578125" style="813" customWidth="1"/>
    <col min="1288" max="1288" width="13.7109375" style="813" customWidth="1"/>
    <col min="1289" max="1289" width="5.42578125" style="813" customWidth="1"/>
    <col min="1290" max="1290" width="43.5703125" style="813" customWidth="1"/>
    <col min="1291" max="1291" width="5.42578125" style="813" customWidth="1"/>
    <col min="1292" max="1292" width="43.5703125" style="813" customWidth="1"/>
    <col min="1293" max="1293" width="5.42578125" style="813" customWidth="1"/>
    <col min="1294" max="1294" width="43.5703125" style="813" customWidth="1"/>
    <col min="1295" max="1295" width="5.42578125" style="813" customWidth="1"/>
    <col min="1296" max="1296" width="43.5703125" style="813" customWidth="1"/>
    <col min="1297" max="1297" width="2.85546875" style="813" customWidth="1"/>
    <col min="1298" max="1534" width="11.42578125" style="813"/>
    <col min="1535" max="1535" width="5.42578125" style="813" customWidth="1"/>
    <col min="1536" max="1536" width="43.5703125" style="813" customWidth="1"/>
    <col min="1537" max="1537" width="5.42578125" style="813" customWidth="1"/>
    <col min="1538" max="1538" width="43.5703125" style="813" customWidth="1"/>
    <col min="1539" max="1539" width="5.42578125" style="813" customWidth="1"/>
    <col min="1540" max="1540" width="43.5703125" style="813" customWidth="1"/>
    <col min="1541" max="1541" width="5.42578125" style="813" customWidth="1"/>
    <col min="1542" max="1542" width="43.5703125" style="813" customWidth="1"/>
    <col min="1543" max="1543" width="3.42578125" style="813" customWidth="1"/>
    <col min="1544" max="1544" width="13.7109375" style="813" customWidth="1"/>
    <col min="1545" max="1545" width="5.42578125" style="813" customWidth="1"/>
    <col min="1546" max="1546" width="43.5703125" style="813" customWidth="1"/>
    <col min="1547" max="1547" width="5.42578125" style="813" customWidth="1"/>
    <col min="1548" max="1548" width="43.5703125" style="813" customWidth="1"/>
    <col min="1549" max="1549" width="5.42578125" style="813" customWidth="1"/>
    <col min="1550" max="1550" width="43.5703125" style="813" customWidth="1"/>
    <col min="1551" max="1551" width="5.42578125" style="813" customWidth="1"/>
    <col min="1552" max="1552" width="43.5703125" style="813" customWidth="1"/>
    <col min="1553" max="1553" width="2.85546875" style="813" customWidth="1"/>
    <col min="1554" max="1790" width="11.42578125" style="813"/>
    <col min="1791" max="1791" width="5.42578125" style="813" customWidth="1"/>
    <col min="1792" max="1792" width="43.5703125" style="813" customWidth="1"/>
    <col min="1793" max="1793" width="5.42578125" style="813" customWidth="1"/>
    <col min="1794" max="1794" width="43.5703125" style="813" customWidth="1"/>
    <col min="1795" max="1795" width="5.42578125" style="813" customWidth="1"/>
    <col min="1796" max="1796" width="43.5703125" style="813" customWidth="1"/>
    <col min="1797" max="1797" width="5.42578125" style="813" customWidth="1"/>
    <col min="1798" max="1798" width="43.5703125" style="813" customWidth="1"/>
    <col min="1799" max="1799" width="3.42578125" style="813" customWidth="1"/>
    <col min="1800" max="1800" width="13.7109375" style="813" customWidth="1"/>
    <col min="1801" max="1801" width="5.42578125" style="813" customWidth="1"/>
    <col min="1802" max="1802" width="43.5703125" style="813" customWidth="1"/>
    <col min="1803" max="1803" width="5.42578125" style="813" customWidth="1"/>
    <col min="1804" max="1804" width="43.5703125" style="813" customWidth="1"/>
    <col min="1805" max="1805" width="5.42578125" style="813" customWidth="1"/>
    <col min="1806" max="1806" width="43.5703125" style="813" customWidth="1"/>
    <col min="1807" max="1807" width="5.42578125" style="813" customWidth="1"/>
    <col min="1808" max="1808" width="43.5703125" style="813" customWidth="1"/>
    <col min="1809" max="1809" width="2.85546875" style="813" customWidth="1"/>
    <col min="1810" max="2046" width="11.42578125" style="813"/>
    <col min="2047" max="2047" width="5.42578125" style="813" customWidth="1"/>
    <col min="2048" max="2048" width="43.5703125" style="813" customWidth="1"/>
    <col min="2049" max="2049" width="5.42578125" style="813" customWidth="1"/>
    <col min="2050" max="2050" width="43.5703125" style="813" customWidth="1"/>
    <col min="2051" max="2051" width="5.42578125" style="813" customWidth="1"/>
    <col min="2052" max="2052" width="43.5703125" style="813" customWidth="1"/>
    <col min="2053" max="2053" width="5.42578125" style="813" customWidth="1"/>
    <col min="2054" max="2054" width="43.5703125" style="813" customWidth="1"/>
    <col min="2055" max="2055" width="3.42578125" style="813" customWidth="1"/>
    <col min="2056" max="2056" width="13.7109375" style="813" customWidth="1"/>
    <col min="2057" max="2057" width="5.42578125" style="813" customWidth="1"/>
    <col min="2058" max="2058" width="43.5703125" style="813" customWidth="1"/>
    <col min="2059" max="2059" width="5.42578125" style="813" customWidth="1"/>
    <col min="2060" max="2060" width="43.5703125" style="813" customWidth="1"/>
    <col min="2061" max="2061" width="5.42578125" style="813" customWidth="1"/>
    <col min="2062" max="2062" width="43.5703125" style="813" customWidth="1"/>
    <col min="2063" max="2063" width="5.42578125" style="813" customWidth="1"/>
    <col min="2064" max="2064" width="43.5703125" style="813" customWidth="1"/>
    <col min="2065" max="2065" width="2.85546875" style="813" customWidth="1"/>
    <col min="2066" max="2302" width="11.42578125" style="813"/>
    <col min="2303" max="2303" width="5.42578125" style="813" customWidth="1"/>
    <col min="2304" max="2304" width="43.5703125" style="813" customWidth="1"/>
    <col min="2305" max="2305" width="5.42578125" style="813" customWidth="1"/>
    <col min="2306" max="2306" width="43.5703125" style="813" customWidth="1"/>
    <col min="2307" max="2307" width="5.42578125" style="813" customWidth="1"/>
    <col min="2308" max="2308" width="43.5703125" style="813" customWidth="1"/>
    <col min="2309" max="2309" width="5.42578125" style="813" customWidth="1"/>
    <col min="2310" max="2310" width="43.5703125" style="813" customWidth="1"/>
    <col min="2311" max="2311" width="3.42578125" style="813" customWidth="1"/>
    <col min="2312" max="2312" width="13.7109375" style="813" customWidth="1"/>
    <col min="2313" max="2313" width="5.42578125" style="813" customWidth="1"/>
    <col min="2314" max="2314" width="43.5703125" style="813" customWidth="1"/>
    <col min="2315" max="2315" width="5.42578125" style="813" customWidth="1"/>
    <col min="2316" max="2316" width="43.5703125" style="813" customWidth="1"/>
    <col min="2317" max="2317" width="5.42578125" style="813" customWidth="1"/>
    <col min="2318" max="2318" width="43.5703125" style="813" customWidth="1"/>
    <col min="2319" max="2319" width="5.42578125" style="813" customWidth="1"/>
    <col min="2320" max="2320" width="43.5703125" style="813" customWidth="1"/>
    <col min="2321" max="2321" width="2.85546875" style="813" customWidth="1"/>
    <col min="2322" max="2558" width="11.42578125" style="813"/>
    <col min="2559" max="2559" width="5.42578125" style="813" customWidth="1"/>
    <col min="2560" max="2560" width="43.5703125" style="813" customWidth="1"/>
    <col min="2561" max="2561" width="5.42578125" style="813" customWidth="1"/>
    <col min="2562" max="2562" width="43.5703125" style="813" customWidth="1"/>
    <col min="2563" max="2563" width="5.42578125" style="813" customWidth="1"/>
    <col min="2564" max="2564" width="43.5703125" style="813" customWidth="1"/>
    <col min="2565" max="2565" width="5.42578125" style="813" customWidth="1"/>
    <col min="2566" max="2566" width="43.5703125" style="813" customWidth="1"/>
    <col min="2567" max="2567" width="3.42578125" style="813" customWidth="1"/>
    <col min="2568" max="2568" width="13.7109375" style="813" customWidth="1"/>
    <col min="2569" max="2569" width="5.42578125" style="813" customWidth="1"/>
    <col min="2570" max="2570" width="43.5703125" style="813" customWidth="1"/>
    <col min="2571" max="2571" width="5.42578125" style="813" customWidth="1"/>
    <col min="2572" max="2572" width="43.5703125" style="813" customWidth="1"/>
    <col min="2573" max="2573" width="5.42578125" style="813" customWidth="1"/>
    <col min="2574" max="2574" width="43.5703125" style="813" customWidth="1"/>
    <col min="2575" max="2575" width="5.42578125" style="813" customWidth="1"/>
    <col min="2576" max="2576" width="43.5703125" style="813" customWidth="1"/>
    <col min="2577" max="2577" width="2.85546875" style="813" customWidth="1"/>
    <col min="2578" max="2814" width="11.42578125" style="813"/>
    <col min="2815" max="2815" width="5.42578125" style="813" customWidth="1"/>
    <col min="2816" max="2816" width="43.5703125" style="813" customWidth="1"/>
    <col min="2817" max="2817" width="5.42578125" style="813" customWidth="1"/>
    <col min="2818" max="2818" width="43.5703125" style="813" customWidth="1"/>
    <col min="2819" max="2819" width="5.42578125" style="813" customWidth="1"/>
    <col min="2820" max="2820" width="43.5703125" style="813" customWidth="1"/>
    <col min="2821" max="2821" width="5.42578125" style="813" customWidth="1"/>
    <col min="2822" max="2822" width="43.5703125" style="813" customWidth="1"/>
    <col min="2823" max="2823" width="3.42578125" style="813" customWidth="1"/>
    <col min="2824" max="2824" width="13.7109375" style="813" customWidth="1"/>
    <col min="2825" max="2825" width="5.42578125" style="813" customWidth="1"/>
    <col min="2826" max="2826" width="43.5703125" style="813" customWidth="1"/>
    <col min="2827" max="2827" width="5.42578125" style="813" customWidth="1"/>
    <col min="2828" max="2828" width="43.5703125" style="813" customWidth="1"/>
    <col min="2829" max="2829" width="5.42578125" style="813" customWidth="1"/>
    <col min="2830" max="2830" width="43.5703125" style="813" customWidth="1"/>
    <col min="2831" max="2831" width="5.42578125" style="813" customWidth="1"/>
    <col min="2832" max="2832" width="43.5703125" style="813" customWidth="1"/>
    <col min="2833" max="2833" width="2.85546875" style="813" customWidth="1"/>
    <col min="2834" max="3070" width="11.42578125" style="813"/>
    <col min="3071" max="3071" width="5.42578125" style="813" customWidth="1"/>
    <col min="3072" max="3072" width="43.5703125" style="813" customWidth="1"/>
    <col min="3073" max="3073" width="5.42578125" style="813" customWidth="1"/>
    <col min="3074" max="3074" width="43.5703125" style="813" customWidth="1"/>
    <col min="3075" max="3075" width="5.42578125" style="813" customWidth="1"/>
    <col min="3076" max="3076" width="43.5703125" style="813" customWidth="1"/>
    <col min="3077" max="3077" width="5.42578125" style="813" customWidth="1"/>
    <col min="3078" max="3078" width="43.5703125" style="813" customWidth="1"/>
    <col min="3079" max="3079" width="3.42578125" style="813" customWidth="1"/>
    <col min="3080" max="3080" width="13.7109375" style="813" customWidth="1"/>
    <col min="3081" max="3081" width="5.42578125" style="813" customWidth="1"/>
    <col min="3082" max="3082" width="43.5703125" style="813" customWidth="1"/>
    <col min="3083" max="3083" width="5.42578125" style="813" customWidth="1"/>
    <col min="3084" max="3084" width="43.5703125" style="813" customWidth="1"/>
    <col min="3085" max="3085" width="5.42578125" style="813" customWidth="1"/>
    <col min="3086" max="3086" width="43.5703125" style="813" customWidth="1"/>
    <col min="3087" max="3087" width="5.42578125" style="813" customWidth="1"/>
    <col min="3088" max="3088" width="43.5703125" style="813" customWidth="1"/>
    <col min="3089" max="3089" width="2.85546875" style="813" customWidth="1"/>
    <col min="3090" max="3326" width="11.42578125" style="813"/>
    <col min="3327" max="3327" width="5.42578125" style="813" customWidth="1"/>
    <col min="3328" max="3328" width="43.5703125" style="813" customWidth="1"/>
    <col min="3329" max="3329" width="5.42578125" style="813" customWidth="1"/>
    <col min="3330" max="3330" width="43.5703125" style="813" customWidth="1"/>
    <col min="3331" max="3331" width="5.42578125" style="813" customWidth="1"/>
    <col min="3332" max="3332" width="43.5703125" style="813" customWidth="1"/>
    <col min="3333" max="3333" width="5.42578125" style="813" customWidth="1"/>
    <col min="3334" max="3334" width="43.5703125" style="813" customWidth="1"/>
    <col min="3335" max="3335" width="3.42578125" style="813" customWidth="1"/>
    <col min="3336" max="3336" width="13.7109375" style="813" customWidth="1"/>
    <col min="3337" max="3337" width="5.42578125" style="813" customWidth="1"/>
    <col min="3338" max="3338" width="43.5703125" style="813" customWidth="1"/>
    <col min="3339" max="3339" width="5.42578125" style="813" customWidth="1"/>
    <col min="3340" max="3340" width="43.5703125" style="813" customWidth="1"/>
    <col min="3341" max="3341" width="5.42578125" style="813" customWidth="1"/>
    <col min="3342" max="3342" width="43.5703125" style="813" customWidth="1"/>
    <col min="3343" max="3343" width="5.42578125" style="813" customWidth="1"/>
    <col min="3344" max="3344" width="43.5703125" style="813" customWidth="1"/>
    <col min="3345" max="3345" width="2.85546875" style="813" customWidth="1"/>
    <col min="3346" max="3582" width="11.42578125" style="813"/>
    <col min="3583" max="3583" width="5.42578125" style="813" customWidth="1"/>
    <col min="3584" max="3584" width="43.5703125" style="813" customWidth="1"/>
    <col min="3585" max="3585" width="5.42578125" style="813" customWidth="1"/>
    <col min="3586" max="3586" width="43.5703125" style="813" customWidth="1"/>
    <col min="3587" max="3587" width="5.42578125" style="813" customWidth="1"/>
    <col min="3588" max="3588" width="43.5703125" style="813" customWidth="1"/>
    <col min="3589" max="3589" width="5.42578125" style="813" customWidth="1"/>
    <col min="3590" max="3590" width="43.5703125" style="813" customWidth="1"/>
    <col min="3591" max="3591" width="3.42578125" style="813" customWidth="1"/>
    <col min="3592" max="3592" width="13.7109375" style="813" customWidth="1"/>
    <col min="3593" max="3593" width="5.42578125" style="813" customWidth="1"/>
    <col min="3594" max="3594" width="43.5703125" style="813" customWidth="1"/>
    <col min="3595" max="3595" width="5.42578125" style="813" customWidth="1"/>
    <col min="3596" max="3596" width="43.5703125" style="813" customWidth="1"/>
    <col min="3597" max="3597" width="5.42578125" style="813" customWidth="1"/>
    <col min="3598" max="3598" width="43.5703125" style="813" customWidth="1"/>
    <col min="3599" max="3599" width="5.42578125" style="813" customWidth="1"/>
    <col min="3600" max="3600" width="43.5703125" style="813" customWidth="1"/>
    <col min="3601" max="3601" width="2.85546875" style="813" customWidth="1"/>
    <col min="3602" max="3838" width="11.42578125" style="813"/>
    <col min="3839" max="3839" width="5.42578125" style="813" customWidth="1"/>
    <col min="3840" max="3840" width="43.5703125" style="813" customWidth="1"/>
    <col min="3841" max="3841" width="5.42578125" style="813" customWidth="1"/>
    <col min="3842" max="3842" width="43.5703125" style="813" customWidth="1"/>
    <col min="3843" max="3843" width="5.42578125" style="813" customWidth="1"/>
    <col min="3844" max="3844" width="43.5703125" style="813" customWidth="1"/>
    <col min="3845" max="3845" width="5.42578125" style="813" customWidth="1"/>
    <col min="3846" max="3846" width="43.5703125" style="813" customWidth="1"/>
    <col min="3847" max="3847" width="3.42578125" style="813" customWidth="1"/>
    <col min="3848" max="3848" width="13.7109375" style="813" customWidth="1"/>
    <col min="3849" max="3849" width="5.42578125" style="813" customWidth="1"/>
    <col min="3850" max="3850" width="43.5703125" style="813" customWidth="1"/>
    <col min="3851" max="3851" width="5.42578125" style="813" customWidth="1"/>
    <col min="3852" max="3852" width="43.5703125" style="813" customWidth="1"/>
    <col min="3853" max="3853" width="5.42578125" style="813" customWidth="1"/>
    <col min="3854" max="3854" width="43.5703125" style="813" customWidth="1"/>
    <col min="3855" max="3855" width="5.42578125" style="813" customWidth="1"/>
    <col min="3856" max="3856" width="43.5703125" style="813" customWidth="1"/>
    <col min="3857" max="3857" width="2.85546875" style="813" customWidth="1"/>
    <col min="3858" max="4094" width="11.42578125" style="813"/>
    <col min="4095" max="4095" width="5.42578125" style="813" customWidth="1"/>
    <col min="4096" max="4096" width="43.5703125" style="813" customWidth="1"/>
    <col min="4097" max="4097" width="5.42578125" style="813" customWidth="1"/>
    <col min="4098" max="4098" width="43.5703125" style="813" customWidth="1"/>
    <col min="4099" max="4099" width="5.42578125" style="813" customWidth="1"/>
    <col min="4100" max="4100" width="43.5703125" style="813" customWidth="1"/>
    <col min="4101" max="4101" width="5.42578125" style="813" customWidth="1"/>
    <col min="4102" max="4102" width="43.5703125" style="813" customWidth="1"/>
    <col min="4103" max="4103" width="3.42578125" style="813" customWidth="1"/>
    <col min="4104" max="4104" width="13.7109375" style="813" customWidth="1"/>
    <col min="4105" max="4105" width="5.42578125" style="813" customWidth="1"/>
    <col min="4106" max="4106" width="43.5703125" style="813" customWidth="1"/>
    <col min="4107" max="4107" width="5.42578125" style="813" customWidth="1"/>
    <col min="4108" max="4108" width="43.5703125" style="813" customWidth="1"/>
    <col min="4109" max="4109" width="5.42578125" style="813" customWidth="1"/>
    <col min="4110" max="4110" width="43.5703125" style="813" customWidth="1"/>
    <col min="4111" max="4111" width="5.42578125" style="813" customWidth="1"/>
    <col min="4112" max="4112" width="43.5703125" style="813" customWidth="1"/>
    <col min="4113" max="4113" width="2.85546875" style="813" customWidth="1"/>
    <col min="4114" max="4350" width="11.42578125" style="813"/>
    <col min="4351" max="4351" width="5.42578125" style="813" customWidth="1"/>
    <col min="4352" max="4352" width="43.5703125" style="813" customWidth="1"/>
    <col min="4353" max="4353" width="5.42578125" style="813" customWidth="1"/>
    <col min="4354" max="4354" width="43.5703125" style="813" customWidth="1"/>
    <col min="4355" max="4355" width="5.42578125" style="813" customWidth="1"/>
    <col min="4356" max="4356" width="43.5703125" style="813" customWidth="1"/>
    <col min="4357" max="4357" width="5.42578125" style="813" customWidth="1"/>
    <col min="4358" max="4358" width="43.5703125" style="813" customWidth="1"/>
    <col min="4359" max="4359" width="3.42578125" style="813" customWidth="1"/>
    <col min="4360" max="4360" width="13.7109375" style="813" customWidth="1"/>
    <col min="4361" max="4361" width="5.42578125" style="813" customWidth="1"/>
    <col min="4362" max="4362" width="43.5703125" style="813" customWidth="1"/>
    <col min="4363" max="4363" width="5.42578125" style="813" customWidth="1"/>
    <col min="4364" max="4364" width="43.5703125" style="813" customWidth="1"/>
    <col min="4365" max="4365" width="5.42578125" style="813" customWidth="1"/>
    <col min="4366" max="4366" width="43.5703125" style="813" customWidth="1"/>
    <col min="4367" max="4367" width="5.42578125" style="813" customWidth="1"/>
    <col min="4368" max="4368" width="43.5703125" style="813" customWidth="1"/>
    <col min="4369" max="4369" width="2.85546875" style="813" customWidth="1"/>
    <col min="4370" max="4606" width="11.42578125" style="813"/>
    <col min="4607" max="4607" width="5.42578125" style="813" customWidth="1"/>
    <col min="4608" max="4608" width="43.5703125" style="813" customWidth="1"/>
    <col min="4609" max="4609" width="5.42578125" style="813" customWidth="1"/>
    <col min="4610" max="4610" width="43.5703125" style="813" customWidth="1"/>
    <col min="4611" max="4611" width="5.42578125" style="813" customWidth="1"/>
    <col min="4612" max="4612" width="43.5703125" style="813" customWidth="1"/>
    <col min="4613" max="4613" width="5.42578125" style="813" customWidth="1"/>
    <col min="4614" max="4614" width="43.5703125" style="813" customWidth="1"/>
    <col min="4615" max="4615" width="3.42578125" style="813" customWidth="1"/>
    <col min="4616" max="4616" width="13.7109375" style="813" customWidth="1"/>
    <col min="4617" max="4617" width="5.42578125" style="813" customWidth="1"/>
    <col min="4618" max="4618" width="43.5703125" style="813" customWidth="1"/>
    <col min="4619" max="4619" width="5.42578125" style="813" customWidth="1"/>
    <col min="4620" max="4620" width="43.5703125" style="813" customWidth="1"/>
    <col min="4621" max="4621" width="5.42578125" style="813" customWidth="1"/>
    <col min="4622" max="4622" width="43.5703125" style="813" customWidth="1"/>
    <col min="4623" max="4623" width="5.42578125" style="813" customWidth="1"/>
    <col min="4624" max="4624" width="43.5703125" style="813" customWidth="1"/>
    <col min="4625" max="4625" width="2.85546875" style="813" customWidth="1"/>
    <col min="4626" max="4862" width="11.42578125" style="813"/>
    <col min="4863" max="4863" width="5.42578125" style="813" customWidth="1"/>
    <col min="4864" max="4864" width="43.5703125" style="813" customWidth="1"/>
    <col min="4865" max="4865" width="5.42578125" style="813" customWidth="1"/>
    <col min="4866" max="4866" width="43.5703125" style="813" customWidth="1"/>
    <col min="4867" max="4867" width="5.42578125" style="813" customWidth="1"/>
    <col min="4868" max="4868" width="43.5703125" style="813" customWidth="1"/>
    <col min="4869" max="4869" width="5.42578125" style="813" customWidth="1"/>
    <col min="4870" max="4870" width="43.5703125" style="813" customWidth="1"/>
    <col min="4871" max="4871" width="3.42578125" style="813" customWidth="1"/>
    <col min="4872" max="4872" width="13.7109375" style="813" customWidth="1"/>
    <col min="4873" max="4873" width="5.42578125" style="813" customWidth="1"/>
    <col min="4874" max="4874" width="43.5703125" style="813" customWidth="1"/>
    <col min="4875" max="4875" width="5.42578125" style="813" customWidth="1"/>
    <col min="4876" max="4876" width="43.5703125" style="813" customWidth="1"/>
    <col min="4877" max="4877" width="5.42578125" style="813" customWidth="1"/>
    <col min="4878" max="4878" width="43.5703125" style="813" customWidth="1"/>
    <col min="4879" max="4879" width="5.42578125" style="813" customWidth="1"/>
    <col min="4880" max="4880" width="43.5703125" style="813" customWidth="1"/>
    <col min="4881" max="4881" width="2.85546875" style="813" customWidth="1"/>
    <col min="4882" max="5118" width="11.42578125" style="813"/>
    <col min="5119" max="5119" width="5.42578125" style="813" customWidth="1"/>
    <col min="5120" max="5120" width="43.5703125" style="813" customWidth="1"/>
    <col min="5121" max="5121" width="5.42578125" style="813" customWidth="1"/>
    <col min="5122" max="5122" width="43.5703125" style="813" customWidth="1"/>
    <col min="5123" max="5123" width="5.42578125" style="813" customWidth="1"/>
    <col min="5124" max="5124" width="43.5703125" style="813" customWidth="1"/>
    <col min="5125" max="5125" width="5.42578125" style="813" customWidth="1"/>
    <col min="5126" max="5126" width="43.5703125" style="813" customWidth="1"/>
    <col min="5127" max="5127" width="3.42578125" style="813" customWidth="1"/>
    <col min="5128" max="5128" width="13.7109375" style="813" customWidth="1"/>
    <col min="5129" max="5129" width="5.42578125" style="813" customWidth="1"/>
    <col min="5130" max="5130" width="43.5703125" style="813" customWidth="1"/>
    <col min="5131" max="5131" width="5.42578125" style="813" customWidth="1"/>
    <col min="5132" max="5132" width="43.5703125" style="813" customWidth="1"/>
    <col min="5133" max="5133" width="5.42578125" style="813" customWidth="1"/>
    <col min="5134" max="5134" width="43.5703125" style="813" customWidth="1"/>
    <col min="5135" max="5135" width="5.42578125" style="813" customWidth="1"/>
    <col min="5136" max="5136" width="43.5703125" style="813" customWidth="1"/>
    <col min="5137" max="5137" width="2.85546875" style="813" customWidth="1"/>
    <col min="5138" max="5374" width="11.42578125" style="813"/>
    <col min="5375" max="5375" width="5.42578125" style="813" customWidth="1"/>
    <col min="5376" max="5376" width="43.5703125" style="813" customWidth="1"/>
    <col min="5377" max="5377" width="5.42578125" style="813" customWidth="1"/>
    <col min="5378" max="5378" width="43.5703125" style="813" customWidth="1"/>
    <col min="5379" max="5379" width="5.42578125" style="813" customWidth="1"/>
    <col min="5380" max="5380" width="43.5703125" style="813" customWidth="1"/>
    <col min="5381" max="5381" width="5.42578125" style="813" customWidth="1"/>
    <col min="5382" max="5382" width="43.5703125" style="813" customWidth="1"/>
    <col min="5383" max="5383" width="3.42578125" style="813" customWidth="1"/>
    <col min="5384" max="5384" width="13.7109375" style="813" customWidth="1"/>
    <col min="5385" max="5385" width="5.42578125" style="813" customWidth="1"/>
    <col min="5386" max="5386" width="43.5703125" style="813" customWidth="1"/>
    <col min="5387" max="5387" width="5.42578125" style="813" customWidth="1"/>
    <col min="5388" max="5388" width="43.5703125" style="813" customWidth="1"/>
    <col min="5389" max="5389" width="5.42578125" style="813" customWidth="1"/>
    <col min="5390" max="5390" width="43.5703125" style="813" customWidth="1"/>
    <col min="5391" max="5391" width="5.42578125" style="813" customWidth="1"/>
    <col min="5392" max="5392" width="43.5703125" style="813" customWidth="1"/>
    <col min="5393" max="5393" width="2.85546875" style="813" customWidth="1"/>
    <col min="5394" max="5630" width="11.42578125" style="813"/>
    <col min="5631" max="5631" width="5.42578125" style="813" customWidth="1"/>
    <col min="5632" max="5632" width="43.5703125" style="813" customWidth="1"/>
    <col min="5633" max="5633" width="5.42578125" style="813" customWidth="1"/>
    <col min="5634" max="5634" width="43.5703125" style="813" customWidth="1"/>
    <col min="5635" max="5635" width="5.42578125" style="813" customWidth="1"/>
    <col min="5636" max="5636" width="43.5703125" style="813" customWidth="1"/>
    <col min="5637" max="5637" width="5.42578125" style="813" customWidth="1"/>
    <col min="5638" max="5638" width="43.5703125" style="813" customWidth="1"/>
    <col min="5639" max="5639" width="3.42578125" style="813" customWidth="1"/>
    <col min="5640" max="5640" width="13.7109375" style="813" customWidth="1"/>
    <col min="5641" max="5641" width="5.42578125" style="813" customWidth="1"/>
    <col min="5642" max="5642" width="43.5703125" style="813" customWidth="1"/>
    <col min="5643" max="5643" width="5.42578125" style="813" customWidth="1"/>
    <col min="5644" max="5644" width="43.5703125" style="813" customWidth="1"/>
    <col min="5645" max="5645" width="5.42578125" style="813" customWidth="1"/>
    <col min="5646" max="5646" width="43.5703125" style="813" customWidth="1"/>
    <col min="5647" max="5647" width="5.42578125" style="813" customWidth="1"/>
    <col min="5648" max="5648" width="43.5703125" style="813" customWidth="1"/>
    <col min="5649" max="5649" width="2.85546875" style="813" customWidth="1"/>
    <col min="5650" max="5886" width="11.42578125" style="813"/>
    <col min="5887" max="5887" width="5.42578125" style="813" customWidth="1"/>
    <col min="5888" max="5888" width="43.5703125" style="813" customWidth="1"/>
    <col min="5889" max="5889" width="5.42578125" style="813" customWidth="1"/>
    <col min="5890" max="5890" width="43.5703125" style="813" customWidth="1"/>
    <col min="5891" max="5891" width="5.42578125" style="813" customWidth="1"/>
    <col min="5892" max="5892" width="43.5703125" style="813" customWidth="1"/>
    <col min="5893" max="5893" width="5.42578125" style="813" customWidth="1"/>
    <col min="5894" max="5894" width="43.5703125" style="813" customWidth="1"/>
    <col min="5895" max="5895" width="3.42578125" style="813" customWidth="1"/>
    <col min="5896" max="5896" width="13.7109375" style="813" customWidth="1"/>
    <col min="5897" max="5897" width="5.42578125" style="813" customWidth="1"/>
    <col min="5898" max="5898" width="43.5703125" style="813" customWidth="1"/>
    <col min="5899" max="5899" width="5.42578125" style="813" customWidth="1"/>
    <col min="5900" max="5900" width="43.5703125" style="813" customWidth="1"/>
    <col min="5901" max="5901" width="5.42578125" style="813" customWidth="1"/>
    <col min="5902" max="5902" width="43.5703125" style="813" customWidth="1"/>
    <col min="5903" max="5903" width="5.42578125" style="813" customWidth="1"/>
    <col min="5904" max="5904" width="43.5703125" style="813" customWidth="1"/>
    <col min="5905" max="5905" width="2.85546875" style="813" customWidth="1"/>
    <col min="5906" max="6142" width="11.42578125" style="813"/>
    <col min="6143" max="6143" width="5.42578125" style="813" customWidth="1"/>
    <col min="6144" max="6144" width="43.5703125" style="813" customWidth="1"/>
    <col min="6145" max="6145" width="5.42578125" style="813" customWidth="1"/>
    <col min="6146" max="6146" width="43.5703125" style="813" customWidth="1"/>
    <col min="6147" max="6147" width="5.42578125" style="813" customWidth="1"/>
    <col min="6148" max="6148" width="43.5703125" style="813" customWidth="1"/>
    <col min="6149" max="6149" width="5.42578125" style="813" customWidth="1"/>
    <col min="6150" max="6150" width="43.5703125" style="813" customWidth="1"/>
    <col min="6151" max="6151" width="3.42578125" style="813" customWidth="1"/>
    <col min="6152" max="6152" width="13.7109375" style="813" customWidth="1"/>
    <col min="6153" max="6153" width="5.42578125" style="813" customWidth="1"/>
    <col min="6154" max="6154" width="43.5703125" style="813" customWidth="1"/>
    <col min="6155" max="6155" width="5.42578125" style="813" customWidth="1"/>
    <col min="6156" max="6156" width="43.5703125" style="813" customWidth="1"/>
    <col min="6157" max="6157" width="5.42578125" style="813" customWidth="1"/>
    <col min="6158" max="6158" width="43.5703125" style="813" customWidth="1"/>
    <col min="6159" max="6159" width="5.42578125" style="813" customWidth="1"/>
    <col min="6160" max="6160" width="43.5703125" style="813" customWidth="1"/>
    <col min="6161" max="6161" width="2.85546875" style="813" customWidth="1"/>
    <col min="6162" max="6398" width="11.42578125" style="813"/>
    <col min="6399" max="6399" width="5.42578125" style="813" customWidth="1"/>
    <col min="6400" max="6400" width="43.5703125" style="813" customWidth="1"/>
    <col min="6401" max="6401" width="5.42578125" style="813" customWidth="1"/>
    <col min="6402" max="6402" width="43.5703125" style="813" customWidth="1"/>
    <col min="6403" max="6403" width="5.42578125" style="813" customWidth="1"/>
    <col min="6404" max="6404" width="43.5703125" style="813" customWidth="1"/>
    <col min="6405" max="6405" width="5.42578125" style="813" customWidth="1"/>
    <col min="6406" max="6406" width="43.5703125" style="813" customWidth="1"/>
    <col min="6407" max="6407" width="3.42578125" style="813" customWidth="1"/>
    <col min="6408" max="6408" width="13.7109375" style="813" customWidth="1"/>
    <col min="6409" max="6409" width="5.42578125" style="813" customWidth="1"/>
    <col min="6410" max="6410" width="43.5703125" style="813" customWidth="1"/>
    <col min="6411" max="6411" width="5.42578125" style="813" customWidth="1"/>
    <col min="6412" max="6412" width="43.5703125" style="813" customWidth="1"/>
    <col min="6413" max="6413" width="5.42578125" style="813" customWidth="1"/>
    <col min="6414" max="6414" width="43.5703125" style="813" customWidth="1"/>
    <col min="6415" max="6415" width="5.42578125" style="813" customWidth="1"/>
    <col min="6416" max="6416" width="43.5703125" style="813" customWidth="1"/>
    <col min="6417" max="6417" width="2.85546875" style="813" customWidth="1"/>
    <col min="6418" max="6654" width="11.42578125" style="813"/>
    <col min="6655" max="6655" width="5.42578125" style="813" customWidth="1"/>
    <col min="6656" max="6656" width="43.5703125" style="813" customWidth="1"/>
    <col min="6657" max="6657" width="5.42578125" style="813" customWidth="1"/>
    <col min="6658" max="6658" width="43.5703125" style="813" customWidth="1"/>
    <col min="6659" max="6659" width="5.42578125" style="813" customWidth="1"/>
    <col min="6660" max="6660" width="43.5703125" style="813" customWidth="1"/>
    <col min="6661" max="6661" width="5.42578125" style="813" customWidth="1"/>
    <col min="6662" max="6662" width="43.5703125" style="813" customWidth="1"/>
    <col min="6663" max="6663" width="3.42578125" style="813" customWidth="1"/>
    <col min="6664" max="6664" width="13.7109375" style="813" customWidth="1"/>
    <col min="6665" max="6665" width="5.42578125" style="813" customWidth="1"/>
    <col min="6666" max="6666" width="43.5703125" style="813" customWidth="1"/>
    <col min="6667" max="6667" width="5.42578125" style="813" customWidth="1"/>
    <col min="6668" max="6668" width="43.5703125" style="813" customWidth="1"/>
    <col min="6669" max="6669" width="5.42578125" style="813" customWidth="1"/>
    <col min="6670" max="6670" width="43.5703125" style="813" customWidth="1"/>
    <col min="6671" max="6671" width="5.42578125" style="813" customWidth="1"/>
    <col min="6672" max="6672" width="43.5703125" style="813" customWidth="1"/>
    <col min="6673" max="6673" width="2.85546875" style="813" customWidth="1"/>
    <col min="6674" max="6910" width="11.42578125" style="813"/>
    <col min="6911" max="6911" width="5.42578125" style="813" customWidth="1"/>
    <col min="6912" max="6912" width="43.5703125" style="813" customWidth="1"/>
    <col min="6913" max="6913" width="5.42578125" style="813" customWidth="1"/>
    <col min="6914" max="6914" width="43.5703125" style="813" customWidth="1"/>
    <col min="6915" max="6915" width="5.42578125" style="813" customWidth="1"/>
    <col min="6916" max="6916" width="43.5703125" style="813" customWidth="1"/>
    <col min="6917" max="6917" width="5.42578125" style="813" customWidth="1"/>
    <col min="6918" max="6918" width="43.5703125" style="813" customWidth="1"/>
    <col min="6919" max="6919" width="3.42578125" style="813" customWidth="1"/>
    <col min="6920" max="6920" width="13.7109375" style="813" customWidth="1"/>
    <col min="6921" max="6921" width="5.42578125" style="813" customWidth="1"/>
    <col min="6922" max="6922" width="43.5703125" style="813" customWidth="1"/>
    <col min="6923" max="6923" width="5.42578125" style="813" customWidth="1"/>
    <col min="6924" max="6924" width="43.5703125" style="813" customWidth="1"/>
    <col min="6925" max="6925" width="5.42578125" style="813" customWidth="1"/>
    <col min="6926" max="6926" width="43.5703125" style="813" customWidth="1"/>
    <col min="6927" max="6927" width="5.42578125" style="813" customWidth="1"/>
    <col min="6928" max="6928" width="43.5703125" style="813" customWidth="1"/>
    <col min="6929" max="6929" width="2.85546875" style="813" customWidth="1"/>
    <col min="6930" max="7166" width="11.42578125" style="813"/>
    <col min="7167" max="7167" width="5.42578125" style="813" customWidth="1"/>
    <col min="7168" max="7168" width="43.5703125" style="813" customWidth="1"/>
    <col min="7169" max="7169" width="5.42578125" style="813" customWidth="1"/>
    <col min="7170" max="7170" width="43.5703125" style="813" customWidth="1"/>
    <col min="7171" max="7171" width="5.42578125" style="813" customWidth="1"/>
    <col min="7172" max="7172" width="43.5703125" style="813" customWidth="1"/>
    <col min="7173" max="7173" width="5.42578125" style="813" customWidth="1"/>
    <col min="7174" max="7174" width="43.5703125" style="813" customWidth="1"/>
    <col min="7175" max="7175" width="3.42578125" style="813" customWidth="1"/>
    <col min="7176" max="7176" width="13.7109375" style="813" customWidth="1"/>
    <col min="7177" max="7177" width="5.42578125" style="813" customWidth="1"/>
    <col min="7178" max="7178" width="43.5703125" style="813" customWidth="1"/>
    <col min="7179" max="7179" width="5.42578125" style="813" customWidth="1"/>
    <col min="7180" max="7180" width="43.5703125" style="813" customWidth="1"/>
    <col min="7181" max="7181" width="5.42578125" style="813" customWidth="1"/>
    <col min="7182" max="7182" width="43.5703125" style="813" customWidth="1"/>
    <col min="7183" max="7183" width="5.42578125" style="813" customWidth="1"/>
    <col min="7184" max="7184" width="43.5703125" style="813" customWidth="1"/>
    <col min="7185" max="7185" width="2.85546875" style="813" customWidth="1"/>
    <col min="7186" max="7422" width="11.42578125" style="813"/>
    <col min="7423" max="7423" width="5.42578125" style="813" customWidth="1"/>
    <col min="7424" max="7424" width="43.5703125" style="813" customWidth="1"/>
    <col min="7425" max="7425" width="5.42578125" style="813" customWidth="1"/>
    <col min="7426" max="7426" width="43.5703125" style="813" customWidth="1"/>
    <col min="7427" max="7427" width="5.42578125" style="813" customWidth="1"/>
    <col min="7428" max="7428" width="43.5703125" style="813" customWidth="1"/>
    <col min="7429" max="7429" width="5.42578125" style="813" customWidth="1"/>
    <col min="7430" max="7430" width="43.5703125" style="813" customWidth="1"/>
    <col min="7431" max="7431" width="3.42578125" style="813" customWidth="1"/>
    <col min="7432" max="7432" width="13.7109375" style="813" customWidth="1"/>
    <col min="7433" max="7433" width="5.42578125" style="813" customWidth="1"/>
    <col min="7434" max="7434" width="43.5703125" style="813" customWidth="1"/>
    <col min="7435" max="7435" width="5.42578125" style="813" customWidth="1"/>
    <col min="7436" max="7436" width="43.5703125" style="813" customWidth="1"/>
    <col min="7437" max="7437" width="5.42578125" style="813" customWidth="1"/>
    <col min="7438" max="7438" width="43.5703125" style="813" customWidth="1"/>
    <col min="7439" max="7439" width="5.42578125" style="813" customWidth="1"/>
    <col min="7440" max="7440" width="43.5703125" style="813" customWidth="1"/>
    <col min="7441" max="7441" width="2.85546875" style="813" customWidth="1"/>
    <col min="7442" max="7678" width="11.42578125" style="813"/>
    <col min="7679" max="7679" width="5.42578125" style="813" customWidth="1"/>
    <col min="7680" max="7680" width="43.5703125" style="813" customWidth="1"/>
    <col min="7681" max="7681" width="5.42578125" style="813" customWidth="1"/>
    <col min="7682" max="7682" width="43.5703125" style="813" customWidth="1"/>
    <col min="7683" max="7683" width="5.42578125" style="813" customWidth="1"/>
    <col min="7684" max="7684" width="43.5703125" style="813" customWidth="1"/>
    <col min="7685" max="7685" width="5.42578125" style="813" customWidth="1"/>
    <col min="7686" max="7686" width="43.5703125" style="813" customWidth="1"/>
    <col min="7687" max="7687" width="3.42578125" style="813" customWidth="1"/>
    <col min="7688" max="7688" width="13.7109375" style="813" customWidth="1"/>
    <col min="7689" max="7689" width="5.42578125" style="813" customWidth="1"/>
    <col min="7690" max="7690" width="43.5703125" style="813" customWidth="1"/>
    <col min="7691" max="7691" width="5.42578125" style="813" customWidth="1"/>
    <col min="7692" max="7692" width="43.5703125" style="813" customWidth="1"/>
    <col min="7693" max="7693" width="5.42578125" style="813" customWidth="1"/>
    <col min="7694" max="7694" width="43.5703125" style="813" customWidth="1"/>
    <col min="7695" max="7695" width="5.42578125" style="813" customWidth="1"/>
    <col min="7696" max="7696" width="43.5703125" style="813" customWidth="1"/>
    <col min="7697" max="7697" width="2.85546875" style="813" customWidth="1"/>
    <col min="7698" max="7934" width="11.42578125" style="813"/>
    <col min="7935" max="7935" width="5.42578125" style="813" customWidth="1"/>
    <col min="7936" max="7936" width="43.5703125" style="813" customWidth="1"/>
    <col min="7937" max="7937" width="5.42578125" style="813" customWidth="1"/>
    <col min="7938" max="7938" width="43.5703125" style="813" customWidth="1"/>
    <col min="7939" max="7939" width="5.42578125" style="813" customWidth="1"/>
    <col min="7940" max="7940" width="43.5703125" style="813" customWidth="1"/>
    <col min="7941" max="7941" width="5.42578125" style="813" customWidth="1"/>
    <col min="7942" max="7942" width="43.5703125" style="813" customWidth="1"/>
    <col min="7943" max="7943" width="3.42578125" style="813" customWidth="1"/>
    <col min="7944" max="7944" width="13.7109375" style="813" customWidth="1"/>
    <col min="7945" max="7945" width="5.42578125" style="813" customWidth="1"/>
    <col min="7946" max="7946" width="43.5703125" style="813" customWidth="1"/>
    <col min="7947" max="7947" width="5.42578125" style="813" customWidth="1"/>
    <col min="7948" max="7948" width="43.5703125" style="813" customWidth="1"/>
    <col min="7949" max="7949" width="5.42578125" style="813" customWidth="1"/>
    <col min="7950" max="7950" width="43.5703125" style="813" customWidth="1"/>
    <col min="7951" max="7951" width="5.42578125" style="813" customWidth="1"/>
    <col min="7952" max="7952" width="43.5703125" style="813" customWidth="1"/>
    <col min="7953" max="7953" width="2.85546875" style="813" customWidth="1"/>
    <col min="7954" max="8190" width="11.42578125" style="813"/>
    <col min="8191" max="8191" width="5.42578125" style="813" customWidth="1"/>
    <col min="8192" max="8192" width="43.5703125" style="813" customWidth="1"/>
    <col min="8193" max="8193" width="5.42578125" style="813" customWidth="1"/>
    <col min="8194" max="8194" width="43.5703125" style="813" customWidth="1"/>
    <col min="8195" max="8195" width="5.42578125" style="813" customWidth="1"/>
    <col min="8196" max="8196" width="43.5703125" style="813" customWidth="1"/>
    <col min="8197" max="8197" width="5.42578125" style="813" customWidth="1"/>
    <col min="8198" max="8198" width="43.5703125" style="813" customWidth="1"/>
    <col min="8199" max="8199" width="3.42578125" style="813" customWidth="1"/>
    <col min="8200" max="8200" width="13.7109375" style="813" customWidth="1"/>
    <col min="8201" max="8201" width="5.42578125" style="813" customWidth="1"/>
    <col min="8202" max="8202" width="43.5703125" style="813" customWidth="1"/>
    <col min="8203" max="8203" width="5.42578125" style="813" customWidth="1"/>
    <col min="8204" max="8204" width="43.5703125" style="813" customWidth="1"/>
    <col min="8205" max="8205" width="5.42578125" style="813" customWidth="1"/>
    <col min="8206" max="8206" width="43.5703125" style="813" customWidth="1"/>
    <col min="8207" max="8207" width="5.42578125" style="813" customWidth="1"/>
    <col min="8208" max="8208" width="43.5703125" style="813" customWidth="1"/>
    <col min="8209" max="8209" width="2.85546875" style="813" customWidth="1"/>
    <col min="8210" max="8446" width="11.42578125" style="813"/>
    <col min="8447" max="8447" width="5.42578125" style="813" customWidth="1"/>
    <col min="8448" max="8448" width="43.5703125" style="813" customWidth="1"/>
    <col min="8449" max="8449" width="5.42578125" style="813" customWidth="1"/>
    <col min="8450" max="8450" width="43.5703125" style="813" customWidth="1"/>
    <col min="8451" max="8451" width="5.42578125" style="813" customWidth="1"/>
    <col min="8452" max="8452" width="43.5703125" style="813" customWidth="1"/>
    <col min="8453" max="8453" width="5.42578125" style="813" customWidth="1"/>
    <col min="8454" max="8454" width="43.5703125" style="813" customWidth="1"/>
    <col min="8455" max="8455" width="3.42578125" style="813" customWidth="1"/>
    <col min="8456" max="8456" width="13.7109375" style="813" customWidth="1"/>
    <col min="8457" max="8457" width="5.42578125" style="813" customWidth="1"/>
    <col min="8458" max="8458" width="43.5703125" style="813" customWidth="1"/>
    <col min="8459" max="8459" width="5.42578125" style="813" customWidth="1"/>
    <col min="8460" max="8460" width="43.5703125" style="813" customWidth="1"/>
    <col min="8461" max="8461" width="5.42578125" style="813" customWidth="1"/>
    <col min="8462" max="8462" width="43.5703125" style="813" customWidth="1"/>
    <col min="8463" max="8463" width="5.42578125" style="813" customWidth="1"/>
    <col min="8464" max="8464" width="43.5703125" style="813" customWidth="1"/>
    <col min="8465" max="8465" width="2.85546875" style="813" customWidth="1"/>
    <col min="8466" max="8702" width="11.42578125" style="813"/>
    <col min="8703" max="8703" width="5.42578125" style="813" customWidth="1"/>
    <col min="8704" max="8704" width="43.5703125" style="813" customWidth="1"/>
    <col min="8705" max="8705" width="5.42578125" style="813" customWidth="1"/>
    <col min="8706" max="8706" width="43.5703125" style="813" customWidth="1"/>
    <col min="8707" max="8707" width="5.42578125" style="813" customWidth="1"/>
    <col min="8708" max="8708" width="43.5703125" style="813" customWidth="1"/>
    <col min="8709" max="8709" width="5.42578125" style="813" customWidth="1"/>
    <col min="8710" max="8710" width="43.5703125" style="813" customWidth="1"/>
    <col min="8711" max="8711" width="3.42578125" style="813" customWidth="1"/>
    <col min="8712" max="8712" width="13.7109375" style="813" customWidth="1"/>
    <col min="8713" max="8713" width="5.42578125" style="813" customWidth="1"/>
    <col min="8714" max="8714" width="43.5703125" style="813" customWidth="1"/>
    <col min="8715" max="8715" width="5.42578125" style="813" customWidth="1"/>
    <col min="8716" max="8716" width="43.5703125" style="813" customWidth="1"/>
    <col min="8717" max="8717" width="5.42578125" style="813" customWidth="1"/>
    <col min="8718" max="8718" width="43.5703125" style="813" customWidth="1"/>
    <col min="8719" max="8719" width="5.42578125" style="813" customWidth="1"/>
    <col min="8720" max="8720" width="43.5703125" style="813" customWidth="1"/>
    <col min="8721" max="8721" width="2.85546875" style="813" customWidth="1"/>
    <col min="8722" max="8958" width="11.42578125" style="813"/>
    <col min="8959" max="8959" width="5.42578125" style="813" customWidth="1"/>
    <col min="8960" max="8960" width="43.5703125" style="813" customWidth="1"/>
    <col min="8961" max="8961" width="5.42578125" style="813" customWidth="1"/>
    <col min="8962" max="8962" width="43.5703125" style="813" customWidth="1"/>
    <col min="8963" max="8963" width="5.42578125" style="813" customWidth="1"/>
    <col min="8964" max="8964" width="43.5703125" style="813" customWidth="1"/>
    <col min="8965" max="8965" width="5.42578125" style="813" customWidth="1"/>
    <col min="8966" max="8966" width="43.5703125" style="813" customWidth="1"/>
    <col min="8967" max="8967" width="3.42578125" style="813" customWidth="1"/>
    <col min="8968" max="8968" width="13.7109375" style="813" customWidth="1"/>
    <col min="8969" max="8969" width="5.42578125" style="813" customWidth="1"/>
    <col min="8970" max="8970" width="43.5703125" style="813" customWidth="1"/>
    <col min="8971" max="8971" width="5.42578125" style="813" customWidth="1"/>
    <col min="8972" max="8972" width="43.5703125" style="813" customWidth="1"/>
    <col min="8973" max="8973" width="5.42578125" style="813" customWidth="1"/>
    <col min="8974" max="8974" width="43.5703125" style="813" customWidth="1"/>
    <col min="8975" max="8975" width="5.42578125" style="813" customWidth="1"/>
    <col min="8976" max="8976" width="43.5703125" style="813" customWidth="1"/>
    <col min="8977" max="8977" width="2.85546875" style="813" customWidth="1"/>
    <col min="8978" max="9214" width="11.42578125" style="813"/>
    <col min="9215" max="9215" width="5.42578125" style="813" customWidth="1"/>
    <col min="9216" max="9216" width="43.5703125" style="813" customWidth="1"/>
    <col min="9217" max="9217" width="5.42578125" style="813" customWidth="1"/>
    <col min="9218" max="9218" width="43.5703125" style="813" customWidth="1"/>
    <col min="9219" max="9219" width="5.42578125" style="813" customWidth="1"/>
    <col min="9220" max="9220" width="43.5703125" style="813" customWidth="1"/>
    <col min="9221" max="9221" width="5.42578125" style="813" customWidth="1"/>
    <col min="9222" max="9222" width="43.5703125" style="813" customWidth="1"/>
    <col min="9223" max="9223" width="3.42578125" style="813" customWidth="1"/>
    <col min="9224" max="9224" width="13.7109375" style="813" customWidth="1"/>
    <col min="9225" max="9225" width="5.42578125" style="813" customWidth="1"/>
    <col min="9226" max="9226" width="43.5703125" style="813" customWidth="1"/>
    <col min="9227" max="9227" width="5.42578125" style="813" customWidth="1"/>
    <col min="9228" max="9228" width="43.5703125" style="813" customWidth="1"/>
    <col min="9229" max="9229" width="5.42578125" style="813" customWidth="1"/>
    <col min="9230" max="9230" width="43.5703125" style="813" customWidth="1"/>
    <col min="9231" max="9231" width="5.42578125" style="813" customWidth="1"/>
    <col min="9232" max="9232" width="43.5703125" style="813" customWidth="1"/>
    <col min="9233" max="9233" width="2.85546875" style="813" customWidth="1"/>
    <col min="9234" max="9470" width="11.42578125" style="813"/>
    <col min="9471" max="9471" width="5.42578125" style="813" customWidth="1"/>
    <col min="9472" max="9472" width="43.5703125" style="813" customWidth="1"/>
    <col min="9473" max="9473" width="5.42578125" style="813" customWidth="1"/>
    <col min="9474" max="9474" width="43.5703125" style="813" customWidth="1"/>
    <col min="9475" max="9475" width="5.42578125" style="813" customWidth="1"/>
    <col min="9476" max="9476" width="43.5703125" style="813" customWidth="1"/>
    <col min="9477" max="9477" width="5.42578125" style="813" customWidth="1"/>
    <col min="9478" max="9478" width="43.5703125" style="813" customWidth="1"/>
    <col min="9479" max="9479" width="3.42578125" style="813" customWidth="1"/>
    <col min="9480" max="9480" width="13.7109375" style="813" customWidth="1"/>
    <col min="9481" max="9481" width="5.42578125" style="813" customWidth="1"/>
    <col min="9482" max="9482" width="43.5703125" style="813" customWidth="1"/>
    <col min="9483" max="9483" width="5.42578125" style="813" customWidth="1"/>
    <col min="9484" max="9484" width="43.5703125" style="813" customWidth="1"/>
    <col min="9485" max="9485" width="5.42578125" style="813" customWidth="1"/>
    <col min="9486" max="9486" width="43.5703125" style="813" customWidth="1"/>
    <col min="9487" max="9487" width="5.42578125" style="813" customWidth="1"/>
    <col min="9488" max="9488" width="43.5703125" style="813" customWidth="1"/>
    <col min="9489" max="9489" width="2.85546875" style="813" customWidth="1"/>
    <col min="9490" max="9726" width="11.42578125" style="813"/>
    <col min="9727" max="9727" width="5.42578125" style="813" customWidth="1"/>
    <col min="9728" max="9728" width="43.5703125" style="813" customWidth="1"/>
    <col min="9729" max="9729" width="5.42578125" style="813" customWidth="1"/>
    <col min="9730" max="9730" width="43.5703125" style="813" customWidth="1"/>
    <col min="9731" max="9731" width="5.42578125" style="813" customWidth="1"/>
    <col min="9732" max="9732" width="43.5703125" style="813" customWidth="1"/>
    <col min="9733" max="9733" width="5.42578125" style="813" customWidth="1"/>
    <col min="9734" max="9734" width="43.5703125" style="813" customWidth="1"/>
    <col min="9735" max="9735" width="3.42578125" style="813" customWidth="1"/>
    <col min="9736" max="9736" width="13.7109375" style="813" customWidth="1"/>
    <col min="9737" max="9737" width="5.42578125" style="813" customWidth="1"/>
    <col min="9738" max="9738" width="43.5703125" style="813" customWidth="1"/>
    <col min="9739" max="9739" width="5.42578125" style="813" customWidth="1"/>
    <col min="9740" max="9740" width="43.5703125" style="813" customWidth="1"/>
    <col min="9741" max="9741" width="5.42578125" style="813" customWidth="1"/>
    <col min="9742" max="9742" width="43.5703125" style="813" customWidth="1"/>
    <col min="9743" max="9743" width="5.42578125" style="813" customWidth="1"/>
    <col min="9744" max="9744" width="43.5703125" style="813" customWidth="1"/>
    <col min="9745" max="9745" width="2.85546875" style="813" customWidth="1"/>
    <col min="9746" max="9982" width="11.42578125" style="813"/>
    <col min="9983" max="9983" width="5.42578125" style="813" customWidth="1"/>
    <col min="9984" max="9984" width="43.5703125" style="813" customWidth="1"/>
    <col min="9985" max="9985" width="5.42578125" style="813" customWidth="1"/>
    <col min="9986" max="9986" width="43.5703125" style="813" customWidth="1"/>
    <col min="9987" max="9987" width="5.42578125" style="813" customWidth="1"/>
    <col min="9988" max="9988" width="43.5703125" style="813" customWidth="1"/>
    <col min="9989" max="9989" width="5.42578125" style="813" customWidth="1"/>
    <col min="9990" max="9990" width="43.5703125" style="813" customWidth="1"/>
    <col min="9991" max="9991" width="3.42578125" style="813" customWidth="1"/>
    <col min="9992" max="9992" width="13.7109375" style="813" customWidth="1"/>
    <col min="9993" max="9993" width="5.42578125" style="813" customWidth="1"/>
    <col min="9994" max="9994" width="43.5703125" style="813" customWidth="1"/>
    <col min="9995" max="9995" width="5.42578125" style="813" customWidth="1"/>
    <col min="9996" max="9996" width="43.5703125" style="813" customWidth="1"/>
    <col min="9997" max="9997" width="5.42578125" style="813" customWidth="1"/>
    <col min="9998" max="9998" width="43.5703125" style="813" customWidth="1"/>
    <col min="9999" max="9999" width="5.42578125" style="813" customWidth="1"/>
    <col min="10000" max="10000" width="43.5703125" style="813" customWidth="1"/>
    <col min="10001" max="10001" width="2.85546875" style="813" customWidth="1"/>
    <col min="10002" max="10238" width="11.42578125" style="813"/>
    <col min="10239" max="10239" width="5.42578125" style="813" customWidth="1"/>
    <col min="10240" max="10240" width="43.5703125" style="813" customWidth="1"/>
    <col min="10241" max="10241" width="5.42578125" style="813" customWidth="1"/>
    <col min="10242" max="10242" width="43.5703125" style="813" customWidth="1"/>
    <col min="10243" max="10243" width="5.42578125" style="813" customWidth="1"/>
    <col min="10244" max="10244" width="43.5703125" style="813" customWidth="1"/>
    <col min="10245" max="10245" width="5.42578125" style="813" customWidth="1"/>
    <col min="10246" max="10246" width="43.5703125" style="813" customWidth="1"/>
    <col min="10247" max="10247" width="3.42578125" style="813" customWidth="1"/>
    <col min="10248" max="10248" width="13.7109375" style="813" customWidth="1"/>
    <col min="10249" max="10249" width="5.42578125" style="813" customWidth="1"/>
    <col min="10250" max="10250" width="43.5703125" style="813" customWidth="1"/>
    <col min="10251" max="10251" width="5.42578125" style="813" customWidth="1"/>
    <col min="10252" max="10252" width="43.5703125" style="813" customWidth="1"/>
    <col min="10253" max="10253" width="5.42578125" style="813" customWidth="1"/>
    <col min="10254" max="10254" width="43.5703125" style="813" customWidth="1"/>
    <col min="10255" max="10255" width="5.42578125" style="813" customWidth="1"/>
    <col min="10256" max="10256" width="43.5703125" style="813" customWidth="1"/>
    <col min="10257" max="10257" width="2.85546875" style="813" customWidth="1"/>
    <col min="10258" max="10494" width="11.42578125" style="813"/>
    <col min="10495" max="10495" width="5.42578125" style="813" customWidth="1"/>
    <col min="10496" max="10496" width="43.5703125" style="813" customWidth="1"/>
    <col min="10497" max="10497" width="5.42578125" style="813" customWidth="1"/>
    <col min="10498" max="10498" width="43.5703125" style="813" customWidth="1"/>
    <col min="10499" max="10499" width="5.42578125" style="813" customWidth="1"/>
    <col min="10500" max="10500" width="43.5703125" style="813" customWidth="1"/>
    <col min="10501" max="10501" width="5.42578125" style="813" customWidth="1"/>
    <col min="10502" max="10502" width="43.5703125" style="813" customWidth="1"/>
    <col min="10503" max="10503" width="3.42578125" style="813" customWidth="1"/>
    <col min="10504" max="10504" width="13.7109375" style="813" customWidth="1"/>
    <col min="10505" max="10505" width="5.42578125" style="813" customWidth="1"/>
    <col min="10506" max="10506" width="43.5703125" style="813" customWidth="1"/>
    <col min="10507" max="10507" width="5.42578125" style="813" customWidth="1"/>
    <col min="10508" max="10508" width="43.5703125" style="813" customWidth="1"/>
    <col min="10509" max="10509" width="5.42578125" style="813" customWidth="1"/>
    <col min="10510" max="10510" width="43.5703125" style="813" customWidth="1"/>
    <col min="10511" max="10511" width="5.42578125" style="813" customWidth="1"/>
    <col min="10512" max="10512" width="43.5703125" style="813" customWidth="1"/>
    <col min="10513" max="10513" width="2.85546875" style="813" customWidth="1"/>
    <col min="10514" max="10750" width="11.42578125" style="813"/>
    <col min="10751" max="10751" width="5.42578125" style="813" customWidth="1"/>
    <col min="10752" max="10752" width="43.5703125" style="813" customWidth="1"/>
    <col min="10753" max="10753" width="5.42578125" style="813" customWidth="1"/>
    <col min="10754" max="10754" width="43.5703125" style="813" customWidth="1"/>
    <col min="10755" max="10755" width="5.42578125" style="813" customWidth="1"/>
    <col min="10756" max="10756" width="43.5703125" style="813" customWidth="1"/>
    <col min="10757" max="10757" width="5.42578125" style="813" customWidth="1"/>
    <col min="10758" max="10758" width="43.5703125" style="813" customWidth="1"/>
    <col min="10759" max="10759" width="3.42578125" style="813" customWidth="1"/>
    <col min="10760" max="10760" width="13.7109375" style="813" customWidth="1"/>
    <col min="10761" max="10761" width="5.42578125" style="813" customWidth="1"/>
    <col min="10762" max="10762" width="43.5703125" style="813" customWidth="1"/>
    <col min="10763" max="10763" width="5.42578125" style="813" customWidth="1"/>
    <col min="10764" max="10764" width="43.5703125" style="813" customWidth="1"/>
    <col min="10765" max="10765" width="5.42578125" style="813" customWidth="1"/>
    <col min="10766" max="10766" width="43.5703125" style="813" customWidth="1"/>
    <col min="10767" max="10767" width="5.42578125" style="813" customWidth="1"/>
    <col min="10768" max="10768" width="43.5703125" style="813" customWidth="1"/>
    <col min="10769" max="10769" width="2.85546875" style="813" customWidth="1"/>
    <col min="10770" max="11006" width="11.42578125" style="813"/>
    <col min="11007" max="11007" width="5.42578125" style="813" customWidth="1"/>
    <col min="11008" max="11008" width="43.5703125" style="813" customWidth="1"/>
    <col min="11009" max="11009" width="5.42578125" style="813" customWidth="1"/>
    <col min="11010" max="11010" width="43.5703125" style="813" customWidth="1"/>
    <col min="11011" max="11011" width="5.42578125" style="813" customWidth="1"/>
    <col min="11012" max="11012" width="43.5703125" style="813" customWidth="1"/>
    <col min="11013" max="11013" width="5.42578125" style="813" customWidth="1"/>
    <col min="11014" max="11014" width="43.5703125" style="813" customWidth="1"/>
    <col min="11015" max="11015" width="3.42578125" style="813" customWidth="1"/>
    <col min="11016" max="11016" width="13.7109375" style="813" customWidth="1"/>
    <col min="11017" max="11017" width="5.42578125" style="813" customWidth="1"/>
    <col min="11018" max="11018" width="43.5703125" style="813" customWidth="1"/>
    <col min="11019" max="11019" width="5.42578125" style="813" customWidth="1"/>
    <col min="11020" max="11020" width="43.5703125" style="813" customWidth="1"/>
    <col min="11021" max="11021" width="5.42578125" style="813" customWidth="1"/>
    <col min="11022" max="11022" width="43.5703125" style="813" customWidth="1"/>
    <col min="11023" max="11023" width="5.42578125" style="813" customWidth="1"/>
    <col min="11024" max="11024" width="43.5703125" style="813" customWidth="1"/>
    <col min="11025" max="11025" width="2.85546875" style="813" customWidth="1"/>
    <col min="11026" max="11262" width="11.42578125" style="813"/>
    <col min="11263" max="11263" width="5.42578125" style="813" customWidth="1"/>
    <col min="11264" max="11264" width="43.5703125" style="813" customWidth="1"/>
    <col min="11265" max="11265" width="5.42578125" style="813" customWidth="1"/>
    <col min="11266" max="11266" width="43.5703125" style="813" customWidth="1"/>
    <col min="11267" max="11267" width="5.42578125" style="813" customWidth="1"/>
    <col min="11268" max="11268" width="43.5703125" style="813" customWidth="1"/>
    <col min="11269" max="11269" width="5.42578125" style="813" customWidth="1"/>
    <col min="11270" max="11270" width="43.5703125" style="813" customWidth="1"/>
    <col min="11271" max="11271" width="3.42578125" style="813" customWidth="1"/>
    <col min="11272" max="11272" width="13.7109375" style="813" customWidth="1"/>
    <col min="11273" max="11273" width="5.42578125" style="813" customWidth="1"/>
    <col min="11274" max="11274" width="43.5703125" style="813" customWidth="1"/>
    <col min="11275" max="11275" width="5.42578125" style="813" customWidth="1"/>
    <col min="11276" max="11276" width="43.5703125" style="813" customWidth="1"/>
    <col min="11277" max="11277" width="5.42578125" style="813" customWidth="1"/>
    <col min="11278" max="11278" width="43.5703125" style="813" customWidth="1"/>
    <col min="11279" max="11279" width="5.42578125" style="813" customWidth="1"/>
    <col min="11280" max="11280" width="43.5703125" style="813" customWidth="1"/>
    <col min="11281" max="11281" width="2.85546875" style="813" customWidth="1"/>
    <col min="11282" max="11518" width="11.42578125" style="813"/>
    <col min="11519" max="11519" width="5.42578125" style="813" customWidth="1"/>
    <col min="11520" max="11520" width="43.5703125" style="813" customWidth="1"/>
    <col min="11521" max="11521" width="5.42578125" style="813" customWidth="1"/>
    <col min="11522" max="11522" width="43.5703125" style="813" customWidth="1"/>
    <col min="11523" max="11523" width="5.42578125" style="813" customWidth="1"/>
    <col min="11524" max="11524" width="43.5703125" style="813" customWidth="1"/>
    <col min="11525" max="11525" width="5.42578125" style="813" customWidth="1"/>
    <col min="11526" max="11526" width="43.5703125" style="813" customWidth="1"/>
    <col min="11527" max="11527" width="3.42578125" style="813" customWidth="1"/>
    <col min="11528" max="11528" width="13.7109375" style="813" customWidth="1"/>
    <col min="11529" max="11529" width="5.42578125" style="813" customWidth="1"/>
    <col min="11530" max="11530" width="43.5703125" style="813" customWidth="1"/>
    <col min="11531" max="11531" width="5.42578125" style="813" customWidth="1"/>
    <col min="11532" max="11532" width="43.5703125" style="813" customWidth="1"/>
    <col min="11533" max="11533" width="5.42578125" style="813" customWidth="1"/>
    <col min="11534" max="11534" width="43.5703125" style="813" customWidth="1"/>
    <col min="11535" max="11535" width="5.42578125" style="813" customWidth="1"/>
    <col min="11536" max="11536" width="43.5703125" style="813" customWidth="1"/>
    <col min="11537" max="11537" width="2.85546875" style="813" customWidth="1"/>
    <col min="11538" max="11774" width="11.42578125" style="813"/>
    <col min="11775" max="11775" width="5.42578125" style="813" customWidth="1"/>
    <col min="11776" max="11776" width="43.5703125" style="813" customWidth="1"/>
    <col min="11777" max="11777" width="5.42578125" style="813" customWidth="1"/>
    <col min="11778" max="11778" width="43.5703125" style="813" customWidth="1"/>
    <col min="11779" max="11779" width="5.42578125" style="813" customWidth="1"/>
    <col min="11780" max="11780" width="43.5703125" style="813" customWidth="1"/>
    <col min="11781" max="11781" width="5.42578125" style="813" customWidth="1"/>
    <col min="11782" max="11782" width="43.5703125" style="813" customWidth="1"/>
    <col min="11783" max="11783" width="3.42578125" style="813" customWidth="1"/>
    <col min="11784" max="11784" width="13.7109375" style="813" customWidth="1"/>
    <col min="11785" max="11785" width="5.42578125" style="813" customWidth="1"/>
    <col min="11786" max="11786" width="43.5703125" style="813" customWidth="1"/>
    <col min="11787" max="11787" width="5.42578125" style="813" customWidth="1"/>
    <col min="11788" max="11788" width="43.5703125" style="813" customWidth="1"/>
    <col min="11789" max="11789" width="5.42578125" style="813" customWidth="1"/>
    <col min="11790" max="11790" width="43.5703125" style="813" customWidth="1"/>
    <col min="11791" max="11791" width="5.42578125" style="813" customWidth="1"/>
    <col min="11792" max="11792" width="43.5703125" style="813" customWidth="1"/>
    <col min="11793" max="11793" width="2.85546875" style="813" customWidth="1"/>
    <col min="11794" max="12030" width="11.42578125" style="813"/>
    <col min="12031" max="12031" width="5.42578125" style="813" customWidth="1"/>
    <col min="12032" max="12032" width="43.5703125" style="813" customWidth="1"/>
    <col min="12033" max="12033" width="5.42578125" style="813" customWidth="1"/>
    <col min="12034" max="12034" width="43.5703125" style="813" customWidth="1"/>
    <col min="12035" max="12035" width="5.42578125" style="813" customWidth="1"/>
    <col min="12036" max="12036" width="43.5703125" style="813" customWidth="1"/>
    <col min="12037" max="12037" width="5.42578125" style="813" customWidth="1"/>
    <col min="12038" max="12038" width="43.5703125" style="813" customWidth="1"/>
    <col min="12039" max="12039" width="3.42578125" style="813" customWidth="1"/>
    <col min="12040" max="12040" width="13.7109375" style="813" customWidth="1"/>
    <col min="12041" max="12041" width="5.42578125" style="813" customWidth="1"/>
    <col min="12042" max="12042" width="43.5703125" style="813" customWidth="1"/>
    <col min="12043" max="12043" width="5.42578125" style="813" customWidth="1"/>
    <col min="12044" max="12044" width="43.5703125" style="813" customWidth="1"/>
    <col min="12045" max="12045" width="5.42578125" style="813" customWidth="1"/>
    <col min="12046" max="12046" width="43.5703125" style="813" customWidth="1"/>
    <col min="12047" max="12047" width="5.42578125" style="813" customWidth="1"/>
    <col min="12048" max="12048" width="43.5703125" style="813" customWidth="1"/>
    <col min="12049" max="12049" width="2.85546875" style="813" customWidth="1"/>
    <col min="12050" max="12286" width="11.42578125" style="813"/>
    <col min="12287" max="12287" width="5.42578125" style="813" customWidth="1"/>
    <col min="12288" max="12288" width="43.5703125" style="813" customWidth="1"/>
    <col min="12289" max="12289" width="5.42578125" style="813" customWidth="1"/>
    <col min="12290" max="12290" width="43.5703125" style="813" customWidth="1"/>
    <col min="12291" max="12291" width="5.42578125" style="813" customWidth="1"/>
    <col min="12292" max="12292" width="43.5703125" style="813" customWidth="1"/>
    <col min="12293" max="12293" width="5.42578125" style="813" customWidth="1"/>
    <col min="12294" max="12294" width="43.5703125" style="813" customWidth="1"/>
    <col min="12295" max="12295" width="3.42578125" style="813" customWidth="1"/>
    <col min="12296" max="12296" width="13.7109375" style="813" customWidth="1"/>
    <col min="12297" max="12297" width="5.42578125" style="813" customWidth="1"/>
    <col min="12298" max="12298" width="43.5703125" style="813" customWidth="1"/>
    <col min="12299" max="12299" width="5.42578125" style="813" customWidth="1"/>
    <col min="12300" max="12300" width="43.5703125" style="813" customWidth="1"/>
    <col min="12301" max="12301" width="5.42578125" style="813" customWidth="1"/>
    <col min="12302" max="12302" width="43.5703125" style="813" customWidth="1"/>
    <col min="12303" max="12303" width="5.42578125" style="813" customWidth="1"/>
    <col min="12304" max="12304" width="43.5703125" style="813" customWidth="1"/>
    <col min="12305" max="12305" width="2.85546875" style="813" customWidth="1"/>
    <col min="12306" max="12542" width="11.42578125" style="813"/>
    <col min="12543" max="12543" width="5.42578125" style="813" customWidth="1"/>
    <col min="12544" max="12544" width="43.5703125" style="813" customWidth="1"/>
    <col min="12545" max="12545" width="5.42578125" style="813" customWidth="1"/>
    <col min="12546" max="12546" width="43.5703125" style="813" customWidth="1"/>
    <col min="12547" max="12547" width="5.42578125" style="813" customWidth="1"/>
    <col min="12548" max="12548" width="43.5703125" style="813" customWidth="1"/>
    <col min="12549" max="12549" width="5.42578125" style="813" customWidth="1"/>
    <col min="12550" max="12550" width="43.5703125" style="813" customWidth="1"/>
    <col min="12551" max="12551" width="3.42578125" style="813" customWidth="1"/>
    <col min="12552" max="12552" width="13.7109375" style="813" customWidth="1"/>
    <col min="12553" max="12553" width="5.42578125" style="813" customWidth="1"/>
    <col min="12554" max="12554" width="43.5703125" style="813" customWidth="1"/>
    <col min="12555" max="12555" width="5.42578125" style="813" customWidth="1"/>
    <col min="12556" max="12556" width="43.5703125" style="813" customWidth="1"/>
    <col min="12557" max="12557" width="5.42578125" style="813" customWidth="1"/>
    <col min="12558" max="12558" width="43.5703125" style="813" customWidth="1"/>
    <col min="12559" max="12559" width="5.42578125" style="813" customWidth="1"/>
    <col min="12560" max="12560" width="43.5703125" style="813" customWidth="1"/>
    <col min="12561" max="12561" width="2.85546875" style="813" customWidth="1"/>
    <col min="12562" max="12798" width="11.42578125" style="813"/>
    <col min="12799" max="12799" width="5.42578125" style="813" customWidth="1"/>
    <col min="12800" max="12800" width="43.5703125" style="813" customWidth="1"/>
    <col min="12801" max="12801" width="5.42578125" style="813" customWidth="1"/>
    <col min="12802" max="12802" width="43.5703125" style="813" customWidth="1"/>
    <col min="12803" max="12803" width="5.42578125" style="813" customWidth="1"/>
    <col min="12804" max="12804" width="43.5703125" style="813" customWidth="1"/>
    <col min="12805" max="12805" width="5.42578125" style="813" customWidth="1"/>
    <col min="12806" max="12806" width="43.5703125" style="813" customWidth="1"/>
    <col min="12807" max="12807" width="3.42578125" style="813" customWidth="1"/>
    <col min="12808" max="12808" width="13.7109375" style="813" customWidth="1"/>
    <col min="12809" max="12809" width="5.42578125" style="813" customWidth="1"/>
    <col min="12810" max="12810" width="43.5703125" style="813" customWidth="1"/>
    <col min="12811" max="12811" width="5.42578125" style="813" customWidth="1"/>
    <col min="12812" max="12812" width="43.5703125" style="813" customWidth="1"/>
    <col min="12813" max="12813" width="5.42578125" style="813" customWidth="1"/>
    <col min="12814" max="12814" width="43.5703125" style="813" customWidth="1"/>
    <col min="12815" max="12815" width="5.42578125" style="813" customWidth="1"/>
    <col min="12816" max="12816" width="43.5703125" style="813" customWidth="1"/>
    <col min="12817" max="12817" width="2.85546875" style="813" customWidth="1"/>
    <col min="12818" max="13054" width="11.42578125" style="813"/>
    <col min="13055" max="13055" width="5.42578125" style="813" customWidth="1"/>
    <col min="13056" max="13056" width="43.5703125" style="813" customWidth="1"/>
    <col min="13057" max="13057" width="5.42578125" style="813" customWidth="1"/>
    <col min="13058" max="13058" width="43.5703125" style="813" customWidth="1"/>
    <col min="13059" max="13059" width="5.42578125" style="813" customWidth="1"/>
    <col min="13060" max="13060" width="43.5703125" style="813" customWidth="1"/>
    <col min="13061" max="13061" width="5.42578125" style="813" customWidth="1"/>
    <col min="13062" max="13062" width="43.5703125" style="813" customWidth="1"/>
    <col min="13063" max="13063" width="3.42578125" style="813" customWidth="1"/>
    <col min="13064" max="13064" width="13.7109375" style="813" customWidth="1"/>
    <col min="13065" max="13065" width="5.42578125" style="813" customWidth="1"/>
    <col min="13066" max="13066" width="43.5703125" style="813" customWidth="1"/>
    <col min="13067" max="13067" width="5.42578125" style="813" customWidth="1"/>
    <col min="13068" max="13068" width="43.5703125" style="813" customWidth="1"/>
    <col min="13069" max="13069" width="5.42578125" style="813" customWidth="1"/>
    <col min="13070" max="13070" width="43.5703125" style="813" customWidth="1"/>
    <col min="13071" max="13071" width="5.42578125" style="813" customWidth="1"/>
    <col min="13072" max="13072" width="43.5703125" style="813" customWidth="1"/>
    <col min="13073" max="13073" width="2.85546875" style="813" customWidth="1"/>
    <col min="13074" max="13310" width="11.42578125" style="813"/>
    <col min="13311" max="13311" width="5.42578125" style="813" customWidth="1"/>
    <col min="13312" max="13312" width="43.5703125" style="813" customWidth="1"/>
    <col min="13313" max="13313" width="5.42578125" style="813" customWidth="1"/>
    <col min="13314" max="13314" width="43.5703125" style="813" customWidth="1"/>
    <col min="13315" max="13315" width="5.42578125" style="813" customWidth="1"/>
    <col min="13316" max="13316" width="43.5703125" style="813" customWidth="1"/>
    <col min="13317" max="13317" width="5.42578125" style="813" customWidth="1"/>
    <col min="13318" max="13318" width="43.5703125" style="813" customWidth="1"/>
    <col min="13319" max="13319" width="3.42578125" style="813" customWidth="1"/>
    <col min="13320" max="13320" width="13.7109375" style="813" customWidth="1"/>
    <col min="13321" max="13321" width="5.42578125" style="813" customWidth="1"/>
    <col min="13322" max="13322" width="43.5703125" style="813" customWidth="1"/>
    <col min="13323" max="13323" width="5.42578125" style="813" customWidth="1"/>
    <col min="13324" max="13324" width="43.5703125" style="813" customWidth="1"/>
    <col min="13325" max="13325" width="5.42578125" style="813" customWidth="1"/>
    <col min="13326" max="13326" width="43.5703125" style="813" customWidth="1"/>
    <col min="13327" max="13327" width="5.42578125" style="813" customWidth="1"/>
    <col min="13328" max="13328" width="43.5703125" style="813" customWidth="1"/>
    <col min="13329" max="13329" width="2.85546875" style="813" customWidth="1"/>
    <col min="13330" max="13566" width="11.42578125" style="813"/>
    <col min="13567" max="13567" width="5.42578125" style="813" customWidth="1"/>
    <col min="13568" max="13568" width="43.5703125" style="813" customWidth="1"/>
    <col min="13569" max="13569" width="5.42578125" style="813" customWidth="1"/>
    <col min="13570" max="13570" width="43.5703125" style="813" customWidth="1"/>
    <col min="13571" max="13571" width="5.42578125" style="813" customWidth="1"/>
    <col min="13572" max="13572" width="43.5703125" style="813" customWidth="1"/>
    <col min="13573" max="13573" width="5.42578125" style="813" customWidth="1"/>
    <col min="13574" max="13574" width="43.5703125" style="813" customWidth="1"/>
    <col min="13575" max="13575" width="3.42578125" style="813" customWidth="1"/>
    <col min="13576" max="13576" width="13.7109375" style="813" customWidth="1"/>
    <col min="13577" max="13577" width="5.42578125" style="813" customWidth="1"/>
    <col min="13578" max="13578" width="43.5703125" style="813" customWidth="1"/>
    <col min="13579" max="13579" width="5.42578125" style="813" customWidth="1"/>
    <col min="13580" max="13580" width="43.5703125" style="813" customWidth="1"/>
    <col min="13581" max="13581" width="5.42578125" style="813" customWidth="1"/>
    <col min="13582" max="13582" width="43.5703125" style="813" customWidth="1"/>
    <col min="13583" max="13583" width="5.42578125" style="813" customWidth="1"/>
    <col min="13584" max="13584" width="43.5703125" style="813" customWidth="1"/>
    <col min="13585" max="13585" width="2.85546875" style="813" customWidth="1"/>
    <col min="13586" max="13822" width="11.42578125" style="813"/>
    <col min="13823" max="13823" width="5.42578125" style="813" customWidth="1"/>
    <col min="13824" max="13824" width="43.5703125" style="813" customWidth="1"/>
    <col min="13825" max="13825" width="5.42578125" style="813" customWidth="1"/>
    <col min="13826" max="13826" width="43.5703125" style="813" customWidth="1"/>
    <col min="13827" max="13827" width="5.42578125" style="813" customWidth="1"/>
    <col min="13828" max="13828" width="43.5703125" style="813" customWidth="1"/>
    <col min="13829" max="13829" width="5.42578125" style="813" customWidth="1"/>
    <col min="13830" max="13830" width="43.5703125" style="813" customWidth="1"/>
    <col min="13831" max="13831" width="3.42578125" style="813" customWidth="1"/>
    <col min="13832" max="13832" width="13.7109375" style="813" customWidth="1"/>
    <col min="13833" max="13833" width="5.42578125" style="813" customWidth="1"/>
    <col min="13834" max="13834" width="43.5703125" style="813" customWidth="1"/>
    <col min="13835" max="13835" width="5.42578125" style="813" customWidth="1"/>
    <col min="13836" max="13836" width="43.5703125" style="813" customWidth="1"/>
    <col min="13837" max="13837" width="5.42578125" style="813" customWidth="1"/>
    <col min="13838" max="13838" width="43.5703125" style="813" customWidth="1"/>
    <col min="13839" max="13839" width="5.42578125" style="813" customWidth="1"/>
    <col min="13840" max="13840" width="43.5703125" style="813" customWidth="1"/>
    <col min="13841" max="13841" width="2.85546875" style="813" customWidth="1"/>
    <col min="13842" max="14078" width="11.42578125" style="813"/>
    <col min="14079" max="14079" width="5.42578125" style="813" customWidth="1"/>
    <col min="14080" max="14080" width="43.5703125" style="813" customWidth="1"/>
    <col min="14081" max="14081" width="5.42578125" style="813" customWidth="1"/>
    <col min="14082" max="14082" width="43.5703125" style="813" customWidth="1"/>
    <col min="14083" max="14083" width="5.42578125" style="813" customWidth="1"/>
    <col min="14084" max="14084" width="43.5703125" style="813" customWidth="1"/>
    <col min="14085" max="14085" width="5.42578125" style="813" customWidth="1"/>
    <col min="14086" max="14086" width="43.5703125" style="813" customWidth="1"/>
    <col min="14087" max="14087" width="3.42578125" style="813" customWidth="1"/>
    <col min="14088" max="14088" width="13.7109375" style="813" customWidth="1"/>
    <col min="14089" max="14089" width="5.42578125" style="813" customWidth="1"/>
    <col min="14090" max="14090" width="43.5703125" style="813" customWidth="1"/>
    <col min="14091" max="14091" width="5.42578125" style="813" customWidth="1"/>
    <col min="14092" max="14092" width="43.5703125" style="813" customWidth="1"/>
    <col min="14093" max="14093" width="5.42578125" style="813" customWidth="1"/>
    <col min="14094" max="14094" width="43.5703125" style="813" customWidth="1"/>
    <col min="14095" max="14095" width="5.42578125" style="813" customWidth="1"/>
    <col min="14096" max="14096" width="43.5703125" style="813" customWidth="1"/>
    <col min="14097" max="14097" width="2.85546875" style="813" customWidth="1"/>
    <col min="14098" max="14334" width="11.42578125" style="813"/>
    <col min="14335" max="14335" width="5.42578125" style="813" customWidth="1"/>
    <col min="14336" max="14336" width="43.5703125" style="813" customWidth="1"/>
    <col min="14337" max="14337" width="5.42578125" style="813" customWidth="1"/>
    <col min="14338" max="14338" width="43.5703125" style="813" customWidth="1"/>
    <col min="14339" max="14339" width="5.42578125" style="813" customWidth="1"/>
    <col min="14340" max="14340" width="43.5703125" style="813" customWidth="1"/>
    <col min="14341" max="14341" width="5.42578125" style="813" customWidth="1"/>
    <col min="14342" max="14342" width="43.5703125" style="813" customWidth="1"/>
    <col min="14343" max="14343" width="3.42578125" style="813" customWidth="1"/>
    <col min="14344" max="14344" width="13.7109375" style="813" customWidth="1"/>
    <col min="14345" max="14345" width="5.42578125" style="813" customWidth="1"/>
    <col min="14346" max="14346" width="43.5703125" style="813" customWidth="1"/>
    <col min="14347" max="14347" width="5.42578125" style="813" customWidth="1"/>
    <col min="14348" max="14348" width="43.5703125" style="813" customWidth="1"/>
    <col min="14349" max="14349" width="5.42578125" style="813" customWidth="1"/>
    <col min="14350" max="14350" width="43.5703125" style="813" customWidth="1"/>
    <col min="14351" max="14351" width="5.42578125" style="813" customWidth="1"/>
    <col min="14352" max="14352" width="43.5703125" style="813" customWidth="1"/>
    <col min="14353" max="14353" width="2.85546875" style="813" customWidth="1"/>
    <col min="14354" max="14590" width="11.42578125" style="813"/>
    <col min="14591" max="14591" width="5.42578125" style="813" customWidth="1"/>
    <col min="14592" max="14592" width="43.5703125" style="813" customWidth="1"/>
    <col min="14593" max="14593" width="5.42578125" style="813" customWidth="1"/>
    <col min="14594" max="14594" width="43.5703125" style="813" customWidth="1"/>
    <col min="14595" max="14595" width="5.42578125" style="813" customWidth="1"/>
    <col min="14596" max="14596" width="43.5703125" style="813" customWidth="1"/>
    <col min="14597" max="14597" width="5.42578125" style="813" customWidth="1"/>
    <col min="14598" max="14598" width="43.5703125" style="813" customWidth="1"/>
    <col min="14599" max="14599" width="3.42578125" style="813" customWidth="1"/>
    <col min="14600" max="14600" width="13.7109375" style="813" customWidth="1"/>
    <col min="14601" max="14601" width="5.42578125" style="813" customWidth="1"/>
    <col min="14602" max="14602" width="43.5703125" style="813" customWidth="1"/>
    <col min="14603" max="14603" width="5.42578125" style="813" customWidth="1"/>
    <col min="14604" max="14604" width="43.5703125" style="813" customWidth="1"/>
    <col min="14605" max="14605" width="5.42578125" style="813" customWidth="1"/>
    <col min="14606" max="14606" width="43.5703125" style="813" customWidth="1"/>
    <col min="14607" max="14607" width="5.42578125" style="813" customWidth="1"/>
    <col min="14608" max="14608" width="43.5703125" style="813" customWidth="1"/>
    <col min="14609" max="14609" width="2.85546875" style="813" customWidth="1"/>
    <col min="14610" max="14846" width="11.42578125" style="813"/>
    <col min="14847" max="14847" width="5.42578125" style="813" customWidth="1"/>
    <col min="14848" max="14848" width="43.5703125" style="813" customWidth="1"/>
    <col min="14849" max="14849" width="5.42578125" style="813" customWidth="1"/>
    <col min="14850" max="14850" width="43.5703125" style="813" customWidth="1"/>
    <col min="14851" max="14851" width="5.42578125" style="813" customWidth="1"/>
    <col min="14852" max="14852" width="43.5703125" style="813" customWidth="1"/>
    <col min="14853" max="14853" width="5.42578125" style="813" customWidth="1"/>
    <col min="14854" max="14854" width="43.5703125" style="813" customWidth="1"/>
    <col min="14855" max="14855" width="3.42578125" style="813" customWidth="1"/>
    <col min="14856" max="14856" width="13.7109375" style="813" customWidth="1"/>
    <col min="14857" max="14857" width="5.42578125" style="813" customWidth="1"/>
    <col min="14858" max="14858" width="43.5703125" style="813" customWidth="1"/>
    <col min="14859" max="14859" width="5.42578125" style="813" customWidth="1"/>
    <col min="14860" max="14860" width="43.5703125" style="813" customWidth="1"/>
    <col min="14861" max="14861" width="5.42578125" style="813" customWidth="1"/>
    <col min="14862" max="14862" width="43.5703125" style="813" customWidth="1"/>
    <col min="14863" max="14863" width="5.42578125" style="813" customWidth="1"/>
    <col min="14864" max="14864" width="43.5703125" style="813" customWidth="1"/>
    <col min="14865" max="14865" width="2.85546875" style="813" customWidth="1"/>
    <col min="14866" max="15102" width="11.42578125" style="813"/>
    <col min="15103" max="15103" width="5.42578125" style="813" customWidth="1"/>
    <col min="15104" max="15104" width="43.5703125" style="813" customWidth="1"/>
    <col min="15105" max="15105" width="5.42578125" style="813" customWidth="1"/>
    <col min="15106" max="15106" width="43.5703125" style="813" customWidth="1"/>
    <col min="15107" max="15107" width="5.42578125" style="813" customWidth="1"/>
    <col min="15108" max="15108" width="43.5703125" style="813" customWidth="1"/>
    <col min="15109" max="15109" width="5.42578125" style="813" customWidth="1"/>
    <col min="15110" max="15110" width="43.5703125" style="813" customWidth="1"/>
    <col min="15111" max="15111" width="3.42578125" style="813" customWidth="1"/>
    <col min="15112" max="15112" width="13.7109375" style="813" customWidth="1"/>
    <col min="15113" max="15113" width="5.42578125" style="813" customWidth="1"/>
    <col min="15114" max="15114" width="43.5703125" style="813" customWidth="1"/>
    <col min="15115" max="15115" width="5.42578125" style="813" customWidth="1"/>
    <col min="15116" max="15116" width="43.5703125" style="813" customWidth="1"/>
    <col min="15117" max="15117" width="5.42578125" style="813" customWidth="1"/>
    <col min="15118" max="15118" width="43.5703125" style="813" customWidth="1"/>
    <col min="15119" max="15119" width="5.42578125" style="813" customWidth="1"/>
    <col min="15120" max="15120" width="43.5703125" style="813" customWidth="1"/>
    <col min="15121" max="15121" width="2.85546875" style="813" customWidth="1"/>
    <col min="15122" max="15358" width="11.42578125" style="813"/>
    <col min="15359" max="15359" width="5.42578125" style="813" customWidth="1"/>
    <col min="15360" max="15360" width="43.5703125" style="813" customWidth="1"/>
    <col min="15361" max="15361" width="5.42578125" style="813" customWidth="1"/>
    <col min="15362" max="15362" width="43.5703125" style="813" customWidth="1"/>
    <col min="15363" max="15363" width="5.42578125" style="813" customWidth="1"/>
    <col min="15364" max="15364" width="43.5703125" style="813" customWidth="1"/>
    <col min="15365" max="15365" width="5.42578125" style="813" customWidth="1"/>
    <col min="15366" max="15366" width="43.5703125" style="813" customWidth="1"/>
    <col min="15367" max="15367" width="3.42578125" style="813" customWidth="1"/>
    <col min="15368" max="15368" width="13.7109375" style="813" customWidth="1"/>
    <col min="15369" max="15369" width="5.42578125" style="813" customWidth="1"/>
    <col min="15370" max="15370" width="43.5703125" style="813" customWidth="1"/>
    <col min="15371" max="15371" width="5.42578125" style="813" customWidth="1"/>
    <col min="15372" max="15372" width="43.5703125" style="813" customWidth="1"/>
    <col min="15373" max="15373" width="5.42578125" style="813" customWidth="1"/>
    <col min="15374" max="15374" width="43.5703125" style="813" customWidth="1"/>
    <col min="15375" max="15375" width="5.42578125" style="813" customWidth="1"/>
    <col min="15376" max="15376" width="43.5703125" style="813" customWidth="1"/>
    <col min="15377" max="15377" width="2.85546875" style="813" customWidth="1"/>
    <col min="15378" max="15614" width="11.42578125" style="813"/>
    <col min="15615" max="15615" width="5.42578125" style="813" customWidth="1"/>
    <col min="15616" max="15616" width="43.5703125" style="813" customWidth="1"/>
    <col min="15617" max="15617" width="5.42578125" style="813" customWidth="1"/>
    <col min="15618" max="15618" width="43.5703125" style="813" customWidth="1"/>
    <col min="15619" max="15619" width="5.42578125" style="813" customWidth="1"/>
    <col min="15620" max="15620" width="43.5703125" style="813" customWidth="1"/>
    <col min="15621" max="15621" width="5.42578125" style="813" customWidth="1"/>
    <col min="15622" max="15622" width="43.5703125" style="813" customWidth="1"/>
    <col min="15623" max="15623" width="3.42578125" style="813" customWidth="1"/>
    <col min="15624" max="15624" width="13.7109375" style="813" customWidth="1"/>
    <col min="15625" max="15625" width="5.42578125" style="813" customWidth="1"/>
    <col min="15626" max="15626" width="43.5703125" style="813" customWidth="1"/>
    <col min="15627" max="15627" width="5.42578125" style="813" customWidth="1"/>
    <col min="15628" max="15628" width="43.5703125" style="813" customWidth="1"/>
    <col min="15629" max="15629" width="5.42578125" style="813" customWidth="1"/>
    <col min="15630" max="15630" width="43.5703125" style="813" customWidth="1"/>
    <col min="15631" max="15631" width="5.42578125" style="813" customWidth="1"/>
    <col min="15632" max="15632" width="43.5703125" style="813" customWidth="1"/>
    <col min="15633" max="15633" width="2.85546875" style="813" customWidth="1"/>
    <col min="15634" max="15870" width="11.42578125" style="813"/>
    <col min="15871" max="15871" width="5.42578125" style="813" customWidth="1"/>
    <col min="15872" max="15872" width="43.5703125" style="813" customWidth="1"/>
    <col min="15873" max="15873" width="5.42578125" style="813" customWidth="1"/>
    <col min="15874" max="15874" width="43.5703125" style="813" customWidth="1"/>
    <col min="15875" max="15875" width="5.42578125" style="813" customWidth="1"/>
    <col min="15876" max="15876" width="43.5703125" style="813" customWidth="1"/>
    <col min="15877" max="15877" width="5.42578125" style="813" customWidth="1"/>
    <col min="15878" max="15878" width="43.5703125" style="813" customWidth="1"/>
    <col min="15879" max="15879" width="3.42578125" style="813" customWidth="1"/>
    <col min="15880" max="15880" width="13.7109375" style="813" customWidth="1"/>
    <col min="15881" max="15881" width="5.42578125" style="813" customWidth="1"/>
    <col min="15882" max="15882" width="43.5703125" style="813" customWidth="1"/>
    <col min="15883" max="15883" width="5.42578125" style="813" customWidth="1"/>
    <col min="15884" max="15884" width="43.5703125" style="813" customWidth="1"/>
    <col min="15885" max="15885" width="5.42578125" style="813" customWidth="1"/>
    <col min="15886" max="15886" width="43.5703125" style="813" customWidth="1"/>
    <col min="15887" max="15887" width="5.42578125" style="813" customWidth="1"/>
    <col min="15888" max="15888" width="43.5703125" style="813" customWidth="1"/>
    <col min="15889" max="15889" width="2.85546875" style="813" customWidth="1"/>
    <col min="15890" max="16126" width="11.42578125" style="813"/>
    <col min="16127" max="16127" width="5.42578125" style="813" customWidth="1"/>
    <col min="16128" max="16128" width="43.5703125" style="813" customWidth="1"/>
    <col min="16129" max="16129" width="5.42578125" style="813" customWidth="1"/>
    <col min="16130" max="16130" width="43.5703125" style="813" customWidth="1"/>
    <col min="16131" max="16131" width="5.42578125" style="813" customWidth="1"/>
    <col min="16132" max="16132" width="43.5703125" style="813" customWidth="1"/>
    <col min="16133" max="16133" width="5.42578125" style="813" customWidth="1"/>
    <col min="16134" max="16134" width="43.5703125" style="813" customWidth="1"/>
    <col min="16135" max="16135" width="3.42578125" style="813" customWidth="1"/>
    <col min="16136" max="16136" width="13.7109375" style="813" customWidth="1"/>
    <col min="16137" max="16137" width="5.42578125" style="813" customWidth="1"/>
    <col min="16138" max="16138" width="43.5703125" style="813" customWidth="1"/>
    <col min="16139" max="16139" width="5.42578125" style="813" customWidth="1"/>
    <col min="16140" max="16140" width="43.5703125" style="813" customWidth="1"/>
    <col min="16141" max="16141" width="5.42578125" style="813" customWidth="1"/>
    <col min="16142" max="16142" width="43.5703125" style="813" customWidth="1"/>
    <col min="16143" max="16143" width="5.42578125" style="813" customWidth="1"/>
    <col min="16144" max="16144" width="43.5703125" style="813" customWidth="1"/>
    <col min="16145" max="16145" width="2.85546875" style="813" customWidth="1"/>
    <col min="16146" max="16384" width="11.42578125" style="813"/>
  </cols>
  <sheetData>
    <row r="1" spans="1:50" ht="26.25">
      <c r="B1" s="4887" t="s">
        <v>3259</v>
      </c>
      <c r="C1" s="4887"/>
      <c r="D1" s="4887"/>
      <c r="E1" s="4887"/>
      <c r="F1" s="4887"/>
      <c r="G1" s="4887"/>
      <c r="H1" s="4887"/>
      <c r="I1" s="4888" t="str">
        <f ca="1">"Page "&amp;_xlfn.SHEET()&amp;" sur "&amp;_xlfn.SHEETS()</f>
        <v>Page 34 sur 38</v>
      </c>
      <c r="J1" s="4887"/>
      <c r="K1" s="4887"/>
      <c r="L1" s="4887"/>
      <c r="M1" s="4887"/>
      <c r="N1" s="4887"/>
      <c r="O1" s="4887"/>
      <c r="P1" s="4887"/>
      <c r="Q1" s="4887"/>
      <c r="R1" s="4887"/>
      <c r="S1" s="4887"/>
      <c r="T1" s="4887"/>
      <c r="U1" s="4887"/>
      <c r="V1" s="4887"/>
      <c r="W1" s="4887"/>
      <c r="X1" s="4887"/>
      <c r="Y1" s="4887"/>
      <c r="Z1" s="4887"/>
      <c r="AA1" s="4887"/>
      <c r="AB1" s="4887"/>
      <c r="AC1" s="4887"/>
      <c r="AD1" s="4887"/>
      <c r="AE1" s="4887"/>
      <c r="AF1" s="4887"/>
      <c r="AG1" s="4887"/>
      <c r="AH1" s="4887"/>
      <c r="AI1" s="4887"/>
      <c r="AJ1" s="4887"/>
      <c r="AK1" s="4887"/>
      <c r="AL1" s="4887"/>
      <c r="AM1" s="4887"/>
      <c r="AN1" s="4887"/>
      <c r="AO1" s="4887"/>
      <c r="AP1" s="4887"/>
      <c r="AQ1" s="4887"/>
      <c r="AR1" s="4887"/>
      <c r="AS1" s="4887"/>
      <c r="AT1" s="4887"/>
      <c r="AU1" s="4887"/>
      <c r="AV1" s="4887"/>
      <c r="AW1" s="4887"/>
      <c r="AX1" s="4887"/>
    </row>
    <row r="2" spans="1:50" ht="19.5" customHeight="1" thickBot="1">
      <c r="B2" s="813"/>
      <c r="C2" s="813"/>
      <c r="D2" s="813"/>
      <c r="E2" s="813"/>
      <c r="F2" s="813"/>
      <c r="G2" s="813"/>
      <c r="H2" s="813"/>
      <c r="I2" s="813"/>
      <c r="J2" s="813"/>
      <c r="K2" s="813"/>
      <c r="L2" s="813"/>
      <c r="M2" s="813"/>
      <c r="N2" s="813"/>
      <c r="O2" s="813"/>
      <c r="P2" s="813"/>
      <c r="Q2" s="813"/>
      <c r="R2" s="813"/>
      <c r="S2" s="813"/>
      <c r="T2" s="813"/>
      <c r="W2" s="6361" t="s">
        <v>2517</v>
      </c>
      <c r="X2" s="6361"/>
      <c r="Y2" s="6361"/>
      <c r="Z2" s="6361"/>
      <c r="AA2" s="6361"/>
      <c r="AB2" s="6361"/>
      <c r="AC2" s="6361"/>
      <c r="AD2" s="6361"/>
      <c r="AE2" s="6361"/>
      <c r="AF2" s="6361"/>
      <c r="AG2" s="6361"/>
      <c r="AH2" s="6361"/>
      <c r="AI2" s="6361"/>
      <c r="AJ2" s="6361"/>
      <c r="AK2" s="6361"/>
      <c r="AL2" s="6361"/>
      <c r="AM2" s="6361"/>
      <c r="AN2" s="2037"/>
      <c r="AO2" s="5002"/>
      <c r="AP2" s="6362" t="s">
        <v>3306</v>
      </c>
      <c r="AR2" s="6363"/>
      <c r="AS2" s="6363"/>
      <c r="AT2" s="6363"/>
      <c r="AU2" s="6363"/>
      <c r="AV2" s="6363"/>
      <c r="AW2" s="6363"/>
      <c r="AX2" s="6363"/>
    </row>
    <row r="3" spans="1:50" ht="33.75" customHeight="1">
      <c r="B3" s="6364" t="s">
        <v>502</v>
      </c>
      <c r="C3" s="6364"/>
      <c r="D3" s="6364"/>
      <c r="E3" s="6364"/>
      <c r="F3" s="6364"/>
      <c r="G3" s="6364"/>
      <c r="H3" s="6364"/>
      <c r="I3" s="6364"/>
      <c r="J3" s="6364"/>
      <c r="K3" s="813"/>
      <c r="L3" s="6365" t="s">
        <v>503</v>
      </c>
      <c r="M3" s="6365"/>
      <c r="N3" s="6365"/>
      <c r="O3" s="6365"/>
      <c r="P3" s="6365"/>
      <c r="Q3" s="6365"/>
      <c r="R3" s="6365"/>
      <c r="S3" s="6365"/>
      <c r="T3" s="6365"/>
      <c r="V3" s="2037"/>
      <c r="W3" s="6366" t="s">
        <v>3307</v>
      </c>
      <c r="Y3" s="2037"/>
      <c r="Z3" s="2037"/>
      <c r="AA3" s="2037"/>
      <c r="AB3" s="2037"/>
      <c r="AC3" s="2037"/>
      <c r="AD3" s="2037"/>
      <c r="AE3" s="2037"/>
      <c r="AF3" s="2037"/>
      <c r="AG3" s="2037"/>
      <c r="AH3" s="6367" t="s">
        <v>3308</v>
      </c>
      <c r="AI3" s="6368"/>
      <c r="AJ3" s="6368"/>
      <c r="AK3" s="6368"/>
      <c r="AL3" s="6368"/>
      <c r="AM3" s="6368"/>
      <c r="AN3" s="2037"/>
      <c r="AO3" s="5002"/>
      <c r="AP3" s="5002"/>
      <c r="AR3" s="6369" t="s">
        <v>3309</v>
      </c>
      <c r="AS3" s="6370"/>
      <c r="AT3" s="6371"/>
      <c r="AV3" s="6369" t="s">
        <v>3310</v>
      </c>
      <c r="AW3" s="6370"/>
      <c r="AX3" s="6371"/>
    </row>
    <row r="4" spans="1:50" ht="40.5" customHeight="1">
      <c r="B4" s="6373"/>
      <c r="C4" s="6374" t="s">
        <v>99</v>
      </c>
      <c r="D4" s="6373"/>
      <c r="E4" s="6374" t="s">
        <v>112</v>
      </c>
      <c r="F4" s="6373"/>
      <c r="G4" s="6374" t="s">
        <v>318</v>
      </c>
      <c r="H4" s="6373"/>
      <c r="I4" s="6375" t="s">
        <v>504</v>
      </c>
      <c r="J4" s="6376"/>
      <c r="K4" s="813"/>
      <c r="L4" s="6373"/>
      <c r="M4" s="6377" t="s">
        <v>99</v>
      </c>
      <c r="N4" s="6373"/>
      <c r="O4" s="6377" t="s">
        <v>111</v>
      </c>
      <c r="P4" s="6373"/>
      <c r="Q4" s="6377" t="s">
        <v>144</v>
      </c>
      <c r="R4" s="6373"/>
      <c r="S4" s="6378" t="s">
        <v>504</v>
      </c>
      <c r="T4" s="6376"/>
      <c r="V4" s="6379"/>
      <c r="W4" s="814" t="s">
        <v>99</v>
      </c>
      <c r="X4" s="6379"/>
      <c r="Y4" s="815" t="s">
        <v>111</v>
      </c>
      <c r="Z4" s="6379"/>
      <c r="AA4" s="815" t="s">
        <v>142</v>
      </c>
      <c r="AB4" s="6379"/>
      <c r="AC4" s="815" t="s">
        <v>316</v>
      </c>
      <c r="AD4" s="6379"/>
      <c r="AE4" s="814" t="s">
        <v>504</v>
      </c>
      <c r="AF4" s="6379"/>
      <c r="AG4" s="814" t="s">
        <v>562</v>
      </c>
      <c r="AH4" s="6380">
        <v>1</v>
      </c>
      <c r="AI4" s="6381" t="s">
        <v>3311</v>
      </c>
      <c r="AJ4" s="6382"/>
      <c r="AK4" s="6380">
        <f>AH59+1</f>
        <v>57</v>
      </c>
      <c r="AL4" s="6381" t="s">
        <v>3312</v>
      </c>
      <c r="AM4" s="2037"/>
      <c r="AN4" s="2037"/>
      <c r="AO4" s="6383" t="s">
        <v>2354</v>
      </c>
      <c r="AP4" s="101" t="s">
        <v>3313</v>
      </c>
      <c r="AR4" s="6384" t="s">
        <v>1951</v>
      </c>
      <c r="AS4" s="6384"/>
      <c r="AT4" s="6384"/>
      <c r="AV4" s="6384" t="s">
        <v>1951</v>
      </c>
      <c r="AW4" s="6384"/>
      <c r="AX4" s="6384"/>
    </row>
    <row r="5" spans="1:50" ht="33.75" customHeight="1">
      <c r="A5" s="2839"/>
      <c r="B5" s="6385">
        <v>1</v>
      </c>
      <c r="C5" s="6386" t="s">
        <v>505</v>
      </c>
      <c r="D5" s="6385">
        <f>B22+1</f>
        <v>16</v>
      </c>
      <c r="E5" s="6386" t="s">
        <v>506</v>
      </c>
      <c r="F5" s="6385">
        <f>D26+1</f>
        <v>32</v>
      </c>
      <c r="G5" s="6386" t="s">
        <v>507</v>
      </c>
      <c r="H5" s="6385">
        <f>F24+1</f>
        <v>51</v>
      </c>
      <c r="I5" s="6386" t="s">
        <v>508</v>
      </c>
      <c r="J5" s="6376"/>
      <c r="K5" s="813"/>
      <c r="L5" s="6385">
        <v>1</v>
      </c>
      <c r="M5" s="6386" t="s">
        <v>509</v>
      </c>
      <c r="N5" s="6385">
        <f>L52+1</f>
        <v>46</v>
      </c>
      <c r="O5" s="6386" t="s">
        <v>510</v>
      </c>
      <c r="P5" s="6385">
        <f>N52+1</f>
        <v>91</v>
      </c>
      <c r="Q5" s="6386" t="s">
        <v>511</v>
      </c>
      <c r="R5" s="6385">
        <f>P52+1</f>
        <v>130</v>
      </c>
      <c r="S5" s="6386" t="s">
        <v>512</v>
      </c>
      <c r="T5" s="6376"/>
      <c r="V5" s="6385">
        <v>1</v>
      </c>
      <c r="W5" s="6386" t="s">
        <v>509</v>
      </c>
      <c r="X5" s="6385">
        <f>V62+1</f>
        <v>56</v>
      </c>
      <c r="Y5" s="6386" t="s">
        <v>2518</v>
      </c>
      <c r="Z5" s="6385">
        <f>X63+1</f>
        <v>113</v>
      </c>
      <c r="AA5" s="6386" t="s">
        <v>2519</v>
      </c>
      <c r="AB5" s="6385">
        <f>Z62+1</f>
        <v>163</v>
      </c>
      <c r="AC5" s="6386" t="s">
        <v>586</v>
      </c>
      <c r="AD5" s="6385">
        <f>AB62+1</f>
        <v>217</v>
      </c>
      <c r="AE5" s="6386" t="s">
        <v>715</v>
      </c>
      <c r="AF5" s="6385">
        <f>AD57+1</f>
        <v>268</v>
      </c>
      <c r="AG5" s="6386" t="s">
        <v>2520</v>
      </c>
      <c r="AH5" s="6380">
        <f>LARGE(AH4:AH4,1)+1</f>
        <v>2</v>
      </c>
      <c r="AI5" s="6381" t="s">
        <v>3314</v>
      </c>
      <c r="AJ5" s="6382"/>
      <c r="AK5" s="6380">
        <f>LARGE(AK4:AK4,1)+1</f>
        <v>58</v>
      </c>
      <c r="AL5" s="6381" t="s">
        <v>3315</v>
      </c>
      <c r="AM5" s="2037"/>
      <c r="AN5" s="2037"/>
      <c r="AO5" s="5002"/>
      <c r="AP5" s="6387" t="s">
        <v>99</v>
      </c>
      <c r="AR5" s="6388"/>
      <c r="AS5" s="6389" t="s">
        <v>3316</v>
      </c>
      <c r="AT5" s="6389"/>
      <c r="AV5" s="6388"/>
      <c r="AW5" s="6390" t="s">
        <v>3317</v>
      </c>
      <c r="AX5" s="6390"/>
    </row>
    <row r="6" spans="1:50" ht="30" customHeight="1">
      <c r="A6" s="6391"/>
      <c r="B6" s="6385">
        <f>LARGE(B5:B5,1)+1</f>
        <v>2</v>
      </c>
      <c r="C6" s="6386" t="s">
        <v>513</v>
      </c>
      <c r="D6" s="6385">
        <f>LARGE(D5:D5,1)+1</f>
        <v>17</v>
      </c>
      <c r="E6" s="6386" t="s">
        <v>514</v>
      </c>
      <c r="F6" s="6385">
        <f>LARGE(F5:F5,1)+1</f>
        <v>33</v>
      </c>
      <c r="G6" s="6386" t="s">
        <v>515</v>
      </c>
      <c r="H6" s="6385">
        <f>LARGE(H5:H5,1)+1</f>
        <v>52</v>
      </c>
      <c r="I6" s="6386" t="s">
        <v>516</v>
      </c>
      <c r="J6" s="6376"/>
      <c r="K6" s="813"/>
      <c r="L6" s="6385">
        <f>LARGE(L5:L5,1)+1</f>
        <v>2</v>
      </c>
      <c r="M6" s="6386" t="s">
        <v>517</v>
      </c>
      <c r="N6" s="6385">
        <f>LARGE(N5:N5,1)+1</f>
        <v>47</v>
      </c>
      <c r="O6" s="6386" t="s">
        <v>518</v>
      </c>
      <c r="P6" s="6385">
        <f>LARGE(P5:P5,1)+1</f>
        <v>92</v>
      </c>
      <c r="Q6" s="6386" t="s">
        <v>519</v>
      </c>
      <c r="R6" s="6385">
        <f>LARGE(R5:R5,1)+1</f>
        <v>131</v>
      </c>
      <c r="S6" s="6386" t="s">
        <v>520</v>
      </c>
      <c r="T6" s="6376"/>
      <c r="V6" s="6385">
        <f>LARGE(V5:V5,1)+1</f>
        <v>2</v>
      </c>
      <c r="W6" s="6386" t="s">
        <v>505</v>
      </c>
      <c r="X6" s="6385">
        <f>LARGE(X5:X5,1)+1</f>
        <v>57</v>
      </c>
      <c r="Y6" s="6386" t="s">
        <v>692</v>
      </c>
      <c r="Z6" s="6385">
        <f>LARGE(Z5:Z5,1)+1</f>
        <v>114</v>
      </c>
      <c r="AA6" s="6386" t="s">
        <v>549</v>
      </c>
      <c r="AB6" s="6385">
        <f>LARGE(AB5:AB5,1)+1</f>
        <v>164</v>
      </c>
      <c r="AC6" s="6386" t="s">
        <v>621</v>
      </c>
      <c r="AD6" s="6385">
        <f>LARGE(AD5:AD5,1)+1</f>
        <v>218</v>
      </c>
      <c r="AE6" s="6386" t="s">
        <v>2521</v>
      </c>
      <c r="AF6" s="6385">
        <f>LARGE(AF5:AF5,1)+1</f>
        <v>269</v>
      </c>
      <c r="AG6" s="6386" t="s">
        <v>619</v>
      </c>
      <c r="AH6" s="6380">
        <f>LARGE(AH4:AH5,1)+1</f>
        <v>3</v>
      </c>
      <c r="AI6" s="6381" t="s">
        <v>3318</v>
      </c>
      <c r="AJ6" s="6382"/>
      <c r="AK6" s="6380">
        <f>LARGE(AK4:AK5,1)+1</f>
        <v>59</v>
      </c>
      <c r="AL6" s="6381" t="s">
        <v>3319</v>
      </c>
      <c r="AM6" s="2037"/>
      <c r="AN6" s="2037"/>
      <c r="AO6" s="5002"/>
      <c r="AP6" s="6392" t="s">
        <v>3320</v>
      </c>
      <c r="AR6" s="6388">
        <v>1</v>
      </c>
      <c r="AS6" s="2508" t="s">
        <v>3321</v>
      </c>
      <c r="AT6" s="2508"/>
      <c r="AV6" s="6388"/>
      <c r="AW6" s="6390"/>
      <c r="AX6" s="6390"/>
    </row>
    <row r="7" spans="1:50" ht="18.75">
      <c r="B7" s="6385">
        <f>LARGE(B5:B6,1)+1</f>
        <v>3</v>
      </c>
      <c r="C7" s="6386" t="s">
        <v>521</v>
      </c>
      <c r="D7" s="6385">
        <f>LARGE(D5:D6,1)+1</f>
        <v>18</v>
      </c>
      <c r="E7" s="6386" t="s">
        <v>522</v>
      </c>
      <c r="F7" s="6385">
        <f>LARGE(F5:F6,1)+1</f>
        <v>34</v>
      </c>
      <c r="G7" s="6386" t="s">
        <v>523</v>
      </c>
      <c r="H7" s="6385">
        <f>LARGE(H5:H6,1)+1</f>
        <v>53</v>
      </c>
      <c r="I7" s="6386" t="s">
        <v>524</v>
      </c>
      <c r="J7" s="6376"/>
      <c r="K7" s="813"/>
      <c r="L7" s="6385">
        <f>LARGE(L5:L6,1)+1</f>
        <v>3</v>
      </c>
      <c r="M7" s="6386" t="s">
        <v>525</v>
      </c>
      <c r="N7" s="6385">
        <f>LARGE(N5:N6,1)+1</f>
        <v>48</v>
      </c>
      <c r="O7" s="6386" t="s">
        <v>526</v>
      </c>
      <c r="P7" s="6385">
        <f>LARGE(P5:P6,1)+1</f>
        <v>93</v>
      </c>
      <c r="Q7" s="6386" t="s">
        <v>527</v>
      </c>
      <c r="R7" s="6385">
        <f>LARGE(R5:R6,1)+1</f>
        <v>132</v>
      </c>
      <c r="S7" s="6386" t="s">
        <v>528</v>
      </c>
      <c r="T7" s="6376"/>
      <c r="V7" s="6385">
        <f>LARGE(V5:V6,1)+1</f>
        <v>3</v>
      </c>
      <c r="W7" s="6386" t="s">
        <v>517</v>
      </c>
      <c r="X7" s="6385">
        <f>LARGE(X5:X6,1)+1</f>
        <v>58</v>
      </c>
      <c r="Y7" s="6386" t="s">
        <v>695</v>
      </c>
      <c r="Z7" s="6385">
        <f>LARGE(Z5:Z6,1)+1</f>
        <v>115</v>
      </c>
      <c r="AA7" s="6386" t="s">
        <v>669</v>
      </c>
      <c r="AB7" s="6385">
        <f>LARGE(AB5:AB6,1)+1</f>
        <v>165</v>
      </c>
      <c r="AC7" s="6386" t="s">
        <v>592</v>
      </c>
      <c r="AD7" s="6385">
        <f>LARGE(AD5:AD6,1)+1</f>
        <v>219</v>
      </c>
      <c r="AE7" s="6386" t="s">
        <v>718</v>
      </c>
      <c r="AF7" s="6385">
        <f>LARGE(AF5:AF6,1)+1</f>
        <v>270</v>
      </c>
      <c r="AG7" s="6386" t="s">
        <v>626</v>
      </c>
      <c r="AH7" s="6380">
        <f>LARGE(AH4:AH6,1)+1</f>
        <v>4</v>
      </c>
      <c r="AI7" s="6381" t="s">
        <v>3322</v>
      </c>
      <c r="AJ7" s="6382"/>
      <c r="AK7" s="6380">
        <f>LARGE(AK4:AK6,1)+1</f>
        <v>60</v>
      </c>
      <c r="AL7" s="6381" t="s">
        <v>3323</v>
      </c>
      <c r="AM7" s="2037"/>
      <c r="AN7" s="2037"/>
      <c r="AO7" s="5002"/>
      <c r="AP7" s="6392" t="s">
        <v>3324</v>
      </c>
      <c r="AR7" s="6388">
        <v>2</v>
      </c>
      <c r="AS7" s="2508" t="s">
        <v>3325</v>
      </c>
      <c r="AT7" s="2508"/>
      <c r="AV7" s="6393" t="s">
        <v>150</v>
      </c>
      <c r="AW7" s="6394" t="s">
        <v>3326</v>
      </c>
      <c r="AX7" s="2508"/>
    </row>
    <row r="8" spans="1:50" ht="46.5" customHeight="1">
      <c r="B8" s="6385">
        <f>LARGE(B5:B7,1)+1</f>
        <v>4</v>
      </c>
      <c r="C8" s="6386" t="s">
        <v>529</v>
      </c>
      <c r="D8" s="6385">
        <f>LARGE(D5:D7,1)+1</f>
        <v>19</v>
      </c>
      <c r="E8" s="6386" t="s">
        <v>522</v>
      </c>
      <c r="F8" s="6385">
        <f>LARGE(F5:F7,1)+1</f>
        <v>35</v>
      </c>
      <c r="G8" s="6386" t="s">
        <v>530</v>
      </c>
      <c r="H8" s="6385">
        <f>LARGE(H5:H7,1)+1</f>
        <v>54</v>
      </c>
      <c r="I8" s="6386" t="s">
        <v>531</v>
      </c>
      <c r="J8" s="6376"/>
      <c r="K8" s="813"/>
      <c r="L8" s="6385">
        <f>LARGE(L5:L7,1)+1</f>
        <v>4</v>
      </c>
      <c r="M8" s="6386" t="s">
        <v>532</v>
      </c>
      <c r="N8" s="6385">
        <f>LARGE(N5:N7,1)+1</f>
        <v>49</v>
      </c>
      <c r="O8" s="6386" t="s">
        <v>533</v>
      </c>
      <c r="P8" s="6385"/>
      <c r="Q8" s="6377" t="s">
        <v>145</v>
      </c>
      <c r="R8" s="6385">
        <f>LARGE(R5:R7,1)+1</f>
        <v>133</v>
      </c>
      <c r="S8" s="6386" t="s">
        <v>534</v>
      </c>
      <c r="T8" s="6376"/>
      <c r="V8" s="6385">
        <f>LARGE(V5:V7,1)+1</f>
        <v>4</v>
      </c>
      <c r="W8" s="6386" t="s">
        <v>3327</v>
      </c>
      <c r="X8" s="6385">
        <f>LARGE(X5:X7,1)+1</f>
        <v>59</v>
      </c>
      <c r="Y8" s="6386" t="s">
        <v>601</v>
      </c>
      <c r="Z8" s="6385">
        <f>LARGE(Z5:Z7,1)+1</f>
        <v>116</v>
      </c>
      <c r="AA8" s="6386" t="s">
        <v>2522</v>
      </c>
      <c r="AB8" s="6385">
        <f>LARGE(AB5:AB7,1)+1</f>
        <v>166</v>
      </c>
      <c r="AC8" s="6386" t="s">
        <v>2523</v>
      </c>
      <c r="AD8" s="6385">
        <f>LARGE(AD5:AD7,1)+1</f>
        <v>220</v>
      </c>
      <c r="AE8" s="6386" t="s">
        <v>721</v>
      </c>
      <c r="AF8" s="6385">
        <f>LARGE(AF5:AF7,1)+1</f>
        <v>271</v>
      </c>
      <c r="AG8" s="6386" t="s">
        <v>632</v>
      </c>
      <c r="AH8" s="6380">
        <f>LARGE(AH4:AH7,1)+1</f>
        <v>5</v>
      </c>
      <c r="AI8" s="6381" t="s">
        <v>3328</v>
      </c>
      <c r="AJ8" s="6382"/>
      <c r="AK8" s="6380">
        <f>LARGE(AK4:AK7,1)+1</f>
        <v>61</v>
      </c>
      <c r="AL8" s="6381" t="s">
        <v>3329</v>
      </c>
      <c r="AM8" s="2037"/>
      <c r="AN8" s="2037"/>
      <c r="AO8" s="5002"/>
      <c r="AP8" s="6392" t="s">
        <v>3330</v>
      </c>
      <c r="AR8" s="6388">
        <v>3</v>
      </c>
      <c r="AS8" s="2508" t="s">
        <v>3331</v>
      </c>
      <c r="AT8" s="2508"/>
      <c r="AV8" s="6388">
        <v>1</v>
      </c>
      <c r="AW8" s="2508" t="s">
        <v>3332</v>
      </c>
      <c r="AX8" s="2508"/>
    </row>
    <row r="9" spans="1:50" ht="27" customHeight="1">
      <c r="B9" s="6385">
        <f>LARGE(B5:B8,1)+1</f>
        <v>5</v>
      </c>
      <c r="C9" s="6386" t="s">
        <v>535</v>
      </c>
      <c r="D9" s="6385">
        <f>LARGE(D5:D8,1)+1</f>
        <v>20</v>
      </c>
      <c r="E9" s="6386" t="s">
        <v>536</v>
      </c>
      <c r="F9" s="6385">
        <f>LARGE(F5:F8,1)+1</f>
        <v>36</v>
      </c>
      <c r="G9" s="6386" t="s">
        <v>537</v>
      </c>
      <c r="H9" s="6385"/>
      <c r="I9" s="6375" t="s">
        <v>538</v>
      </c>
      <c r="J9" s="6376"/>
      <c r="K9" s="813"/>
      <c r="L9" s="6385"/>
      <c r="M9" s="6377" t="s">
        <v>100</v>
      </c>
      <c r="N9" s="6385">
        <f>LARGE(N5:N8,1)+1</f>
        <v>50</v>
      </c>
      <c r="O9" s="6386" t="s">
        <v>539</v>
      </c>
      <c r="P9" s="6385">
        <f>LARGE(P5:P8,1)+1</f>
        <v>94</v>
      </c>
      <c r="Q9" s="6386" t="s">
        <v>540</v>
      </c>
      <c r="R9" s="6385">
        <f>LARGE(R5:R8,1)+1</f>
        <v>134</v>
      </c>
      <c r="S9" s="6386" t="s">
        <v>541</v>
      </c>
      <c r="T9" s="6376"/>
      <c r="V9" s="6385">
        <f>LARGE(V5:V8,1)+1</f>
        <v>5</v>
      </c>
      <c r="W9" s="6386" t="s">
        <v>513</v>
      </c>
      <c r="X9" s="6385">
        <f>LARGE(X5:X8,1)+1</f>
        <v>60</v>
      </c>
      <c r="Y9" s="6386" t="s">
        <v>698</v>
      </c>
      <c r="Z9" s="6385">
        <f>LARGE(Z5:Z8,1)+1</f>
        <v>117</v>
      </c>
      <c r="AA9" s="6386" t="s">
        <v>2524</v>
      </c>
      <c r="AB9" s="6385">
        <f>LARGE(AB5:AB8,1)+1</f>
        <v>167</v>
      </c>
      <c r="AC9" s="6386" t="s">
        <v>627</v>
      </c>
      <c r="AD9" s="6385">
        <f>LARGE(AD5:AD8,1)+1</f>
        <v>221</v>
      </c>
      <c r="AE9" s="6386" t="s">
        <v>724</v>
      </c>
      <c r="AF9" s="6385">
        <f>LARGE(AF5:AF8,1)+1</f>
        <v>272</v>
      </c>
      <c r="AG9" s="6386" t="s">
        <v>637</v>
      </c>
      <c r="AH9" s="6380">
        <f>LARGE(AH4:AH8,1)+1</f>
        <v>6</v>
      </c>
      <c r="AI9" s="6381" t="s">
        <v>3333</v>
      </c>
      <c r="AJ9" s="6382"/>
      <c r="AK9" s="6380">
        <f>LARGE(AK4:AK8,1)+1</f>
        <v>62</v>
      </c>
      <c r="AL9" s="6381" t="s">
        <v>3334</v>
      </c>
      <c r="AM9" s="2037"/>
      <c r="AN9" s="2037"/>
      <c r="AO9" s="5002"/>
      <c r="AP9" s="6392" t="s">
        <v>3335</v>
      </c>
      <c r="AR9" s="6388">
        <v>4</v>
      </c>
      <c r="AS9" s="2508" t="s">
        <v>3336</v>
      </c>
      <c r="AT9" s="2508"/>
      <c r="AV9" s="6388">
        <v>2</v>
      </c>
      <c r="AW9" s="2508" t="s">
        <v>3337</v>
      </c>
      <c r="AX9" s="2508"/>
    </row>
    <row r="10" spans="1:50" ht="27" customHeight="1">
      <c r="B10" s="6385">
        <f>LARGE(B5:B9,1)+1</f>
        <v>6</v>
      </c>
      <c r="C10" s="6386" t="s">
        <v>542</v>
      </c>
      <c r="D10" s="6395"/>
      <c r="E10" s="6396" t="s">
        <v>142</v>
      </c>
      <c r="F10" s="6385">
        <f>LARGE(F5:F9,1)+1</f>
        <v>37</v>
      </c>
      <c r="G10" s="6386" t="s">
        <v>543</v>
      </c>
      <c r="H10" s="6385">
        <f>LARGE(H5:H9,1)+1</f>
        <v>55</v>
      </c>
      <c r="I10" s="6386" t="s">
        <v>544</v>
      </c>
      <c r="J10" s="6376"/>
      <c r="K10" s="813"/>
      <c r="L10" s="6385">
        <f>LARGE(L5:L9,1)+1</f>
        <v>5</v>
      </c>
      <c r="M10" s="6386" t="s">
        <v>545</v>
      </c>
      <c r="N10" s="6385">
        <f>LARGE(N5:N9,1)+1</f>
        <v>51</v>
      </c>
      <c r="O10" s="6386" t="s">
        <v>546</v>
      </c>
      <c r="P10" s="6385"/>
      <c r="Q10" s="6377" t="s">
        <v>224</v>
      </c>
      <c r="R10" s="6385">
        <f>LARGE(R5:R9,1)+1</f>
        <v>135</v>
      </c>
      <c r="S10" s="6386" t="s">
        <v>547</v>
      </c>
      <c r="T10" s="6376"/>
      <c r="V10" s="6385">
        <f>LARGE(V5:V9,1)+1</f>
        <v>6</v>
      </c>
      <c r="W10" s="6386" t="s">
        <v>521</v>
      </c>
      <c r="X10" s="6385">
        <f>LARGE(X5:X9,1)+1</f>
        <v>61</v>
      </c>
      <c r="Y10" s="6386" t="s">
        <v>701</v>
      </c>
      <c r="Z10" s="6385">
        <f>LARGE(Z5:Z9,1)+1</f>
        <v>118</v>
      </c>
      <c r="AA10" s="6386" t="s">
        <v>672</v>
      </c>
      <c r="AB10" s="6385">
        <f>LARGE(AB5:AB9,1)+1</f>
        <v>168</v>
      </c>
      <c r="AC10" s="6386" t="s">
        <v>599</v>
      </c>
      <c r="AD10" s="6385">
        <f>LARGE(AD5:AD9,1)+1</f>
        <v>222</v>
      </c>
      <c r="AE10" s="6386" t="s">
        <v>727</v>
      </c>
      <c r="AF10" s="6385">
        <f>LARGE(AF5:AF9,1)+1</f>
        <v>273</v>
      </c>
      <c r="AG10" s="6386" t="s">
        <v>568</v>
      </c>
      <c r="AH10" s="6380">
        <f>LARGE(AH4:AH9,1)+1</f>
        <v>7</v>
      </c>
      <c r="AI10" s="6381" t="s">
        <v>3338</v>
      </c>
      <c r="AJ10" s="6382"/>
      <c r="AK10" s="6380">
        <f>LARGE(AK4:AK9,1)+1</f>
        <v>63</v>
      </c>
      <c r="AL10" s="6381" t="s">
        <v>3339</v>
      </c>
      <c r="AM10" s="2037"/>
      <c r="AN10" s="2037"/>
      <c r="AO10" s="5002"/>
      <c r="AP10" s="6392" t="s">
        <v>3340</v>
      </c>
      <c r="AR10" s="6388">
        <v>5</v>
      </c>
      <c r="AS10" s="2508" t="s">
        <v>3341</v>
      </c>
      <c r="AT10" s="2508"/>
      <c r="AV10" s="6388">
        <v>3</v>
      </c>
      <c r="AW10" s="2508" t="s">
        <v>3342</v>
      </c>
      <c r="AX10" s="2508"/>
    </row>
    <row r="11" spans="1:50" ht="23.25" customHeight="1">
      <c r="B11" s="6385">
        <f>LARGE(B5:B10,1)+1</f>
        <v>7</v>
      </c>
      <c r="C11" s="6386" t="s">
        <v>548</v>
      </c>
      <c r="D11" s="6385">
        <f>LARGE(D5:D10,1)+1</f>
        <v>21</v>
      </c>
      <c r="E11" s="6386" t="s">
        <v>549</v>
      </c>
      <c r="F11" s="6385">
        <f>LARGE(F5:F10,1)+1</f>
        <v>38</v>
      </c>
      <c r="G11" s="6386" t="s">
        <v>550</v>
      </c>
      <c r="H11" s="6385">
        <f>LARGE(H5:H10,1)+1</f>
        <v>56</v>
      </c>
      <c r="I11" s="6386" t="s">
        <v>551</v>
      </c>
      <c r="J11" s="6376"/>
      <c r="K11" s="813"/>
      <c r="L11" s="6385">
        <f>LARGE(L5:L10,1)+1</f>
        <v>6</v>
      </c>
      <c r="M11" s="6386" t="s">
        <v>552</v>
      </c>
      <c r="N11" s="6385">
        <f>LARGE(N5:N10,1)+1</f>
        <v>52</v>
      </c>
      <c r="O11" s="6386" t="s">
        <v>553</v>
      </c>
      <c r="P11" s="6385">
        <f>LARGE(P5:P10,1)+1</f>
        <v>95</v>
      </c>
      <c r="Q11" s="6386" t="s">
        <v>554</v>
      </c>
      <c r="R11" s="6385">
        <f>LARGE(R5:R10,1)+1</f>
        <v>136</v>
      </c>
      <c r="S11" s="6386" t="s">
        <v>555</v>
      </c>
      <c r="T11" s="6376"/>
      <c r="V11" s="6385">
        <f>LARGE(V5:V10,1)+1</f>
        <v>7</v>
      </c>
      <c r="W11" s="6386" t="s">
        <v>529</v>
      </c>
      <c r="X11" s="6385">
        <f>LARGE(X5:X10,1)+1</f>
        <v>62</v>
      </c>
      <c r="Y11" s="6386" t="s">
        <v>704</v>
      </c>
      <c r="Z11" s="6385">
        <f>LARGE(Z5:Z10,1)+1</f>
        <v>119</v>
      </c>
      <c r="AA11" s="6386" t="s">
        <v>702</v>
      </c>
      <c r="AB11" s="6385">
        <f>LARGE(AB5:AB10,1)+1</f>
        <v>169</v>
      </c>
      <c r="AC11" s="6386" t="s">
        <v>606</v>
      </c>
      <c r="AD11" s="6385">
        <f>LARGE(AD5:AD10,1)+1</f>
        <v>223</v>
      </c>
      <c r="AE11" s="6386" t="s">
        <v>567</v>
      </c>
      <c r="AF11" s="6385">
        <f>LARGE(AF5:AF10,1)+1</f>
        <v>274</v>
      </c>
      <c r="AG11" s="6386" t="s">
        <v>2525</v>
      </c>
      <c r="AH11" s="6380">
        <f>LARGE(AH4:AH10,1)+1</f>
        <v>8</v>
      </c>
      <c r="AI11" s="6381" t="s">
        <v>3343</v>
      </c>
      <c r="AJ11" s="6382"/>
      <c r="AK11" s="6380">
        <f>LARGE(AK4:AK10,1)+1</f>
        <v>64</v>
      </c>
      <c r="AL11" s="6381" t="s">
        <v>3344</v>
      </c>
      <c r="AM11" s="2037"/>
      <c r="AN11" s="2037"/>
      <c r="AO11" s="5002"/>
      <c r="AP11" s="6392" t="s">
        <v>3345</v>
      </c>
      <c r="AR11" s="6388">
        <v>6</v>
      </c>
      <c r="AS11" s="2508" t="s">
        <v>3346</v>
      </c>
      <c r="AT11" s="2508"/>
      <c r="AV11" s="6388">
        <v>4</v>
      </c>
      <c r="AW11" s="6397" t="s">
        <v>3347</v>
      </c>
      <c r="AX11" s="6397"/>
    </row>
    <row r="12" spans="1:50" ht="23.25" customHeight="1">
      <c r="B12" s="6395"/>
      <c r="C12" s="6396" t="s">
        <v>100</v>
      </c>
      <c r="D12" s="6385"/>
      <c r="E12" s="6396" t="s">
        <v>143</v>
      </c>
      <c r="F12" s="6385">
        <f>LARGE(F5:F11,1)+1</f>
        <v>39</v>
      </c>
      <c r="G12" s="6386" t="s">
        <v>556</v>
      </c>
      <c r="H12" s="6385">
        <f>LARGE(H5:H11,1)+1</f>
        <v>57</v>
      </c>
      <c r="I12" s="6386" t="s">
        <v>557</v>
      </c>
      <c r="J12" s="6376"/>
      <c r="K12" s="813"/>
      <c r="L12" s="6385">
        <f>LARGE(L5:L11,1)+1</f>
        <v>7</v>
      </c>
      <c r="M12" s="6386" t="s">
        <v>558</v>
      </c>
      <c r="N12" s="6385"/>
      <c r="O12" s="6377" t="s">
        <v>112</v>
      </c>
      <c r="P12" s="6385">
        <f>LARGE(P5:P11,1)+1</f>
        <v>96</v>
      </c>
      <c r="Q12" s="6386" t="s">
        <v>559</v>
      </c>
      <c r="R12" s="6385"/>
      <c r="S12" s="6378" t="s">
        <v>538</v>
      </c>
      <c r="T12" s="6376"/>
      <c r="V12" s="6385">
        <f>LARGE(V5:V11,1)+1</f>
        <v>8</v>
      </c>
      <c r="W12" s="6386" t="s">
        <v>535</v>
      </c>
      <c r="X12" s="6385">
        <f>LARGE(X5:X11,1)+1</f>
        <v>63</v>
      </c>
      <c r="Y12" s="6386" t="s">
        <v>707</v>
      </c>
      <c r="Z12" s="6385">
        <f>LARGE(Z5:Z11,1)+1</f>
        <v>120</v>
      </c>
      <c r="AA12" s="6386" t="s">
        <v>2526</v>
      </c>
      <c r="AB12" s="6385">
        <f>LARGE(AB5:AB11,1)+1</f>
        <v>170</v>
      </c>
      <c r="AC12" s="6386" t="s">
        <v>2527</v>
      </c>
      <c r="AD12" s="6385">
        <f>LARGE(AD5:AD11,1)+1</f>
        <v>224</v>
      </c>
      <c r="AE12" s="6386" t="s">
        <v>575</v>
      </c>
      <c r="AF12" s="6385">
        <f>LARGE(AF5:AF11,1)+1</f>
        <v>275</v>
      </c>
      <c r="AG12" s="6386" t="s">
        <v>2528</v>
      </c>
      <c r="AH12" s="6380">
        <f>LARGE(AH4:AH11,1)+1</f>
        <v>9</v>
      </c>
      <c r="AI12" s="6381" t="s">
        <v>3348</v>
      </c>
      <c r="AJ12" s="6382"/>
      <c r="AK12" s="6380">
        <f>LARGE(AK4:AK11,1)+1</f>
        <v>65</v>
      </c>
      <c r="AL12" s="6381" t="s">
        <v>3349</v>
      </c>
      <c r="AM12" s="2037"/>
      <c r="AN12" s="2037"/>
      <c r="AO12" s="5002"/>
      <c r="AP12" s="6392" t="s">
        <v>3350</v>
      </c>
      <c r="AR12" s="6388">
        <v>7</v>
      </c>
      <c r="AS12" s="2508" t="s">
        <v>3351</v>
      </c>
      <c r="AT12" s="2508"/>
      <c r="AV12" s="6388"/>
      <c r="AW12" s="6397"/>
      <c r="AX12" s="6397"/>
    </row>
    <row r="13" spans="1:50" ht="26.25" customHeight="1">
      <c r="B13" s="6385">
        <f>LARGE(B5:B12,1)+1</f>
        <v>8</v>
      </c>
      <c r="C13" s="6386" t="s">
        <v>560</v>
      </c>
      <c r="D13" s="6385">
        <f>LARGE(D5:D12,1)+1</f>
        <v>22</v>
      </c>
      <c r="E13" s="6386" t="s">
        <v>561</v>
      </c>
      <c r="F13" s="6385"/>
      <c r="G13" s="6396" t="s">
        <v>504</v>
      </c>
      <c r="H13" s="6385"/>
      <c r="I13" s="6375" t="s">
        <v>562</v>
      </c>
      <c r="J13" s="6376"/>
      <c r="K13" s="813"/>
      <c r="L13" s="6385">
        <f>LARGE(L5:L12,1)+1</f>
        <v>8</v>
      </c>
      <c r="M13" s="6386" t="s">
        <v>563</v>
      </c>
      <c r="N13" s="6385">
        <f>LARGE(N5:N12,1)+1</f>
        <v>53</v>
      </c>
      <c r="O13" s="6386" t="s">
        <v>564</v>
      </c>
      <c r="P13" s="6385">
        <f>LARGE(P5:P12,1)+1</f>
        <v>97</v>
      </c>
      <c r="Q13" s="6386" t="s">
        <v>565</v>
      </c>
      <c r="R13" s="6385">
        <f>LARGE(R5:R12,1)+1</f>
        <v>137</v>
      </c>
      <c r="S13" s="6386" t="s">
        <v>566</v>
      </c>
      <c r="T13" s="6376"/>
      <c r="V13" s="6385">
        <f>LARGE(V5:V12,1)+1</f>
        <v>9</v>
      </c>
      <c r="W13" s="6386" t="s">
        <v>542</v>
      </c>
      <c r="X13" s="6385">
        <f>LARGE(X5:X12,1)+1</f>
        <v>64</v>
      </c>
      <c r="Y13" s="6386" t="s">
        <v>710</v>
      </c>
      <c r="Z13" s="6385">
        <f>LARGE(Z5:Z12,1)+1</f>
        <v>121</v>
      </c>
      <c r="AA13" s="6386" t="s">
        <v>675</v>
      </c>
      <c r="AB13" s="6385">
        <f>LARGE(AB5:AB12,1)+1</f>
        <v>171</v>
      </c>
      <c r="AC13" s="6386" t="s">
        <v>613</v>
      </c>
      <c r="AD13" s="6385">
        <f>LARGE(AD5:AD12,1)+1</f>
        <v>225</v>
      </c>
      <c r="AE13" s="6386" t="s">
        <v>582</v>
      </c>
      <c r="AF13" s="6385">
        <f>LARGE(AF5:AF12,1)+1</f>
        <v>276</v>
      </c>
      <c r="AG13" s="6386" t="s">
        <v>642</v>
      </c>
      <c r="AH13" s="6380">
        <f>LARGE(AH4:AH12,1)+1</f>
        <v>10</v>
      </c>
      <c r="AI13" s="6381" t="s">
        <v>3352</v>
      </c>
      <c r="AJ13" s="6382"/>
      <c r="AK13" s="6380">
        <f>LARGE(AK4:AK12,1)+1</f>
        <v>66</v>
      </c>
      <c r="AL13" s="6381" t="s">
        <v>3353</v>
      </c>
      <c r="AM13" s="2037"/>
      <c r="AN13" s="2037"/>
      <c r="AO13" s="5002"/>
      <c r="AP13" s="6387" t="s">
        <v>100</v>
      </c>
      <c r="AR13" s="6388">
        <v>8</v>
      </c>
      <c r="AS13" s="2508" t="s">
        <v>3354</v>
      </c>
      <c r="AT13" s="2508"/>
      <c r="AV13" s="6388"/>
      <c r="AW13" s="6398"/>
      <c r="AX13" s="6398"/>
    </row>
    <row r="14" spans="1:50" ht="22.5" customHeight="1">
      <c r="B14" s="6395"/>
      <c r="C14" s="6396" t="s">
        <v>101</v>
      </c>
      <c r="D14" s="6385"/>
      <c r="E14" s="6396" t="s">
        <v>145</v>
      </c>
      <c r="F14" s="6385">
        <f>LARGE(F5:F13,1)+1</f>
        <v>40</v>
      </c>
      <c r="G14" s="6386" t="s">
        <v>567</v>
      </c>
      <c r="H14" s="6385">
        <f>LARGE(H5:H13,1)+1</f>
        <v>58</v>
      </c>
      <c r="I14" s="6386" t="s">
        <v>568</v>
      </c>
      <c r="J14" s="6376"/>
      <c r="K14" s="813"/>
      <c r="L14" s="6385">
        <f>LARGE(L5:L13,1)+1</f>
        <v>9</v>
      </c>
      <c r="M14" s="6386" t="s">
        <v>569</v>
      </c>
      <c r="N14" s="6385">
        <f>LARGE(N5:N13,1)+1</f>
        <v>54</v>
      </c>
      <c r="O14" s="6386" t="s">
        <v>570</v>
      </c>
      <c r="P14" s="6385">
        <f>LARGE(P5:P13,1)+1</f>
        <v>98</v>
      </c>
      <c r="Q14" s="6386" t="s">
        <v>571</v>
      </c>
      <c r="R14" s="6385">
        <f>LARGE(R5:R13,1)+1</f>
        <v>138</v>
      </c>
      <c r="S14" s="6386" t="s">
        <v>572</v>
      </c>
      <c r="T14" s="6376"/>
      <c r="V14" s="6385">
        <f>LARGE(V5:V13,1)+1</f>
        <v>10</v>
      </c>
      <c r="W14" s="6386" t="s">
        <v>548</v>
      </c>
      <c r="X14" s="6385">
        <f>LARGE(X5:X13,1)+1</f>
        <v>65</v>
      </c>
      <c r="Y14" s="6386" t="s">
        <v>712</v>
      </c>
      <c r="Z14" s="6385">
        <f>LARGE(Z5:Z13,1)+1</f>
        <v>122</v>
      </c>
      <c r="AA14" s="6386" t="s">
        <v>679</v>
      </c>
      <c r="AB14" s="6385">
        <f>LARGE(AB5:AB13,1)+1</f>
        <v>172</v>
      </c>
      <c r="AC14" s="6386" t="s">
        <v>618</v>
      </c>
      <c r="AD14" s="6385">
        <f>LARGE(AD5:AD13,1)+1</f>
        <v>226</v>
      </c>
      <c r="AE14" s="6386" t="s">
        <v>589</v>
      </c>
      <c r="AF14" s="6385">
        <f>LARGE(AF5:AF13,1)+1</f>
        <v>277</v>
      </c>
      <c r="AG14" s="6386" t="s">
        <v>647</v>
      </c>
      <c r="AH14" s="6380">
        <f>LARGE(AH4:AH13,1)+1</f>
        <v>11</v>
      </c>
      <c r="AI14" s="6381" t="s">
        <v>3355</v>
      </c>
      <c r="AJ14" s="6382"/>
      <c r="AK14" s="6380">
        <f>LARGE(AK4:AK13,1)+1</f>
        <v>67</v>
      </c>
      <c r="AL14" s="6381" t="s">
        <v>3356</v>
      </c>
      <c r="AM14" s="2037"/>
      <c r="AN14" s="2037"/>
      <c r="AO14" s="5002"/>
      <c r="AP14" s="6392" t="s">
        <v>3357</v>
      </c>
      <c r="AR14" s="6388"/>
      <c r="AS14" s="6399" t="s">
        <v>3358</v>
      </c>
      <c r="AT14" s="2508"/>
      <c r="AV14" s="6393" t="s">
        <v>152</v>
      </c>
      <c r="AW14" s="6394" t="s">
        <v>3359</v>
      </c>
      <c r="AX14" s="2508"/>
    </row>
    <row r="15" spans="1:50" s="1838" customFormat="1" ht="26.25" customHeight="1">
      <c r="B15" s="6385">
        <f>LARGE(B5:B14,1)+1</f>
        <v>9</v>
      </c>
      <c r="C15" s="6386" t="s">
        <v>573</v>
      </c>
      <c r="D15" s="6385">
        <f>LARGE(D5:D14,1)+1</f>
        <v>23</v>
      </c>
      <c r="E15" s="6386" t="s">
        <v>574</v>
      </c>
      <c r="F15" s="6385">
        <f>LARGE(F5:F14,1)+1</f>
        <v>41</v>
      </c>
      <c r="G15" s="6386" t="s">
        <v>575</v>
      </c>
      <c r="H15" s="6385"/>
      <c r="I15" s="6375" t="s">
        <v>576</v>
      </c>
      <c r="J15" s="6376"/>
      <c r="K15" s="813"/>
      <c r="L15" s="6385">
        <f>LARGE(L5:L14,1)+1</f>
        <v>10</v>
      </c>
      <c r="M15" s="6386" t="s">
        <v>577</v>
      </c>
      <c r="N15" s="6385">
        <f>LARGE(N5:N14,1)+1</f>
        <v>55</v>
      </c>
      <c r="O15" s="6386" t="s">
        <v>578</v>
      </c>
      <c r="P15" s="6385"/>
      <c r="Q15" s="6377" t="s">
        <v>316</v>
      </c>
      <c r="R15" s="6385">
        <f>LARGE(R5:R14,1)+1</f>
        <v>139</v>
      </c>
      <c r="S15" s="6386" t="s">
        <v>579</v>
      </c>
      <c r="T15" s="6376"/>
      <c r="V15" s="6385">
        <f>LARGE(V5:V14,1)+1</f>
        <v>11</v>
      </c>
      <c r="W15" s="6386" t="s">
        <v>2529</v>
      </c>
      <c r="X15" s="6385">
        <f>LARGE(X5:X14,1)+1</f>
        <v>66</v>
      </c>
      <c r="Y15" s="6386" t="s">
        <v>713</v>
      </c>
      <c r="Z15" s="6385">
        <f>LARGE(Z5:Z14,1)+1</f>
        <v>123</v>
      </c>
      <c r="AA15" s="6386" t="s">
        <v>683</v>
      </c>
      <c r="AB15" s="6385">
        <f>LARGE(AB5:AB14,1)+1</f>
        <v>173</v>
      </c>
      <c r="AC15" s="6386" t="s">
        <v>633</v>
      </c>
      <c r="AD15" s="6385">
        <f>LARGE(AD5:AD14,1)+1</f>
        <v>227</v>
      </c>
      <c r="AE15" s="6386" t="s">
        <v>512</v>
      </c>
      <c r="AF15" s="6385">
        <f>LARGE(AF5:AF14,1)+1</f>
        <v>278</v>
      </c>
      <c r="AG15" s="6386" t="s">
        <v>651</v>
      </c>
      <c r="AH15" s="6380">
        <f>LARGE(AH4:AH14,1)+1</f>
        <v>12</v>
      </c>
      <c r="AI15" s="6381" t="s">
        <v>3360</v>
      </c>
      <c r="AJ15" s="6400"/>
      <c r="AK15" s="6380">
        <f>LARGE(AK4:AK14,1)+1</f>
        <v>68</v>
      </c>
      <c r="AL15" s="6381" t="s">
        <v>3361</v>
      </c>
      <c r="AM15" s="6401"/>
      <c r="AN15" s="6401"/>
      <c r="AO15" s="5002"/>
      <c r="AP15" s="6402" t="s">
        <v>3362</v>
      </c>
      <c r="AR15" s="6388">
        <v>9</v>
      </c>
      <c r="AS15" s="2508" t="s">
        <v>3363</v>
      </c>
      <c r="AT15" s="2508"/>
      <c r="AU15" s="6372"/>
      <c r="AV15" s="6388">
        <v>1</v>
      </c>
      <c r="AW15" s="6397" t="s">
        <v>3364</v>
      </c>
      <c r="AX15" s="6397"/>
    </row>
    <row r="16" spans="1:50" s="1838" customFormat="1" ht="23.25" customHeight="1">
      <c r="B16" s="6385">
        <f>LARGE(B5:B15,1)+1</f>
        <v>10</v>
      </c>
      <c r="C16" s="6386" t="s">
        <v>580</v>
      </c>
      <c r="D16" s="6385">
        <f>LARGE(D5:D15,1)+1</f>
        <v>24</v>
      </c>
      <c r="E16" s="6386" t="s">
        <v>581</v>
      </c>
      <c r="F16" s="6385">
        <f>LARGE(F5:F15,1)+1</f>
        <v>42</v>
      </c>
      <c r="G16" s="6386" t="s">
        <v>582</v>
      </c>
      <c r="H16" s="6385">
        <f>LARGE(H5:H15,1)+1</f>
        <v>59</v>
      </c>
      <c r="I16" s="6386" t="s">
        <v>583</v>
      </c>
      <c r="J16" s="6376"/>
      <c r="K16" s="813"/>
      <c r="L16" s="6385">
        <f>LARGE(L5:L15,1)+1</f>
        <v>11</v>
      </c>
      <c r="M16" s="6386" t="s">
        <v>584</v>
      </c>
      <c r="N16" s="6385">
        <f>LARGE(N5:N15,1)+1</f>
        <v>56</v>
      </c>
      <c r="O16" s="6386" t="s">
        <v>585</v>
      </c>
      <c r="P16" s="6385">
        <f>LARGE(P5:P15,1)+1</f>
        <v>99</v>
      </c>
      <c r="Q16" s="6386" t="s">
        <v>586</v>
      </c>
      <c r="R16" s="6385">
        <f>LARGE(R5:R15,1)+1</f>
        <v>140</v>
      </c>
      <c r="S16" s="6386" t="s">
        <v>587</v>
      </c>
      <c r="T16" s="6376"/>
      <c r="V16" s="6385">
        <f>LARGE(V5:V15,1)+1</f>
        <v>12</v>
      </c>
      <c r="W16" s="6386" t="s">
        <v>525</v>
      </c>
      <c r="X16" s="6385">
        <f>LARGE(X5:X15,1)+1</f>
        <v>67</v>
      </c>
      <c r="Y16" s="6386" t="s">
        <v>716</v>
      </c>
      <c r="Z16" s="6385">
        <f>LARGE(Z5:Z15,1)+1</f>
        <v>124</v>
      </c>
      <c r="AA16" s="6386" t="s">
        <v>686</v>
      </c>
      <c r="AB16" s="6385">
        <f>LARGE(AB5:AB15,1)+1</f>
        <v>174</v>
      </c>
      <c r="AC16" s="6386" t="s">
        <v>625</v>
      </c>
      <c r="AD16" s="6385">
        <f>LARGE(AD5:AD15,1)+1</f>
        <v>228</v>
      </c>
      <c r="AE16" s="6386" t="s">
        <v>595</v>
      </c>
      <c r="AF16" s="6385">
        <f>LARGE(AF5:AF15,1)+1</f>
        <v>279</v>
      </c>
      <c r="AG16" s="6386" t="s">
        <v>655</v>
      </c>
      <c r="AH16" s="6380">
        <f>LARGE(AH4:AH15,1)+1</f>
        <v>13</v>
      </c>
      <c r="AI16" s="6381" t="s">
        <v>3365</v>
      </c>
      <c r="AJ16" s="6400"/>
      <c r="AK16" s="6380">
        <f>LARGE(AK4:AK15,1)+1</f>
        <v>69</v>
      </c>
      <c r="AL16" s="6381" t="s">
        <v>3366</v>
      </c>
      <c r="AM16" s="6401"/>
      <c r="AN16" s="6401"/>
      <c r="AO16" s="5002"/>
      <c r="AP16" s="6402" t="s">
        <v>3367</v>
      </c>
      <c r="AR16" s="6388">
        <v>10</v>
      </c>
      <c r="AS16" s="2508" t="s">
        <v>3368</v>
      </c>
      <c r="AT16" s="2508"/>
      <c r="AU16" s="6372"/>
      <c r="AV16" s="6388"/>
      <c r="AW16" s="6397"/>
      <c r="AX16" s="6397"/>
    </row>
    <row r="17" spans="2:50" s="1838" customFormat="1" ht="23.25">
      <c r="B17" s="6385">
        <f>LARGE(B5:B16,1)+1</f>
        <v>11</v>
      </c>
      <c r="C17" s="6386" t="s">
        <v>588</v>
      </c>
      <c r="D17" s="6385"/>
      <c r="E17" s="6396" t="s">
        <v>146</v>
      </c>
      <c r="F17" s="6385">
        <f>LARGE(F5:F16,1)+1</f>
        <v>43</v>
      </c>
      <c r="G17" s="6386" t="s">
        <v>589</v>
      </c>
      <c r="H17" s="6385"/>
      <c r="I17" s="6375" t="s">
        <v>590</v>
      </c>
      <c r="J17" s="6376"/>
      <c r="K17" s="813"/>
      <c r="L17" s="6385"/>
      <c r="M17" s="6377" t="s">
        <v>101</v>
      </c>
      <c r="N17" s="6385">
        <f>LARGE(N5:N16,1)+1</f>
        <v>57</v>
      </c>
      <c r="O17" s="6386" t="s">
        <v>591</v>
      </c>
      <c r="P17" s="6385">
        <f>LARGE(P5:P16,1)+1</f>
        <v>100</v>
      </c>
      <c r="Q17" s="6386" t="s">
        <v>592</v>
      </c>
      <c r="R17" s="6385">
        <f>LARGE(R5:R16,1)+1</f>
        <v>141</v>
      </c>
      <c r="S17" s="6386" t="s">
        <v>593</v>
      </c>
      <c r="T17" s="6376"/>
      <c r="V17" s="6385">
        <f>LARGE(V5:V16,1)+1</f>
        <v>13</v>
      </c>
      <c r="W17" s="6386" t="s">
        <v>532</v>
      </c>
      <c r="X17" s="6385">
        <f>LARGE(X5:X16,1)+1</f>
        <v>68</v>
      </c>
      <c r="Y17" s="6386" t="s">
        <v>608</v>
      </c>
      <c r="Z17" s="6385">
        <f>LARGE(Z5:Z16,1)+1</f>
        <v>125</v>
      </c>
      <c r="AA17" s="6386" t="s">
        <v>689</v>
      </c>
      <c r="AB17" s="6385">
        <f>LARGE(AB5:AB16,1)+1</f>
        <v>175</v>
      </c>
      <c r="AC17" s="6386" t="s">
        <v>2530</v>
      </c>
      <c r="AD17" s="6385">
        <f>LARGE(AD5:AD16,1)+1</f>
        <v>229</v>
      </c>
      <c r="AE17" s="6386" t="s">
        <v>2531</v>
      </c>
      <c r="AF17" s="6385">
        <f>LARGE(AF5:AF16,1)+1</f>
        <v>280</v>
      </c>
      <c r="AG17" s="6386" t="s">
        <v>659</v>
      </c>
      <c r="AH17" s="6380">
        <f>LARGE(AH4:AH16,1)+1</f>
        <v>14</v>
      </c>
      <c r="AI17" s="6381" t="s">
        <v>3369</v>
      </c>
      <c r="AJ17" s="6400"/>
      <c r="AK17" s="6380">
        <f>LARGE(AK4:AK16,1)+1</f>
        <v>70</v>
      </c>
      <c r="AL17" s="6381" t="s">
        <v>3370</v>
      </c>
      <c r="AM17" s="6401"/>
      <c r="AN17" s="6401"/>
      <c r="AO17" s="5002"/>
      <c r="AP17" s="6402" t="s">
        <v>3371</v>
      </c>
      <c r="AR17" s="6388">
        <v>11</v>
      </c>
      <c r="AS17" s="2508" t="s">
        <v>3372</v>
      </c>
      <c r="AT17" s="2508"/>
      <c r="AU17" s="6372"/>
      <c r="AV17" s="6388">
        <v>2</v>
      </c>
      <c r="AW17" s="6397" t="s">
        <v>3373</v>
      </c>
      <c r="AX17" s="6397"/>
    </row>
    <row r="18" spans="2:50" s="1838" customFormat="1" ht="23.25" customHeight="1">
      <c r="B18" s="6395"/>
      <c r="C18" s="6396" t="s">
        <v>111</v>
      </c>
      <c r="D18" s="6385">
        <f>LARGE(D5:D17,1)+1</f>
        <v>25</v>
      </c>
      <c r="E18" s="6386" t="s">
        <v>594</v>
      </c>
      <c r="F18" s="6385">
        <f>LARGE(F5:F17,1)+1</f>
        <v>44</v>
      </c>
      <c r="G18" s="6386" t="s">
        <v>595</v>
      </c>
      <c r="H18" s="6385">
        <f>LARGE(H5:H17,1)+1</f>
        <v>60</v>
      </c>
      <c r="I18" s="6386" t="s">
        <v>596</v>
      </c>
      <c r="J18" s="6376"/>
      <c r="K18" s="813"/>
      <c r="L18" s="6385">
        <f>LARGE(L5:L17,1)+1</f>
        <v>12</v>
      </c>
      <c r="M18" s="6386" t="s">
        <v>597</v>
      </c>
      <c r="N18" s="6385">
        <f>LARGE(N5:N17,1)+1</f>
        <v>58</v>
      </c>
      <c r="O18" s="6386" t="s">
        <v>598</v>
      </c>
      <c r="P18" s="6385">
        <f>LARGE(P5:P17,1)+1</f>
        <v>101</v>
      </c>
      <c r="Q18" s="6386" t="s">
        <v>599</v>
      </c>
      <c r="R18" s="6385">
        <f>LARGE(R5:R17,1)+1</f>
        <v>142</v>
      </c>
      <c r="S18" s="6386" t="s">
        <v>600</v>
      </c>
      <c r="T18" s="6376"/>
      <c r="V18" s="6385"/>
      <c r="W18" s="815" t="s">
        <v>100</v>
      </c>
      <c r="X18" s="6385">
        <f>LARGE(X5:X17,1)+1</f>
        <v>69</v>
      </c>
      <c r="Y18" s="6386" t="s">
        <v>2532</v>
      </c>
      <c r="Z18" s="6385">
        <f>LARGE(Z5:Z17,1)+1</f>
        <v>126</v>
      </c>
      <c r="AA18" s="6386" t="s">
        <v>693</v>
      </c>
      <c r="AB18" s="6385">
        <f>LARGE(AB5:AB17,1)+1</f>
        <v>176</v>
      </c>
      <c r="AC18" s="6386" t="s">
        <v>638</v>
      </c>
      <c r="AD18" s="6385">
        <f>LARGE(AD5:AD17,1)+1</f>
        <v>230</v>
      </c>
      <c r="AE18" s="6386" t="s">
        <v>602</v>
      </c>
      <c r="AF18" s="6385">
        <f>LARGE(AF5:AF17,1)+1</f>
        <v>281</v>
      </c>
      <c r="AG18" s="6386" t="s">
        <v>663</v>
      </c>
      <c r="AH18" s="6380">
        <f>LARGE(AH4:AH17,1)+1</f>
        <v>15</v>
      </c>
      <c r="AI18" s="6381" t="s">
        <v>3374</v>
      </c>
      <c r="AJ18" s="6400"/>
      <c r="AK18" s="6380">
        <f>LARGE(AK4:AK17,1)+1</f>
        <v>71</v>
      </c>
      <c r="AL18" s="6381" t="s">
        <v>3375</v>
      </c>
      <c r="AM18" s="6401"/>
      <c r="AN18" s="6401"/>
      <c r="AO18" s="5002"/>
      <c r="AP18" s="6392" t="s">
        <v>3376</v>
      </c>
      <c r="AR18" s="6388">
        <v>12</v>
      </c>
      <c r="AS18" s="2508" t="s">
        <v>3377</v>
      </c>
      <c r="AT18" s="2508"/>
      <c r="AU18" s="6372"/>
      <c r="AV18" s="6388"/>
      <c r="AW18" s="6397"/>
      <c r="AX18" s="6397"/>
    </row>
    <row r="19" spans="2:50" s="1838" customFormat="1" ht="23.25" customHeight="1">
      <c r="B19" s="6385">
        <f>LARGE(B5:B18,1)+1</f>
        <v>12</v>
      </c>
      <c r="C19" s="6386" t="s">
        <v>601</v>
      </c>
      <c r="D19" s="6385"/>
      <c r="E19" s="6396" t="s">
        <v>224</v>
      </c>
      <c r="F19" s="6385">
        <f>LARGE(F5:F18,1)+1</f>
        <v>45</v>
      </c>
      <c r="G19" s="6386" t="s">
        <v>602</v>
      </c>
      <c r="H19" s="6385">
        <f>LARGE(H5:H18,1)+1</f>
        <v>61</v>
      </c>
      <c r="I19" s="6386" t="s">
        <v>603</v>
      </c>
      <c r="J19" s="6376"/>
      <c r="K19" s="813"/>
      <c r="L19" s="6385">
        <f>LARGE(L5:L18,1)+1</f>
        <v>13</v>
      </c>
      <c r="M19" s="6386" t="s">
        <v>604</v>
      </c>
      <c r="N19" s="6385">
        <f>LARGE(N5:N18,1)+1</f>
        <v>59</v>
      </c>
      <c r="O19" s="6386" t="s">
        <v>605</v>
      </c>
      <c r="P19" s="6385">
        <f>LARGE(P5:P18,1)+1</f>
        <v>102</v>
      </c>
      <c r="Q19" s="6386" t="s">
        <v>606</v>
      </c>
      <c r="R19" s="6385">
        <f>LARGE(R5:R18,1)+1</f>
        <v>143</v>
      </c>
      <c r="S19" s="6386" t="s">
        <v>607</v>
      </c>
      <c r="T19" s="6376"/>
      <c r="V19" s="6385">
        <f>LARGE(V5:V18,1)+1</f>
        <v>14</v>
      </c>
      <c r="W19" s="6386" t="s">
        <v>545</v>
      </c>
      <c r="X19" s="6385">
        <f>LARGE(X5:X18,1)+1</f>
        <v>70</v>
      </c>
      <c r="Y19" s="6386" t="s">
        <v>719</v>
      </c>
      <c r="Z19" s="6385">
        <f>LARGE(Z5:Z18,1)+1</f>
        <v>127</v>
      </c>
      <c r="AA19" s="6386" t="s">
        <v>2533</v>
      </c>
      <c r="AB19" s="6385">
        <f>LARGE(AB5:AB18,1)+1</f>
        <v>177</v>
      </c>
      <c r="AC19" s="6386" t="s">
        <v>631</v>
      </c>
      <c r="AD19" s="6385">
        <f>LARGE(AD5:AD18,1)+1</f>
        <v>231</v>
      </c>
      <c r="AE19" s="6386" t="s">
        <v>2534</v>
      </c>
      <c r="AF19" s="6385">
        <f>LARGE(AF5:AF18,1)+1</f>
        <v>282</v>
      </c>
      <c r="AG19" s="6386" t="s">
        <v>666</v>
      </c>
      <c r="AH19" s="6380">
        <f>LARGE(AH4:AH18,1)+1</f>
        <v>16</v>
      </c>
      <c r="AI19" s="6381" t="s">
        <v>3378</v>
      </c>
      <c r="AJ19" s="6400"/>
      <c r="AK19" s="6380">
        <f>LARGE(AK4:AK18,1)+1</f>
        <v>72</v>
      </c>
      <c r="AL19" s="6381" t="s">
        <v>3379</v>
      </c>
      <c r="AM19" s="6401"/>
      <c r="AN19" s="6401"/>
      <c r="AO19" s="5002"/>
      <c r="AP19" s="6392" t="s">
        <v>3380</v>
      </c>
      <c r="AR19" s="6388">
        <v>13</v>
      </c>
      <c r="AS19" s="2508" t="s">
        <v>3381</v>
      </c>
      <c r="AT19" s="2508"/>
      <c r="AU19" s="6372"/>
      <c r="AV19" s="6388">
        <v>3</v>
      </c>
      <c r="AW19" s="6397" t="s">
        <v>3382</v>
      </c>
      <c r="AX19" s="6397"/>
    </row>
    <row r="20" spans="2:50" s="1838" customFormat="1" ht="27" customHeight="1">
      <c r="B20" s="6385">
        <f>LARGE(B5:B19,1)+1</f>
        <v>13</v>
      </c>
      <c r="C20" s="6386" t="s">
        <v>608</v>
      </c>
      <c r="D20" s="6385">
        <f>LARGE(D5:D19,1)+1</f>
        <v>26</v>
      </c>
      <c r="E20" s="6386" t="s">
        <v>609</v>
      </c>
      <c r="F20" s="6385">
        <f>LARGE(F5:F19,1)+1</f>
        <v>46</v>
      </c>
      <c r="G20" s="6386" t="s">
        <v>610</v>
      </c>
      <c r="H20" s="6385"/>
      <c r="I20" s="816"/>
      <c r="J20" s="6376"/>
      <c r="K20" s="813"/>
      <c r="L20" s="6385">
        <f>LARGE(L5:L19,1)+1</f>
        <v>14</v>
      </c>
      <c r="M20" s="6386" t="s">
        <v>611</v>
      </c>
      <c r="N20" s="6385">
        <f>LARGE(N5:N19,1)+1</f>
        <v>60</v>
      </c>
      <c r="O20" s="6386" t="s">
        <v>612</v>
      </c>
      <c r="P20" s="6385">
        <f>LARGE(P5:P19,1)+1</f>
        <v>103</v>
      </c>
      <c r="Q20" s="6386" t="s">
        <v>613</v>
      </c>
      <c r="R20" s="6385"/>
      <c r="S20" s="6378" t="s">
        <v>562</v>
      </c>
      <c r="T20" s="6376"/>
      <c r="V20" s="6385">
        <f>LARGE(V5:V19,1)+1</f>
        <v>15</v>
      </c>
      <c r="W20" s="6386" t="s">
        <v>560</v>
      </c>
      <c r="X20" s="6385">
        <f>LARGE(X5:X19,1)+1</f>
        <v>71</v>
      </c>
      <c r="Y20" s="6386" t="s">
        <v>722</v>
      </c>
      <c r="Z20" s="6385">
        <f>LARGE(Z5:Z19,1)+1</f>
        <v>128</v>
      </c>
      <c r="AA20" s="6386" t="s">
        <v>696</v>
      </c>
      <c r="AB20" s="6385">
        <f>LARGE(AB5:AB19,1)+1</f>
        <v>178</v>
      </c>
      <c r="AC20" s="6386" t="s">
        <v>643</v>
      </c>
      <c r="AD20" s="6385">
        <f>LARGE(AD5:AD19,1)+1</f>
        <v>232</v>
      </c>
      <c r="AE20" s="6386" t="s">
        <v>520</v>
      </c>
      <c r="AF20" s="6403"/>
      <c r="AG20" s="817"/>
      <c r="AH20" s="6380">
        <f>LARGE(AH4:AH19,1)+1</f>
        <v>17</v>
      </c>
      <c r="AI20" s="6381" t="s">
        <v>3383</v>
      </c>
      <c r="AJ20" s="6400"/>
      <c r="AK20" s="6380">
        <f>LARGE(AK4:AK19,1)+1</f>
        <v>73</v>
      </c>
      <c r="AL20" s="6381" t="s">
        <v>3384</v>
      </c>
      <c r="AM20" s="6401"/>
      <c r="AN20" s="6401"/>
      <c r="AO20" s="5002"/>
      <c r="AP20" s="6392" t="s">
        <v>3385</v>
      </c>
      <c r="AR20" s="6388">
        <v>14</v>
      </c>
      <c r="AS20" s="2508" t="s">
        <v>3386</v>
      </c>
      <c r="AT20" s="2508"/>
      <c r="AU20" s="6372"/>
      <c r="AV20" s="6388"/>
      <c r="AW20" s="6397"/>
      <c r="AX20" s="6397"/>
    </row>
    <row r="21" spans="2:50" s="1838" customFormat="1" ht="20.25" customHeight="1">
      <c r="B21" s="6385">
        <f>LARGE(B5:B20,1)+1</f>
        <v>14</v>
      </c>
      <c r="C21" s="6386" t="s">
        <v>614</v>
      </c>
      <c r="D21" s="6385"/>
      <c r="E21" s="6396" t="s">
        <v>316</v>
      </c>
      <c r="F21" s="6385">
        <f>LARGE(F5:F20,1)+1</f>
        <v>47</v>
      </c>
      <c r="G21" s="6386" t="s">
        <v>615</v>
      </c>
      <c r="H21" s="6385"/>
      <c r="I21" s="816"/>
      <c r="J21" s="6376"/>
      <c r="K21" s="813"/>
      <c r="L21" s="6385">
        <f>LARGE(L5:L20,1)+1</f>
        <v>15</v>
      </c>
      <c r="M21" s="6386" t="s">
        <v>616</v>
      </c>
      <c r="N21" s="6385">
        <f>LARGE(N5:N20,1)+1</f>
        <v>61</v>
      </c>
      <c r="O21" s="6386" t="s">
        <v>617</v>
      </c>
      <c r="P21" s="6385">
        <f>LARGE(P5:P20,1)+1</f>
        <v>104</v>
      </c>
      <c r="Q21" s="6386" t="s">
        <v>618</v>
      </c>
      <c r="R21" s="6385">
        <f>LARGE(R5:R20,1)+1</f>
        <v>144</v>
      </c>
      <c r="S21" s="6386" t="s">
        <v>619</v>
      </c>
      <c r="T21" s="6376"/>
      <c r="V21" s="6385">
        <f>LARGE(V5:V20,1)+1</f>
        <v>16</v>
      </c>
      <c r="W21" s="6386" t="s">
        <v>552</v>
      </c>
      <c r="X21" s="6385">
        <f>LARGE(X5:X20,1)+1</f>
        <v>72</v>
      </c>
      <c r="Y21" s="6386" t="s">
        <v>725</v>
      </c>
      <c r="Z21" s="6385">
        <f>LARGE(Z5:Z20,1)+1</f>
        <v>129</v>
      </c>
      <c r="AA21" s="6386" t="s">
        <v>2535</v>
      </c>
      <c r="AB21" s="6385">
        <f>LARGE(AB5:AB20,1)+1</f>
        <v>179</v>
      </c>
      <c r="AC21" s="6386" t="s">
        <v>2536</v>
      </c>
      <c r="AD21" s="6385">
        <f>LARGE(AD5:AD20,1)+1</f>
        <v>233</v>
      </c>
      <c r="AE21" s="6386" t="s">
        <v>610</v>
      </c>
      <c r="AF21" s="6403"/>
      <c r="AG21" s="815" t="s">
        <v>576</v>
      </c>
      <c r="AH21" s="6380">
        <f>LARGE(AH4:AH20,1)+1</f>
        <v>18</v>
      </c>
      <c r="AI21" s="6381" t="s">
        <v>3387</v>
      </c>
      <c r="AJ21" s="6400"/>
      <c r="AK21" s="6380">
        <f>LARGE(AK4:AK20,1)+1</f>
        <v>74</v>
      </c>
      <c r="AL21" s="6381" t="s">
        <v>3388</v>
      </c>
      <c r="AM21" s="6401"/>
      <c r="AN21" s="6401"/>
      <c r="AO21" s="5002"/>
      <c r="AP21" s="6392" t="s">
        <v>3389</v>
      </c>
      <c r="AR21" s="6388">
        <v>15</v>
      </c>
      <c r="AS21" s="2508" t="s">
        <v>3390</v>
      </c>
      <c r="AT21" s="2508"/>
      <c r="AU21" s="6404"/>
      <c r="AV21" s="6388">
        <v>4</v>
      </c>
      <c r="AW21" s="2508" t="s">
        <v>3391</v>
      </c>
      <c r="AX21" s="2508"/>
    </row>
    <row r="22" spans="2:50" s="1838" customFormat="1" ht="23.25" customHeight="1">
      <c r="B22" s="6385">
        <f>LARGE(B5:B21,1)+1</f>
        <v>15</v>
      </c>
      <c r="C22" s="6386" t="s">
        <v>620</v>
      </c>
      <c r="D22" s="6385">
        <f>LARGE(D5:D21,1)+1</f>
        <v>27</v>
      </c>
      <c r="E22" s="6386" t="s">
        <v>621</v>
      </c>
      <c r="F22" s="6385">
        <f>LARGE(F5:F21,1)+1</f>
        <v>48</v>
      </c>
      <c r="G22" s="6386" t="s">
        <v>622</v>
      </c>
      <c r="H22" s="6385"/>
      <c r="I22" s="6405"/>
      <c r="J22" s="6376"/>
      <c r="K22" s="813"/>
      <c r="L22" s="6385">
        <f>LARGE(L5:L21,1)+1</f>
        <v>16</v>
      </c>
      <c r="M22" s="6386" t="s">
        <v>623</v>
      </c>
      <c r="N22" s="6385">
        <f>LARGE(N5:N21,1)+1</f>
        <v>62</v>
      </c>
      <c r="O22" s="6386" t="s">
        <v>624</v>
      </c>
      <c r="P22" s="6385">
        <f>LARGE(P5:P21,1)+1</f>
        <v>105</v>
      </c>
      <c r="Q22" s="6386" t="s">
        <v>625</v>
      </c>
      <c r="R22" s="6385">
        <f>LARGE(R5:R21,1)+1</f>
        <v>145</v>
      </c>
      <c r="S22" s="6386" t="s">
        <v>626</v>
      </c>
      <c r="T22" s="6376"/>
      <c r="V22" s="6385">
        <f>LARGE(V5:V21,1)+1</f>
        <v>17</v>
      </c>
      <c r="W22" s="6386" t="s">
        <v>558</v>
      </c>
      <c r="X22" s="6385">
        <f>LARGE(X5:X21,1)+1</f>
        <v>73</v>
      </c>
      <c r="Y22" s="6386" t="s">
        <v>510</v>
      </c>
      <c r="Z22" s="6385">
        <f>LARGE(Z5:Z21,1)+1</f>
        <v>130</v>
      </c>
      <c r="AA22" s="6386" t="s">
        <v>699</v>
      </c>
      <c r="AB22" s="6385">
        <f>LARGE(AB5:AB21,1)+1</f>
        <v>180</v>
      </c>
      <c r="AC22" s="6386" t="s">
        <v>2537</v>
      </c>
      <c r="AD22" s="6385">
        <f>LARGE(AD5:AD21,1)+1</f>
        <v>234</v>
      </c>
      <c r="AE22" s="6386" t="s">
        <v>615</v>
      </c>
      <c r="AF22" s="6403">
        <f>LARGE(AF5:AF21,1)+1</f>
        <v>283</v>
      </c>
      <c r="AG22" s="6386" t="s">
        <v>2538</v>
      </c>
      <c r="AH22" s="6380">
        <f>LARGE(AH4:AH21,1)+1</f>
        <v>19</v>
      </c>
      <c r="AI22" s="6381" t="s">
        <v>3392</v>
      </c>
      <c r="AJ22" s="6400"/>
      <c r="AK22" s="6380">
        <f>LARGE(AK4:AK21,1)+1</f>
        <v>75</v>
      </c>
      <c r="AL22" s="6381" t="s">
        <v>3393</v>
      </c>
      <c r="AM22" s="6401"/>
      <c r="AN22" s="6401"/>
      <c r="AO22" s="5002"/>
      <c r="AP22" s="6392" t="s">
        <v>3394</v>
      </c>
      <c r="AR22" s="6388"/>
      <c r="AS22" s="2508"/>
      <c r="AT22" s="2508"/>
      <c r="AU22" s="6404"/>
      <c r="AV22" s="6388">
        <v>5</v>
      </c>
      <c r="AW22" s="2508" t="s">
        <v>3395</v>
      </c>
      <c r="AX22" s="2508"/>
    </row>
    <row r="23" spans="2:50" s="1838" customFormat="1" ht="23.25" customHeight="1">
      <c r="B23" s="6406"/>
      <c r="C23" s="816"/>
      <c r="D23" s="6385">
        <f>LARGE(D5:D22,1)+1</f>
        <v>28</v>
      </c>
      <c r="E23" s="6386" t="s">
        <v>627</v>
      </c>
      <c r="F23" s="6385">
        <f>LARGE(F5:F22,1)+1</f>
        <v>49</v>
      </c>
      <c r="G23" s="6386" t="s">
        <v>628</v>
      </c>
      <c r="H23" s="6385"/>
      <c r="I23" s="6405"/>
      <c r="J23" s="6376"/>
      <c r="K23" s="813"/>
      <c r="L23" s="6385">
        <f>LARGE(L5:L22,1)+1</f>
        <v>17</v>
      </c>
      <c r="M23" s="6386" t="s">
        <v>629</v>
      </c>
      <c r="N23" s="6385">
        <f>LARGE(N5:N22,1)+1</f>
        <v>63</v>
      </c>
      <c r="O23" s="6386" t="s">
        <v>630</v>
      </c>
      <c r="P23" s="6385">
        <f>LARGE(P5:P22,1)+1</f>
        <v>106</v>
      </c>
      <c r="Q23" s="6386" t="s">
        <v>631</v>
      </c>
      <c r="R23" s="6385">
        <f>LARGE(R5:R22,1)+1</f>
        <v>146</v>
      </c>
      <c r="S23" s="6386" t="s">
        <v>632</v>
      </c>
      <c r="T23" s="6376"/>
      <c r="V23" s="6385">
        <f>LARGE(V5:V22,1)+1</f>
        <v>18</v>
      </c>
      <c r="W23" s="6386" t="s">
        <v>563</v>
      </c>
      <c r="X23" s="6385">
        <f>LARGE(X5:X22,1)+1</f>
        <v>74</v>
      </c>
      <c r="Y23" s="6386" t="s">
        <v>518</v>
      </c>
      <c r="Z23" s="6385">
        <f>LARGE(Z5:Z22,1)+1</f>
        <v>131</v>
      </c>
      <c r="AA23" s="6386" t="s">
        <v>705</v>
      </c>
      <c r="AB23" s="6385">
        <f>LARGE(AB5:AB22,1)+1</f>
        <v>181</v>
      </c>
      <c r="AC23" s="6386" t="s">
        <v>636</v>
      </c>
      <c r="AD23" s="6385">
        <f>LARGE(AD5:AD22,1)+1</f>
        <v>235</v>
      </c>
      <c r="AE23" s="6386" t="s">
        <v>622</v>
      </c>
      <c r="AF23" s="6403">
        <f>LARGE(AF5:AF22,1)+1</f>
        <v>284</v>
      </c>
      <c r="AG23" s="6386" t="s">
        <v>583</v>
      </c>
      <c r="AH23" s="6380">
        <f>LARGE(AH4:AH22,1)+1</f>
        <v>20</v>
      </c>
      <c r="AI23" s="6381" t="s">
        <v>3396</v>
      </c>
      <c r="AJ23" s="6400"/>
      <c r="AK23" s="6380">
        <f>LARGE(AK4:AK22,1)+1</f>
        <v>76</v>
      </c>
      <c r="AL23" s="6381" t="s">
        <v>3397</v>
      </c>
      <c r="AM23" s="6401"/>
      <c r="AN23" s="6401"/>
      <c r="AO23" s="5002"/>
      <c r="AP23" s="6392" t="s">
        <v>3398</v>
      </c>
      <c r="AR23" s="6388"/>
      <c r="AS23" s="6407" t="s">
        <v>3399</v>
      </c>
      <c r="AT23" s="6407"/>
      <c r="AU23" s="6404"/>
      <c r="AV23" s="6388">
        <v>6</v>
      </c>
      <c r="AW23" s="2508" t="s">
        <v>3400</v>
      </c>
      <c r="AX23" s="2508"/>
    </row>
    <row r="24" spans="2:50" s="1838" customFormat="1" ht="23.25">
      <c r="B24" s="6406"/>
      <c r="C24" s="816"/>
      <c r="D24" s="6385">
        <f>LARGE(D5:D23,1)+1</f>
        <v>29</v>
      </c>
      <c r="E24" s="6386" t="s">
        <v>633</v>
      </c>
      <c r="F24" s="6385">
        <f>LARGE(F5:F23,1)+1</f>
        <v>50</v>
      </c>
      <c r="G24" s="6386" t="s">
        <v>634</v>
      </c>
      <c r="H24" s="6385"/>
      <c r="I24" s="6405"/>
      <c r="J24" s="6376"/>
      <c r="K24" s="813"/>
      <c r="L24" s="6385">
        <f>LARGE(L5:L23,1)+1</f>
        <v>18</v>
      </c>
      <c r="M24" s="6386" t="s">
        <v>635</v>
      </c>
      <c r="N24" s="6385">
        <f>LARGE(N5:N23,1)+1</f>
        <v>64</v>
      </c>
      <c r="O24" s="6386" t="s">
        <v>506</v>
      </c>
      <c r="P24" s="6385">
        <f>LARGE(P5:P23,1)+1</f>
        <v>107</v>
      </c>
      <c r="Q24" s="6386" t="s">
        <v>636</v>
      </c>
      <c r="R24" s="6385">
        <f>LARGE(R5:R23,1)+1</f>
        <v>147</v>
      </c>
      <c r="S24" s="6386" t="s">
        <v>637</v>
      </c>
      <c r="T24" s="6376"/>
      <c r="V24" s="6385">
        <f>LARGE(V5:V23,1)+1</f>
        <v>19</v>
      </c>
      <c r="W24" s="6386" t="s">
        <v>569</v>
      </c>
      <c r="X24" s="6385">
        <f>LARGE(X5:X23,1)+1</f>
        <v>75</v>
      </c>
      <c r="Y24" s="6386" t="s">
        <v>526</v>
      </c>
      <c r="Z24" s="6385">
        <f>LARGE(Z5:Z23,1)+1</f>
        <v>132</v>
      </c>
      <c r="AA24" s="6386" t="s">
        <v>2539</v>
      </c>
      <c r="AB24" s="6385">
        <f>LARGE(AB5:AB23,1)+1</f>
        <v>182</v>
      </c>
      <c r="AC24" s="6386" t="s">
        <v>641</v>
      </c>
      <c r="AD24" s="6385">
        <f>LARGE(AD5:AD23,1)+1</f>
        <v>236</v>
      </c>
      <c r="AE24" s="6386" t="s">
        <v>628</v>
      </c>
      <c r="AF24" s="6403"/>
      <c r="AG24" s="817"/>
      <c r="AH24" s="6380">
        <f>LARGE(AH4:AH23,1)+1</f>
        <v>21</v>
      </c>
      <c r="AI24" s="6381" t="s">
        <v>3401</v>
      </c>
      <c r="AJ24" s="6400"/>
      <c r="AK24" s="6380">
        <f>LARGE(AK4:AK23,1)+1</f>
        <v>77</v>
      </c>
      <c r="AL24" s="6381" t="s">
        <v>3402</v>
      </c>
      <c r="AM24" s="6401"/>
      <c r="AN24" s="6401"/>
      <c r="AO24" s="5002"/>
      <c r="AP24" s="6392" t="s">
        <v>3403</v>
      </c>
      <c r="AR24" s="6388"/>
      <c r="AS24" s="6407"/>
      <c r="AT24" s="6407"/>
      <c r="AU24" s="6404"/>
      <c r="AV24" s="6388">
        <v>7</v>
      </c>
      <c r="AW24" s="2508" t="s">
        <v>3404</v>
      </c>
      <c r="AX24" s="2508"/>
    </row>
    <row r="25" spans="2:50" s="1838" customFormat="1" ht="25.5">
      <c r="B25" s="6406"/>
      <c r="C25" s="816"/>
      <c r="D25" s="6385">
        <f>LARGE(D5:D24,1)+1</f>
        <v>30</v>
      </c>
      <c r="E25" s="6386" t="s">
        <v>638</v>
      </c>
      <c r="F25" s="6385"/>
      <c r="G25" s="6408"/>
      <c r="H25" s="6385"/>
      <c r="I25" s="6405"/>
      <c r="J25" s="6376"/>
      <c r="K25" s="813"/>
      <c r="L25" s="6385">
        <f>LARGE(L5:L24,1)+1</f>
        <v>19</v>
      </c>
      <c r="M25" s="6386" t="s">
        <v>639</v>
      </c>
      <c r="N25" s="6385">
        <f>LARGE(N5:N24,1)+1</f>
        <v>65</v>
      </c>
      <c r="O25" s="6386" t="s">
        <v>640</v>
      </c>
      <c r="P25" s="6385">
        <f>LARGE(P5:P24,1)+1</f>
        <v>108</v>
      </c>
      <c r="Q25" s="6386" t="s">
        <v>641</v>
      </c>
      <c r="R25" s="6385">
        <f>LARGE(R5:R24,1)+1</f>
        <v>148</v>
      </c>
      <c r="S25" s="6386" t="s">
        <v>642</v>
      </c>
      <c r="T25" s="6376"/>
      <c r="V25" s="6385">
        <f>LARGE(V5:V24,1)+1</f>
        <v>20</v>
      </c>
      <c r="W25" s="6386" t="s">
        <v>577</v>
      </c>
      <c r="X25" s="6385">
        <f>LARGE(X5:X24,1)+1</f>
        <v>76</v>
      </c>
      <c r="Y25" s="6386" t="s">
        <v>533</v>
      </c>
      <c r="Z25" s="6385">
        <f>LARGE(Z5:Z24,1)+1</f>
        <v>133</v>
      </c>
      <c r="AA25" s="6386" t="s">
        <v>708</v>
      </c>
      <c r="AB25" s="6385">
        <f>LARGE(AB5:AB24,1)+1</f>
        <v>183</v>
      </c>
      <c r="AC25" s="6386" t="s">
        <v>646</v>
      </c>
      <c r="AD25" s="6385">
        <f>LARGE(AD5:AD24,1)+1</f>
        <v>237</v>
      </c>
      <c r="AE25" s="6386" t="s">
        <v>634</v>
      </c>
      <c r="AF25" s="6403"/>
      <c r="AG25" s="815" t="s">
        <v>590</v>
      </c>
      <c r="AH25" s="6380">
        <f>LARGE(AH4:AH24,1)+1</f>
        <v>22</v>
      </c>
      <c r="AI25" s="6381" t="s">
        <v>3405</v>
      </c>
      <c r="AJ25" s="6400"/>
      <c r="AK25" s="6380">
        <f>LARGE(AK4:AK24,1)+1</f>
        <v>78</v>
      </c>
      <c r="AL25" s="6381" t="s">
        <v>3406</v>
      </c>
      <c r="AM25" s="6401"/>
      <c r="AN25" s="6401"/>
      <c r="AO25" s="5002"/>
      <c r="AP25" s="6392" t="s">
        <v>3407</v>
      </c>
      <c r="AR25" s="6388"/>
      <c r="AS25" s="6409" t="s">
        <v>3408</v>
      </c>
      <c r="AT25" s="6409"/>
      <c r="AU25" s="6404"/>
      <c r="AV25" s="6388">
        <v>8</v>
      </c>
      <c r="AW25" s="2508" t="s">
        <v>3409</v>
      </c>
      <c r="AX25" s="6410"/>
    </row>
    <row r="26" spans="2:50" s="1838" customFormat="1" ht="30">
      <c r="B26" s="6406"/>
      <c r="C26" s="816"/>
      <c r="D26" s="6385">
        <f>LARGE(D5:D25,1)+1</f>
        <v>31</v>
      </c>
      <c r="E26" s="6386" t="s">
        <v>643</v>
      </c>
      <c r="F26" s="6385"/>
      <c r="G26" s="6408"/>
      <c r="H26" s="6385"/>
      <c r="I26" s="6405"/>
      <c r="J26" s="6376"/>
      <c r="K26" s="813"/>
      <c r="L26" s="6385">
        <f>LARGE(L5:L25,1)+1</f>
        <v>20</v>
      </c>
      <c r="M26" s="6386" t="s">
        <v>644</v>
      </c>
      <c r="N26" s="6385">
        <f>LARGE(N5:N25,1)+1</f>
        <v>66</v>
      </c>
      <c r="O26" s="6386" t="s">
        <v>645</v>
      </c>
      <c r="P26" s="6385">
        <f>LARGE(P5:P25,1)+1</f>
        <v>109</v>
      </c>
      <c r="Q26" s="6386" t="s">
        <v>646</v>
      </c>
      <c r="R26" s="6385">
        <f>LARGE(R5:R25,1)+1</f>
        <v>149</v>
      </c>
      <c r="S26" s="6386" t="s">
        <v>647</v>
      </c>
      <c r="T26" s="6376"/>
      <c r="V26" s="6385">
        <f>LARGE(V5:V25,1)+1</f>
        <v>21</v>
      </c>
      <c r="W26" s="6386" t="s">
        <v>584</v>
      </c>
      <c r="X26" s="6385">
        <f>LARGE(X5:X25,1)+1</f>
        <v>77</v>
      </c>
      <c r="Y26" s="6386" t="s">
        <v>2540</v>
      </c>
      <c r="Z26" s="6385">
        <f>LARGE(Z5:Z25,1)+1</f>
        <v>134</v>
      </c>
      <c r="AA26" s="6386" t="s">
        <v>711</v>
      </c>
      <c r="AB26" s="6385">
        <f>LARGE(AB5:AB25,1)+1</f>
        <v>184</v>
      </c>
      <c r="AC26" s="6386" t="s">
        <v>650</v>
      </c>
      <c r="AD26" s="6385">
        <f>LARGE(AD5:AD25,1)+1</f>
        <v>238</v>
      </c>
      <c r="AE26" s="6386" t="s">
        <v>2541</v>
      </c>
      <c r="AF26" s="6403">
        <f>LARGE(AF5:AF25,1)+1</f>
        <v>285</v>
      </c>
      <c r="AG26" s="6386" t="s">
        <v>674</v>
      </c>
      <c r="AH26" s="6380">
        <f>LARGE(AH4:AH25,1)+1</f>
        <v>23</v>
      </c>
      <c r="AI26" s="6381" t="s">
        <v>3410</v>
      </c>
      <c r="AJ26" s="6400"/>
      <c r="AK26" s="6380">
        <f>LARGE(AK4:AK25,1)+1</f>
        <v>79</v>
      </c>
      <c r="AL26" s="6381" t="s">
        <v>3411</v>
      </c>
      <c r="AM26" s="6401"/>
      <c r="AN26" s="6401"/>
      <c r="AO26" s="5002"/>
      <c r="AP26" s="6387" t="s">
        <v>101</v>
      </c>
      <c r="AR26" s="6388"/>
      <c r="AS26" s="6409"/>
      <c r="AT26" s="6409"/>
      <c r="AU26" s="6372"/>
      <c r="AV26" s="6388">
        <v>9</v>
      </c>
      <c r="AW26" s="2508" t="s">
        <v>3412</v>
      </c>
      <c r="AX26" s="6410"/>
    </row>
    <row r="27" spans="2:50" s="1838" customFormat="1" ht="19.5" thickBot="1">
      <c r="B27" s="6411"/>
      <c r="C27" s="6412"/>
      <c r="D27" s="6412"/>
      <c r="E27" s="6412"/>
      <c r="F27" s="6412"/>
      <c r="G27" s="6412"/>
      <c r="H27" s="6413"/>
      <c r="I27" s="6412"/>
      <c r="J27" s="6414"/>
      <c r="K27" s="813"/>
      <c r="L27" s="6385">
        <f>LARGE(L5:L26,1)+1</f>
        <v>21</v>
      </c>
      <c r="M27" s="6386" t="s">
        <v>648</v>
      </c>
      <c r="N27" s="6385">
        <f>LARGE(N5:N26,1)+1</f>
        <v>67</v>
      </c>
      <c r="O27" s="6386" t="s">
        <v>649</v>
      </c>
      <c r="P27" s="6385">
        <f>LARGE(P5:P26,1)+1</f>
        <v>110</v>
      </c>
      <c r="Q27" s="6386" t="s">
        <v>650</v>
      </c>
      <c r="R27" s="6385">
        <f>LARGE(R5:R26,1)+1</f>
        <v>150</v>
      </c>
      <c r="S27" s="6386" t="s">
        <v>651</v>
      </c>
      <c r="T27" s="6376"/>
      <c r="V27" s="6385">
        <f>LARGE(V5:V26,1)+1</f>
        <v>22</v>
      </c>
      <c r="W27" s="6386" t="s">
        <v>2542</v>
      </c>
      <c r="X27" s="6385">
        <f>LARGE(X5:X26,1)+1</f>
        <v>78</v>
      </c>
      <c r="Y27" s="6386" t="s">
        <v>539</v>
      </c>
      <c r="Z27" s="6385"/>
      <c r="AA27" s="818"/>
      <c r="AB27" s="6385">
        <f>LARGE(AB5:AB26,1)+1</f>
        <v>185</v>
      </c>
      <c r="AC27" s="6386" t="s">
        <v>3413</v>
      </c>
      <c r="AD27" s="6385">
        <f>LARGE(AD5:AD26,1)+1</f>
        <v>239</v>
      </c>
      <c r="AE27" s="6386" t="s">
        <v>508</v>
      </c>
      <c r="AF27" s="6403">
        <f>LARGE(AF5:AF26,1)+1</f>
        <v>286</v>
      </c>
      <c r="AG27" s="6386" t="s">
        <v>596</v>
      </c>
      <c r="AH27" s="6380">
        <f>LARGE(AH4:AH26,1)+1</f>
        <v>24</v>
      </c>
      <c r="AI27" s="6381" t="s">
        <v>3414</v>
      </c>
      <c r="AJ27" s="6400"/>
      <c r="AK27" s="6380">
        <f>LARGE(AK4:AK26,1)+1</f>
        <v>80</v>
      </c>
      <c r="AL27" s="6381" t="s">
        <v>3415</v>
      </c>
      <c r="AM27" s="6401"/>
      <c r="AN27" s="6401"/>
      <c r="AO27" s="5002"/>
      <c r="AP27" s="6392" t="s">
        <v>3416</v>
      </c>
      <c r="AR27" s="6388"/>
      <c r="AS27" s="2508"/>
      <c r="AT27" s="2508"/>
      <c r="AU27" s="6372"/>
      <c r="AV27" s="6384">
        <v>10</v>
      </c>
      <c r="AW27" s="6397" t="s">
        <v>3417</v>
      </c>
      <c r="AX27" s="6397"/>
    </row>
    <row r="28" spans="2:50" s="1838" customFormat="1" ht="29.25" customHeight="1">
      <c r="B28" s="813"/>
      <c r="C28" s="813"/>
      <c r="D28" s="813"/>
      <c r="E28" s="813"/>
      <c r="F28" s="813"/>
      <c r="G28" s="813"/>
      <c r="H28" s="813"/>
      <c r="I28" s="813"/>
      <c r="J28" s="813"/>
      <c r="K28" s="813"/>
      <c r="L28" s="6385">
        <f>LARGE(L5:L27,1)+1</f>
        <v>22</v>
      </c>
      <c r="M28" s="6386" t="s">
        <v>652</v>
      </c>
      <c r="N28" s="6385">
        <f>LARGE(N5:N27,1)+1</f>
        <v>68</v>
      </c>
      <c r="O28" s="6386" t="s">
        <v>653</v>
      </c>
      <c r="P28" s="6385"/>
      <c r="Q28" s="6377" t="s">
        <v>654</v>
      </c>
      <c r="R28" s="6385">
        <f>LARGE(R5:R27,1)+1</f>
        <v>151</v>
      </c>
      <c r="S28" s="6386" t="s">
        <v>655</v>
      </c>
      <c r="T28" s="6376"/>
      <c r="V28" s="6385">
        <f>LARGE(V5:V27,1)+1</f>
        <v>23</v>
      </c>
      <c r="W28" s="6386" t="s">
        <v>2544</v>
      </c>
      <c r="X28" s="6385">
        <f>LARGE(X5:X27,1)+1</f>
        <v>79</v>
      </c>
      <c r="Y28" s="6386" t="s">
        <v>2545</v>
      </c>
      <c r="Z28" s="6385"/>
      <c r="AA28" s="814" t="s">
        <v>143</v>
      </c>
      <c r="AB28" s="6385">
        <f>LARGE(AB5:AB27,1)+1</f>
        <v>186</v>
      </c>
      <c r="AC28" s="6386" t="s">
        <v>2543</v>
      </c>
      <c r="AD28" s="6385">
        <f>LARGE(AD5:AD27,1)+1</f>
        <v>240</v>
      </c>
      <c r="AE28" s="6386" t="s">
        <v>516</v>
      </c>
      <c r="AF28" s="6403">
        <f>LARGE(AF5:AF27,1)+1</f>
        <v>287</v>
      </c>
      <c r="AG28" s="6386" t="s">
        <v>603</v>
      </c>
      <c r="AH28" s="6380">
        <f>LARGE(AH4:AH27,1)+1</f>
        <v>25</v>
      </c>
      <c r="AI28" s="6381" t="s">
        <v>3418</v>
      </c>
      <c r="AJ28" s="6400"/>
      <c r="AK28" s="6380">
        <f>LARGE(AK4:AK27,1)+1</f>
        <v>81</v>
      </c>
      <c r="AL28" s="6381" t="s">
        <v>3419</v>
      </c>
      <c r="AM28" s="6401"/>
      <c r="AN28" s="6401"/>
      <c r="AO28" s="5002"/>
      <c r="AP28" s="6392" t="s">
        <v>3420</v>
      </c>
      <c r="AR28" s="6372"/>
      <c r="AS28" s="6372"/>
      <c r="AT28" s="6372"/>
      <c r="AU28" s="6372"/>
      <c r="AV28" s="6384"/>
      <c r="AW28" s="6397"/>
      <c r="AX28" s="6397"/>
    </row>
    <row r="29" spans="2:50" s="1838" customFormat="1" ht="25.5">
      <c r="B29" s="813"/>
      <c r="C29" s="813"/>
      <c r="D29" s="813"/>
      <c r="E29" s="813"/>
      <c r="F29" s="813"/>
      <c r="G29" s="813"/>
      <c r="H29" s="813"/>
      <c r="I29" s="813"/>
      <c r="J29" s="813"/>
      <c r="K29" s="813"/>
      <c r="L29" s="6385">
        <f>LARGE(L5:L28,1)+1</f>
        <v>23</v>
      </c>
      <c r="M29" s="6386" t="s">
        <v>656</v>
      </c>
      <c r="N29" s="6385">
        <f>LARGE(N5:N28,1)+1</f>
        <v>69</v>
      </c>
      <c r="O29" s="6386" t="s">
        <v>657</v>
      </c>
      <c r="P29" s="6385">
        <f>LARGE(P5:P28,1)+1</f>
        <v>111</v>
      </c>
      <c r="Q29" s="6386" t="s">
        <v>658</v>
      </c>
      <c r="R29" s="6385">
        <f>LARGE(R5:R28,1)+1</f>
        <v>152</v>
      </c>
      <c r="S29" s="6386" t="s">
        <v>659</v>
      </c>
      <c r="T29" s="6376"/>
      <c r="V29" s="6385"/>
      <c r="W29" s="816"/>
      <c r="X29" s="6385">
        <f>LARGE(X5:X28,1)+1</f>
        <v>80</v>
      </c>
      <c r="Y29" s="6386" t="s">
        <v>614</v>
      </c>
      <c r="Z29" s="6385">
        <f>LARGE(Z5:Z28,1)+1</f>
        <v>135</v>
      </c>
      <c r="AA29" s="6386" t="s">
        <v>561</v>
      </c>
      <c r="AB29" s="6385"/>
      <c r="AC29" s="814" t="s">
        <v>654</v>
      </c>
      <c r="AD29" s="6385">
        <f>LARGE(AD5:AD28,1)+1</f>
        <v>241</v>
      </c>
      <c r="AE29" s="6386" t="s">
        <v>2546</v>
      </c>
      <c r="AF29" s="6403">
        <f>LARGE(AF5:AF28,1)+1</f>
        <v>288</v>
      </c>
      <c r="AG29" s="6386" t="s">
        <v>677</v>
      </c>
      <c r="AH29" s="6380">
        <f>LARGE(AH4:AH28,1)+1</f>
        <v>26</v>
      </c>
      <c r="AI29" s="6381" t="s">
        <v>3421</v>
      </c>
      <c r="AJ29" s="6400"/>
      <c r="AK29" s="6380">
        <f>LARGE(AK4:AK28,1)+1</f>
        <v>82</v>
      </c>
      <c r="AL29" s="6381" t="s">
        <v>3422</v>
      </c>
      <c r="AM29" s="6401"/>
      <c r="AN29" s="6401"/>
      <c r="AO29" s="5002"/>
      <c r="AP29" s="6392" t="s">
        <v>3423</v>
      </c>
      <c r="AR29" s="6372"/>
      <c r="AS29" s="6372"/>
      <c r="AT29" s="6372"/>
      <c r="AU29" s="6372"/>
      <c r="AV29" s="6388"/>
      <c r="AW29" s="6398"/>
      <c r="AX29" s="6398"/>
    </row>
    <row r="30" spans="2:50" s="1838" customFormat="1" ht="18.75">
      <c r="B30" s="813"/>
      <c r="C30" s="813"/>
      <c r="D30" s="813"/>
      <c r="E30" s="813"/>
      <c r="F30" s="813"/>
      <c r="G30" s="813"/>
      <c r="H30" s="813"/>
      <c r="I30" s="813"/>
      <c r="J30" s="813"/>
      <c r="K30" s="813"/>
      <c r="L30" s="6385">
        <f>LARGE(L5:L29,1)+1</f>
        <v>24</v>
      </c>
      <c r="M30" s="6386" t="s">
        <v>660</v>
      </c>
      <c r="N30" s="6385">
        <f>LARGE(N5:N29,1)+1</f>
        <v>70</v>
      </c>
      <c r="O30" s="6386" t="s">
        <v>661</v>
      </c>
      <c r="P30" s="6385">
        <f>LARGE(P5:P29,1)+1</f>
        <v>112</v>
      </c>
      <c r="Q30" s="6386" t="s">
        <v>662</v>
      </c>
      <c r="R30" s="6385">
        <f>LARGE(R5:R29,1)+1</f>
        <v>153</v>
      </c>
      <c r="S30" s="6386" t="s">
        <v>663</v>
      </c>
      <c r="T30" s="6376"/>
      <c r="V30" s="6385"/>
      <c r="W30" s="814" t="s">
        <v>101</v>
      </c>
      <c r="X30" s="6385">
        <f>LARGE(X5:X29,1)+1</f>
        <v>81</v>
      </c>
      <c r="Y30" s="6386" t="s">
        <v>620</v>
      </c>
      <c r="Z30" s="6385">
        <f>LARGE(Z5:Z29,1)+1</f>
        <v>136</v>
      </c>
      <c r="AA30" s="6386" t="s">
        <v>2547</v>
      </c>
      <c r="AB30" s="6385">
        <f>LARGE(AB5:AB29,1)+1</f>
        <v>187</v>
      </c>
      <c r="AC30" s="6386" t="s">
        <v>658</v>
      </c>
      <c r="AD30" s="6385">
        <f>LARGE(AD5:AD29,1)+1</f>
        <v>242</v>
      </c>
      <c r="AE30" s="6386" t="s">
        <v>524</v>
      </c>
      <c r="AF30" s="6403">
        <f>LARGE(AF5:AF29,1)+1</f>
        <v>289</v>
      </c>
      <c r="AG30" s="6386" t="s">
        <v>681</v>
      </c>
      <c r="AH30" s="6380">
        <f>LARGE(AH4:AH29,1)+1</f>
        <v>27</v>
      </c>
      <c r="AI30" s="6381" t="s">
        <v>3424</v>
      </c>
      <c r="AJ30" s="6400"/>
      <c r="AK30" s="6380">
        <f>LARGE(AK4:AK29,1)+1</f>
        <v>83</v>
      </c>
      <c r="AL30" s="6381" t="s">
        <v>3425</v>
      </c>
      <c r="AM30" s="6401"/>
      <c r="AN30" s="6401"/>
      <c r="AO30" s="5002"/>
      <c r="AP30" s="6392" t="s">
        <v>3426</v>
      </c>
      <c r="AR30" s="6363"/>
      <c r="AS30" s="6363"/>
      <c r="AT30" s="6363"/>
      <c r="AU30" s="6363"/>
      <c r="AV30" s="6393" t="s">
        <v>154</v>
      </c>
      <c r="AW30" s="6394" t="s">
        <v>3427</v>
      </c>
      <c r="AX30" s="6410"/>
    </row>
    <row r="31" spans="2:50" s="1838" customFormat="1" ht="18.75">
      <c r="B31" s="813"/>
      <c r="C31" s="813"/>
      <c r="D31" s="813"/>
      <c r="E31" s="813"/>
      <c r="F31" s="813"/>
      <c r="G31" s="813"/>
      <c r="H31" s="813"/>
      <c r="I31" s="813"/>
      <c r="J31" s="813"/>
      <c r="K31" s="813"/>
      <c r="L31" s="6385">
        <f>LARGE(L5:L30,1)+1</f>
        <v>25</v>
      </c>
      <c r="M31" s="6386" t="s">
        <v>664</v>
      </c>
      <c r="N31" s="6385">
        <f>LARGE(N5:N30,1)+1</f>
        <v>71</v>
      </c>
      <c r="O31" s="6386" t="s">
        <v>665</v>
      </c>
      <c r="P31" s="6385"/>
      <c r="Q31" s="816"/>
      <c r="R31" s="6385">
        <f>LARGE(R5:R30,1)+1</f>
        <v>154</v>
      </c>
      <c r="S31" s="6386" t="s">
        <v>666</v>
      </c>
      <c r="T31" s="6376"/>
      <c r="V31" s="6385">
        <f>LARGE(V5:V30,1)+1</f>
        <v>24</v>
      </c>
      <c r="W31" s="6386" t="s">
        <v>3428</v>
      </c>
      <c r="X31" s="6385">
        <f>LARGE(X5:X30,1)+1</f>
        <v>82</v>
      </c>
      <c r="Y31" s="6386" t="s">
        <v>546</v>
      </c>
      <c r="Z31" s="6385">
        <f>LARGE(Z5:Z30,1)+1</f>
        <v>137</v>
      </c>
      <c r="AA31" s="6386" t="s">
        <v>714</v>
      </c>
      <c r="AB31" s="6385">
        <f>LARGE(AB5:AB30,1)+1</f>
        <v>188</v>
      </c>
      <c r="AC31" s="6386" t="s">
        <v>662</v>
      </c>
      <c r="AD31" s="6385">
        <f>LARGE(AD5:AD30,1)+1</f>
        <v>243</v>
      </c>
      <c r="AE31" s="6386" t="s">
        <v>534</v>
      </c>
      <c r="AF31" s="6403"/>
      <c r="AG31" s="817"/>
      <c r="AH31" s="6380">
        <f>LARGE(AH4:AH30,1)+1</f>
        <v>28</v>
      </c>
      <c r="AI31" s="6381" t="s">
        <v>3429</v>
      </c>
      <c r="AJ31" s="6400"/>
      <c r="AK31" s="6380">
        <f>LARGE(AK4:AK30,1)+1</f>
        <v>84</v>
      </c>
      <c r="AL31" s="6381" t="s">
        <v>3430</v>
      </c>
      <c r="AM31" s="6401"/>
      <c r="AN31" s="6401"/>
      <c r="AO31" s="5002"/>
      <c r="AP31" s="6392" t="s">
        <v>3431</v>
      </c>
      <c r="AR31" s="6415" t="s">
        <v>2354</v>
      </c>
      <c r="AS31" s="6416" t="s">
        <v>3432</v>
      </c>
      <c r="AT31" s="6363"/>
      <c r="AU31" s="6363"/>
      <c r="AV31" s="6384">
        <v>1</v>
      </c>
      <c r="AW31" s="6397" t="s">
        <v>3433</v>
      </c>
      <c r="AX31" s="6397"/>
    </row>
    <row r="32" spans="2:50" s="1838" customFormat="1" ht="23.25" customHeight="1">
      <c r="B32" s="813"/>
      <c r="C32" s="813"/>
      <c r="D32" s="813"/>
      <c r="E32" s="813"/>
      <c r="F32" s="813"/>
      <c r="G32" s="813"/>
      <c r="H32" s="813"/>
      <c r="I32" s="813"/>
      <c r="J32" s="813"/>
      <c r="K32" s="813"/>
      <c r="L32" s="6385">
        <f>LARGE(L5:L31,1)+1</f>
        <v>26</v>
      </c>
      <c r="M32" s="6386" t="s">
        <v>667</v>
      </c>
      <c r="N32" s="6385"/>
      <c r="O32" s="6377" t="s">
        <v>142</v>
      </c>
      <c r="P32" s="6385"/>
      <c r="Q32" s="6377" t="s">
        <v>318</v>
      </c>
      <c r="R32" s="6385"/>
      <c r="S32" s="813"/>
      <c r="T32" s="6376"/>
      <c r="V32" s="6385">
        <f>LARGE(V5:V31,1)+1</f>
        <v>25</v>
      </c>
      <c r="W32" s="6386" t="s">
        <v>597</v>
      </c>
      <c r="X32" s="6385">
        <f>LARGE(X5:X31,1)+1</f>
        <v>83</v>
      </c>
      <c r="Y32" s="6386" t="s">
        <v>2548</v>
      </c>
      <c r="Z32" s="6385">
        <f>LARGE(Z5:Z31,1)+1</f>
        <v>138</v>
      </c>
      <c r="AA32" s="6386" t="s">
        <v>717</v>
      </c>
      <c r="AB32" s="6385"/>
      <c r="AC32" s="815" t="s">
        <v>318</v>
      </c>
      <c r="AD32" s="6385">
        <f>LARGE(AD5:AD31,1)+1</f>
        <v>244</v>
      </c>
      <c r="AE32" s="6386" t="s">
        <v>531</v>
      </c>
      <c r="AF32" s="6403"/>
      <c r="AG32" s="814" t="s">
        <v>688</v>
      </c>
      <c r="AH32" s="6380">
        <f>LARGE(AH4:AH31,1)+1</f>
        <v>29</v>
      </c>
      <c r="AI32" s="6381" t="s">
        <v>3434</v>
      </c>
      <c r="AJ32" s="6400"/>
      <c r="AK32" s="6380">
        <f>LARGE(AK4:AK31,1)+1</f>
        <v>85</v>
      </c>
      <c r="AL32" s="6381" t="s">
        <v>3435</v>
      </c>
      <c r="AM32" s="6401"/>
      <c r="AN32" s="6401"/>
      <c r="AO32" s="5002"/>
      <c r="AP32" s="6392" t="s">
        <v>3436</v>
      </c>
      <c r="AR32" s="4991"/>
      <c r="AS32" s="5204"/>
      <c r="AT32" s="6363"/>
      <c r="AU32" s="6363"/>
      <c r="AV32" s="6384"/>
      <c r="AW32" s="6397"/>
      <c r="AX32" s="6397"/>
    </row>
    <row r="33" spans="2:50" s="1838" customFormat="1" ht="23.25">
      <c r="B33" s="813"/>
      <c r="C33" s="813"/>
      <c r="D33" s="813"/>
      <c r="E33" s="813"/>
      <c r="F33" s="813"/>
      <c r="G33" s="813"/>
      <c r="H33" s="813"/>
      <c r="I33" s="813"/>
      <c r="J33" s="813"/>
      <c r="K33" s="813"/>
      <c r="L33" s="6385">
        <f>LARGE(L5:L32,1)+1</f>
        <v>27</v>
      </c>
      <c r="M33" s="6386" t="s">
        <v>668</v>
      </c>
      <c r="N33" s="6385">
        <f>LARGE(N5:N32,1)+1</f>
        <v>72</v>
      </c>
      <c r="O33" s="6386" t="s">
        <v>669</v>
      </c>
      <c r="P33" s="6385">
        <f>LARGE(P5:P32,1)+1</f>
        <v>113</v>
      </c>
      <c r="Q33" s="6386" t="s">
        <v>670</v>
      </c>
      <c r="R33" s="6385"/>
      <c r="S33" s="6378" t="s">
        <v>590</v>
      </c>
      <c r="T33" s="6376"/>
      <c r="V33" s="6385">
        <f>LARGE(V5:V32,1)+1</f>
        <v>26</v>
      </c>
      <c r="W33" s="6386" t="s">
        <v>604</v>
      </c>
      <c r="X33" s="6385">
        <f>LARGE(X5:X32,1)+1</f>
        <v>84</v>
      </c>
      <c r="Y33" s="6386" t="s">
        <v>553</v>
      </c>
      <c r="Z33" s="6385">
        <f>LARGE(Z5:Z32,1)+1</f>
        <v>139</v>
      </c>
      <c r="AA33" s="6386" t="s">
        <v>3437</v>
      </c>
      <c r="AB33" s="6385">
        <f>LARGE(AB5:AB32,1)+1</f>
        <v>189</v>
      </c>
      <c r="AC33" s="6386" t="s">
        <v>2550</v>
      </c>
      <c r="AD33" s="6385">
        <f>LARGE(AD5:AD32,1)+1</f>
        <v>245</v>
      </c>
      <c r="AE33" s="6386" t="s">
        <v>2551</v>
      </c>
      <c r="AF33" s="6403">
        <f>LARGE(AF5:AF32,1)+1</f>
        <v>290</v>
      </c>
      <c r="AG33" s="6386" t="s">
        <v>691</v>
      </c>
      <c r="AH33" s="6380">
        <f>LARGE(AH4:AH32,1)+1</f>
        <v>30</v>
      </c>
      <c r="AI33" s="6381" t="s">
        <v>3438</v>
      </c>
      <c r="AJ33" s="6400"/>
      <c r="AK33" s="6380">
        <f>LARGE(AK4:AK32,1)+1</f>
        <v>86</v>
      </c>
      <c r="AL33" s="6381" t="s">
        <v>3439</v>
      </c>
      <c r="AM33" s="6401"/>
      <c r="AN33" s="6401"/>
      <c r="AO33" s="5002"/>
      <c r="AP33" s="6392" t="s">
        <v>3440</v>
      </c>
      <c r="AR33" s="6415" t="s">
        <v>2354</v>
      </c>
      <c r="AS33" s="6416" t="s">
        <v>3441</v>
      </c>
      <c r="AT33" s="6363"/>
      <c r="AU33" s="6363"/>
      <c r="AV33" s="6388">
        <v>2</v>
      </c>
      <c r="AW33" s="2508" t="s">
        <v>3442</v>
      </c>
      <c r="AX33" s="2508"/>
    </row>
    <row r="34" spans="2:50" s="1838" customFormat="1" ht="18.75">
      <c r="B34" s="813"/>
      <c r="C34" s="813"/>
      <c r="D34" s="813"/>
      <c r="E34" s="813"/>
      <c r="F34" s="813"/>
      <c r="G34" s="813"/>
      <c r="H34" s="813"/>
      <c r="I34" s="813"/>
      <c r="J34" s="813"/>
      <c r="K34" s="813"/>
      <c r="L34" s="6385">
        <f>LARGE(L5:L33,1)+1</f>
        <v>28</v>
      </c>
      <c r="M34" s="6386" t="s">
        <v>671</v>
      </c>
      <c r="N34" s="6385">
        <f>LARGE(N5:N33,1)+1</f>
        <v>73</v>
      </c>
      <c r="O34" s="6386" t="s">
        <v>672</v>
      </c>
      <c r="P34" s="6385">
        <f>LARGE(P5:P33,1)+1</f>
        <v>114</v>
      </c>
      <c r="Q34" s="6386" t="s">
        <v>673</v>
      </c>
      <c r="R34" s="6385">
        <f>LARGE(R5:R33,1)+1</f>
        <v>155</v>
      </c>
      <c r="S34" s="6386" t="s">
        <v>674</v>
      </c>
      <c r="T34" s="6376"/>
      <c r="V34" s="6385">
        <f>LARGE(V5:V33,1)+1</f>
        <v>27</v>
      </c>
      <c r="W34" s="6386" t="s">
        <v>604</v>
      </c>
      <c r="X34" s="6385"/>
      <c r="Y34" s="816"/>
      <c r="Z34" s="6385">
        <f>LARGE(Z5:Z33,1)+1</f>
        <v>140</v>
      </c>
      <c r="AA34" s="6386" t="s">
        <v>720</v>
      </c>
      <c r="AB34" s="6385">
        <f>LARGE(AB5:AB33,1)+1</f>
        <v>190</v>
      </c>
      <c r="AC34" s="6386" t="s">
        <v>670</v>
      </c>
      <c r="AD34" s="6385">
        <f>LARGE(AD5:AD33,1)+1</f>
        <v>246</v>
      </c>
      <c r="AE34" s="6386" t="s">
        <v>541</v>
      </c>
      <c r="AF34" s="6417"/>
      <c r="AG34" s="6417"/>
      <c r="AH34" s="6380">
        <f>LARGE(AH4:AH33,1)+1</f>
        <v>31</v>
      </c>
      <c r="AI34" s="6381" t="s">
        <v>3443</v>
      </c>
      <c r="AJ34" s="6400"/>
      <c r="AK34" s="6380">
        <f>LARGE(AK4:AK33,1)+1</f>
        <v>87</v>
      </c>
      <c r="AL34" s="6381" t="s">
        <v>3444</v>
      </c>
      <c r="AM34" s="6401"/>
      <c r="AN34" s="6401"/>
      <c r="AO34" s="5002"/>
      <c r="AP34" s="6392" t="s">
        <v>3445</v>
      </c>
      <c r="AR34" s="4991"/>
      <c r="AS34" s="5204"/>
      <c r="AT34" s="6363"/>
      <c r="AU34" s="6363"/>
      <c r="AV34" s="6388">
        <v>3</v>
      </c>
      <c r="AW34" s="2508" t="s">
        <v>3446</v>
      </c>
      <c r="AX34" s="2508"/>
    </row>
    <row r="35" spans="2:50" s="1838" customFormat="1" ht="18.75">
      <c r="B35" s="813"/>
      <c r="C35" s="813"/>
      <c r="D35" s="813"/>
      <c r="E35" s="813"/>
      <c r="F35" s="813"/>
      <c r="G35" s="813"/>
      <c r="H35" s="813"/>
      <c r="I35" s="813"/>
      <c r="J35" s="813"/>
      <c r="K35" s="813"/>
      <c r="L35" s="6385">
        <f>LARGE(L5:L34,1)+1</f>
        <v>29</v>
      </c>
      <c r="M35" s="6386" t="s">
        <v>671</v>
      </c>
      <c r="N35" s="6385">
        <f>LARGE(N5:N34,1)+1</f>
        <v>74</v>
      </c>
      <c r="O35" s="6386" t="s">
        <v>675</v>
      </c>
      <c r="P35" s="6385">
        <f>LARGE(P5:P34,1)+1</f>
        <v>115</v>
      </c>
      <c r="Q35" s="6386" t="s">
        <v>676</v>
      </c>
      <c r="R35" s="6385">
        <f>LARGE(R5:R34,1)+1</f>
        <v>156</v>
      </c>
      <c r="S35" s="6386" t="s">
        <v>677</v>
      </c>
      <c r="T35" s="6376"/>
      <c r="V35" s="6385">
        <f>LARGE(V5:V34,1)+1</f>
        <v>28</v>
      </c>
      <c r="W35" s="6386" t="s">
        <v>2549</v>
      </c>
      <c r="X35" s="6385"/>
      <c r="Y35" s="814" t="s">
        <v>112</v>
      </c>
      <c r="Z35" s="6385">
        <f>LARGE(Z5:Z34,1)+1</f>
        <v>141</v>
      </c>
      <c r="AA35" s="6386" t="s">
        <v>723</v>
      </c>
      <c r="AB35" s="6385">
        <f>LARGE(AB5:AB34,1)+1</f>
        <v>191</v>
      </c>
      <c r="AC35" s="6386" t="s">
        <v>673</v>
      </c>
      <c r="AD35" s="6385">
        <f>LARGE(AD5:AD34,1)+1</f>
        <v>247</v>
      </c>
      <c r="AE35" s="6386" t="s">
        <v>547</v>
      </c>
      <c r="AF35" s="6417"/>
      <c r="AG35" s="6417"/>
      <c r="AH35" s="6380">
        <f>LARGE(AH4:AH34,1)+1</f>
        <v>32</v>
      </c>
      <c r="AI35" s="6381" t="s">
        <v>3447</v>
      </c>
      <c r="AJ35" s="6400"/>
      <c r="AK35" s="6380">
        <f>LARGE(AK4:AK34,1)+1</f>
        <v>88</v>
      </c>
      <c r="AL35" s="6381" t="s">
        <v>3448</v>
      </c>
      <c r="AM35" s="6401"/>
      <c r="AN35" s="6401"/>
      <c r="AO35" s="5002"/>
      <c r="AP35" s="6392" t="s">
        <v>3449</v>
      </c>
      <c r="AR35" s="6415" t="s">
        <v>2354</v>
      </c>
      <c r="AS35" s="6416" t="s">
        <v>3450</v>
      </c>
      <c r="AT35" s="6363"/>
      <c r="AU35" s="6363"/>
      <c r="AV35" s="6388">
        <v>4</v>
      </c>
      <c r="AW35" s="6418" t="s">
        <v>3451</v>
      </c>
      <c r="AX35" s="6418"/>
    </row>
    <row r="36" spans="2:50" s="1838" customFormat="1" ht="23.25" customHeight="1">
      <c r="B36" s="813"/>
      <c r="C36" s="813"/>
      <c r="D36" s="813"/>
      <c r="E36" s="813"/>
      <c r="F36" s="813"/>
      <c r="G36" s="813"/>
      <c r="H36" s="813"/>
      <c r="I36" s="813"/>
      <c r="J36" s="813"/>
      <c r="K36" s="813"/>
      <c r="L36" s="6385">
        <f>LARGE(L5:L35,1)+1</f>
        <v>30</v>
      </c>
      <c r="M36" s="6386" t="s">
        <v>678</v>
      </c>
      <c r="N36" s="6385">
        <f>LARGE(N5:N35,1)+1</f>
        <v>75</v>
      </c>
      <c r="O36" s="6386" t="s">
        <v>679</v>
      </c>
      <c r="P36" s="6385">
        <f>LARGE(P5:P35,1)+1</f>
        <v>116</v>
      </c>
      <c r="Q36" s="6386" t="s">
        <v>680</v>
      </c>
      <c r="R36" s="6385">
        <f>LARGE(R5:R35,1)+1</f>
        <v>157</v>
      </c>
      <c r="S36" s="6386" t="s">
        <v>681</v>
      </c>
      <c r="T36" s="6376"/>
      <c r="V36" s="6385">
        <f>LARGE(V5:V35,1)+1</f>
        <v>29</v>
      </c>
      <c r="W36" s="6386" t="s">
        <v>3452</v>
      </c>
      <c r="X36" s="6385">
        <f>LARGE(X5:X35,1)+1</f>
        <v>85</v>
      </c>
      <c r="Y36" s="6386" t="s">
        <v>564</v>
      </c>
      <c r="Z36" s="6385">
        <f>LARGE(Z5:Z35,1)+1</f>
        <v>142</v>
      </c>
      <c r="AA36" s="6386" t="s">
        <v>726</v>
      </c>
      <c r="AB36" s="6385">
        <f>LARGE(AB5:AB35,1)+1</f>
        <v>192</v>
      </c>
      <c r="AC36" s="6386" t="s">
        <v>2552</v>
      </c>
      <c r="AD36" s="6385">
        <f>LARGE(AD5:AD35,1)+1</f>
        <v>248</v>
      </c>
      <c r="AE36" s="6386" t="s">
        <v>555</v>
      </c>
      <c r="AF36" s="6417"/>
      <c r="AG36" s="6417"/>
      <c r="AH36" s="6380">
        <f>LARGE(AH4:AH35,1)+1</f>
        <v>33</v>
      </c>
      <c r="AI36" s="6381" t="s">
        <v>3453</v>
      </c>
      <c r="AJ36" s="6400"/>
      <c r="AK36" s="6380">
        <f>LARGE(AK4:AK35,1)+1</f>
        <v>89</v>
      </c>
      <c r="AL36" s="6381" t="s">
        <v>3454</v>
      </c>
      <c r="AM36" s="6401"/>
      <c r="AN36" s="6401"/>
      <c r="AO36" s="5002"/>
      <c r="AP36" s="6392" t="s">
        <v>3455</v>
      </c>
      <c r="AR36" s="6363"/>
      <c r="AS36" s="6363"/>
      <c r="AT36" s="6363"/>
      <c r="AU36" s="6363"/>
      <c r="AV36" s="6388"/>
      <c r="AW36" s="6419" t="s">
        <v>3456</v>
      </c>
      <c r="AX36" s="6419"/>
    </row>
    <row r="37" spans="2:50" s="1838" customFormat="1" ht="18.75">
      <c r="B37" s="813"/>
      <c r="C37" s="813"/>
      <c r="D37" s="813"/>
      <c r="E37" s="813"/>
      <c r="F37" s="813"/>
      <c r="G37" s="813"/>
      <c r="H37" s="813"/>
      <c r="I37" s="813"/>
      <c r="J37" s="813"/>
      <c r="K37" s="813"/>
      <c r="L37" s="6385">
        <f>LARGE(L5:L36,1)+1</f>
        <v>31</v>
      </c>
      <c r="M37" s="6386" t="s">
        <v>682</v>
      </c>
      <c r="N37" s="6385">
        <f>LARGE(N5:N36,1)+1</f>
        <v>76</v>
      </c>
      <c r="O37" s="6386" t="s">
        <v>683</v>
      </c>
      <c r="P37" s="6385">
        <f>LARGE(P5:P36,1)+1</f>
        <v>117</v>
      </c>
      <c r="Q37" s="6386" t="s">
        <v>684</v>
      </c>
      <c r="R37" s="6385"/>
      <c r="S37" s="6420"/>
      <c r="T37" s="6376"/>
      <c r="V37" s="6385">
        <f>LARGE(V5:V36,1)+1</f>
        <v>30</v>
      </c>
      <c r="W37" s="6386" t="s">
        <v>611</v>
      </c>
      <c r="X37" s="6385">
        <f>LARGE(X5:X36,1)+1</f>
        <v>86</v>
      </c>
      <c r="Y37" s="6386" t="s">
        <v>2553</v>
      </c>
      <c r="Z37" s="6385">
        <f>LARGE(Z5:Z36,1)+1</f>
        <v>143</v>
      </c>
      <c r="AA37" s="815" t="s">
        <v>144</v>
      </c>
      <c r="AB37" s="6385">
        <f>LARGE(AB5:AB36,1)+1</f>
        <v>193</v>
      </c>
      <c r="AC37" s="6386" t="s">
        <v>507</v>
      </c>
      <c r="AD37" s="6385">
        <f>LARGE(AD5:AD36,1)+1</f>
        <v>249</v>
      </c>
      <c r="AE37" s="6386" t="s">
        <v>2554</v>
      </c>
      <c r="AF37" s="6417"/>
      <c r="AG37" s="6417"/>
      <c r="AH37" s="6380">
        <f>LARGE(AH4:AH36,1)+1</f>
        <v>34</v>
      </c>
      <c r="AI37" s="6381" t="s">
        <v>3457</v>
      </c>
      <c r="AJ37" s="6400"/>
      <c r="AK37" s="6380">
        <f>LARGE(AK4:AK36,1)+1</f>
        <v>90</v>
      </c>
      <c r="AL37" s="6381" t="s">
        <v>3458</v>
      </c>
      <c r="AM37" s="6401"/>
      <c r="AN37" s="6401"/>
      <c r="AO37" s="5002"/>
      <c r="AP37" s="6392" t="s">
        <v>3459</v>
      </c>
      <c r="AR37" s="6363"/>
      <c r="AS37" s="6363"/>
      <c r="AT37" s="6363"/>
      <c r="AU37" s="6363"/>
      <c r="AV37" s="6388"/>
      <c r="AW37" s="6419"/>
      <c r="AX37" s="6419"/>
    </row>
    <row r="38" spans="2:50" s="1838" customFormat="1" ht="23.25">
      <c r="B38" s="813"/>
      <c r="C38" s="813"/>
      <c r="D38" s="813"/>
      <c r="E38" s="813"/>
      <c r="F38" s="813"/>
      <c r="G38" s="813"/>
      <c r="H38" s="813"/>
      <c r="I38" s="813"/>
      <c r="J38" s="813"/>
      <c r="K38" s="813"/>
      <c r="L38" s="6385">
        <f>LARGE(L5:L37,1)+1</f>
        <v>32</v>
      </c>
      <c r="M38" s="6386" t="s">
        <v>685</v>
      </c>
      <c r="N38" s="6385">
        <f>LARGE(N5:N37,1)+1</f>
        <v>77</v>
      </c>
      <c r="O38" s="6386" t="s">
        <v>686</v>
      </c>
      <c r="P38" s="6385">
        <f>LARGE(P5:P37,1)+1</f>
        <v>118</v>
      </c>
      <c r="Q38" s="6386" t="s">
        <v>687</v>
      </c>
      <c r="R38" s="6385"/>
      <c r="S38" s="6378" t="s">
        <v>688</v>
      </c>
      <c r="T38" s="6376"/>
      <c r="V38" s="6385">
        <f>LARGE(V5:V37,1)+1</f>
        <v>31</v>
      </c>
      <c r="W38" s="6386" t="s">
        <v>573</v>
      </c>
      <c r="X38" s="6385">
        <f>LARGE(X5:X37,1)+1</f>
        <v>87</v>
      </c>
      <c r="Y38" s="6386" t="s">
        <v>570</v>
      </c>
      <c r="Z38" s="6385">
        <f>LARGE(Z5:Z37,1)+1</f>
        <v>144</v>
      </c>
      <c r="AA38" s="6386" t="s">
        <v>511</v>
      </c>
      <c r="AB38" s="6385">
        <f>LARGE(AB5:AB37,1)+1</f>
        <v>194</v>
      </c>
      <c r="AC38" s="6386" t="s">
        <v>515</v>
      </c>
      <c r="AD38" s="6385">
        <f>LARGE(AD5:AD37,1)+1</f>
        <v>250</v>
      </c>
      <c r="AE38" s="6386" t="s">
        <v>2556</v>
      </c>
      <c r="AF38" s="6417"/>
      <c r="AG38" s="6417"/>
      <c r="AH38" s="6380">
        <f>LARGE(AH4:AH37,1)+1</f>
        <v>35</v>
      </c>
      <c r="AI38" s="6381" t="s">
        <v>3460</v>
      </c>
      <c r="AJ38" s="6400"/>
      <c r="AK38" s="6380">
        <f>LARGE(AK4:AK37,1)+1</f>
        <v>91</v>
      </c>
      <c r="AL38" s="6381" t="s">
        <v>3461</v>
      </c>
      <c r="AM38" s="6401"/>
      <c r="AN38" s="6401"/>
      <c r="AO38" s="5002"/>
      <c r="AP38" s="6392" t="s">
        <v>3462</v>
      </c>
      <c r="AR38" s="6388"/>
      <c r="AS38" s="6421" t="s">
        <v>3463</v>
      </c>
      <c r="AT38" s="6372"/>
      <c r="AU38" s="6372"/>
      <c r="AV38" s="6388"/>
      <c r="AW38" s="6418"/>
      <c r="AX38" s="6418"/>
    </row>
    <row r="39" spans="2:50" s="1838" customFormat="1" ht="23.25" customHeight="1">
      <c r="B39" s="813"/>
      <c r="C39" s="813"/>
      <c r="D39" s="813"/>
      <c r="E39" s="813"/>
      <c r="F39" s="813"/>
      <c r="G39" s="813"/>
      <c r="H39" s="813"/>
      <c r="I39" s="813"/>
      <c r="J39" s="813"/>
      <c r="K39" s="813"/>
      <c r="L39" s="6385"/>
      <c r="M39" s="6377" t="s">
        <v>111</v>
      </c>
      <c r="N39" s="6385">
        <f>LARGE(N5:N38,1)+1</f>
        <v>78</v>
      </c>
      <c r="O39" s="6386" t="s">
        <v>689</v>
      </c>
      <c r="P39" s="6385">
        <f>LARGE(P5:P38,1)+1</f>
        <v>119</v>
      </c>
      <c r="Q39" s="6386" t="s">
        <v>690</v>
      </c>
      <c r="R39" s="6385">
        <f>LARGE(R5:R38,1)+1</f>
        <v>158</v>
      </c>
      <c r="S39" s="6386" t="s">
        <v>691</v>
      </c>
      <c r="T39" s="6376"/>
      <c r="V39" s="6385">
        <f>LARGE(V5:V38,1)+1</f>
        <v>32</v>
      </c>
      <c r="W39" s="6386" t="s">
        <v>616</v>
      </c>
      <c r="X39" s="6385">
        <f>LARGE(X5:X38,1)+1</f>
        <v>88</v>
      </c>
      <c r="Y39" s="6386" t="s">
        <v>578</v>
      </c>
      <c r="Z39" s="6385">
        <f>LARGE(Z5:Z38,1)+1</f>
        <v>145</v>
      </c>
      <c r="AA39" s="6386" t="s">
        <v>519</v>
      </c>
      <c r="AB39" s="6385">
        <f>LARGE(AB5:AB38,1)+1</f>
        <v>195</v>
      </c>
      <c r="AC39" s="6386" t="s">
        <v>676</v>
      </c>
      <c r="AD39" s="6385"/>
      <c r="AE39" s="817"/>
      <c r="AF39" s="6417"/>
      <c r="AG39" s="6417"/>
      <c r="AH39" s="6380">
        <f>LARGE(AH4:AH38,1)+1</f>
        <v>36</v>
      </c>
      <c r="AI39" s="6381" t="s">
        <v>3464</v>
      </c>
      <c r="AJ39" s="6400"/>
      <c r="AK39" s="6380">
        <f>LARGE(AK4:AK38,1)+1</f>
        <v>92</v>
      </c>
      <c r="AL39" s="6381" t="s">
        <v>3465</v>
      </c>
      <c r="AM39" s="6401"/>
      <c r="AN39" s="6401"/>
      <c r="AO39" s="5002"/>
      <c r="AP39" s="6392" t="s">
        <v>3466</v>
      </c>
      <c r="AR39" s="6388"/>
      <c r="AS39" s="6372"/>
      <c r="AT39" s="6372"/>
      <c r="AU39" s="6372"/>
      <c r="AV39" s="6393" t="s">
        <v>155</v>
      </c>
      <c r="AW39" s="6394" t="s">
        <v>3467</v>
      </c>
      <c r="AX39" s="2508"/>
    </row>
    <row r="40" spans="2:50" s="1838" customFormat="1" ht="18.75">
      <c r="B40" s="813"/>
      <c r="C40" s="813"/>
      <c r="D40" s="813"/>
      <c r="E40" s="813"/>
      <c r="F40" s="813"/>
      <c r="G40" s="813"/>
      <c r="H40" s="813"/>
      <c r="I40" s="813"/>
      <c r="J40" s="813"/>
      <c r="K40" s="813"/>
      <c r="L40" s="6385">
        <f>LARGE(L5:L39,1)+1</f>
        <v>33</v>
      </c>
      <c r="M40" s="6386" t="s">
        <v>692</v>
      </c>
      <c r="N40" s="6385">
        <f>LARGE(N5:N39,1)+1</f>
        <v>79</v>
      </c>
      <c r="O40" s="6386" t="s">
        <v>693</v>
      </c>
      <c r="P40" s="6385">
        <f>LARGE(P5:P39,1)+1</f>
        <v>120</v>
      </c>
      <c r="Q40" s="6386" t="s">
        <v>694</v>
      </c>
      <c r="R40" s="6385"/>
      <c r="S40" s="816"/>
      <c r="T40" s="6376"/>
      <c r="V40" s="6385">
        <f>LARGE(V5:V39,1)+1</f>
        <v>33</v>
      </c>
      <c r="W40" s="6386" t="s">
        <v>623</v>
      </c>
      <c r="X40" s="6385">
        <f>LARGE(X5:X39,1)+1</f>
        <v>89</v>
      </c>
      <c r="Y40" s="6386" t="s">
        <v>2557</v>
      </c>
      <c r="Z40" s="6385">
        <f>LARGE(Z5:Z39,1)+1</f>
        <v>146</v>
      </c>
      <c r="AA40" s="6386" t="s">
        <v>527</v>
      </c>
      <c r="AB40" s="6385">
        <f>LARGE(AB5:AB39,1)+1</f>
        <v>196</v>
      </c>
      <c r="AC40" s="6386" t="s">
        <v>2558</v>
      </c>
      <c r="AD40" s="6385"/>
      <c r="AE40" s="815" t="s">
        <v>538</v>
      </c>
      <c r="AF40" s="6417"/>
      <c r="AG40" s="6417"/>
      <c r="AH40" s="6380">
        <f>LARGE(AH4:AH39,1)+1</f>
        <v>37</v>
      </c>
      <c r="AI40" s="6381" t="s">
        <v>3468</v>
      </c>
      <c r="AJ40" s="6400"/>
      <c r="AK40" s="6380">
        <f>LARGE(AK4:AK39,1)+1</f>
        <v>93</v>
      </c>
      <c r="AL40" s="6381" t="s">
        <v>3469</v>
      </c>
      <c r="AM40" s="6401"/>
      <c r="AN40" s="6401"/>
      <c r="AO40" s="5002"/>
      <c r="AP40" s="6392" t="s">
        <v>3470</v>
      </c>
      <c r="AR40" s="6388">
        <v>1</v>
      </c>
      <c r="AS40" s="2508" t="s">
        <v>3471</v>
      </c>
      <c r="AT40" s="6372"/>
      <c r="AU40" s="6372"/>
      <c r="AV40" s="6388">
        <v>1</v>
      </c>
      <c r="AW40" s="2508" t="s">
        <v>3472</v>
      </c>
      <c r="AX40" s="2508"/>
    </row>
    <row r="41" spans="2:50" s="1838" customFormat="1" ht="30">
      <c r="B41" s="813"/>
      <c r="C41" s="813"/>
      <c r="D41" s="813"/>
      <c r="E41" s="813"/>
      <c r="F41" s="813"/>
      <c r="G41" s="813"/>
      <c r="H41" s="813"/>
      <c r="I41" s="813"/>
      <c r="J41" s="813"/>
      <c r="K41" s="813"/>
      <c r="L41" s="6385">
        <f>LARGE(L5:L40,1)+1</f>
        <v>34</v>
      </c>
      <c r="M41" s="6386" t="s">
        <v>695</v>
      </c>
      <c r="N41" s="6385">
        <f>LARGE(N5:N40,1)+1</f>
        <v>80</v>
      </c>
      <c r="O41" s="6386" t="s">
        <v>696</v>
      </c>
      <c r="P41" s="6385">
        <f>LARGE(P5:P40,1)+1</f>
        <v>121</v>
      </c>
      <c r="Q41" s="6386" t="s">
        <v>697</v>
      </c>
      <c r="R41" s="6385"/>
      <c r="S41" s="816"/>
      <c r="T41" s="6376"/>
      <c r="V41" s="6385">
        <f>LARGE(V5:V40,1)+1</f>
        <v>34</v>
      </c>
      <c r="W41" s="6386" t="s">
        <v>2555</v>
      </c>
      <c r="X41" s="6385">
        <f>LARGE(X5:X40,1)+1</f>
        <v>90</v>
      </c>
      <c r="Y41" s="6386" t="s">
        <v>585</v>
      </c>
      <c r="Z41" s="6385">
        <f>LARGE(Z5:Z40,1)+1</f>
        <v>147</v>
      </c>
      <c r="AA41" s="6386" t="s">
        <v>2559</v>
      </c>
      <c r="AB41" s="6385">
        <f>LARGE(AB5:AB40,1)+1</f>
        <v>197</v>
      </c>
      <c r="AC41" s="6386" t="s">
        <v>523</v>
      </c>
      <c r="AD41" s="6385">
        <f>LARGE(AD5:AD40,1)+1</f>
        <v>251</v>
      </c>
      <c r="AE41" s="6386" t="s">
        <v>2560</v>
      </c>
      <c r="AF41" s="6417"/>
      <c r="AG41" s="6417"/>
      <c r="AH41" s="6380">
        <f>LARGE(AH4:AH40,1)+1</f>
        <v>38</v>
      </c>
      <c r="AI41" s="6381" t="s">
        <v>3473</v>
      </c>
      <c r="AJ41" s="6400"/>
      <c r="AK41" s="6380">
        <f>LARGE(AK4:AK40,1)+1</f>
        <v>94</v>
      </c>
      <c r="AL41" s="6381" t="s">
        <v>3474</v>
      </c>
      <c r="AM41" s="6401"/>
      <c r="AN41" s="6401"/>
      <c r="AO41" s="5002"/>
      <c r="AP41" s="6387" t="s">
        <v>111</v>
      </c>
      <c r="AR41" s="6388">
        <v>2</v>
      </c>
      <c r="AS41" s="2508" t="s">
        <v>3475</v>
      </c>
      <c r="AT41" s="6372"/>
      <c r="AU41" s="6372"/>
      <c r="AV41" s="6388">
        <v>2</v>
      </c>
      <c r="AW41" s="2508" t="s">
        <v>3476</v>
      </c>
      <c r="AX41" s="2508"/>
    </row>
    <row r="42" spans="2:50" s="1838" customFormat="1" ht="46.5" customHeight="1">
      <c r="B42" s="813"/>
      <c r="C42" s="813"/>
      <c r="D42" s="813"/>
      <c r="E42" s="813"/>
      <c r="F42" s="813"/>
      <c r="G42" s="813"/>
      <c r="H42" s="813"/>
      <c r="I42" s="813"/>
      <c r="J42" s="813"/>
      <c r="K42" s="813"/>
      <c r="L42" s="6385">
        <f>LARGE(L5:L41,1)+1</f>
        <v>35</v>
      </c>
      <c r="M42" s="6386" t="s">
        <v>698</v>
      </c>
      <c r="N42" s="6385">
        <f>LARGE(N5:N41,1)+1</f>
        <v>81</v>
      </c>
      <c r="O42" s="6386" t="s">
        <v>699</v>
      </c>
      <c r="P42" s="6385">
        <f>LARGE(P5:P41,1)+1</f>
        <v>122</v>
      </c>
      <c r="Q42" s="6386" t="s">
        <v>700</v>
      </c>
      <c r="R42" s="6385"/>
      <c r="S42" s="816"/>
      <c r="T42" s="6376"/>
      <c r="V42" s="6385">
        <f>LARGE(V5:V41,1)+1</f>
        <v>35</v>
      </c>
      <c r="W42" s="6386" t="s">
        <v>629</v>
      </c>
      <c r="X42" s="6385">
        <f>LARGE(X5:X41,1)+1</f>
        <v>91</v>
      </c>
      <c r="Y42" s="6386" t="s">
        <v>591</v>
      </c>
      <c r="Z42" s="6385"/>
      <c r="AA42" s="818"/>
      <c r="AB42" s="6385">
        <f>LARGE(AB5:AB41,1)+1</f>
        <v>198</v>
      </c>
      <c r="AC42" s="6386" t="s">
        <v>680</v>
      </c>
      <c r="AD42" s="6385">
        <f>LARGE(AD5:AD41,1)+1</f>
        <v>252</v>
      </c>
      <c r="AE42" s="6386" t="s">
        <v>566</v>
      </c>
      <c r="AF42" s="6417"/>
      <c r="AG42" s="6417"/>
      <c r="AH42" s="6380">
        <f>LARGE(AH4:AH41,1)+1</f>
        <v>39</v>
      </c>
      <c r="AI42" s="6381" t="s">
        <v>3477</v>
      </c>
      <c r="AJ42" s="6400"/>
      <c r="AK42" s="6380">
        <f>LARGE(AK4:AK41,1)+1</f>
        <v>95</v>
      </c>
      <c r="AL42" s="6381" t="s">
        <v>3478</v>
      </c>
      <c r="AM42" s="6401"/>
      <c r="AN42" s="6401"/>
      <c r="AO42" s="5002"/>
      <c r="AP42" s="6392" t="s">
        <v>3479</v>
      </c>
      <c r="AR42" s="6388">
        <v>3</v>
      </c>
      <c r="AS42" s="2508" t="s">
        <v>3480</v>
      </c>
      <c r="AT42" s="6372"/>
      <c r="AU42" s="6372"/>
      <c r="AV42" s="6388"/>
      <c r="AW42" s="6409" t="s">
        <v>3481</v>
      </c>
      <c r="AX42" s="6409"/>
    </row>
    <row r="43" spans="2:50" s="1838" customFormat="1" ht="18.75">
      <c r="B43" s="813"/>
      <c r="C43" s="813"/>
      <c r="D43" s="813"/>
      <c r="E43" s="813"/>
      <c r="F43" s="813"/>
      <c r="G43" s="813"/>
      <c r="H43" s="813"/>
      <c r="I43" s="813"/>
      <c r="J43" s="813"/>
      <c r="K43" s="813"/>
      <c r="L43" s="6385">
        <f>LARGE(L5:L42,1)+1</f>
        <v>36</v>
      </c>
      <c r="M43" s="6386" t="s">
        <v>701</v>
      </c>
      <c r="N43" s="6385">
        <f>LARGE(N5:N42,1)+1</f>
        <v>82</v>
      </c>
      <c r="O43" s="6386" t="s">
        <v>702</v>
      </c>
      <c r="P43" s="6385">
        <f>LARGE(P5:P42,1)+1</f>
        <v>123</v>
      </c>
      <c r="Q43" s="6386" t="s">
        <v>703</v>
      </c>
      <c r="R43" s="6385"/>
      <c r="S43" s="816"/>
      <c r="T43" s="6376"/>
      <c r="V43" s="6385">
        <f>LARGE(V5:V42,1)+1</f>
        <v>36</v>
      </c>
      <c r="W43" s="6386" t="s">
        <v>635</v>
      </c>
      <c r="X43" s="6385">
        <f>LARGE(X5:X42,1)+1</f>
        <v>92</v>
      </c>
      <c r="Y43" s="6386" t="s">
        <v>598</v>
      </c>
      <c r="Z43" s="6385"/>
      <c r="AA43" s="814" t="s">
        <v>145</v>
      </c>
      <c r="AB43" s="6385">
        <f>LARGE(AB5:AB42,1)+1</f>
        <v>199</v>
      </c>
      <c r="AC43" s="6386" t="s">
        <v>2562</v>
      </c>
      <c r="AD43" s="6385">
        <f>LARGE(AD5:AD42,1)+1</f>
        <v>253</v>
      </c>
      <c r="AE43" s="6386" t="s">
        <v>572</v>
      </c>
      <c r="AF43" s="6417"/>
      <c r="AG43" s="6417"/>
      <c r="AH43" s="6380">
        <f>LARGE(AH4:AH42,1)+1</f>
        <v>40</v>
      </c>
      <c r="AI43" s="6381" t="s">
        <v>3482</v>
      </c>
      <c r="AJ43" s="6400"/>
      <c r="AK43" s="6380">
        <f>LARGE(AK4:AK42,1)+1</f>
        <v>96</v>
      </c>
      <c r="AL43" s="6381" t="s">
        <v>3483</v>
      </c>
      <c r="AM43" s="6401"/>
      <c r="AN43" s="6401"/>
      <c r="AO43" s="5002"/>
      <c r="AP43" s="6392" t="s">
        <v>3484</v>
      </c>
      <c r="AR43" s="6388">
        <v>4</v>
      </c>
      <c r="AS43" s="2508" t="s">
        <v>3485</v>
      </c>
      <c r="AT43" s="6372"/>
      <c r="AU43" s="6372"/>
      <c r="AV43" s="6388"/>
      <c r="AW43" s="6409"/>
      <c r="AX43" s="6409"/>
    </row>
    <row r="44" spans="2:50" s="1838" customFormat="1" ht="23.25" customHeight="1">
      <c r="B44" s="813"/>
      <c r="C44" s="813"/>
      <c r="D44" s="813"/>
      <c r="E44" s="813"/>
      <c r="F44" s="813"/>
      <c r="G44" s="813"/>
      <c r="H44" s="813"/>
      <c r="I44" s="813"/>
      <c r="J44" s="813"/>
      <c r="K44" s="813"/>
      <c r="L44" s="6385">
        <f>LARGE(L5:L43,1)+1</f>
        <v>37</v>
      </c>
      <c r="M44" s="6386" t="s">
        <v>704</v>
      </c>
      <c r="N44" s="6385">
        <f>LARGE(N5:N43,1)+1</f>
        <v>83</v>
      </c>
      <c r="O44" s="6386" t="s">
        <v>705</v>
      </c>
      <c r="P44" s="6385"/>
      <c r="Q44" s="6377" t="s">
        <v>706</v>
      </c>
      <c r="R44" s="6385"/>
      <c r="S44" s="816"/>
      <c r="T44" s="6376"/>
      <c r="V44" s="6385">
        <f>LARGE(V5:V43,1)+1</f>
        <v>37</v>
      </c>
      <c r="W44" s="6386" t="s">
        <v>639</v>
      </c>
      <c r="X44" s="6385">
        <f>LARGE(X5:X43,1)+1</f>
        <v>93</v>
      </c>
      <c r="Y44" s="6386" t="s">
        <v>605</v>
      </c>
      <c r="Z44" s="6385">
        <f>LARGE(Z5:Z43,1)+1</f>
        <v>148</v>
      </c>
      <c r="AA44" s="6386" t="s">
        <v>2563</v>
      </c>
      <c r="AB44" s="6385">
        <f>LARGE(AB5:AB43,1)+1</f>
        <v>200</v>
      </c>
      <c r="AC44" s="6386" t="s">
        <v>2564</v>
      </c>
      <c r="AD44" s="6385">
        <f>LARGE(AD5:AD43,1)+1</f>
        <v>254</v>
      </c>
      <c r="AE44" s="6386" t="s">
        <v>579</v>
      </c>
      <c r="AF44" s="6417"/>
      <c r="AG44" s="6417"/>
      <c r="AH44" s="6380">
        <f>LARGE(AH4:AH43,1)+1</f>
        <v>41</v>
      </c>
      <c r="AI44" s="6381" t="s">
        <v>3486</v>
      </c>
      <c r="AJ44" s="6400"/>
      <c r="AK44" s="6380">
        <f>LARGE(AK4:AK43,1)+1</f>
        <v>97</v>
      </c>
      <c r="AL44" s="6381" t="s">
        <v>3487</v>
      </c>
      <c r="AM44" s="6401"/>
      <c r="AN44" s="6401"/>
      <c r="AO44" s="5002"/>
      <c r="AP44" s="6392" t="s">
        <v>3488</v>
      </c>
      <c r="AR44" s="6388">
        <v>5</v>
      </c>
      <c r="AS44" s="2508" t="s">
        <v>3489</v>
      </c>
      <c r="AT44" s="6372"/>
      <c r="AU44" s="6372"/>
      <c r="AV44" s="6388">
        <v>3</v>
      </c>
      <c r="AW44" s="2508" t="s">
        <v>3490</v>
      </c>
      <c r="AX44" s="2508"/>
    </row>
    <row r="45" spans="2:50" s="1838" customFormat="1" ht="18.75">
      <c r="B45" s="813"/>
      <c r="C45" s="813"/>
      <c r="D45" s="813"/>
      <c r="E45" s="813"/>
      <c r="F45" s="813"/>
      <c r="G45" s="813"/>
      <c r="H45" s="813"/>
      <c r="I45" s="813"/>
      <c r="J45" s="813"/>
      <c r="K45" s="813"/>
      <c r="L45" s="6385">
        <f>LARGE(L5:L44,1)+1</f>
        <v>38</v>
      </c>
      <c r="M45" s="6386" t="s">
        <v>707</v>
      </c>
      <c r="N45" s="6385">
        <f>LARGE(N5:N44,1)+1</f>
        <v>84</v>
      </c>
      <c r="O45" s="6386" t="s">
        <v>708</v>
      </c>
      <c r="P45" s="6385">
        <f>LARGE(P5:P44,1)+1</f>
        <v>124</v>
      </c>
      <c r="Q45" s="6386" t="s">
        <v>709</v>
      </c>
      <c r="R45" s="6385"/>
      <c r="S45" s="816"/>
      <c r="T45" s="6376"/>
      <c r="V45" s="6385">
        <f>LARGE(V5:V44,1)+1</f>
        <v>38</v>
      </c>
      <c r="W45" s="6386" t="s">
        <v>644</v>
      </c>
      <c r="X45" s="6385">
        <f>LARGE(X5:X44,1)+1</f>
        <v>94</v>
      </c>
      <c r="Y45" s="6386" t="s">
        <v>612</v>
      </c>
      <c r="Z45" s="6385">
        <f>LARGE(Z5:Z44,1)+1</f>
        <v>149</v>
      </c>
      <c r="AA45" s="6386" t="s">
        <v>540</v>
      </c>
      <c r="AB45" s="6385">
        <f>LARGE(AB5:AB44,1)+1</f>
        <v>201</v>
      </c>
      <c r="AC45" s="6386" t="s">
        <v>684</v>
      </c>
      <c r="AD45" s="6385">
        <f>LARGE(AD5:AD44,1)+1</f>
        <v>255</v>
      </c>
      <c r="AE45" s="6386" t="s">
        <v>2565</v>
      </c>
      <c r="AF45" s="6417"/>
      <c r="AG45" s="6417"/>
      <c r="AH45" s="6380">
        <f>LARGE(AH4:AH44,1)+1</f>
        <v>42</v>
      </c>
      <c r="AI45" s="6381" t="s">
        <v>3491</v>
      </c>
      <c r="AJ45" s="6400"/>
      <c r="AK45" s="6380">
        <f>LARGE(AK4:AK44,1)+1</f>
        <v>98</v>
      </c>
      <c r="AL45" s="6381" t="s">
        <v>3492</v>
      </c>
      <c r="AM45" s="6401"/>
      <c r="AN45" s="6401"/>
      <c r="AO45" s="5002"/>
      <c r="AP45" s="6392" t="s">
        <v>3493</v>
      </c>
      <c r="AR45" s="6388"/>
      <c r="AS45" s="4991"/>
      <c r="AT45" s="6372"/>
      <c r="AU45" s="6372"/>
      <c r="AV45" s="6388">
        <v>4</v>
      </c>
      <c r="AW45" s="2508" t="s">
        <v>3494</v>
      </c>
      <c r="AX45" s="2508"/>
    </row>
    <row r="46" spans="2:50" s="1838" customFormat="1" ht="27" customHeight="1">
      <c r="B46" s="813"/>
      <c r="C46" s="813"/>
      <c r="D46" s="813"/>
      <c r="E46" s="813"/>
      <c r="F46" s="813"/>
      <c r="G46" s="813"/>
      <c r="H46" s="813"/>
      <c r="I46" s="813"/>
      <c r="J46" s="813"/>
      <c r="K46" s="813"/>
      <c r="L46" s="6385">
        <f>LARGE(L5:L45,1)+1</f>
        <v>39</v>
      </c>
      <c r="M46" s="6386" t="s">
        <v>710</v>
      </c>
      <c r="N46" s="6385">
        <f>LARGE(N5:N45,1)+1</f>
        <v>85</v>
      </c>
      <c r="O46" s="6386" t="s">
        <v>711</v>
      </c>
      <c r="P46" s="6385"/>
      <c r="Q46" s="816"/>
      <c r="R46" s="6385"/>
      <c r="S46" s="816"/>
      <c r="T46" s="6376"/>
      <c r="V46" s="6385">
        <f>LARGE(V5:V45,1)+1</f>
        <v>39</v>
      </c>
      <c r="W46" s="6386" t="s">
        <v>2561</v>
      </c>
      <c r="X46" s="6385">
        <f>LARGE(X5:X45,1)+1</f>
        <v>95</v>
      </c>
      <c r="Y46" s="6386" t="s">
        <v>617</v>
      </c>
      <c r="Z46" s="6385">
        <f>LARGE(Z5:Z45,1)+1</f>
        <v>150</v>
      </c>
      <c r="AA46" s="6386" t="s">
        <v>574</v>
      </c>
      <c r="AB46" s="6385">
        <f>LARGE(AB5:AB45,1)+1</f>
        <v>202</v>
      </c>
      <c r="AC46" s="6386" t="s">
        <v>687</v>
      </c>
      <c r="AD46" s="6385">
        <f>LARGE(AD5:AD45,1)+1</f>
        <v>256</v>
      </c>
      <c r="AE46" s="6386" t="s">
        <v>544</v>
      </c>
      <c r="AF46" s="6417"/>
      <c r="AG46" s="6417"/>
      <c r="AH46" s="6380">
        <f>LARGE(AH4:AH45,1)+1</f>
        <v>43</v>
      </c>
      <c r="AI46" s="6381" t="s">
        <v>3495</v>
      </c>
      <c r="AJ46" s="6400"/>
      <c r="AK46" s="6380">
        <f>LARGE(AK4:AK45,1)+1</f>
        <v>99</v>
      </c>
      <c r="AL46" s="6381" t="s">
        <v>3496</v>
      </c>
      <c r="AM46" s="6401"/>
      <c r="AN46" s="6401"/>
      <c r="AO46" s="5002"/>
      <c r="AP46" s="6392" t="s">
        <v>3497</v>
      </c>
      <c r="AR46" s="6388"/>
      <c r="AS46" s="4991"/>
      <c r="AT46" s="6372"/>
      <c r="AU46" s="6372"/>
      <c r="AV46" s="6388">
        <v>5</v>
      </c>
      <c r="AW46" s="2508" t="s">
        <v>3498</v>
      </c>
      <c r="AX46" s="2508"/>
    </row>
    <row r="47" spans="2:50" ht="30">
      <c r="B47" s="813"/>
      <c r="C47" s="813"/>
      <c r="D47" s="813"/>
      <c r="E47" s="813"/>
      <c r="F47" s="813"/>
      <c r="G47" s="813"/>
      <c r="H47" s="813"/>
      <c r="I47" s="813"/>
      <c r="J47" s="813"/>
      <c r="K47" s="813"/>
      <c r="L47" s="6385">
        <f>LARGE(L5:L46,1)+1</f>
        <v>40</v>
      </c>
      <c r="M47" s="6386" t="s">
        <v>712</v>
      </c>
      <c r="N47" s="6385"/>
      <c r="O47" s="6377" t="s">
        <v>143</v>
      </c>
      <c r="P47" s="6385"/>
      <c r="Q47" s="6377" t="s">
        <v>504</v>
      </c>
      <c r="R47" s="6385"/>
      <c r="S47" s="816"/>
      <c r="T47" s="6376"/>
      <c r="V47" s="6385">
        <f>LARGE(V5:V46,1)+1</f>
        <v>40</v>
      </c>
      <c r="W47" s="6386" t="s">
        <v>648</v>
      </c>
      <c r="X47" s="6385">
        <f>LARGE(X5:X46,1)+1</f>
        <v>96</v>
      </c>
      <c r="Y47" s="6386" t="s">
        <v>624</v>
      </c>
      <c r="Z47" s="6385">
        <f>LARGE(Z5:Z46,1)+1</f>
        <v>151</v>
      </c>
      <c r="AA47" s="6386" t="s">
        <v>581</v>
      </c>
      <c r="AB47" s="6385">
        <f>LARGE(AB5:AB46,1)+1</f>
        <v>203</v>
      </c>
      <c r="AC47" s="6386" t="s">
        <v>690</v>
      </c>
      <c r="AD47" s="6385">
        <f>LARGE(AD5:AD46,1)+1</f>
        <v>257</v>
      </c>
      <c r="AE47" s="6386" t="s">
        <v>587</v>
      </c>
      <c r="AF47" s="6417"/>
      <c r="AG47" s="6417"/>
      <c r="AH47" s="6380">
        <f>LARGE(AH4:AH46,1)+1</f>
        <v>44</v>
      </c>
      <c r="AI47" s="6381" t="s">
        <v>3499</v>
      </c>
      <c r="AJ47" s="6382"/>
      <c r="AK47" s="6380">
        <f>LARGE(AK4:AK46,1)+1</f>
        <v>100</v>
      </c>
      <c r="AL47" s="6381" t="s">
        <v>3500</v>
      </c>
      <c r="AM47" s="2037"/>
      <c r="AN47" s="2037"/>
      <c r="AO47" s="5002"/>
      <c r="AP47" s="6387" t="s">
        <v>112</v>
      </c>
      <c r="AR47" s="6388">
        <v>1</v>
      </c>
      <c r="AS47" s="2508" t="s">
        <v>3501</v>
      </c>
      <c r="AV47" s="6388">
        <v>6</v>
      </c>
      <c r="AW47" s="2508" t="s">
        <v>3502</v>
      </c>
      <c r="AX47" s="2508"/>
    </row>
    <row r="48" spans="2:50" ht="27" customHeight="1">
      <c r="B48" s="813"/>
      <c r="C48" s="813"/>
      <c r="D48" s="813"/>
      <c r="E48" s="813"/>
      <c r="F48" s="813"/>
      <c r="G48" s="813"/>
      <c r="H48" s="813"/>
      <c r="I48" s="813"/>
      <c r="J48" s="813"/>
      <c r="K48" s="813"/>
      <c r="L48" s="6385">
        <f>LARGE(L5:L47,1)+1</f>
        <v>41</v>
      </c>
      <c r="M48" s="6386" t="s">
        <v>713</v>
      </c>
      <c r="N48" s="6385">
        <f>LARGE(N5:N47,1)+1</f>
        <v>86</v>
      </c>
      <c r="O48" s="6386" t="s">
        <v>714</v>
      </c>
      <c r="P48" s="6385">
        <f>LARGE(P5:P47,1)+1</f>
        <v>125</v>
      </c>
      <c r="Q48" s="6386" t="s">
        <v>715</v>
      </c>
      <c r="R48" s="6385"/>
      <c r="S48" s="816"/>
      <c r="T48" s="6376"/>
      <c r="V48" s="6385">
        <f>LARGE(V5:V47,1)+1</f>
        <v>41</v>
      </c>
      <c r="W48" s="6386" t="s">
        <v>652</v>
      </c>
      <c r="X48" s="6385">
        <f>LARGE(X5:X47,1)+1</f>
        <v>97</v>
      </c>
      <c r="Y48" s="6386" t="s">
        <v>630</v>
      </c>
      <c r="Z48" s="6385">
        <f>LARGE(Z5:Z47,1)+1</f>
        <v>152</v>
      </c>
      <c r="AA48" s="6386" t="s">
        <v>2566</v>
      </c>
      <c r="AB48" s="6385">
        <f>LARGE(AB5:AB47,1)+1</f>
        <v>204</v>
      </c>
      <c r="AC48" s="6386" t="s">
        <v>2567</v>
      </c>
      <c r="AD48" s="6385">
        <f>LARGE(AD5:AD47,1)+1</f>
        <v>258</v>
      </c>
      <c r="AE48" s="6386" t="s">
        <v>593</v>
      </c>
      <c r="AF48" s="6417"/>
      <c r="AG48" s="6417"/>
      <c r="AH48" s="6380">
        <f>LARGE(AH4:AH47,1)+1</f>
        <v>45</v>
      </c>
      <c r="AI48" s="6381" t="s">
        <v>3503</v>
      </c>
      <c r="AJ48" s="6382"/>
      <c r="AK48" s="6380">
        <f>LARGE(AK4:AK47,1)+1</f>
        <v>101</v>
      </c>
      <c r="AL48" s="6381" t="s">
        <v>3504</v>
      </c>
      <c r="AM48" s="2037"/>
      <c r="AN48" s="2037"/>
      <c r="AO48" s="5002"/>
      <c r="AP48" s="6392" t="s">
        <v>3505</v>
      </c>
      <c r="AR48" s="6388">
        <v>2</v>
      </c>
      <c r="AS48" s="2508" t="s">
        <v>3506</v>
      </c>
      <c r="AV48" s="6388"/>
      <c r="AW48" s="6409" t="s">
        <v>3507</v>
      </c>
      <c r="AX48" s="6409"/>
    </row>
    <row r="49" spans="2:50" ht="18.75">
      <c r="B49" s="813"/>
      <c r="C49" s="813"/>
      <c r="D49" s="813"/>
      <c r="E49" s="813"/>
      <c r="F49" s="813"/>
      <c r="G49" s="813"/>
      <c r="H49" s="813"/>
      <c r="I49" s="813"/>
      <c r="J49" s="813"/>
      <c r="K49" s="813"/>
      <c r="L49" s="6385">
        <f>LARGE(L5:L48,1)+1</f>
        <v>42</v>
      </c>
      <c r="M49" s="6386" t="s">
        <v>716</v>
      </c>
      <c r="N49" s="6385">
        <f>LARGE(N5:N48,1)+1</f>
        <v>87</v>
      </c>
      <c r="O49" s="6386" t="s">
        <v>717</v>
      </c>
      <c r="P49" s="6385">
        <f>LARGE(P5:P48,1)+1</f>
        <v>126</v>
      </c>
      <c r="Q49" s="6386" t="s">
        <v>718</v>
      </c>
      <c r="R49" s="6385"/>
      <c r="S49" s="816"/>
      <c r="T49" s="6376"/>
      <c r="V49" s="6385">
        <f>LARGE(V5:V48,1)+1</f>
        <v>42</v>
      </c>
      <c r="W49" s="6386" t="s">
        <v>656</v>
      </c>
      <c r="X49" s="6385">
        <f>LARGE(X5:X48,1)+1</f>
        <v>98</v>
      </c>
      <c r="Y49" s="6386" t="s">
        <v>506</v>
      </c>
      <c r="Z49" s="6385"/>
      <c r="AA49" s="818"/>
      <c r="AB49" s="6385">
        <f>LARGE(AB5:AB48,1)+1</f>
        <v>205</v>
      </c>
      <c r="AC49" s="6386" t="s">
        <v>694</v>
      </c>
      <c r="AD49" s="6385">
        <f>LARGE(AD5:AD48,1)+1</f>
        <v>259</v>
      </c>
      <c r="AE49" s="6386" t="s">
        <v>551</v>
      </c>
      <c r="AF49" s="6417"/>
      <c r="AG49" s="6417"/>
      <c r="AH49" s="6380">
        <f>LARGE(AH4:AH48,1)+1</f>
        <v>46</v>
      </c>
      <c r="AI49" s="6381" t="s">
        <v>3508</v>
      </c>
      <c r="AJ49" s="6382"/>
      <c r="AK49" s="6380">
        <f>LARGE(AK4:AK48,1)+1</f>
        <v>102</v>
      </c>
      <c r="AL49" s="6381" t="s">
        <v>3509</v>
      </c>
      <c r="AM49" s="2037"/>
      <c r="AN49" s="2037"/>
      <c r="AO49" s="5002"/>
      <c r="AP49" s="6392" t="s">
        <v>3510</v>
      </c>
      <c r="AR49" s="6388">
        <v>3</v>
      </c>
      <c r="AS49" s="2508" t="s">
        <v>3321</v>
      </c>
      <c r="AV49" s="6388"/>
      <c r="AW49" s="6409"/>
      <c r="AX49" s="6409"/>
    </row>
    <row r="50" spans="2:50" ht="18.75">
      <c r="B50" s="813"/>
      <c r="C50" s="813"/>
      <c r="D50" s="813"/>
      <c r="E50" s="813"/>
      <c r="F50" s="813"/>
      <c r="G50" s="813"/>
      <c r="H50" s="813"/>
      <c r="I50" s="813"/>
      <c r="J50" s="813"/>
      <c r="K50" s="813"/>
      <c r="L50" s="6385">
        <f>LARGE(L5:L49,1)+1</f>
        <v>43</v>
      </c>
      <c r="M50" s="6386" t="s">
        <v>719</v>
      </c>
      <c r="N50" s="6385">
        <f>LARGE(N5:N49,1)+1</f>
        <v>88</v>
      </c>
      <c r="O50" s="6386" t="s">
        <v>720</v>
      </c>
      <c r="P50" s="6385">
        <f>LARGE(P5:P49,1)+1</f>
        <v>127</v>
      </c>
      <c r="Q50" s="6386" t="s">
        <v>721</v>
      </c>
      <c r="R50" s="6385"/>
      <c r="S50" s="816"/>
      <c r="T50" s="6376"/>
      <c r="V50" s="6385">
        <f>LARGE(V5:V49,1)+1</f>
        <v>43</v>
      </c>
      <c r="W50" s="6386" t="s">
        <v>660</v>
      </c>
      <c r="X50" s="6385">
        <f>LARGE(X5:X49,1)+1</f>
        <v>99</v>
      </c>
      <c r="Y50" s="6386" t="s">
        <v>514</v>
      </c>
      <c r="Z50" s="6385"/>
      <c r="AA50" s="815" t="s">
        <v>146</v>
      </c>
      <c r="AB50" s="6385">
        <f>LARGE(AB5:AB49,1)+1</f>
        <v>206</v>
      </c>
      <c r="AC50" s="6386" t="s">
        <v>697</v>
      </c>
      <c r="AD50" s="6385">
        <f>LARGE(AD5:AD49,1)+1</f>
        <v>260</v>
      </c>
      <c r="AE50" s="6386" t="s">
        <v>600</v>
      </c>
      <c r="AF50" s="6417"/>
      <c r="AG50" s="6417"/>
      <c r="AH50" s="6380">
        <f>LARGE(AH4:AH49,1)+1</f>
        <v>47</v>
      </c>
      <c r="AI50" s="6381" t="s">
        <v>3511</v>
      </c>
      <c r="AJ50" s="6382"/>
      <c r="AK50" s="6380">
        <f>LARGE(AK4:AK49,1)+1</f>
        <v>103</v>
      </c>
      <c r="AL50" s="6381" t="s">
        <v>3512</v>
      </c>
      <c r="AM50" s="2037"/>
      <c r="AN50" s="2037"/>
      <c r="AO50" s="5002"/>
      <c r="AP50" s="6392" t="s">
        <v>3513</v>
      </c>
      <c r="AR50" s="6388">
        <v>4</v>
      </c>
      <c r="AS50" s="2508" t="s">
        <v>3514</v>
      </c>
      <c r="AV50" s="6384">
        <v>7</v>
      </c>
      <c r="AW50" s="6397" t="s">
        <v>3515</v>
      </c>
      <c r="AX50" s="6397"/>
    </row>
    <row r="51" spans="2:50" ht="24.75" customHeight="1">
      <c r="B51" s="813"/>
      <c r="C51" s="813"/>
      <c r="D51" s="813"/>
      <c r="E51" s="813"/>
      <c r="F51" s="813"/>
      <c r="G51" s="813"/>
      <c r="H51" s="813"/>
      <c r="I51" s="813"/>
      <c r="J51" s="813"/>
      <c r="K51" s="813"/>
      <c r="L51" s="6385">
        <f>LARGE(L5:L50,1)+1</f>
        <v>44</v>
      </c>
      <c r="M51" s="6386" t="s">
        <v>722</v>
      </c>
      <c r="N51" s="6385">
        <f>LARGE(N5:N50,1)+1</f>
        <v>89</v>
      </c>
      <c r="O51" s="6386" t="s">
        <v>723</v>
      </c>
      <c r="P51" s="6385">
        <f>LARGE(P5:P50,1)+1</f>
        <v>128</v>
      </c>
      <c r="Q51" s="6386" t="s">
        <v>724</v>
      </c>
      <c r="R51" s="6385"/>
      <c r="S51" s="816"/>
      <c r="T51" s="6376"/>
      <c r="V51" s="6385">
        <f>LARGE(V5:V50,1)+1</f>
        <v>44</v>
      </c>
      <c r="W51" s="6386" t="s">
        <v>580</v>
      </c>
      <c r="X51" s="6385">
        <f>LARGE(X5:X50,1)+1</f>
        <v>100</v>
      </c>
      <c r="Y51" s="6386" t="s">
        <v>2568</v>
      </c>
      <c r="Z51" s="6385">
        <f>LARGE(Z5:Z50,1)+1</f>
        <v>153</v>
      </c>
      <c r="AA51" s="6386" t="s">
        <v>594</v>
      </c>
      <c r="AB51" s="6385">
        <f>LARGE(AB5:AB50,1)+1</f>
        <v>207</v>
      </c>
      <c r="AC51" s="6386" t="s">
        <v>530</v>
      </c>
      <c r="AD51" s="6385">
        <f>LARGE(AD5:AD50,1)+1</f>
        <v>261</v>
      </c>
      <c r="AE51" s="6386" t="s">
        <v>2569</v>
      </c>
      <c r="AF51" s="6417"/>
      <c r="AG51" s="6417"/>
      <c r="AH51" s="6380">
        <f>LARGE(AH4:AH50,1)+1</f>
        <v>48</v>
      </c>
      <c r="AI51" s="6381" t="s">
        <v>3516</v>
      </c>
      <c r="AJ51" s="6382"/>
      <c r="AK51" s="6380">
        <f>LARGE(AK4:AK50,1)+1</f>
        <v>104</v>
      </c>
      <c r="AL51" s="6381" t="s">
        <v>3517</v>
      </c>
      <c r="AM51" s="2037"/>
      <c r="AN51" s="2037"/>
      <c r="AO51" s="5002"/>
      <c r="AP51" s="6392" t="s">
        <v>3518</v>
      </c>
      <c r="AR51" s="6388">
        <v>5</v>
      </c>
      <c r="AS51" s="2508" t="s">
        <v>3519</v>
      </c>
      <c r="AV51" s="6384"/>
      <c r="AW51" s="6397"/>
      <c r="AX51" s="6397"/>
    </row>
    <row r="52" spans="2:50" ht="30">
      <c r="B52" s="813"/>
      <c r="C52" s="813"/>
      <c r="D52" s="813"/>
      <c r="E52" s="813"/>
      <c r="F52" s="813"/>
      <c r="G52" s="813"/>
      <c r="H52" s="813"/>
      <c r="I52" s="813"/>
      <c r="J52" s="813"/>
      <c r="K52" s="813"/>
      <c r="L52" s="6385">
        <f>LARGE(L5:L51,1)+1</f>
        <v>45</v>
      </c>
      <c r="M52" s="6386" t="s">
        <v>725</v>
      </c>
      <c r="N52" s="6385">
        <f>LARGE(N5:N51,1)+1</f>
        <v>90</v>
      </c>
      <c r="O52" s="6386" t="s">
        <v>726</v>
      </c>
      <c r="P52" s="6385">
        <f>LARGE(P5:P51,1)+1</f>
        <v>129</v>
      </c>
      <c r="Q52" s="6386" t="s">
        <v>727</v>
      </c>
      <c r="R52" s="6385"/>
      <c r="S52" s="816"/>
      <c r="T52" s="6376"/>
      <c r="V52" s="6385">
        <f>LARGE(V5:V51,1)+1</f>
        <v>45</v>
      </c>
      <c r="W52" s="6386" t="s">
        <v>664</v>
      </c>
      <c r="X52" s="6385">
        <f>LARGE(X5:X51,1)+1</f>
        <v>101</v>
      </c>
      <c r="Y52" s="6386" t="s">
        <v>3520</v>
      </c>
      <c r="Z52" s="6385"/>
      <c r="AA52" s="6417"/>
      <c r="AB52" s="6385">
        <f>LARGE(AB5:AB51,1)+1</f>
        <v>208</v>
      </c>
      <c r="AC52" s="6386" t="s">
        <v>2570</v>
      </c>
      <c r="AD52" s="6385">
        <f>LARGE(AD5:AD51,1)+1</f>
        <v>262</v>
      </c>
      <c r="AE52" s="6386" t="s">
        <v>2571</v>
      </c>
      <c r="AF52" s="6417"/>
      <c r="AG52" s="6417"/>
      <c r="AH52" s="6380">
        <f>LARGE(AH4:AH51,1)+1</f>
        <v>49</v>
      </c>
      <c r="AI52" s="6381" t="s">
        <v>3521</v>
      </c>
      <c r="AJ52" s="6382"/>
      <c r="AK52" s="6380">
        <f>LARGE(AK4:AK51,1)+1</f>
        <v>105</v>
      </c>
      <c r="AL52" s="6381" t="s">
        <v>3522</v>
      </c>
      <c r="AM52" s="2037"/>
      <c r="AN52" s="2037"/>
      <c r="AO52" s="5002"/>
      <c r="AP52" s="6387" t="s">
        <v>142</v>
      </c>
      <c r="AR52" s="6388">
        <v>6</v>
      </c>
      <c r="AS52" s="2508" t="s">
        <v>3337</v>
      </c>
      <c r="AV52" s="6384">
        <v>8</v>
      </c>
      <c r="AW52" s="6397" t="s">
        <v>3523</v>
      </c>
      <c r="AX52" s="6397"/>
    </row>
    <row r="53" spans="2:50" ht="19.5" thickBot="1">
      <c r="B53" s="813"/>
      <c r="C53" s="813"/>
      <c r="D53" s="813"/>
      <c r="E53" s="813"/>
      <c r="F53" s="813"/>
      <c r="G53" s="813"/>
      <c r="H53" s="813"/>
      <c r="I53" s="813"/>
      <c r="J53" s="813"/>
      <c r="K53" s="813"/>
      <c r="L53" s="6422"/>
      <c r="M53" s="6423"/>
      <c r="N53" s="6423"/>
      <c r="O53" s="6423"/>
      <c r="P53" s="6423"/>
      <c r="Q53" s="6423"/>
      <c r="R53" s="6424"/>
      <c r="S53" s="6424"/>
      <c r="T53" s="6425"/>
      <c r="V53" s="6385">
        <f>LARGE(V5:V52,1)+1</f>
        <v>46</v>
      </c>
      <c r="W53" s="6386" t="s">
        <v>588</v>
      </c>
      <c r="X53" s="6385">
        <f>LARGE(X5:X52,1)+1</f>
        <v>102</v>
      </c>
      <c r="Y53" s="6386" t="s">
        <v>522</v>
      </c>
      <c r="Z53" s="6385"/>
      <c r="AA53" s="814" t="s">
        <v>224</v>
      </c>
      <c r="AB53" s="6385">
        <f>LARGE(AB5:AB52,1)+1</f>
        <v>209</v>
      </c>
      <c r="AC53" s="6386" t="s">
        <v>700</v>
      </c>
      <c r="AD53" s="6385">
        <f>LARGE(AD5:AD52,1)+1</f>
        <v>263</v>
      </c>
      <c r="AE53" s="6386" t="s">
        <v>557</v>
      </c>
      <c r="AF53" s="6379"/>
      <c r="AG53" s="6379"/>
      <c r="AH53" s="6380">
        <f>LARGE(AH4:AH52,1)+1</f>
        <v>50</v>
      </c>
      <c r="AI53" s="6381" t="s">
        <v>3524</v>
      </c>
      <c r="AJ53" s="6382"/>
      <c r="AK53" s="6380">
        <f>LARGE(AK4:AK52,1)+1</f>
        <v>106</v>
      </c>
      <c r="AL53" s="6381" t="s">
        <v>3525</v>
      </c>
      <c r="AM53" s="2037"/>
      <c r="AN53" s="2037"/>
      <c r="AO53" s="5002"/>
      <c r="AP53" s="6392" t="s">
        <v>3526</v>
      </c>
      <c r="AR53" s="6388">
        <v>7</v>
      </c>
      <c r="AS53" s="2508" t="s">
        <v>3527</v>
      </c>
      <c r="AV53" s="6384"/>
      <c r="AW53" s="6397"/>
      <c r="AX53" s="6397"/>
    </row>
    <row r="54" spans="2:50" ht="18.75">
      <c r="B54" s="813"/>
      <c r="C54" s="813"/>
      <c r="D54" s="813"/>
      <c r="E54" s="813"/>
      <c r="F54" s="813"/>
      <c r="G54" s="813"/>
      <c r="H54" s="813"/>
      <c r="I54" s="813"/>
      <c r="J54" s="813"/>
      <c r="K54" s="813"/>
      <c r="L54" s="813"/>
      <c r="M54" s="813"/>
      <c r="N54" s="813"/>
      <c r="O54" s="813"/>
      <c r="P54" s="813"/>
      <c r="Q54" s="813"/>
      <c r="R54" s="813"/>
      <c r="S54" s="813"/>
      <c r="T54" s="813"/>
      <c r="V54" s="6385">
        <f>LARGE(V5:V53,1)+1</f>
        <v>47</v>
      </c>
      <c r="W54" s="6386" t="s">
        <v>667</v>
      </c>
      <c r="X54" s="6385">
        <f>LARGE(X5:X53,1)+1</f>
        <v>103</v>
      </c>
      <c r="Y54" s="6386" t="s">
        <v>645</v>
      </c>
      <c r="Z54" s="6385">
        <f>LARGE(Z5:Z53,1)+1</f>
        <v>154</v>
      </c>
      <c r="AA54" s="6386" t="s">
        <v>2573</v>
      </c>
      <c r="AB54" s="6385">
        <f>LARGE(AB5:AB53,1)+1</f>
        <v>210</v>
      </c>
      <c r="AC54" s="6386" t="s">
        <v>2574</v>
      </c>
      <c r="AD54" s="6385">
        <f>LARGE(AD5:AD53,1)+1</f>
        <v>264</v>
      </c>
      <c r="AE54" s="6386" t="s">
        <v>2575</v>
      </c>
      <c r="AF54" s="6379"/>
      <c r="AG54" s="6379"/>
      <c r="AH54" s="6380">
        <f>LARGE(AH4:AH53,1)+1</f>
        <v>51</v>
      </c>
      <c r="AI54" s="6381" t="s">
        <v>3528</v>
      </c>
      <c r="AJ54" s="6382"/>
      <c r="AK54" s="6380">
        <f>LARGE(AK4:AK53,1)+1</f>
        <v>107</v>
      </c>
      <c r="AL54" s="6381" t="s">
        <v>3529</v>
      </c>
      <c r="AM54" s="2037"/>
      <c r="AN54" s="2037"/>
      <c r="AO54" s="5002"/>
      <c r="AP54" s="6392" t="s">
        <v>3530</v>
      </c>
      <c r="AR54" s="6388">
        <v>8</v>
      </c>
      <c r="AS54" s="2508" t="s">
        <v>3531</v>
      </c>
      <c r="AV54" s="6388"/>
      <c r="AW54" s="6409" t="s">
        <v>3532</v>
      </c>
      <c r="AX54" s="6409"/>
    </row>
    <row r="55" spans="2:50" ht="18.75">
      <c r="B55" s="813"/>
      <c r="C55" s="813"/>
      <c r="D55" s="813"/>
      <c r="E55" s="813"/>
      <c r="F55" s="813"/>
      <c r="G55" s="813"/>
      <c r="H55" s="813"/>
      <c r="I55" s="813"/>
      <c r="J55" s="813"/>
      <c r="K55" s="813"/>
      <c r="L55" s="813"/>
      <c r="M55" s="813"/>
      <c r="N55" s="813"/>
      <c r="O55" s="813"/>
      <c r="P55" s="813"/>
      <c r="Q55" s="813"/>
      <c r="R55" s="813"/>
      <c r="S55" s="813"/>
      <c r="T55" s="813"/>
      <c r="V55" s="6385">
        <f>LARGE(V5:V54,1)+1</f>
        <v>48</v>
      </c>
      <c r="W55" s="6386" t="s">
        <v>668</v>
      </c>
      <c r="X55" s="6385">
        <f>LARGE(X5:X54,1)+1</f>
        <v>104</v>
      </c>
      <c r="Y55" s="6386" t="s">
        <v>649</v>
      </c>
      <c r="Z55" s="6385">
        <f>LARGE(Z5:Z54,1)+1</f>
        <v>155</v>
      </c>
      <c r="AA55" s="6386" t="s">
        <v>609</v>
      </c>
      <c r="AB55" s="6385">
        <f>LARGE(AB5:AB54,1)+1</f>
        <v>211</v>
      </c>
      <c r="AC55" s="6386" t="s">
        <v>537</v>
      </c>
      <c r="AD55" s="6385">
        <f>LARGE(AD5:AD54,1)+1</f>
        <v>265</v>
      </c>
      <c r="AE55" s="6386" t="s">
        <v>2577</v>
      </c>
      <c r="AF55" s="6379"/>
      <c r="AG55" s="6379"/>
      <c r="AH55" s="6380">
        <f>LARGE(AH4:AH54,1)+1</f>
        <v>52</v>
      </c>
      <c r="AI55" s="6381" t="s">
        <v>3533</v>
      </c>
      <c r="AJ55" s="6382"/>
      <c r="AK55" s="6380">
        <f>LARGE(AK4:AK54,1)+1</f>
        <v>108</v>
      </c>
      <c r="AL55" s="6381" t="s">
        <v>3534</v>
      </c>
      <c r="AM55" s="2037"/>
      <c r="AN55" s="2037"/>
      <c r="AO55" s="5002"/>
      <c r="AP55" s="6392" t="s">
        <v>3535</v>
      </c>
      <c r="AR55" s="6388"/>
      <c r="AS55" s="4991"/>
      <c r="AV55" s="6388"/>
      <c r="AW55" s="6409"/>
      <c r="AX55" s="6409"/>
    </row>
    <row r="56" spans="2:50" ht="20.25" customHeight="1">
      <c r="B56" s="813"/>
      <c r="C56" s="813"/>
      <c r="D56" s="813"/>
      <c r="E56" s="813"/>
      <c r="F56" s="813"/>
      <c r="G56" s="813"/>
      <c r="H56" s="813"/>
      <c r="I56" s="813"/>
      <c r="J56" s="813"/>
      <c r="K56" s="813"/>
      <c r="L56" s="813"/>
      <c r="M56" s="813"/>
      <c r="N56" s="813"/>
      <c r="O56" s="813"/>
      <c r="P56" s="813"/>
      <c r="Q56" s="813"/>
      <c r="R56" s="813"/>
      <c r="S56" s="813"/>
      <c r="T56" s="813"/>
      <c r="V56" s="6385">
        <f>LARGE(V5:V55,1)+1</f>
        <v>49</v>
      </c>
      <c r="W56" s="6386" t="s">
        <v>671</v>
      </c>
      <c r="X56" s="6385">
        <f>LARGE(X5:X55,1)+1</f>
        <v>105</v>
      </c>
      <c r="Y56" s="6386" t="s">
        <v>2576</v>
      </c>
      <c r="Z56" s="6385">
        <f>LARGE(Z5:Z55,1)+1</f>
        <v>156</v>
      </c>
      <c r="AA56" s="6386" t="s">
        <v>2578</v>
      </c>
      <c r="AB56" s="6385">
        <f>LARGE(AB5:AB55,1)+1</f>
        <v>212</v>
      </c>
      <c r="AC56" s="6386" t="s">
        <v>543</v>
      </c>
      <c r="AD56" s="6385">
        <f>LARGE(AD5:AD55,1)+1</f>
        <v>266</v>
      </c>
      <c r="AE56" s="6386" t="s">
        <v>607</v>
      </c>
      <c r="AF56" s="6379"/>
      <c r="AG56" s="6379"/>
      <c r="AH56" s="6380">
        <f>LARGE(AH4:AH55,1)+1</f>
        <v>53</v>
      </c>
      <c r="AI56" s="6381" t="s">
        <v>3536</v>
      </c>
      <c r="AJ56" s="6382"/>
      <c r="AK56" s="6380">
        <f>LARGE(AK4:AK55,1)+1</f>
        <v>109</v>
      </c>
      <c r="AL56" s="6381" t="s">
        <v>3537</v>
      </c>
      <c r="AM56" s="2037"/>
      <c r="AN56" s="2037"/>
      <c r="AO56" s="5002"/>
      <c r="AP56" s="6392" t="s">
        <v>3538</v>
      </c>
      <c r="AR56" s="6388">
        <v>1</v>
      </c>
      <c r="AS56" s="2508" t="s">
        <v>3539</v>
      </c>
      <c r="AV56" s="6388"/>
      <c r="AW56" s="2508" t="s">
        <v>3540</v>
      </c>
      <c r="AX56" s="2508"/>
    </row>
    <row r="57" spans="2:50" ht="20.25" customHeight="1">
      <c r="B57" s="813"/>
      <c r="C57" s="813"/>
      <c r="D57" s="813"/>
      <c r="E57" s="813"/>
      <c r="F57" s="813"/>
      <c r="G57" s="813"/>
      <c r="H57" s="813"/>
      <c r="I57" s="813"/>
      <c r="J57" s="813"/>
      <c r="K57" s="813"/>
      <c r="L57" s="813"/>
      <c r="M57" s="813"/>
      <c r="N57" s="813"/>
      <c r="O57" s="813"/>
      <c r="P57" s="813"/>
      <c r="Q57" s="813"/>
      <c r="R57" s="813"/>
      <c r="S57" s="813"/>
      <c r="T57" s="813"/>
      <c r="V57" s="6385">
        <f>LARGE(V5:V56,1)+1</f>
        <v>50</v>
      </c>
      <c r="W57" s="6386" t="s">
        <v>2572</v>
      </c>
      <c r="X57" s="6385">
        <f>LARGE(X5:X56,1)+1</f>
        <v>106</v>
      </c>
      <c r="Y57" s="6386" t="s">
        <v>653</v>
      </c>
      <c r="Z57" s="6385">
        <f>LARGE(Z5:Z56,1)+1</f>
        <v>157</v>
      </c>
      <c r="AA57" s="6386" t="s">
        <v>554</v>
      </c>
      <c r="AB57" s="6385">
        <f>LARGE(AB5:AB56,1)+1</f>
        <v>213</v>
      </c>
      <c r="AC57" s="6386" t="s">
        <v>550</v>
      </c>
      <c r="AD57" s="6385">
        <f>LARGE(AD5:AD56,1)+1</f>
        <v>267</v>
      </c>
      <c r="AE57" s="6386" t="s">
        <v>2579</v>
      </c>
      <c r="AF57" s="6379"/>
      <c r="AG57" s="6379"/>
      <c r="AH57" s="6380">
        <f>LARGE(AH4:AH56,1)+1</f>
        <v>54</v>
      </c>
      <c r="AI57" s="6381" t="s">
        <v>3541</v>
      </c>
      <c r="AJ57" s="6382"/>
      <c r="AK57" s="6380">
        <f>LARGE(AK4:AK56,1)+1</f>
        <v>110</v>
      </c>
      <c r="AL57" s="6381" t="s">
        <v>3542</v>
      </c>
      <c r="AM57" s="2037"/>
      <c r="AN57" s="2037"/>
      <c r="AO57" s="5002"/>
      <c r="AP57" s="6392" t="s">
        <v>3543</v>
      </c>
      <c r="AR57" s="6388">
        <v>2</v>
      </c>
      <c r="AS57" s="2508" t="s">
        <v>3544</v>
      </c>
      <c r="AV57" s="6388">
        <v>9</v>
      </c>
      <c r="AW57" s="2508" t="s">
        <v>3545</v>
      </c>
      <c r="AX57" s="2508"/>
    </row>
    <row r="58" spans="2:50" ht="21" customHeight="1">
      <c r="B58" s="813"/>
      <c r="C58" s="813"/>
      <c r="D58" s="813"/>
      <c r="E58" s="813"/>
      <c r="F58" s="813"/>
      <c r="G58" s="813"/>
      <c r="H58" s="813"/>
      <c r="I58" s="813"/>
      <c r="J58" s="813"/>
      <c r="K58" s="813"/>
      <c r="L58" s="813"/>
      <c r="M58" s="813"/>
      <c r="N58" s="813"/>
      <c r="O58" s="813"/>
      <c r="P58" s="813"/>
      <c r="Q58" s="813"/>
      <c r="R58" s="813"/>
      <c r="S58" s="813"/>
      <c r="T58" s="813"/>
      <c r="V58" s="6385">
        <f>LARGE(V5:V57,1)+1</f>
        <v>51</v>
      </c>
      <c r="W58" s="6386" t="s">
        <v>678</v>
      </c>
      <c r="X58" s="6385">
        <f>LARGE(X5:X57,1)+1</f>
        <v>107</v>
      </c>
      <c r="Y58" s="6386" t="s">
        <v>536</v>
      </c>
      <c r="Z58" s="6385">
        <f>LARGE(Z5:Z57,1)+1</f>
        <v>158</v>
      </c>
      <c r="AA58" s="6386" t="s">
        <v>559</v>
      </c>
      <c r="AB58" s="6385">
        <f>LARGE(AB5:AB57,1)+1</f>
        <v>214</v>
      </c>
      <c r="AC58" s="6386" t="s">
        <v>556</v>
      </c>
      <c r="AD58" s="6385"/>
      <c r="AE58" s="6379"/>
      <c r="AF58" s="6379"/>
      <c r="AG58" s="6379"/>
      <c r="AH58" s="6380">
        <f>LARGE(AH4:AH57,1)+1</f>
        <v>55</v>
      </c>
      <c r="AI58" s="6381" t="s">
        <v>3546</v>
      </c>
      <c r="AJ58" s="6382"/>
      <c r="AK58" s="6380">
        <f>LARGE(AK4:AK57,1)+1</f>
        <v>111</v>
      </c>
      <c r="AL58" s="6381" t="s">
        <v>3547</v>
      </c>
      <c r="AM58" s="2037"/>
      <c r="AN58" s="2037"/>
      <c r="AO58" s="5002"/>
      <c r="AP58" s="6392" t="s">
        <v>3548</v>
      </c>
      <c r="AR58" s="6388"/>
      <c r="AS58" s="4991"/>
      <c r="AV58" s="6388">
        <v>10</v>
      </c>
      <c r="AW58" s="2508" t="s">
        <v>3549</v>
      </c>
      <c r="AX58" s="2508"/>
    </row>
    <row r="59" spans="2:50" ht="24" customHeight="1">
      <c r="V59" s="6385">
        <f>LARGE(V5:V58,1)+1</f>
        <v>52</v>
      </c>
      <c r="W59" s="6386" t="s">
        <v>682</v>
      </c>
      <c r="X59" s="6385">
        <f>LARGE(X5:X58,1)+1</f>
        <v>108</v>
      </c>
      <c r="Y59" s="6386" t="s">
        <v>2581</v>
      </c>
      <c r="Z59" s="6385">
        <f>LARGE(Z5:Z58,1)+1</f>
        <v>159</v>
      </c>
      <c r="AA59" s="6386" t="s">
        <v>565</v>
      </c>
      <c r="AB59" s="6385">
        <f>LARGE(AB5:AB58,1)+1</f>
        <v>215</v>
      </c>
      <c r="AC59" s="6386" t="s">
        <v>703</v>
      </c>
      <c r="AD59" s="6385"/>
      <c r="AE59" s="6379"/>
      <c r="AF59" s="6379"/>
      <c r="AG59" s="6379"/>
      <c r="AH59" s="6380">
        <f>LARGE(AH4:AH58,1)+1</f>
        <v>56</v>
      </c>
      <c r="AI59" s="6381" t="s">
        <v>3550</v>
      </c>
      <c r="AJ59" s="6382"/>
      <c r="AK59" s="6380"/>
      <c r="AL59" s="6426"/>
      <c r="AM59" s="2037"/>
      <c r="AN59" s="2037"/>
      <c r="AO59" s="5002"/>
      <c r="AP59" s="6392" t="s">
        <v>3551</v>
      </c>
      <c r="AR59" s="6388"/>
      <c r="AS59" s="4991"/>
      <c r="AV59" s="6388">
        <v>11</v>
      </c>
      <c r="AW59" s="2508" t="s">
        <v>3552</v>
      </c>
      <c r="AX59" s="2508"/>
    </row>
    <row r="60" spans="2:50" ht="24" customHeight="1">
      <c r="V60" s="6385">
        <f>LARGE(V5:V59,1)+1</f>
        <v>53</v>
      </c>
      <c r="W60" s="6386" t="s">
        <v>3553</v>
      </c>
      <c r="X60" s="6385">
        <f>LARGE(X5:X59,1)+1</f>
        <v>109</v>
      </c>
      <c r="Y60" s="6386" t="s">
        <v>2582</v>
      </c>
      <c r="Z60" s="6385">
        <f>LARGE(Z5:Z59,1)+1</f>
        <v>160</v>
      </c>
      <c r="AA60" s="6386" t="s">
        <v>571</v>
      </c>
      <c r="AB60" s="6385"/>
      <c r="AC60" s="6379"/>
      <c r="AD60" s="6385"/>
      <c r="AE60" s="6379"/>
      <c r="AF60" s="6379"/>
      <c r="AG60" s="6379"/>
      <c r="AH60" s="2037"/>
      <c r="AI60" s="2037"/>
      <c r="AJ60" s="2037"/>
      <c r="AK60" s="2037"/>
      <c r="AL60" s="2037"/>
      <c r="AM60" s="2037"/>
      <c r="AN60" s="2037"/>
      <c r="AO60" s="5002"/>
      <c r="AP60" s="6387" t="s">
        <v>143</v>
      </c>
      <c r="AR60" s="6388">
        <v>1</v>
      </c>
      <c r="AS60" s="2508" t="s">
        <v>3554</v>
      </c>
      <c r="AV60" s="6388">
        <v>12</v>
      </c>
      <c r="AW60" s="2508" t="s">
        <v>3555</v>
      </c>
      <c r="AX60" s="2508"/>
    </row>
    <row r="61" spans="2:50" ht="20.25" customHeight="1">
      <c r="V61" s="6385">
        <f>LARGE(V5:V60,1)+1</f>
        <v>54</v>
      </c>
      <c r="W61" s="6386" t="s">
        <v>685</v>
      </c>
      <c r="X61" s="6385">
        <f>LARGE(X5:X60,1)+1</f>
        <v>110</v>
      </c>
      <c r="Y61" s="6386" t="s">
        <v>657</v>
      </c>
      <c r="Z61" s="6385">
        <f>LARGE(Z5:Z60,1)+1</f>
        <v>161</v>
      </c>
      <c r="AA61" s="6386" t="s">
        <v>2583</v>
      </c>
      <c r="AB61" s="6385"/>
      <c r="AC61" s="814" t="s">
        <v>706</v>
      </c>
      <c r="AD61" s="6385"/>
      <c r="AE61" s="6379"/>
      <c r="AF61" s="6379"/>
      <c r="AG61" s="6379"/>
      <c r="AH61" s="2037"/>
      <c r="AI61" s="2037"/>
      <c r="AJ61" s="2037"/>
      <c r="AK61" s="2037"/>
      <c r="AL61" s="2037"/>
      <c r="AM61" s="2037"/>
      <c r="AN61" s="2037"/>
      <c r="AO61" s="5002"/>
      <c r="AP61" s="6392" t="s">
        <v>3556</v>
      </c>
      <c r="AR61" s="6388">
        <v>2</v>
      </c>
      <c r="AS61" s="2508" t="s">
        <v>3557</v>
      </c>
      <c r="AV61" s="6388"/>
      <c r="AW61" s="2508"/>
      <c r="AX61" s="2508"/>
    </row>
    <row r="62" spans="2:50" ht="20.25" customHeight="1">
      <c r="V62" s="6385">
        <f>LARGE(V5:V61,1)+1</f>
        <v>55</v>
      </c>
      <c r="W62" s="6386" t="s">
        <v>2580</v>
      </c>
      <c r="X62" s="6385">
        <f>LARGE(X5:X61,1)+1</f>
        <v>111</v>
      </c>
      <c r="Y62" s="6386" t="s">
        <v>661</v>
      </c>
      <c r="Z62" s="6385">
        <f>LARGE(Z5:Z61,1)+1</f>
        <v>162</v>
      </c>
      <c r="AA62" s="6386" t="s">
        <v>2584</v>
      </c>
      <c r="AB62" s="6385">
        <f>LARGE(AB5:AB61,1)+1</f>
        <v>216</v>
      </c>
      <c r="AC62" s="6386" t="s">
        <v>709</v>
      </c>
      <c r="AD62" s="6385"/>
      <c r="AE62" s="6379"/>
      <c r="AF62" s="6379"/>
      <c r="AG62" s="6379"/>
      <c r="AH62" s="2037"/>
      <c r="AI62" s="2037"/>
      <c r="AJ62" s="2037"/>
      <c r="AK62" s="2037"/>
      <c r="AL62" s="2037"/>
      <c r="AM62" s="2037"/>
      <c r="AN62" s="2037"/>
      <c r="AO62" s="5002"/>
      <c r="AP62" s="6392" t="s">
        <v>3558</v>
      </c>
      <c r="AR62" s="6388">
        <v>3</v>
      </c>
      <c r="AS62" s="2508" t="s">
        <v>3559</v>
      </c>
      <c r="AV62" s="6393" t="s">
        <v>156</v>
      </c>
      <c r="AW62" s="6394" t="s">
        <v>3560</v>
      </c>
      <c r="AX62" s="2508"/>
    </row>
    <row r="63" spans="2:50" ht="20.25" customHeight="1">
      <c r="V63" s="2037"/>
      <c r="W63" s="2037"/>
      <c r="X63" s="6385">
        <f>LARGE(X5:X62,1)+1</f>
        <v>112</v>
      </c>
      <c r="Y63" s="6386" t="s">
        <v>665</v>
      </c>
      <c r="Z63" s="6385"/>
      <c r="AA63" s="2037"/>
      <c r="AB63" s="6385"/>
      <c r="AC63" s="2037"/>
      <c r="AD63" s="6385"/>
      <c r="AE63" s="2037"/>
      <c r="AF63" s="2037"/>
      <c r="AG63" s="2037"/>
      <c r="AH63" s="2037"/>
      <c r="AI63" s="2037"/>
      <c r="AJ63" s="2037"/>
      <c r="AK63" s="2037"/>
      <c r="AL63" s="2037"/>
      <c r="AM63" s="2037"/>
      <c r="AN63" s="2037"/>
      <c r="AO63" s="5002"/>
      <c r="AP63" s="6402" t="s">
        <v>3561</v>
      </c>
      <c r="AR63" s="6388">
        <v>4</v>
      </c>
      <c r="AS63" s="2508" t="s">
        <v>3562</v>
      </c>
      <c r="AV63" s="6384">
        <v>1</v>
      </c>
      <c r="AW63" s="6397" t="s">
        <v>3563</v>
      </c>
      <c r="AX63" s="6397"/>
    </row>
    <row r="64" spans="2:50" ht="20.25" customHeight="1">
      <c r="V64" s="2037"/>
      <c r="W64" s="2037"/>
      <c r="X64" s="6403"/>
      <c r="Y64" s="2037"/>
      <c r="Z64" s="2037"/>
      <c r="AA64" s="2037"/>
      <c r="AB64" s="2037"/>
      <c r="AC64" s="2037"/>
      <c r="AD64" s="2037"/>
      <c r="AE64" s="2037"/>
      <c r="AF64" s="2037"/>
      <c r="AG64" s="2037"/>
      <c r="AH64" s="2037"/>
      <c r="AI64" s="2037"/>
      <c r="AJ64" s="2037"/>
      <c r="AK64" s="2037"/>
      <c r="AL64" s="2037"/>
      <c r="AM64" s="2037"/>
      <c r="AN64" s="2037"/>
      <c r="AO64" s="5002"/>
      <c r="AP64" s="6402" t="s">
        <v>3564</v>
      </c>
      <c r="AR64" s="6388">
        <v>5</v>
      </c>
      <c r="AS64" s="2508" t="s">
        <v>3565</v>
      </c>
      <c r="AV64" s="6384"/>
      <c r="AW64" s="6397"/>
      <c r="AX64" s="6397"/>
    </row>
    <row r="65" spans="22:50" ht="20.25" customHeight="1">
      <c r="V65" s="2037"/>
      <c r="W65" s="2037"/>
      <c r="X65" s="6403"/>
      <c r="Y65" s="2037"/>
      <c r="Z65" s="2037"/>
      <c r="AA65" s="2037"/>
      <c r="AB65" s="2037"/>
      <c r="AC65" s="2037"/>
      <c r="AD65" s="2037"/>
      <c r="AE65" s="2037"/>
      <c r="AF65" s="2037"/>
      <c r="AG65" s="2037"/>
      <c r="AH65" s="2037"/>
      <c r="AI65" s="2037"/>
      <c r="AJ65" s="2037"/>
      <c r="AK65" s="2037"/>
      <c r="AL65" s="2037"/>
      <c r="AM65" s="2037"/>
      <c r="AN65" s="2037"/>
      <c r="AO65" s="5002"/>
      <c r="AP65" s="6392" t="s">
        <v>3566</v>
      </c>
      <c r="AR65" s="6388">
        <v>6</v>
      </c>
      <c r="AS65" s="2508" t="s">
        <v>3567</v>
      </c>
      <c r="AV65" s="6388">
        <v>2</v>
      </c>
      <c r="AW65" s="2508" t="s">
        <v>3568</v>
      </c>
      <c r="AX65" s="2508"/>
    </row>
    <row r="66" spans="22:50" ht="20.25" customHeight="1">
      <c r="V66" s="2037"/>
      <c r="W66" s="6383" t="s">
        <v>2354</v>
      </c>
      <c r="X66" s="101" t="s">
        <v>3569</v>
      </c>
      <c r="Y66" s="6427"/>
      <c r="Z66" s="2037"/>
      <c r="AA66" s="2037"/>
      <c r="AB66" s="2037"/>
      <c r="AC66" s="2037"/>
      <c r="AD66" s="2037"/>
      <c r="AE66" s="2037"/>
      <c r="AF66" s="2037"/>
      <c r="AG66" s="2037"/>
      <c r="AH66" s="2037"/>
      <c r="AI66" s="2037"/>
      <c r="AJ66" s="2037"/>
      <c r="AK66" s="2037"/>
      <c r="AL66" s="2037"/>
      <c r="AM66" s="2037"/>
      <c r="AN66" s="2037"/>
      <c r="AO66" s="5002"/>
      <c r="AP66" s="6392" t="s">
        <v>3570</v>
      </c>
      <c r="AR66" s="6388">
        <v>7</v>
      </c>
      <c r="AS66" s="2508" t="s">
        <v>3571</v>
      </c>
      <c r="AV66" s="6388">
        <v>3</v>
      </c>
      <c r="AW66" s="2508" t="s">
        <v>3572</v>
      </c>
      <c r="AX66" s="2508"/>
    </row>
    <row r="67" spans="22:50" ht="20.25" customHeight="1">
      <c r="V67" s="2037"/>
      <c r="W67" s="6383" t="s">
        <v>2354</v>
      </c>
      <c r="X67" s="101" t="s">
        <v>3573</v>
      </c>
      <c r="Y67" s="6427"/>
      <c r="Z67" s="2037"/>
      <c r="AA67" s="2037"/>
      <c r="AB67" s="2037"/>
      <c r="AC67" s="2037"/>
      <c r="AD67" s="2037"/>
      <c r="AE67" s="2037"/>
      <c r="AF67" s="2037"/>
      <c r="AG67" s="2037"/>
      <c r="AH67" s="2037"/>
      <c r="AI67" s="2037"/>
      <c r="AJ67" s="2037"/>
      <c r="AK67" s="2037"/>
      <c r="AL67" s="2037"/>
      <c r="AM67" s="2037"/>
      <c r="AN67" s="2037"/>
      <c r="AO67" s="5002"/>
      <c r="AP67" s="6387" t="s">
        <v>145</v>
      </c>
      <c r="AR67" s="6388">
        <v>8</v>
      </c>
      <c r="AS67" s="2508" t="s">
        <v>3574</v>
      </c>
      <c r="AV67" s="6388">
        <v>4</v>
      </c>
      <c r="AW67" s="2508" t="s">
        <v>3575</v>
      </c>
      <c r="AX67" s="2508"/>
    </row>
    <row r="68" spans="22:50" ht="27" customHeight="1">
      <c r="V68" s="2037"/>
      <c r="W68" s="6383" t="s">
        <v>3576</v>
      </c>
      <c r="X68" s="101" t="s">
        <v>3577</v>
      </c>
      <c r="Y68" s="6428"/>
      <c r="Z68" s="2037"/>
      <c r="AA68" s="2037"/>
      <c r="AB68" s="2037"/>
      <c r="AC68" s="2037"/>
      <c r="AD68" s="2037"/>
      <c r="AE68" s="2037"/>
      <c r="AF68" s="2037"/>
      <c r="AG68" s="2037"/>
      <c r="AH68" s="2037"/>
      <c r="AI68" s="2037"/>
      <c r="AJ68" s="2037"/>
      <c r="AK68" s="2037"/>
      <c r="AL68" s="2037"/>
      <c r="AM68" s="2037"/>
      <c r="AN68" s="2037"/>
      <c r="AO68" s="5002"/>
      <c r="AP68" s="6392" t="s">
        <v>3578</v>
      </c>
      <c r="AR68" s="6388">
        <v>9</v>
      </c>
      <c r="AS68" s="2508" t="s">
        <v>3579</v>
      </c>
      <c r="AV68" s="6388">
        <v>5</v>
      </c>
      <c r="AW68" s="2508" t="s">
        <v>3580</v>
      </c>
      <c r="AX68" s="2508"/>
    </row>
    <row r="69" spans="22:50" ht="18.75">
      <c r="V69" s="2037"/>
      <c r="W69" s="2037"/>
      <c r="X69" s="2037"/>
      <c r="Y69" s="2037"/>
      <c r="Z69" s="2037"/>
      <c r="AA69" s="2037"/>
      <c r="AB69" s="2037"/>
      <c r="AC69" s="2037"/>
      <c r="AD69" s="2037"/>
      <c r="AE69" s="2037"/>
      <c r="AF69" s="2037"/>
      <c r="AG69" s="2037"/>
      <c r="AH69" s="2037"/>
      <c r="AI69" s="2037"/>
      <c r="AJ69" s="2037"/>
      <c r="AK69" s="2037"/>
      <c r="AL69" s="2037"/>
      <c r="AM69" s="2037"/>
      <c r="AN69" s="2037"/>
      <c r="AO69" s="5002"/>
      <c r="AP69" s="6392" t="s">
        <v>3581</v>
      </c>
      <c r="AR69" s="6388">
        <v>10</v>
      </c>
      <c r="AS69" s="2508" t="s">
        <v>3582</v>
      </c>
      <c r="AV69" s="6388"/>
      <c r="AW69" s="2508"/>
      <c r="AX69" s="2508"/>
    </row>
    <row r="70" spans="22:50" ht="30">
      <c r="V70" s="2037"/>
      <c r="W70" s="2037"/>
      <c r="X70" s="2037"/>
      <c r="Y70" s="2037"/>
      <c r="Z70" s="2037"/>
      <c r="AA70" s="2037"/>
      <c r="AB70" s="2037"/>
      <c r="AC70" s="2037"/>
      <c r="AD70" s="2037"/>
      <c r="AE70" s="2037"/>
      <c r="AF70" s="2037"/>
      <c r="AG70" s="2037"/>
      <c r="AH70" s="2037"/>
      <c r="AI70" s="2037"/>
      <c r="AJ70" s="2037"/>
      <c r="AK70" s="2037"/>
      <c r="AL70" s="2037"/>
      <c r="AM70" s="2037"/>
      <c r="AN70" s="2037"/>
      <c r="AO70" s="5002"/>
      <c r="AP70" s="6387" t="s">
        <v>224</v>
      </c>
      <c r="AR70" s="6388">
        <v>11</v>
      </c>
      <c r="AS70" s="2508" t="s">
        <v>3583</v>
      </c>
      <c r="AV70" s="6393" t="s">
        <v>157</v>
      </c>
      <c r="AW70" s="6394" t="s">
        <v>723</v>
      </c>
      <c r="AX70" s="2508"/>
    </row>
    <row r="71" spans="22:50" ht="18.75">
      <c r="V71" s="2037"/>
      <c r="W71" s="2037"/>
      <c r="X71" s="2037"/>
      <c r="Y71" s="2037"/>
      <c r="Z71" s="2037"/>
      <c r="AA71" s="2037"/>
      <c r="AB71" s="2037"/>
      <c r="AC71" s="2037"/>
      <c r="AD71" s="2037"/>
      <c r="AE71" s="2037"/>
      <c r="AF71" s="2037"/>
      <c r="AG71" s="2037"/>
      <c r="AH71" s="2037"/>
      <c r="AI71" s="2037"/>
      <c r="AJ71" s="2037"/>
      <c r="AK71" s="2037"/>
      <c r="AL71" s="2037"/>
      <c r="AM71" s="2037"/>
      <c r="AN71" s="2037"/>
      <c r="AO71" s="5002"/>
      <c r="AP71" s="6392" t="s">
        <v>3584</v>
      </c>
      <c r="AR71" s="6388">
        <v>12</v>
      </c>
      <c r="AS71" s="2508" t="s">
        <v>3585</v>
      </c>
      <c r="AV71" s="6388">
        <v>1</v>
      </c>
      <c r="AW71" s="2508" t="s">
        <v>3586</v>
      </c>
      <c r="AX71" s="2508"/>
    </row>
    <row r="72" spans="22:50" ht="18.75">
      <c r="V72" s="2037"/>
      <c r="W72" s="2037"/>
      <c r="X72" s="2037"/>
      <c r="Y72" s="2037"/>
      <c r="Z72" s="2037"/>
      <c r="AA72" s="2037"/>
      <c r="AB72" s="2037"/>
      <c r="AC72" s="2037"/>
      <c r="AD72" s="2037"/>
      <c r="AE72" s="2037"/>
      <c r="AF72" s="2037"/>
      <c r="AG72" s="2037"/>
      <c r="AH72" s="2037"/>
      <c r="AI72" s="2037"/>
      <c r="AJ72" s="2037"/>
      <c r="AK72" s="2037"/>
      <c r="AL72" s="2037"/>
      <c r="AM72" s="2037"/>
      <c r="AN72" s="2037"/>
      <c r="AO72" s="5002"/>
      <c r="AP72" s="6392" t="s">
        <v>3587</v>
      </c>
      <c r="AR72" s="6388"/>
      <c r="AS72" s="4991"/>
      <c r="AV72" s="6388">
        <v>2</v>
      </c>
      <c r="AW72" s="2508" t="s">
        <v>3588</v>
      </c>
      <c r="AX72" s="2508"/>
    </row>
    <row r="73" spans="22:50" ht="30">
      <c r="V73" s="2037"/>
      <c r="W73" s="2037"/>
      <c r="X73" s="2037"/>
      <c r="Y73" s="2037"/>
      <c r="Z73" s="2037"/>
      <c r="AA73" s="2037"/>
      <c r="AB73" s="2037"/>
      <c r="AC73" s="2037"/>
      <c r="AD73" s="2037"/>
      <c r="AE73" s="2037"/>
      <c r="AF73" s="2037"/>
      <c r="AG73" s="2037"/>
      <c r="AH73" s="2037"/>
      <c r="AI73" s="2037"/>
      <c r="AJ73" s="2037"/>
      <c r="AK73" s="2037"/>
      <c r="AL73" s="2037"/>
      <c r="AM73" s="2037"/>
      <c r="AN73" s="2037"/>
      <c r="AO73" s="5002"/>
      <c r="AP73" s="6387" t="s">
        <v>316</v>
      </c>
      <c r="AR73" s="6388"/>
      <c r="AS73" s="4991"/>
      <c r="AV73" s="6388">
        <v>3</v>
      </c>
      <c r="AW73" s="2508" t="s">
        <v>3589</v>
      </c>
      <c r="AX73" s="2508"/>
    </row>
    <row r="74" spans="22:50" ht="18.75">
      <c r="V74" s="2037"/>
      <c r="Z74" s="2037"/>
      <c r="AA74" s="2037"/>
      <c r="AB74" s="2037"/>
      <c r="AC74" s="2037"/>
      <c r="AD74" s="2037"/>
      <c r="AE74" s="2037"/>
      <c r="AF74" s="2037"/>
      <c r="AG74" s="2037"/>
      <c r="AH74" s="2037"/>
      <c r="AI74" s="2037"/>
      <c r="AJ74" s="2037"/>
      <c r="AK74" s="2037"/>
      <c r="AL74" s="2037"/>
      <c r="AN74" s="2037"/>
      <c r="AO74" s="5002"/>
      <c r="AP74" s="6392" t="s">
        <v>3590</v>
      </c>
      <c r="AR74" s="6388">
        <v>1</v>
      </c>
      <c r="AS74" s="2508" t="s">
        <v>3591</v>
      </c>
      <c r="AV74" s="6384">
        <v>4</v>
      </c>
      <c r="AW74" s="6429" t="s">
        <v>3592</v>
      </c>
      <c r="AX74" s="6429"/>
    </row>
    <row r="75" spans="22:50" ht="18.75">
      <c r="V75" s="2037"/>
      <c r="Z75" s="2037"/>
      <c r="AA75" s="2037"/>
      <c r="AB75" s="2037"/>
      <c r="AC75" s="2037"/>
      <c r="AD75" s="2037"/>
      <c r="AE75" s="2037"/>
      <c r="AF75" s="2037"/>
      <c r="AG75" s="2037"/>
      <c r="AH75" s="2037"/>
      <c r="AI75" s="2037"/>
      <c r="AJ75" s="2037"/>
      <c r="AK75" s="2037"/>
      <c r="AL75" s="2037"/>
      <c r="AN75" s="2037"/>
      <c r="AO75" s="5002"/>
      <c r="AP75" s="6392" t="s">
        <v>3593</v>
      </c>
      <c r="AR75" s="6388">
        <v>2</v>
      </c>
      <c r="AS75" s="2508" t="s">
        <v>3594</v>
      </c>
      <c r="AV75" s="6384"/>
      <c r="AW75" s="6429"/>
      <c r="AX75" s="6429"/>
    </row>
    <row r="76" spans="22:50" ht="18.75">
      <c r="V76" s="2037"/>
      <c r="Z76" s="2037"/>
      <c r="AA76" s="2037"/>
      <c r="AB76" s="2037"/>
      <c r="AC76" s="2037"/>
      <c r="AD76" s="2037"/>
      <c r="AE76" s="2037"/>
      <c r="AF76" s="2037"/>
      <c r="AG76" s="2037"/>
      <c r="AH76" s="2037"/>
      <c r="AI76" s="2037"/>
      <c r="AJ76" s="2037"/>
      <c r="AK76" s="2037"/>
      <c r="AL76" s="2037"/>
      <c r="AN76" s="2037"/>
      <c r="AO76" s="5002"/>
      <c r="AP76" s="6392" t="s">
        <v>3595</v>
      </c>
      <c r="AR76" s="6388">
        <v>3</v>
      </c>
      <c r="AS76" s="2508" t="s">
        <v>3596</v>
      </c>
      <c r="AV76" s="6388"/>
      <c r="AW76" s="2508"/>
      <c r="AX76" s="2508"/>
    </row>
    <row r="77" spans="22:50" ht="18.75">
      <c r="AN77" s="2037"/>
      <c r="AO77" s="5002"/>
      <c r="AP77" s="6392" t="s">
        <v>3597</v>
      </c>
      <c r="AR77" s="6388">
        <v>4</v>
      </c>
      <c r="AS77" s="2508" t="s">
        <v>3598</v>
      </c>
      <c r="AV77" s="6393" t="s">
        <v>158</v>
      </c>
      <c r="AW77" s="6394" t="s">
        <v>3599</v>
      </c>
      <c r="AX77" s="2508"/>
    </row>
    <row r="78" spans="22:50" ht="18.75">
      <c r="AN78" s="2037"/>
      <c r="AO78" s="5002"/>
      <c r="AP78" s="6402" t="s">
        <v>3600</v>
      </c>
      <c r="AR78" s="6388">
        <v>5</v>
      </c>
      <c r="AS78" s="2508" t="s">
        <v>3601</v>
      </c>
      <c r="AV78" s="6388">
        <v>1</v>
      </c>
      <c r="AW78" s="2508" t="s">
        <v>3602</v>
      </c>
      <c r="AX78" s="2508"/>
    </row>
    <row r="79" spans="22:50" ht="18.75">
      <c r="AN79" s="2037"/>
      <c r="AO79" s="5002"/>
      <c r="AP79" s="6402" t="s">
        <v>3603</v>
      </c>
      <c r="AR79" s="6388">
        <v>6</v>
      </c>
      <c r="AS79" s="2508" t="s">
        <v>3604</v>
      </c>
      <c r="AV79" s="6388">
        <v>2</v>
      </c>
      <c r="AW79" s="6397" t="s">
        <v>3605</v>
      </c>
      <c r="AX79" s="6397"/>
    </row>
    <row r="80" spans="22:50" ht="18.75">
      <c r="AN80" s="2037"/>
      <c r="AO80" s="5002"/>
      <c r="AP80" s="6392" t="s">
        <v>3606</v>
      </c>
      <c r="AR80" s="6388">
        <v>7</v>
      </c>
      <c r="AS80" s="2508" t="s">
        <v>3607</v>
      </c>
      <c r="AV80" s="6388">
        <v>3</v>
      </c>
      <c r="AW80" s="6397"/>
      <c r="AX80" s="6397"/>
    </row>
    <row r="81" spans="40:50" ht="30">
      <c r="AN81" s="2037"/>
      <c r="AO81" s="5002"/>
      <c r="AP81" s="6387" t="s">
        <v>654</v>
      </c>
      <c r="AR81" s="6388">
        <v>8</v>
      </c>
      <c r="AS81" s="2508" t="s">
        <v>3608</v>
      </c>
      <c r="AV81" s="6388"/>
      <c r="AW81" s="2508"/>
      <c r="AX81" s="2508"/>
    </row>
    <row r="82" spans="40:50" ht="18.75">
      <c r="AN82" s="2037"/>
      <c r="AO82" s="5002"/>
      <c r="AP82" s="6392" t="s">
        <v>3609</v>
      </c>
      <c r="AR82" s="6388">
        <v>9</v>
      </c>
      <c r="AS82" s="2508" t="s">
        <v>3610</v>
      </c>
      <c r="AV82" s="6430" t="s">
        <v>3611</v>
      </c>
      <c r="AW82" s="6431" t="s">
        <v>3612</v>
      </c>
      <c r="AX82" s="2508"/>
    </row>
    <row r="83" spans="40:50" ht="30">
      <c r="AN83" s="2037"/>
      <c r="AO83" s="5002"/>
      <c r="AP83" s="6387" t="s">
        <v>318</v>
      </c>
      <c r="AR83" s="6388">
        <v>10</v>
      </c>
      <c r="AS83" s="2508" t="s">
        <v>3381</v>
      </c>
      <c r="AV83" s="6430" t="s">
        <v>3613</v>
      </c>
      <c r="AW83" s="6397" t="s">
        <v>3614</v>
      </c>
      <c r="AX83" s="6397"/>
    </row>
    <row r="84" spans="40:50" ht="25.5">
      <c r="AN84" s="2037"/>
      <c r="AO84" s="5002"/>
      <c r="AP84" s="6392" t="s">
        <v>3615</v>
      </c>
      <c r="AR84" s="6388">
        <v>11</v>
      </c>
      <c r="AS84" s="2508" t="s">
        <v>3616</v>
      </c>
      <c r="AV84" s="6388"/>
      <c r="AW84" s="6397"/>
      <c r="AX84" s="6397"/>
    </row>
    <row r="85" spans="40:50" ht="18.75">
      <c r="AN85" s="2037"/>
      <c r="AO85" s="5002"/>
      <c r="AP85" s="6392" t="s">
        <v>3617</v>
      </c>
      <c r="AR85" s="6388">
        <v>12</v>
      </c>
      <c r="AS85" s="2508" t="s">
        <v>3618</v>
      </c>
      <c r="AV85" s="6430" t="s">
        <v>3619</v>
      </c>
      <c r="AW85" s="6397" t="s">
        <v>3620</v>
      </c>
      <c r="AX85" s="6397"/>
    </row>
    <row r="86" spans="40:50" ht="18.75">
      <c r="AN86" s="2037"/>
      <c r="AO86" s="5002"/>
      <c r="AP86" s="6392" t="s">
        <v>3621</v>
      </c>
      <c r="AR86" s="6388">
        <v>13</v>
      </c>
      <c r="AS86" s="2508" t="s">
        <v>3622</v>
      </c>
      <c r="AV86" s="6388"/>
      <c r="AW86" s="6397"/>
      <c r="AX86" s="6397"/>
    </row>
    <row r="87" spans="40:50" ht="18.75">
      <c r="AN87" s="2037"/>
      <c r="AO87" s="5002"/>
      <c r="AP87" s="6392" t="s">
        <v>3623</v>
      </c>
      <c r="AR87" s="6388">
        <v>14</v>
      </c>
      <c r="AS87" s="2508" t="s">
        <v>3624</v>
      </c>
      <c r="AV87" s="6430" t="s">
        <v>3625</v>
      </c>
      <c r="AW87" s="2508" t="s">
        <v>3626</v>
      </c>
      <c r="AX87" s="2508"/>
    </row>
    <row r="88" spans="40:50" ht="18.75">
      <c r="AN88" s="2037"/>
      <c r="AO88" s="5002"/>
      <c r="AP88" s="6392" t="s">
        <v>3627</v>
      </c>
      <c r="AR88" s="6388">
        <v>15</v>
      </c>
      <c r="AS88" s="2508" t="s">
        <v>3628</v>
      </c>
      <c r="AV88" s="6430">
        <v>1</v>
      </c>
      <c r="AW88" s="2508" t="s">
        <v>3629</v>
      </c>
      <c r="AX88" s="2508"/>
    </row>
    <row r="89" spans="40:50" ht="18.75">
      <c r="AN89" s="2037"/>
      <c r="AO89" s="5002"/>
      <c r="AP89" s="6392" t="s">
        <v>3630</v>
      </c>
      <c r="AR89" s="6388">
        <v>16</v>
      </c>
      <c r="AS89" s="2508" t="s">
        <v>3631</v>
      </c>
      <c r="AV89" s="6430">
        <v>2</v>
      </c>
      <c r="AW89" s="2508" t="s">
        <v>3632</v>
      </c>
      <c r="AX89" s="2508"/>
    </row>
    <row r="90" spans="40:50" ht="25.5">
      <c r="AN90" s="2037"/>
      <c r="AO90" s="5002"/>
      <c r="AP90" s="6392" t="s">
        <v>3633</v>
      </c>
      <c r="AR90" s="6388"/>
      <c r="AS90" s="4991"/>
      <c r="AV90" s="6430">
        <v>3</v>
      </c>
      <c r="AW90" s="2508" t="s">
        <v>3634</v>
      </c>
      <c r="AX90" s="2508"/>
    </row>
    <row r="91" spans="40:50" ht="18.75">
      <c r="AN91" s="2037"/>
      <c r="AO91" s="5002"/>
      <c r="AP91" s="6392" t="s">
        <v>3635</v>
      </c>
      <c r="AR91" s="6388"/>
      <c r="AS91" s="4991"/>
      <c r="AV91" s="6430">
        <v>4</v>
      </c>
      <c r="AW91" s="2508" t="s">
        <v>3636</v>
      </c>
      <c r="AX91" s="2508"/>
    </row>
    <row r="92" spans="40:50" ht="25.5">
      <c r="AN92" s="2037"/>
      <c r="AO92" s="5002"/>
      <c r="AP92" s="6392" t="s">
        <v>3637</v>
      </c>
      <c r="AR92" s="6388">
        <v>1</v>
      </c>
      <c r="AS92" s="2508" t="s">
        <v>3638</v>
      </c>
      <c r="AV92" s="6388"/>
      <c r="AW92" s="2508"/>
      <c r="AX92" s="2508"/>
    </row>
    <row r="93" spans="40:50" ht="30">
      <c r="AN93" s="2037"/>
      <c r="AO93" s="5002"/>
      <c r="AP93" s="6387" t="s">
        <v>504</v>
      </c>
      <c r="AR93" s="6388">
        <v>2</v>
      </c>
      <c r="AS93" s="2508" t="s">
        <v>3639</v>
      </c>
      <c r="AV93" s="6388"/>
      <c r="AW93" s="2508"/>
      <c r="AX93" s="2508"/>
    </row>
    <row r="94" spans="40:50" ht="18.75">
      <c r="AN94" s="2037"/>
      <c r="AO94" s="5002"/>
      <c r="AP94" s="6392" t="s">
        <v>3640</v>
      </c>
      <c r="AR94" s="6388">
        <v>3</v>
      </c>
      <c r="AS94" s="2508" t="s">
        <v>3641</v>
      </c>
      <c r="AV94" s="6388"/>
      <c r="AW94" s="6429" t="s">
        <v>3642</v>
      </c>
      <c r="AX94" s="6429"/>
    </row>
    <row r="95" spans="40:50" ht="18.75">
      <c r="AN95" s="2037"/>
      <c r="AO95" s="5002"/>
      <c r="AP95" s="6392" t="s">
        <v>3643</v>
      </c>
      <c r="AR95" s="6388">
        <v>4</v>
      </c>
      <c r="AS95" s="2508" t="s">
        <v>3644</v>
      </c>
      <c r="AV95" s="6388"/>
      <c r="AW95" s="6429"/>
      <c r="AX95" s="6429"/>
    </row>
    <row r="96" spans="40:50" ht="18.75">
      <c r="AN96" s="2037"/>
      <c r="AO96" s="5002"/>
      <c r="AP96" s="6392" t="s">
        <v>3645</v>
      </c>
      <c r="AR96" s="6388">
        <v>5</v>
      </c>
      <c r="AS96" s="2508" t="s">
        <v>3646</v>
      </c>
      <c r="AV96" s="6388"/>
      <c r="AW96" s="6429" t="s">
        <v>3647</v>
      </c>
      <c r="AX96" s="6429"/>
    </row>
    <row r="97" spans="40:50" ht="18.75">
      <c r="AN97" s="2037"/>
      <c r="AO97" s="5002"/>
      <c r="AP97" s="6392" t="s">
        <v>3648</v>
      </c>
      <c r="AR97" s="6388">
        <v>6</v>
      </c>
      <c r="AS97" s="2508" t="s">
        <v>3649</v>
      </c>
      <c r="AV97" s="6388"/>
      <c r="AW97" s="6429"/>
      <c r="AX97" s="6429"/>
    </row>
    <row r="98" spans="40:50" ht="30">
      <c r="AN98" s="2037"/>
      <c r="AO98" s="5002"/>
      <c r="AP98" s="6387" t="s">
        <v>538</v>
      </c>
      <c r="AR98" s="6388">
        <v>7</v>
      </c>
      <c r="AS98" s="2508" t="s">
        <v>3650</v>
      </c>
      <c r="AV98" s="6388"/>
      <c r="AW98" s="6429"/>
      <c r="AX98" s="6429"/>
    </row>
    <row r="99" spans="40:50" ht="18.75">
      <c r="AN99" s="2037"/>
      <c r="AO99" s="5002"/>
      <c r="AP99" s="6392" t="s">
        <v>3651</v>
      </c>
      <c r="AR99" s="6388">
        <v>8</v>
      </c>
      <c r="AS99" s="2508" t="s">
        <v>3652</v>
      </c>
      <c r="AV99" s="6388"/>
      <c r="AW99" s="6432" t="s">
        <v>3653</v>
      </c>
      <c r="AX99" s="2508"/>
    </row>
    <row r="100" spans="40:50" ht="30">
      <c r="AN100" s="2037"/>
      <c r="AO100" s="5002"/>
      <c r="AP100" s="6387" t="s">
        <v>562</v>
      </c>
      <c r="AR100" s="6388">
        <v>9</v>
      </c>
      <c r="AS100" s="2508" t="s">
        <v>3654</v>
      </c>
      <c r="AV100" s="6388"/>
      <c r="AW100" s="6433" t="s">
        <v>3655</v>
      </c>
      <c r="AX100" s="6433"/>
    </row>
    <row r="101" spans="40:50" ht="18.75">
      <c r="AN101" s="2037"/>
      <c r="AO101" s="5002"/>
      <c r="AP101" s="6392" t="s">
        <v>3656</v>
      </c>
      <c r="AR101" s="6388">
        <v>10</v>
      </c>
      <c r="AS101" s="2508" t="s">
        <v>3657</v>
      </c>
      <c r="AV101" s="6388"/>
      <c r="AW101" s="6433" t="s">
        <v>3658</v>
      </c>
      <c r="AX101" s="6433"/>
    </row>
    <row r="102" spans="40:50" ht="18.75">
      <c r="AN102" s="2037"/>
      <c r="AO102" s="5002"/>
      <c r="AP102" s="5002"/>
      <c r="AR102" s="6388">
        <v>11</v>
      </c>
      <c r="AS102" s="2508" t="s">
        <v>3659</v>
      </c>
      <c r="AV102" s="6388"/>
      <c r="AW102" s="6433" t="s">
        <v>3660</v>
      </c>
      <c r="AX102" s="6433"/>
    </row>
    <row r="103" spans="40:50" ht="18.75">
      <c r="AN103" s="2037"/>
      <c r="AO103" s="5002"/>
      <c r="AP103" s="6392" t="s">
        <v>3661</v>
      </c>
      <c r="AR103" s="6388">
        <v>12</v>
      </c>
      <c r="AS103" s="2508" t="s">
        <v>3662</v>
      </c>
      <c r="AV103" s="6388"/>
      <c r="AW103" s="2508"/>
      <c r="AX103" s="2508"/>
    </row>
    <row r="104" spans="40:50" ht="18.75">
      <c r="AN104" s="2037"/>
      <c r="AO104" s="5002"/>
      <c r="AP104" s="6392" t="s">
        <v>3663</v>
      </c>
      <c r="AR104" s="6388">
        <v>13</v>
      </c>
      <c r="AS104" s="2508" t="s">
        <v>3664</v>
      </c>
    </row>
    <row r="105" spans="40:50" ht="18.75">
      <c r="AN105" s="2037"/>
      <c r="AO105" s="5002"/>
      <c r="AP105" s="6402" t="s">
        <v>3665</v>
      </c>
      <c r="AR105" s="6388">
        <v>14</v>
      </c>
      <c r="AS105" s="2508" t="s">
        <v>3666</v>
      </c>
    </row>
    <row r="106" spans="40:50" ht="18.75">
      <c r="AN106" s="2037"/>
      <c r="AO106" s="5002"/>
      <c r="AP106" s="6402" t="s">
        <v>3667</v>
      </c>
      <c r="AR106" s="6388">
        <v>15</v>
      </c>
      <c r="AS106" s="2508" t="s">
        <v>3668</v>
      </c>
    </row>
    <row r="107" spans="40:50" ht="30">
      <c r="AN107" s="2037"/>
      <c r="AO107" s="5002"/>
      <c r="AP107" s="6387" t="s">
        <v>590</v>
      </c>
      <c r="AR107" s="6388"/>
      <c r="AS107" s="2508"/>
    </row>
    <row r="108" spans="40:50" ht="18.75">
      <c r="AN108" s="2037"/>
      <c r="AO108" s="5002"/>
      <c r="AP108" s="6392" t="s">
        <v>3669</v>
      </c>
      <c r="AR108" s="6388"/>
      <c r="AS108" s="4991"/>
    </row>
    <row r="109" spans="40:50" ht="30">
      <c r="AN109" s="2037"/>
      <c r="AO109" s="5002"/>
      <c r="AP109" s="6387" t="s">
        <v>688</v>
      </c>
      <c r="AR109" s="6388">
        <v>1</v>
      </c>
      <c r="AS109" s="2508" t="s">
        <v>3670</v>
      </c>
    </row>
    <row r="110" spans="40:50" ht="18.75">
      <c r="AN110" s="2037"/>
      <c r="AO110" s="5002"/>
      <c r="AP110" s="6392" t="s">
        <v>3671</v>
      </c>
      <c r="AR110" s="6388">
        <v>2</v>
      </c>
      <c r="AS110" s="2508" t="s">
        <v>3672</v>
      </c>
    </row>
    <row r="111" spans="40:50" ht="18.75">
      <c r="AN111" s="2037"/>
      <c r="AO111" s="5002"/>
      <c r="AP111" s="6392" t="s">
        <v>3673</v>
      </c>
      <c r="AR111" s="6388">
        <v>3</v>
      </c>
      <c r="AS111" s="2508" t="s">
        <v>3674</v>
      </c>
    </row>
    <row r="112" spans="40:50" ht="18.75">
      <c r="AN112" s="2037"/>
      <c r="AO112" s="5002"/>
      <c r="AP112" s="5002"/>
      <c r="AR112" s="6388">
        <v>4</v>
      </c>
      <c r="AS112" s="2508" t="s">
        <v>3675</v>
      </c>
    </row>
    <row r="113" spans="40:45" ht="18.75">
      <c r="AN113" s="2037"/>
      <c r="AO113" s="5002"/>
      <c r="AP113" s="5002"/>
      <c r="AR113" s="6388">
        <v>5</v>
      </c>
      <c r="AS113" s="2508" t="s">
        <v>3676</v>
      </c>
    </row>
    <row r="114" spans="40:45" ht="18.75">
      <c r="AN114" s="2037"/>
      <c r="AO114" s="6383" t="s">
        <v>2354</v>
      </c>
      <c r="AP114" s="6434" t="s">
        <v>3677</v>
      </c>
      <c r="AR114" s="6388">
        <v>6</v>
      </c>
      <c r="AS114" s="2508" t="s">
        <v>3678</v>
      </c>
    </row>
    <row r="115" spans="40:45" ht="18.75">
      <c r="AN115" s="2037"/>
      <c r="AO115" s="6435"/>
      <c r="AP115" s="6434"/>
      <c r="AR115" s="6388">
        <v>7</v>
      </c>
      <c r="AS115" s="2508" t="s">
        <v>3679</v>
      </c>
    </row>
    <row r="116" spans="40:45" ht="18.75">
      <c r="AN116" s="2037"/>
      <c r="AO116" s="6383" t="s">
        <v>2354</v>
      </c>
      <c r="AP116" s="6434" t="s">
        <v>3680</v>
      </c>
      <c r="AR116" s="6388">
        <v>8</v>
      </c>
      <c r="AS116" s="2508" t="s">
        <v>3681</v>
      </c>
    </row>
    <row r="117" spans="40:45" ht="18.75">
      <c r="AN117" s="2037"/>
      <c r="AP117" s="5002"/>
      <c r="AR117" s="6388"/>
      <c r="AS117" s="4991"/>
    </row>
    <row r="118" spans="40:45" ht="18.75">
      <c r="AN118" s="2037"/>
      <c r="AO118" s="6383" t="s">
        <v>2354</v>
      </c>
      <c r="AP118" s="6434" t="s">
        <v>3682</v>
      </c>
      <c r="AR118" s="6388"/>
      <c r="AS118" s="4991"/>
    </row>
    <row r="119" spans="40:45" ht="18.75">
      <c r="AN119" s="2037"/>
      <c r="AR119" s="6388">
        <v>1</v>
      </c>
      <c r="AS119" s="2508" t="s">
        <v>3683</v>
      </c>
    </row>
    <row r="120" spans="40:45" ht="18.75">
      <c r="AN120" s="2037"/>
      <c r="AO120" s="6383" t="s">
        <v>2354</v>
      </c>
      <c r="AP120" s="6434" t="s">
        <v>3684</v>
      </c>
      <c r="AR120" s="6388">
        <v>2</v>
      </c>
      <c r="AS120" s="2508" t="s">
        <v>3685</v>
      </c>
    </row>
    <row r="121" spans="40:45" ht="18.75">
      <c r="AN121" s="2037"/>
      <c r="AR121" s="6388">
        <v>3</v>
      </c>
      <c r="AS121" s="2508" t="s">
        <v>3686</v>
      </c>
    </row>
    <row r="122" spans="40:45" ht="18.75">
      <c r="AN122" s="2037"/>
      <c r="AO122" s="6383" t="s">
        <v>2354</v>
      </c>
      <c r="AP122" s="6434" t="s">
        <v>3687</v>
      </c>
      <c r="AR122" s="6388">
        <v>4</v>
      </c>
      <c r="AS122" s="2508" t="s">
        <v>3688</v>
      </c>
    </row>
    <row r="123" spans="40:45" ht="18.75">
      <c r="AN123" s="2037"/>
      <c r="AR123" s="6388">
        <v>5</v>
      </c>
      <c r="AS123" s="2508" t="s">
        <v>3689</v>
      </c>
    </row>
    <row r="124" spans="40:45" ht="18.75">
      <c r="AN124" s="2037"/>
      <c r="AR124" s="6388">
        <v>6</v>
      </c>
      <c r="AS124" s="2508" t="s">
        <v>3690</v>
      </c>
    </row>
    <row r="125" spans="40:45" ht="18.75">
      <c r="AR125" s="6388">
        <v>7</v>
      </c>
      <c r="AS125" s="2508" t="s">
        <v>3691</v>
      </c>
    </row>
    <row r="126" spans="40:45" ht="18.75">
      <c r="AR126" s="6388"/>
      <c r="AS126" s="4991"/>
    </row>
    <row r="127" spans="40:45" ht="18.75">
      <c r="AR127" s="6388"/>
      <c r="AS127" s="4991"/>
    </row>
    <row r="128" spans="40:45" ht="18.75">
      <c r="AR128" s="6388">
        <v>1</v>
      </c>
      <c r="AS128" s="2508" t="s">
        <v>3692</v>
      </c>
    </row>
    <row r="129" spans="44:45" ht="18.75">
      <c r="AR129" s="6388">
        <v>2</v>
      </c>
      <c r="AS129" s="2508" t="s">
        <v>3693</v>
      </c>
    </row>
    <row r="130" spans="44:45" ht="18.75">
      <c r="AR130" s="6388">
        <v>3</v>
      </c>
      <c r="AS130" s="2508" t="s">
        <v>3694</v>
      </c>
    </row>
    <row r="131" spans="44:45" ht="18.75">
      <c r="AR131" s="6388">
        <v>4</v>
      </c>
      <c r="AS131" s="2508" t="s">
        <v>3695</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14094A2F-7432-46F5-A7AE-73F287171CF7}"/>
    <hyperlink ref="AP114" r:id="rId2" xr:uid="{26369878-DE30-4ABB-A92F-C7CDB9F426D8}"/>
    <hyperlink ref="AP116" r:id="rId3" xr:uid="{1270F377-C355-4E3F-AEDC-AED590F30883}"/>
    <hyperlink ref="AP118" r:id="rId4" xr:uid="{A4692913-B268-4BE8-BC4C-E1E92E91C088}"/>
    <hyperlink ref="AP120" r:id="rId5" xr:uid="{1FD45438-BF26-4835-81B7-6DDF179F8F42}"/>
    <hyperlink ref="AP122" r:id="rId6" xr:uid="{6927696B-B522-4727-AC73-C649BC335A52}"/>
    <hyperlink ref="X68" r:id="rId7" xr:uid="{2F8AFCD8-81EB-4C78-ADAA-1078B821964F}"/>
    <hyperlink ref="X66" r:id="rId8" xr:uid="{7C795D9A-ACFF-4A9A-9F9F-F557ECB3DCEA}"/>
    <hyperlink ref="X67" r:id="rId9" xr:uid="{38C507DF-B525-4BC7-B968-F4CC87F37164}"/>
    <hyperlink ref="AS23:AT24" r:id="rId10" display="source : Fiches techniques de cuisine Annette et Jean Pierre DOMERGUES" xr:uid="{123EA114-C7C0-4D44-8DA5-1092962E320D}"/>
    <hyperlink ref="AW99" r:id="rId11" xr:uid="{E1F5E90C-3C64-4661-AB9A-FDD57690A7C9}"/>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A26B2-E4F6-4A83-9C39-95E9D1823769}">
  <dimension ref="A1:CM174"/>
  <sheetViews>
    <sheetView topLeftCell="A10" zoomScale="75" zoomScaleNormal="75" workbookViewId="0">
      <selection activeCell="L13" sqref="L13"/>
    </sheetView>
  </sheetViews>
  <sheetFormatPr baseColWidth="10" defaultRowHeight="12.75"/>
  <cols>
    <col min="1" max="1" width="1.85546875" style="801" customWidth="1"/>
    <col min="2" max="2" width="12.7109375" style="801" customWidth="1"/>
    <col min="3" max="3" width="3.28515625" style="801" customWidth="1"/>
    <col min="4" max="5" width="12.7109375" style="801" customWidth="1"/>
    <col min="6" max="6" width="3.28515625" style="801" customWidth="1"/>
    <col min="7" max="8" width="12.7109375" style="801" customWidth="1"/>
    <col min="9" max="9" width="3.28515625" style="801" customWidth="1"/>
    <col min="10" max="10" width="19.28515625" style="801" customWidth="1"/>
    <col min="11" max="11" width="12.7109375" style="801" customWidth="1"/>
    <col min="12" max="12" width="3.28515625" style="801" customWidth="1"/>
    <col min="13" max="13" width="21" style="801" customWidth="1"/>
    <col min="14" max="14" width="3" style="801" customWidth="1"/>
    <col min="15" max="15" width="12.7109375" style="801" customWidth="1"/>
    <col min="16" max="16" width="3.28515625" style="801" customWidth="1"/>
    <col min="17" max="17" width="13.5703125" style="801" customWidth="1"/>
    <col min="18" max="18" width="12.7109375" style="801" customWidth="1"/>
    <col min="19" max="19" width="3.28515625" style="801" customWidth="1"/>
    <col min="20" max="20" width="13.42578125" style="801" customWidth="1"/>
    <col min="21" max="21" width="12.7109375" style="801" customWidth="1"/>
    <col min="22" max="22" width="3.28515625" style="801" customWidth="1"/>
    <col min="23" max="23" width="19.7109375" style="801" customWidth="1"/>
    <col min="24" max="24" width="11.42578125" style="801" customWidth="1"/>
    <col min="25" max="25" width="3.28515625" style="801" customWidth="1"/>
    <col min="26" max="26" width="21.7109375" style="801" customWidth="1"/>
    <col min="27" max="27" width="3" style="801" customWidth="1"/>
    <col min="28" max="29" width="11.42578125" style="801"/>
    <col min="30" max="30" width="27.28515625" style="835" customWidth="1"/>
    <col min="31" max="31" width="9.7109375" style="835" customWidth="1"/>
    <col min="32" max="32" width="1.42578125" style="835" customWidth="1"/>
    <col min="33" max="33" width="9.7109375" style="835" customWidth="1"/>
    <col min="34" max="34" width="1.42578125" style="835" customWidth="1"/>
    <col min="35" max="35" width="9.7109375" style="835" customWidth="1"/>
    <col min="36" max="36" width="1.42578125" style="835" customWidth="1"/>
    <col min="37" max="37" width="9.7109375" style="835" customWidth="1"/>
    <col min="38" max="38" width="1.42578125" style="835" customWidth="1"/>
    <col min="39" max="39" width="9.7109375" style="835" customWidth="1"/>
    <col min="40" max="40" width="1.42578125" style="835" customWidth="1"/>
    <col min="41" max="41" width="9.7109375" style="835" customWidth="1"/>
    <col min="42" max="42" width="1.42578125" style="835" customWidth="1"/>
    <col min="43" max="43" width="9.7109375" style="835" customWidth="1"/>
    <col min="44" max="44" width="1.42578125" style="835" customWidth="1"/>
    <col min="45" max="45" width="9.7109375" style="835" customWidth="1"/>
    <col min="46" max="46" width="1.42578125" style="835" customWidth="1"/>
    <col min="47" max="47" width="9.7109375" style="835" customWidth="1"/>
    <col min="48" max="48" width="1.42578125" style="835" customWidth="1"/>
    <col min="49" max="49" width="9.7109375" style="835" customWidth="1"/>
    <col min="50" max="50" width="1.42578125" style="835" customWidth="1"/>
    <col min="51" max="51" width="9.7109375" style="835" customWidth="1"/>
    <col min="52" max="52" width="1.42578125" style="835" customWidth="1"/>
    <col min="53" max="53" width="9.7109375" style="835" customWidth="1"/>
    <col min="54" max="54" width="1.42578125" style="835" customWidth="1"/>
    <col min="55" max="55" width="11.42578125" style="835"/>
    <col min="56" max="56" width="32.7109375" style="835" customWidth="1"/>
    <col min="57" max="58" width="11.42578125" style="835"/>
    <col min="59" max="59" width="4" style="835" customWidth="1"/>
    <col min="60" max="61" width="11.42578125" style="835"/>
    <col min="62" max="62" width="4" style="835" customWidth="1"/>
    <col min="63" max="64" width="11.42578125" style="835"/>
    <col min="65" max="65" width="4" style="835" customWidth="1"/>
    <col min="66" max="67" width="11.42578125" style="835"/>
    <col min="68" max="68" width="4" style="835" customWidth="1"/>
    <col min="69" max="70" width="11.42578125" style="835"/>
    <col min="71" max="71" width="4" style="835" customWidth="1"/>
    <col min="72" max="73" width="11.42578125" style="835"/>
    <col min="74" max="74" width="4" style="835" customWidth="1"/>
    <col min="75" max="76" width="11.42578125" style="835"/>
    <col min="77" max="77" width="4" style="835" customWidth="1"/>
    <col min="78" max="79" width="11.42578125" style="835"/>
    <col min="80" max="80" width="4" style="835" customWidth="1"/>
    <col min="81" max="82" width="11.42578125" style="835"/>
    <col min="83" max="83" width="4" style="835" customWidth="1"/>
    <col min="84" max="85" width="11.42578125" style="835"/>
    <col min="86" max="86" width="4" style="835" customWidth="1"/>
    <col min="87" max="88" width="11.42578125" style="835"/>
    <col min="89" max="89" width="4" style="835" customWidth="1"/>
    <col min="90" max="91" width="11.42578125" style="835"/>
    <col min="92" max="16384" width="11.42578125" style="95"/>
  </cols>
  <sheetData>
    <row r="1" spans="1:91" s="4991" customFormat="1" ht="15">
      <c r="A1" s="1078"/>
      <c r="B1" s="1078"/>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row>
    <row r="2" spans="1:91" s="4991" customFormat="1" ht="26.25">
      <c r="A2" s="4886"/>
      <c r="B2" s="4886"/>
      <c r="C2" s="4886"/>
      <c r="D2" s="4886"/>
      <c r="E2" s="4886"/>
      <c r="F2" s="4886"/>
      <c r="G2" s="4886"/>
      <c r="H2" s="4886"/>
      <c r="I2" s="4886"/>
      <c r="J2" s="4886"/>
      <c r="K2" s="4886"/>
      <c r="L2" s="4886"/>
      <c r="M2" s="4886"/>
      <c r="N2" s="4886"/>
      <c r="O2" s="4886"/>
      <c r="P2" s="4886"/>
      <c r="Q2" s="4886"/>
      <c r="R2" s="4886"/>
      <c r="S2" s="4886"/>
      <c r="T2" s="4886"/>
      <c r="U2" s="6436" t="s">
        <v>3259</v>
      </c>
      <c r="V2" s="1078"/>
      <c r="W2" s="1078"/>
      <c r="X2" s="1078"/>
      <c r="Y2" s="1078"/>
      <c r="Z2" s="4887"/>
    </row>
    <row r="3" spans="1:91" s="4991" customFormat="1" ht="26.25">
      <c r="A3" s="1078"/>
      <c r="B3" s="1078"/>
      <c r="C3" s="1078"/>
      <c r="D3" s="1078"/>
      <c r="E3" s="1078"/>
      <c r="F3" s="1078"/>
      <c r="G3" s="1078"/>
      <c r="H3" s="1078"/>
      <c r="I3" s="1078"/>
      <c r="J3" s="1078"/>
      <c r="K3" s="1078"/>
      <c r="L3" s="1078"/>
      <c r="M3" s="1078"/>
      <c r="N3" s="1078"/>
      <c r="O3" s="1078"/>
      <c r="P3" s="1078"/>
      <c r="Q3" s="1078"/>
      <c r="R3" s="1078"/>
      <c r="S3" s="1078"/>
      <c r="T3" s="1078"/>
      <c r="U3" s="6436" t="s">
        <v>3149</v>
      </c>
      <c r="V3" s="1078"/>
      <c r="W3" s="1078"/>
      <c r="X3" s="1078"/>
      <c r="Y3" s="1078"/>
      <c r="Z3" s="4887"/>
    </row>
    <row r="4" spans="1:91" s="4991" customFormat="1" ht="15">
      <c r="A4" s="1078"/>
      <c r="B4" s="1078"/>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row>
    <row r="6" spans="1:91" ht="42">
      <c r="A6" s="6437">
        <v>0</v>
      </c>
      <c r="B6" s="6438" t="s">
        <v>3696</v>
      </c>
      <c r="C6" s="6439"/>
      <c r="D6" s="6440"/>
      <c r="E6" s="6441"/>
      <c r="F6" s="6441"/>
      <c r="G6" s="6441"/>
      <c r="H6" s="6441"/>
      <c r="I6" s="6441"/>
      <c r="J6" s="6441"/>
      <c r="K6" s="6441"/>
      <c r="L6" s="6441"/>
      <c r="M6" s="6441"/>
      <c r="N6" s="6441"/>
      <c r="O6" s="6441"/>
      <c r="P6" s="6441"/>
      <c r="Q6" s="6441"/>
      <c r="R6" s="6441"/>
      <c r="S6" s="6441"/>
      <c r="T6" s="6441"/>
      <c r="U6" s="6441"/>
      <c r="V6" s="6441"/>
      <c r="W6" s="6441"/>
      <c r="X6" s="6441"/>
      <c r="Y6" s="6441"/>
      <c r="Z6" s="6442"/>
      <c r="AB6" s="6437"/>
      <c r="AC6" s="6437"/>
    </row>
    <row r="7" spans="1:91">
      <c r="B7" s="6443" t="str">
        <f ca="1">CELL("nomfichier")</f>
        <v>E:\0-UPRT\1-UPRT.FR-SITE-WEB\ff-fiches-fabrications\ff-fiches-fabrication-maj-08-2020\[ff-8-restauration-Christian.Frechede.xlsx]Formats-Formules-Fonctions</v>
      </c>
      <c r="C7" s="6443"/>
      <c r="D7" s="6443"/>
      <c r="E7" s="6443"/>
      <c r="F7" s="6443"/>
      <c r="G7" s="6443"/>
      <c r="H7" s="6443"/>
      <c r="I7" s="6443"/>
      <c r="J7" s="6443"/>
      <c r="K7" s="6443"/>
      <c r="L7" s="6443"/>
      <c r="M7" s="6443"/>
      <c r="N7" s="6443"/>
      <c r="O7" s="6443"/>
      <c r="P7" s="6443"/>
      <c r="Q7" s="6443"/>
      <c r="R7" s="6443"/>
      <c r="S7" s="6443"/>
      <c r="T7" s="6443"/>
      <c r="U7" s="6443"/>
      <c r="V7" s="6443"/>
      <c r="W7" s="6443"/>
      <c r="X7" s="6443"/>
      <c r="Y7" s="6443"/>
      <c r="Z7" s="6443"/>
    </row>
    <row r="8" spans="1:91" ht="30">
      <c r="B8" s="6444" t="s">
        <v>3697</v>
      </c>
      <c r="C8" s="6445"/>
      <c r="D8" s="6446" t="s">
        <v>3698</v>
      </c>
      <c r="E8" s="6447" t="s">
        <v>3699</v>
      </c>
      <c r="F8" s="6448"/>
      <c r="G8" s="6448"/>
      <c r="H8" s="6448"/>
      <c r="I8" s="6448"/>
      <c r="J8" s="6448"/>
      <c r="K8" s="6448"/>
      <c r="L8" s="6448"/>
      <c r="M8" s="6449"/>
      <c r="O8" s="6444" t="s">
        <v>3697</v>
      </c>
      <c r="P8" s="6445"/>
      <c r="Q8" s="6446" t="s">
        <v>3698</v>
      </c>
      <c r="R8" s="6450" t="s">
        <v>3700</v>
      </c>
      <c r="S8" s="6451"/>
      <c r="T8" s="6451"/>
      <c r="U8" s="6451"/>
      <c r="V8" s="6451"/>
      <c r="W8" s="6451"/>
      <c r="X8" s="6451"/>
      <c r="Y8" s="6451"/>
      <c r="Z8" s="6452"/>
      <c r="AD8" s="801"/>
      <c r="AE8" s="801"/>
      <c r="AF8" s="801"/>
      <c r="AG8" s="801"/>
      <c r="AH8" s="801"/>
      <c r="AI8" s="801"/>
      <c r="AJ8" s="801"/>
      <c r="AK8" s="801"/>
      <c r="AL8" s="801"/>
      <c r="AM8" s="801"/>
      <c r="AN8" s="801"/>
      <c r="AO8" s="801"/>
      <c r="AP8" s="801"/>
      <c r="AQ8" s="801"/>
      <c r="AR8" s="801"/>
      <c r="AS8" s="801"/>
      <c r="AT8" s="801"/>
      <c r="AU8" s="801"/>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row>
    <row r="9" spans="1:91" ht="30">
      <c r="B9" s="6453">
        <v>45</v>
      </c>
      <c r="C9" s="6454" t="s">
        <v>3701</v>
      </c>
      <c r="D9" s="6455">
        <f>B9</f>
        <v>45</v>
      </c>
      <c r="E9" s="6456" t="s">
        <v>3702</v>
      </c>
      <c r="F9" s="6456"/>
      <c r="G9" s="6457"/>
      <c r="H9" s="6457"/>
      <c r="I9" s="6457"/>
      <c r="J9" s="6457"/>
      <c r="K9" s="6457"/>
      <c r="L9" s="6457"/>
      <c r="M9" s="6458"/>
      <c r="O9" s="6453" t="s">
        <v>3703</v>
      </c>
      <c r="P9" s="6454" t="s">
        <v>3701</v>
      </c>
      <c r="Q9" s="6459" t="str">
        <f>O9</f>
        <v>Aa</v>
      </c>
      <c r="R9" s="6460" t="s">
        <v>3702</v>
      </c>
      <c r="S9" s="6460"/>
      <c r="T9" s="6460"/>
      <c r="U9" s="6460"/>
      <c r="V9" s="6460"/>
      <c r="W9" s="6460"/>
      <c r="X9" s="6460"/>
      <c r="Y9" s="6460"/>
      <c r="Z9" s="6461"/>
      <c r="AC9" s="5096"/>
    </row>
    <row r="10" spans="1:91" ht="30">
      <c r="B10" s="6462"/>
      <c r="M10" s="6463"/>
      <c r="O10" s="6462"/>
      <c r="Z10" s="6463"/>
      <c r="AC10" s="5096"/>
      <c r="AD10" s="6464" t="s">
        <v>3704</v>
      </c>
      <c r="BE10" s="6465" t="s">
        <v>3704</v>
      </c>
    </row>
    <row r="11" spans="1:91" ht="20.25">
      <c r="B11" s="6466" t="s">
        <v>3705</v>
      </c>
      <c r="C11" s="6467" t="s">
        <v>3706</v>
      </c>
      <c r="D11" s="6468"/>
      <c r="E11" s="6469" t="s">
        <v>3707</v>
      </c>
      <c r="F11" s="6467" t="s">
        <v>3706</v>
      </c>
      <c r="G11" s="6468"/>
      <c r="H11" s="6469" t="s">
        <v>3708</v>
      </c>
      <c r="I11" s="6467" t="s">
        <v>3706</v>
      </c>
      <c r="J11" s="6468"/>
      <c r="K11" s="6469" t="s">
        <v>3709</v>
      </c>
      <c r="L11" s="6467" t="s">
        <v>3706</v>
      </c>
      <c r="M11" s="6470"/>
      <c r="O11" s="6466" t="s">
        <v>3705</v>
      </c>
      <c r="P11" s="6471" t="s">
        <v>3706</v>
      </c>
      <c r="Q11" s="6472"/>
      <c r="R11" s="6469" t="s">
        <v>3707</v>
      </c>
      <c r="S11" s="6471" t="s">
        <v>3706</v>
      </c>
      <c r="T11" s="6472"/>
      <c r="U11" s="6469" t="s">
        <v>3708</v>
      </c>
      <c r="V11" s="6471" t="s">
        <v>3706</v>
      </c>
      <c r="W11" s="6472"/>
      <c r="X11" s="6469" t="s">
        <v>3709</v>
      </c>
      <c r="Y11" s="6471" t="s">
        <v>3706</v>
      </c>
      <c r="Z11" s="6473"/>
      <c r="AC11" s="5096"/>
    </row>
    <row r="12" spans="1:91" ht="44.25">
      <c r="A12" s="5096"/>
      <c r="B12" s="6474" t="s">
        <v>99</v>
      </c>
      <c r="C12" s="6475" t="s">
        <v>3701</v>
      </c>
      <c r="D12" s="6476" t="s">
        <v>99</v>
      </c>
      <c r="E12" s="6477" t="s">
        <v>3710</v>
      </c>
      <c r="F12" s="6475" t="s">
        <v>3701</v>
      </c>
      <c r="G12" s="6478" t="s">
        <v>3710</v>
      </c>
      <c r="H12" s="6479">
        <v>1</v>
      </c>
      <c r="I12" s="6475" t="s">
        <v>3701</v>
      </c>
      <c r="J12" s="6476">
        <v>1</v>
      </c>
      <c r="K12" s="6479">
        <v>27</v>
      </c>
      <c r="L12" s="6475" t="s">
        <v>3701</v>
      </c>
      <c r="M12" s="6480">
        <v>27</v>
      </c>
      <c r="N12" s="5096"/>
      <c r="O12" s="6474" t="s">
        <v>99</v>
      </c>
      <c r="P12" s="6475" t="s">
        <v>3701</v>
      </c>
      <c r="Q12" s="6481" t="s">
        <v>99</v>
      </c>
      <c r="R12" s="6477" t="s">
        <v>3710</v>
      </c>
      <c r="S12" s="6475" t="s">
        <v>3701</v>
      </c>
      <c r="T12" s="6482" t="s">
        <v>3710</v>
      </c>
      <c r="U12" s="6479">
        <v>1</v>
      </c>
      <c r="V12" s="6475" t="s">
        <v>3701</v>
      </c>
      <c r="W12" s="6481">
        <v>1</v>
      </c>
      <c r="X12" s="6479">
        <v>27</v>
      </c>
      <c r="Y12" s="6475" t="s">
        <v>3701</v>
      </c>
      <c r="Z12" s="6483">
        <v>27</v>
      </c>
      <c r="AA12" s="5096"/>
      <c r="AB12" s="5096"/>
      <c r="AC12" s="5096"/>
      <c r="AD12" s="6484" t="s">
        <v>3711</v>
      </c>
      <c r="AE12" s="6485" t="s">
        <v>3712</v>
      </c>
      <c r="AF12" s="6486"/>
      <c r="AG12" s="6485" t="s">
        <v>3713</v>
      </c>
      <c r="AH12" s="6486"/>
      <c r="AI12" s="6485" t="s">
        <v>3714</v>
      </c>
      <c r="AJ12" s="6486"/>
      <c r="AK12" s="6485" t="s">
        <v>3715</v>
      </c>
      <c r="AL12" s="6486"/>
      <c r="AM12" s="6485" t="s">
        <v>3716</v>
      </c>
      <c r="AN12" s="6486"/>
      <c r="AO12" s="6485" t="s">
        <v>3717</v>
      </c>
      <c r="AP12" s="6486"/>
      <c r="AQ12" s="6485" t="s">
        <v>3718</v>
      </c>
      <c r="AR12" s="6486"/>
      <c r="AS12" s="6485" t="s">
        <v>3719</v>
      </c>
      <c r="AT12" s="6486"/>
      <c r="AU12" s="6485" t="s">
        <v>3720</v>
      </c>
      <c r="AV12" s="6486"/>
      <c r="AW12" s="6485" t="s">
        <v>3721</v>
      </c>
      <c r="AX12" s="6486"/>
      <c r="AY12" s="6485" t="s">
        <v>3722</v>
      </c>
      <c r="AZ12" s="6486"/>
      <c r="BA12" s="6485" t="s">
        <v>3723</v>
      </c>
      <c r="BD12" s="6487" t="s">
        <v>3724</v>
      </c>
      <c r="BE12" s="6488">
        <v>1</v>
      </c>
      <c r="BF12" s="6489"/>
      <c r="BG12" s="6490"/>
      <c r="BH12" s="6488">
        <v>2</v>
      </c>
      <c r="BI12" s="6489"/>
      <c r="BJ12" s="6490"/>
      <c r="BK12" s="6488">
        <v>3</v>
      </c>
      <c r="BL12" s="6489"/>
      <c r="BM12" s="6490"/>
      <c r="BN12" s="6488">
        <v>4</v>
      </c>
      <c r="BO12" s="6489"/>
      <c r="BP12" s="6490"/>
      <c r="BQ12" s="6488">
        <v>5</v>
      </c>
      <c r="BR12" s="6489"/>
      <c r="BS12" s="6490"/>
      <c r="BT12" s="6488">
        <v>6</v>
      </c>
      <c r="BU12" s="6489"/>
      <c r="BV12" s="6490"/>
      <c r="BW12" s="6488">
        <v>7</v>
      </c>
      <c r="BX12" s="6489"/>
      <c r="BY12" s="6490"/>
      <c r="BZ12" s="6488">
        <v>8</v>
      </c>
      <c r="CA12" s="6489"/>
      <c r="CB12" s="6490"/>
      <c r="CC12" s="6488">
        <v>9</v>
      </c>
      <c r="CD12" s="6489"/>
      <c r="CE12" s="6490"/>
      <c r="CF12" s="6488">
        <v>0</v>
      </c>
      <c r="CG12" s="6489"/>
      <c r="CH12" s="6490"/>
      <c r="CI12" s="6488" t="s">
        <v>3725</v>
      </c>
      <c r="CJ12" s="6489"/>
      <c r="CK12" s="6490"/>
      <c r="CL12" s="6491" t="s">
        <v>3726</v>
      </c>
      <c r="CM12" s="6489"/>
    </row>
    <row r="13" spans="1:91" ht="44.25" customHeight="1">
      <c r="A13" s="5096"/>
      <c r="B13" s="6474" t="s">
        <v>100</v>
      </c>
      <c r="C13" s="6475" t="s">
        <v>3701</v>
      </c>
      <c r="D13" s="6476" t="s">
        <v>100</v>
      </c>
      <c r="E13" s="6477" t="s">
        <v>3727</v>
      </c>
      <c r="F13" s="6475" t="s">
        <v>3701</v>
      </c>
      <c r="G13" s="6478" t="s">
        <v>3727</v>
      </c>
      <c r="H13" s="6479">
        <v>2</v>
      </c>
      <c r="I13" s="6475" t="s">
        <v>3701</v>
      </c>
      <c r="J13" s="6476">
        <v>2</v>
      </c>
      <c r="K13" s="6479">
        <v>28</v>
      </c>
      <c r="L13" s="6475" t="s">
        <v>3701</v>
      </c>
      <c r="M13" s="6480">
        <v>28</v>
      </c>
      <c r="N13" s="5096"/>
      <c r="O13" s="6474" t="s">
        <v>100</v>
      </c>
      <c r="P13" s="6475" t="s">
        <v>3701</v>
      </c>
      <c r="Q13" s="6481" t="s">
        <v>100</v>
      </c>
      <c r="R13" s="6477" t="s">
        <v>3727</v>
      </c>
      <c r="S13" s="6475" t="s">
        <v>3701</v>
      </c>
      <c r="T13" s="6482" t="s">
        <v>3727</v>
      </c>
      <c r="U13" s="6479">
        <v>2</v>
      </c>
      <c r="V13" s="6475" t="s">
        <v>3701</v>
      </c>
      <c r="W13" s="6481">
        <v>2</v>
      </c>
      <c r="X13" s="6479">
        <v>28</v>
      </c>
      <c r="Y13" s="6475" t="s">
        <v>3701</v>
      </c>
      <c r="Z13" s="6483">
        <v>28</v>
      </c>
      <c r="AA13" s="5096"/>
      <c r="AB13" s="5096"/>
      <c r="AC13" s="5096"/>
      <c r="AD13" s="6492"/>
      <c r="AE13" s="6493"/>
      <c r="AF13" s="6493"/>
      <c r="AG13" s="6493"/>
      <c r="AH13" s="6493"/>
      <c r="AI13" s="6493"/>
      <c r="AJ13" s="6493"/>
      <c r="AK13" s="6493"/>
      <c r="AL13" s="6493"/>
      <c r="AM13" s="6493"/>
      <c r="AN13" s="6493"/>
      <c r="AO13" s="6493"/>
      <c r="AP13" s="6493"/>
      <c r="AQ13" s="6493"/>
      <c r="AR13" s="6493"/>
      <c r="AS13" s="6493"/>
      <c r="AT13" s="6493"/>
      <c r="AU13" s="6493"/>
      <c r="AV13" s="6493"/>
      <c r="AW13" s="6493"/>
      <c r="AX13" s="6493"/>
      <c r="AY13" s="6493"/>
      <c r="AZ13" s="6493"/>
      <c r="BA13" s="6493"/>
      <c r="BD13" s="6487"/>
      <c r="BE13" s="6494" t="s">
        <v>2806</v>
      </c>
      <c r="BF13" s="6495"/>
      <c r="BG13" s="6490"/>
      <c r="BH13" s="6494" t="s">
        <v>3728</v>
      </c>
      <c r="BI13" s="6495" t="s">
        <v>3729</v>
      </c>
      <c r="BJ13" s="6490"/>
      <c r="BK13" s="6494" t="s">
        <v>2803</v>
      </c>
      <c r="BL13" s="6495" t="s">
        <v>2804</v>
      </c>
      <c r="BM13" s="6490"/>
      <c r="BN13" s="6496" t="s">
        <v>3730</v>
      </c>
      <c r="BO13" s="6495" t="s">
        <v>3731</v>
      </c>
      <c r="BP13" s="6490"/>
      <c r="BQ13" s="6494" t="s">
        <v>3732</v>
      </c>
      <c r="BR13" s="6495" t="s">
        <v>3733</v>
      </c>
      <c r="BS13" s="6490"/>
      <c r="BT13" s="6496" t="s">
        <v>2177</v>
      </c>
      <c r="BU13" s="6495" t="s">
        <v>3734</v>
      </c>
      <c r="BV13" s="6490"/>
      <c r="BW13" s="6494" t="s">
        <v>3735</v>
      </c>
      <c r="BX13" s="6495" t="s">
        <v>3736</v>
      </c>
      <c r="BY13" s="6490"/>
      <c r="BZ13" s="6494" t="s">
        <v>3737</v>
      </c>
      <c r="CA13" s="6495" t="s">
        <v>3738</v>
      </c>
      <c r="CB13" s="6490"/>
      <c r="CC13" s="6494" t="s">
        <v>3739</v>
      </c>
      <c r="CD13" s="6495" t="s">
        <v>3740</v>
      </c>
      <c r="CE13" s="6490"/>
      <c r="CF13" s="6494" t="s">
        <v>3741</v>
      </c>
      <c r="CG13" s="6495" t="s">
        <v>1379</v>
      </c>
      <c r="CH13" s="6490"/>
      <c r="CI13" s="6494" t="s">
        <v>3742</v>
      </c>
      <c r="CJ13" s="6495" t="s">
        <v>3743</v>
      </c>
      <c r="CK13" s="6490"/>
      <c r="CL13" s="6496" t="s">
        <v>3701</v>
      </c>
      <c r="CM13" s="6495" t="s">
        <v>3744</v>
      </c>
    </row>
    <row r="14" spans="1:91" ht="44.25">
      <c r="A14" s="5096"/>
      <c r="B14" s="6474" t="s">
        <v>101</v>
      </c>
      <c r="C14" s="6475" t="s">
        <v>3701</v>
      </c>
      <c r="D14" s="6476" t="s">
        <v>101</v>
      </c>
      <c r="E14" s="6477" t="s">
        <v>3745</v>
      </c>
      <c r="F14" s="6475" t="s">
        <v>3701</v>
      </c>
      <c r="G14" s="6478" t="s">
        <v>3745</v>
      </c>
      <c r="H14" s="6479">
        <v>3</v>
      </c>
      <c r="I14" s="6475" t="s">
        <v>3701</v>
      </c>
      <c r="J14" s="6476">
        <v>3</v>
      </c>
      <c r="K14" s="6479">
        <v>29</v>
      </c>
      <c r="L14" s="6475" t="s">
        <v>3701</v>
      </c>
      <c r="M14" s="6480">
        <v>29</v>
      </c>
      <c r="N14" s="5096"/>
      <c r="O14" s="6474" t="s">
        <v>101</v>
      </c>
      <c r="P14" s="6475" t="s">
        <v>3701</v>
      </c>
      <c r="Q14" s="6481" t="s">
        <v>101</v>
      </c>
      <c r="R14" s="6477" t="s">
        <v>3745</v>
      </c>
      <c r="S14" s="6475" t="s">
        <v>3701</v>
      </c>
      <c r="T14" s="6482" t="s">
        <v>3745</v>
      </c>
      <c r="U14" s="6479">
        <v>3</v>
      </c>
      <c r="V14" s="6475" t="s">
        <v>3701</v>
      </c>
      <c r="W14" s="6481">
        <v>3</v>
      </c>
      <c r="X14" s="6479">
        <v>29</v>
      </c>
      <c r="Y14" s="6475" t="s">
        <v>3701</v>
      </c>
      <c r="Z14" s="6483">
        <v>29</v>
      </c>
      <c r="AA14" s="5096"/>
      <c r="AB14" s="5096"/>
      <c r="AC14" s="5096"/>
      <c r="AD14" s="6484" t="s">
        <v>2759</v>
      </c>
      <c r="AE14" s="6497" t="s">
        <v>3746</v>
      </c>
      <c r="AF14" s="6498"/>
      <c r="AG14" s="6497" t="s">
        <v>3747</v>
      </c>
      <c r="AH14" s="6498"/>
      <c r="AI14" s="6497" t="s">
        <v>3748</v>
      </c>
      <c r="AJ14" s="6498"/>
      <c r="AK14" s="6497" t="s">
        <v>3749</v>
      </c>
      <c r="AL14" s="6498"/>
      <c r="AM14" s="6497" t="s">
        <v>2809</v>
      </c>
      <c r="AN14" s="6498"/>
      <c r="AO14" s="6497" t="s">
        <v>2823</v>
      </c>
      <c r="AP14" s="6498"/>
      <c r="AQ14" s="6497" t="s">
        <v>3750</v>
      </c>
      <c r="AR14" s="6498"/>
      <c r="AS14" s="6497" t="s">
        <v>3751</v>
      </c>
      <c r="AT14" s="6498"/>
      <c r="AU14" s="6497" t="s">
        <v>3752</v>
      </c>
      <c r="AV14" s="6498"/>
      <c r="AW14" s="6497" t="s">
        <v>2810</v>
      </c>
      <c r="AX14" s="6498"/>
      <c r="AY14" s="6497" t="s">
        <v>2231</v>
      </c>
      <c r="AZ14" s="6498"/>
      <c r="BA14" s="6497" t="s">
        <v>2206</v>
      </c>
      <c r="BD14" s="6499"/>
      <c r="BE14" s="6490"/>
      <c r="BF14" s="6490"/>
      <c r="BG14" s="6490"/>
      <c r="BH14" s="6490"/>
      <c r="BI14" s="6490"/>
      <c r="BJ14" s="6490"/>
      <c r="BK14" s="6490"/>
      <c r="BL14" s="6490"/>
      <c r="BM14" s="6490"/>
      <c r="BN14" s="6490"/>
      <c r="BO14" s="6490"/>
      <c r="BP14" s="6490"/>
      <c r="BQ14" s="6490"/>
      <c r="BR14" s="6490"/>
      <c r="BS14" s="6490"/>
      <c r="BT14" s="6490"/>
      <c r="BU14" s="6490"/>
      <c r="BV14" s="6490"/>
      <c r="BW14" s="6490"/>
      <c r="BX14" s="6490"/>
      <c r="BY14" s="6490"/>
      <c r="BZ14" s="6490"/>
      <c r="CA14" s="6490"/>
      <c r="CB14" s="6490"/>
      <c r="CC14" s="6490"/>
      <c r="CD14" s="6490"/>
      <c r="CE14" s="6490"/>
      <c r="CF14" s="6490"/>
      <c r="CG14" s="6490"/>
      <c r="CH14" s="6490"/>
      <c r="CI14" s="6490"/>
      <c r="CJ14" s="6490"/>
      <c r="CK14" s="6490"/>
      <c r="CL14" s="6490"/>
      <c r="CM14" s="6490"/>
    </row>
    <row r="15" spans="1:91" ht="44.25">
      <c r="A15" s="5096"/>
      <c r="B15" s="6474" t="s">
        <v>111</v>
      </c>
      <c r="C15" s="6475" t="s">
        <v>3701</v>
      </c>
      <c r="D15" s="6476" t="s">
        <v>111</v>
      </c>
      <c r="E15" s="6477" t="s">
        <v>3753</v>
      </c>
      <c r="F15" s="6475" t="s">
        <v>3701</v>
      </c>
      <c r="G15" s="6478" t="s">
        <v>3753</v>
      </c>
      <c r="H15" s="6479">
        <v>4</v>
      </c>
      <c r="I15" s="6475" t="s">
        <v>3701</v>
      </c>
      <c r="J15" s="6476">
        <v>4</v>
      </c>
      <c r="K15" s="6479">
        <v>30</v>
      </c>
      <c r="L15" s="6475" t="s">
        <v>3701</v>
      </c>
      <c r="M15" s="6480">
        <v>30</v>
      </c>
      <c r="N15" s="5096"/>
      <c r="O15" s="6474" t="s">
        <v>111</v>
      </c>
      <c r="P15" s="6475" t="s">
        <v>3701</v>
      </c>
      <c r="Q15" s="6481" t="s">
        <v>111</v>
      </c>
      <c r="R15" s="6477" t="s">
        <v>3753</v>
      </c>
      <c r="S15" s="6475" t="s">
        <v>3701</v>
      </c>
      <c r="T15" s="6482" t="s">
        <v>3753</v>
      </c>
      <c r="U15" s="6479">
        <v>4</v>
      </c>
      <c r="V15" s="6475" t="s">
        <v>3701</v>
      </c>
      <c r="W15" s="6481">
        <v>4</v>
      </c>
      <c r="X15" s="6479">
        <v>30</v>
      </c>
      <c r="Y15" s="6475" t="s">
        <v>3701</v>
      </c>
      <c r="Z15" s="6483">
        <v>30</v>
      </c>
      <c r="AA15" s="5096"/>
      <c r="AB15" s="5096"/>
      <c r="AC15" s="5096"/>
      <c r="AD15" s="6492"/>
      <c r="AE15" s="6500"/>
      <c r="AF15" s="6500"/>
      <c r="AG15" s="6500"/>
      <c r="AH15" s="6500"/>
      <c r="AI15" s="6500"/>
      <c r="AJ15" s="6500"/>
      <c r="AK15" s="6500"/>
      <c r="AL15" s="6500"/>
      <c r="AM15" s="6500"/>
      <c r="AN15" s="6500"/>
      <c r="AO15" s="6500"/>
      <c r="AP15" s="6500"/>
      <c r="AQ15" s="6500"/>
      <c r="AR15" s="6500"/>
      <c r="AS15" s="6500"/>
      <c r="AT15" s="6500"/>
      <c r="AU15" s="6500"/>
      <c r="AV15" s="6500"/>
      <c r="AW15" s="6500"/>
      <c r="AX15" s="6500"/>
      <c r="AY15" s="6500"/>
      <c r="AZ15" s="6500"/>
      <c r="BA15" s="6500"/>
      <c r="BD15" s="6501" t="s">
        <v>3754</v>
      </c>
      <c r="BE15" s="6502">
        <v>1</v>
      </c>
      <c r="BF15" s="6503"/>
      <c r="BG15" s="6504"/>
      <c r="BH15" s="6502">
        <v>2</v>
      </c>
      <c r="BI15" s="6503"/>
      <c r="BJ15" s="6504"/>
      <c r="BK15" s="6502">
        <v>3</v>
      </c>
      <c r="BL15" s="6503"/>
      <c r="BM15" s="6504"/>
      <c r="BN15" s="6502">
        <v>4</v>
      </c>
      <c r="BO15" s="6503"/>
      <c r="BP15" s="6504"/>
      <c r="BQ15" s="6502">
        <v>5</v>
      </c>
      <c r="BR15" s="6503"/>
      <c r="BS15" s="6504"/>
      <c r="BT15" s="6502">
        <v>6</v>
      </c>
      <c r="BU15" s="6503"/>
      <c r="BV15" s="6504"/>
      <c r="BW15" s="6502">
        <v>7</v>
      </c>
      <c r="BX15" s="6503"/>
      <c r="BY15" s="6504"/>
      <c r="BZ15" s="6502">
        <v>8</v>
      </c>
      <c r="CA15" s="6503"/>
      <c r="CB15" s="6504"/>
      <c r="CC15" s="6502">
        <v>9</v>
      </c>
      <c r="CD15" s="6503"/>
      <c r="CE15" s="6504"/>
      <c r="CF15" s="6502">
        <v>0</v>
      </c>
      <c r="CG15" s="6503"/>
      <c r="CH15" s="6504"/>
      <c r="CI15" s="6502" t="s">
        <v>3725</v>
      </c>
      <c r="CJ15" s="6503"/>
      <c r="CK15" s="6504"/>
      <c r="CL15" s="6502" t="s">
        <v>3726</v>
      </c>
      <c r="CM15" s="6503"/>
    </row>
    <row r="16" spans="1:91" ht="44.25">
      <c r="A16" s="5096"/>
      <c r="B16" s="6474" t="s">
        <v>112</v>
      </c>
      <c r="C16" s="6475" t="s">
        <v>3701</v>
      </c>
      <c r="D16" s="6476" t="s">
        <v>112</v>
      </c>
      <c r="E16" s="6477" t="s">
        <v>3755</v>
      </c>
      <c r="F16" s="6475" t="s">
        <v>3701</v>
      </c>
      <c r="G16" s="6478" t="s">
        <v>3755</v>
      </c>
      <c r="H16" s="6479">
        <v>5</v>
      </c>
      <c r="I16" s="6475" t="s">
        <v>3701</v>
      </c>
      <c r="J16" s="6476">
        <v>5</v>
      </c>
      <c r="K16" s="6479">
        <v>31</v>
      </c>
      <c r="L16" s="6475" t="s">
        <v>3701</v>
      </c>
      <c r="M16" s="6480">
        <v>31</v>
      </c>
      <c r="N16" s="5096"/>
      <c r="O16" s="6474" t="s">
        <v>112</v>
      </c>
      <c r="P16" s="6475" t="s">
        <v>3701</v>
      </c>
      <c r="Q16" s="6481" t="s">
        <v>112</v>
      </c>
      <c r="R16" s="6477" t="s">
        <v>3755</v>
      </c>
      <c r="S16" s="6475" t="s">
        <v>3701</v>
      </c>
      <c r="T16" s="6482" t="s">
        <v>3755</v>
      </c>
      <c r="U16" s="6479">
        <v>5</v>
      </c>
      <c r="V16" s="6475" t="s">
        <v>3701</v>
      </c>
      <c r="W16" s="6481">
        <v>5</v>
      </c>
      <c r="X16" s="6479">
        <v>31</v>
      </c>
      <c r="Y16" s="6475" t="s">
        <v>3701</v>
      </c>
      <c r="Z16" s="6483">
        <v>31</v>
      </c>
      <c r="AA16" s="5096"/>
      <c r="AB16" s="5096"/>
      <c r="AC16" s="5096"/>
      <c r="AD16" s="6484" t="s">
        <v>3754</v>
      </c>
      <c r="AE16" s="6505" t="s">
        <v>3746</v>
      </c>
      <c r="AF16" s="6504">
        <v>0</v>
      </c>
      <c r="AG16" s="6505" t="s">
        <v>3747</v>
      </c>
      <c r="AH16" s="6504">
        <v>0</v>
      </c>
      <c r="AI16" s="6505" t="s">
        <v>3748</v>
      </c>
      <c r="AJ16" s="6504">
        <v>0</v>
      </c>
      <c r="AK16" s="6505" t="s">
        <v>3749</v>
      </c>
      <c r="AL16" s="6504">
        <v>0</v>
      </c>
      <c r="AM16" s="6505" t="s">
        <v>2809</v>
      </c>
      <c r="AN16" s="6504">
        <v>0</v>
      </c>
      <c r="AO16" s="6505" t="s">
        <v>2823</v>
      </c>
      <c r="AP16" s="6504">
        <v>0</v>
      </c>
      <c r="AQ16" s="6505" t="s">
        <v>3750</v>
      </c>
      <c r="AR16" s="6504">
        <v>0</v>
      </c>
      <c r="AS16" s="6505" t="s">
        <v>3751</v>
      </c>
      <c r="AT16" s="6504">
        <v>0</v>
      </c>
      <c r="AU16" s="6505" t="s">
        <v>3752</v>
      </c>
      <c r="AV16" s="6504">
        <v>0</v>
      </c>
      <c r="AW16" s="6505" t="s">
        <v>2810</v>
      </c>
      <c r="AX16" s="6504">
        <v>0</v>
      </c>
      <c r="AY16" s="6505" t="s">
        <v>2231</v>
      </c>
      <c r="AZ16" s="6504">
        <v>0</v>
      </c>
      <c r="BA16" s="6505" t="s">
        <v>2206</v>
      </c>
      <c r="BD16" s="6501"/>
      <c r="BE16" s="6506" t="s">
        <v>2806</v>
      </c>
      <c r="BF16" s="6507"/>
      <c r="BG16" s="6504"/>
      <c r="BH16" s="6506" t="s">
        <v>3728</v>
      </c>
      <c r="BI16" s="6507" t="s">
        <v>3729</v>
      </c>
      <c r="BJ16" s="6504"/>
      <c r="BK16" s="6506" t="s">
        <v>2803</v>
      </c>
      <c r="BL16" s="6507" t="s">
        <v>2804</v>
      </c>
      <c r="BM16" s="6504"/>
      <c r="BN16" s="6506" t="s">
        <v>3730</v>
      </c>
      <c r="BO16" s="6507" t="s">
        <v>3731</v>
      </c>
      <c r="BP16" s="6504"/>
      <c r="BQ16" s="6506" t="s">
        <v>3732</v>
      </c>
      <c r="BR16" s="6507" t="s">
        <v>3733</v>
      </c>
      <c r="BS16" s="6504"/>
      <c r="BT16" s="6506" t="s">
        <v>2177</v>
      </c>
      <c r="BU16" s="6507" t="s">
        <v>3734</v>
      </c>
      <c r="BV16" s="6504"/>
      <c r="BW16" s="6506" t="s">
        <v>3735</v>
      </c>
      <c r="BX16" s="6507" t="s">
        <v>3736</v>
      </c>
      <c r="BY16" s="6504"/>
      <c r="BZ16" s="6506" t="s">
        <v>3737</v>
      </c>
      <c r="CA16" s="6507" t="s">
        <v>3738</v>
      </c>
      <c r="CB16" s="6504"/>
      <c r="CC16" s="6506" t="s">
        <v>3739</v>
      </c>
      <c r="CD16" s="6507" t="s">
        <v>3740</v>
      </c>
      <c r="CE16" s="6504"/>
      <c r="CF16" s="6506" t="s">
        <v>3741</v>
      </c>
      <c r="CG16" s="6507" t="s">
        <v>1379</v>
      </c>
      <c r="CH16" s="6504"/>
      <c r="CI16" s="6506" t="s">
        <v>3742</v>
      </c>
      <c r="CJ16" s="6507" t="s">
        <v>3743</v>
      </c>
      <c r="CK16" s="6504"/>
      <c r="CL16" s="6506" t="s">
        <v>3701</v>
      </c>
      <c r="CM16" s="6507" t="s">
        <v>3744</v>
      </c>
    </row>
    <row r="17" spans="1:91" ht="44.25">
      <c r="A17" s="5096"/>
      <c r="B17" s="6474" t="s">
        <v>142</v>
      </c>
      <c r="C17" s="6475" t="s">
        <v>3701</v>
      </c>
      <c r="D17" s="6476" t="s">
        <v>142</v>
      </c>
      <c r="E17" s="6477" t="s">
        <v>3756</v>
      </c>
      <c r="F17" s="6475" t="s">
        <v>3701</v>
      </c>
      <c r="G17" s="6478" t="s">
        <v>3756</v>
      </c>
      <c r="H17" s="6479">
        <v>6</v>
      </c>
      <c r="I17" s="6475" t="s">
        <v>3701</v>
      </c>
      <c r="J17" s="6476">
        <v>6</v>
      </c>
      <c r="K17" s="6479">
        <v>32</v>
      </c>
      <c r="L17" s="6475" t="s">
        <v>3701</v>
      </c>
      <c r="M17" s="6480">
        <v>32</v>
      </c>
      <c r="N17" s="5096"/>
      <c r="O17" s="6474" t="s">
        <v>142</v>
      </c>
      <c r="P17" s="6475" t="s">
        <v>3701</v>
      </c>
      <c r="Q17" s="6481" t="s">
        <v>142</v>
      </c>
      <c r="R17" s="6477" t="s">
        <v>3756</v>
      </c>
      <c r="S17" s="6475" t="s">
        <v>3701</v>
      </c>
      <c r="T17" s="6482" t="s">
        <v>3756</v>
      </c>
      <c r="U17" s="6479">
        <v>6</v>
      </c>
      <c r="V17" s="6475" t="s">
        <v>3701</v>
      </c>
      <c r="W17" s="6481">
        <v>6</v>
      </c>
      <c r="X17" s="6479">
        <v>32</v>
      </c>
      <c r="Y17" s="6475" t="s">
        <v>3701</v>
      </c>
      <c r="Z17" s="6483">
        <v>32</v>
      </c>
      <c r="AA17" s="5096"/>
      <c r="AB17" s="5096"/>
      <c r="AC17" s="5096"/>
      <c r="AD17" s="6492"/>
      <c r="AE17" s="6500"/>
      <c r="AF17" s="6500"/>
      <c r="AG17" s="6500"/>
      <c r="AH17" s="6500"/>
      <c r="AI17" s="6500"/>
      <c r="AJ17" s="6500"/>
      <c r="AK17" s="6500"/>
      <c r="AL17" s="6500"/>
      <c r="AM17" s="6500"/>
      <c r="AN17" s="6500"/>
      <c r="AO17" s="6500"/>
      <c r="AP17" s="6500"/>
      <c r="AQ17" s="6500"/>
      <c r="AR17" s="6500"/>
      <c r="AS17" s="6500"/>
      <c r="AT17" s="6500"/>
      <c r="AU17" s="6500"/>
      <c r="AV17" s="6500"/>
      <c r="AW17" s="6500"/>
      <c r="AX17" s="6500"/>
      <c r="AY17" s="6500"/>
      <c r="AZ17" s="6500"/>
      <c r="BA17" s="6500"/>
      <c r="BD17" s="6499"/>
      <c r="BE17" s="6500"/>
      <c r="BF17" s="6500"/>
      <c r="BG17" s="6500"/>
      <c r="BH17" s="6500"/>
      <c r="BI17" s="6500"/>
      <c r="BJ17" s="6500"/>
      <c r="BK17" s="6500"/>
      <c r="BL17" s="6500"/>
      <c r="BM17" s="6500"/>
      <c r="BN17" s="6500"/>
      <c r="BO17" s="6500"/>
      <c r="BP17" s="6500"/>
      <c r="BQ17" s="6500"/>
      <c r="BR17" s="6500"/>
      <c r="BS17" s="6500"/>
      <c r="BT17" s="6500"/>
      <c r="BU17" s="6500"/>
      <c r="BV17" s="6500"/>
      <c r="BW17" s="6500"/>
      <c r="BX17" s="6500"/>
      <c r="BY17" s="6500"/>
      <c r="BZ17" s="6500"/>
      <c r="CA17" s="6500"/>
      <c r="CB17" s="6500"/>
      <c r="CC17" s="6500"/>
      <c r="CD17" s="6500"/>
      <c r="CE17" s="6500"/>
      <c r="CF17" s="6500"/>
      <c r="CG17" s="6500"/>
      <c r="CH17" s="6500"/>
      <c r="CI17" s="6500"/>
      <c r="CJ17" s="6500"/>
      <c r="CK17" s="6500"/>
      <c r="CL17" s="6500"/>
      <c r="CM17" s="6500"/>
    </row>
    <row r="18" spans="1:91" ht="44.25" customHeight="1">
      <c r="A18" s="5096"/>
      <c r="B18" s="6474" t="s">
        <v>143</v>
      </c>
      <c r="C18" s="6475" t="s">
        <v>3701</v>
      </c>
      <c r="D18" s="6476" t="s">
        <v>143</v>
      </c>
      <c r="E18" s="6477" t="s">
        <v>2059</v>
      </c>
      <c r="F18" s="6475" t="s">
        <v>3701</v>
      </c>
      <c r="G18" s="6478" t="s">
        <v>2059</v>
      </c>
      <c r="H18" s="6479">
        <v>7</v>
      </c>
      <c r="I18" s="6475" t="s">
        <v>3701</v>
      </c>
      <c r="J18" s="6476">
        <v>7</v>
      </c>
      <c r="K18" s="6479">
        <v>33</v>
      </c>
      <c r="L18" s="6475" t="s">
        <v>3701</v>
      </c>
      <c r="M18" s="6480">
        <v>33</v>
      </c>
      <c r="N18" s="5096"/>
      <c r="O18" s="6474" t="s">
        <v>143</v>
      </c>
      <c r="P18" s="6475" t="s">
        <v>3701</v>
      </c>
      <c r="Q18" s="6481" t="s">
        <v>143</v>
      </c>
      <c r="R18" s="6477" t="s">
        <v>2059</v>
      </c>
      <c r="S18" s="6475" t="s">
        <v>3701</v>
      </c>
      <c r="T18" s="6482" t="s">
        <v>2059</v>
      </c>
      <c r="U18" s="6479">
        <v>7</v>
      </c>
      <c r="V18" s="6475" t="s">
        <v>3701</v>
      </c>
      <c r="W18" s="6481">
        <v>7</v>
      </c>
      <c r="X18" s="6479">
        <v>33</v>
      </c>
      <c r="Y18" s="6475" t="s">
        <v>3701</v>
      </c>
      <c r="Z18" s="6483">
        <v>33</v>
      </c>
      <c r="AA18" s="5096"/>
      <c r="AB18" s="5096"/>
      <c r="AC18" s="5096"/>
      <c r="AD18" s="6484" t="s">
        <v>3757</v>
      </c>
      <c r="AE18" s="6508" t="s">
        <v>3746</v>
      </c>
      <c r="AF18" s="6509">
        <v>0</v>
      </c>
      <c r="AG18" s="6508" t="s">
        <v>3747</v>
      </c>
      <c r="AH18" s="6509">
        <v>0</v>
      </c>
      <c r="AI18" s="6508" t="s">
        <v>3748</v>
      </c>
      <c r="AJ18" s="6509">
        <v>0</v>
      </c>
      <c r="AK18" s="6508" t="s">
        <v>3749</v>
      </c>
      <c r="AL18" s="6509">
        <v>0</v>
      </c>
      <c r="AM18" s="6508" t="s">
        <v>2809</v>
      </c>
      <c r="AN18" s="6509">
        <v>0</v>
      </c>
      <c r="AO18" s="6508" t="s">
        <v>2823</v>
      </c>
      <c r="AP18" s="6509">
        <v>0</v>
      </c>
      <c r="AQ18" s="6508" t="s">
        <v>3750</v>
      </c>
      <c r="AR18" s="6509">
        <v>0</v>
      </c>
      <c r="AS18" s="6508" t="s">
        <v>3751</v>
      </c>
      <c r="AT18" s="6509">
        <v>0</v>
      </c>
      <c r="AU18" s="6508" t="s">
        <v>3752</v>
      </c>
      <c r="AV18" s="6509">
        <v>0</v>
      </c>
      <c r="AW18" s="6508" t="s">
        <v>2810</v>
      </c>
      <c r="AX18" s="6509">
        <v>0</v>
      </c>
      <c r="AY18" s="6508" t="s">
        <v>2231</v>
      </c>
      <c r="AZ18" s="6509">
        <v>0</v>
      </c>
      <c r="BA18" s="6508" t="s">
        <v>2206</v>
      </c>
      <c r="BD18" s="6501" t="s">
        <v>3758</v>
      </c>
      <c r="BE18" s="6510">
        <v>1</v>
      </c>
      <c r="BF18" s="6511"/>
      <c r="BG18" s="6509"/>
      <c r="BH18" s="6510">
        <v>2</v>
      </c>
      <c r="BI18" s="6511"/>
      <c r="BJ18" s="6509"/>
      <c r="BK18" s="6510">
        <v>3</v>
      </c>
      <c r="BL18" s="6511"/>
      <c r="BM18" s="6509"/>
      <c r="BN18" s="6510">
        <v>4</v>
      </c>
      <c r="BO18" s="6511"/>
      <c r="BP18" s="6509"/>
      <c r="BQ18" s="6510">
        <v>5</v>
      </c>
      <c r="BR18" s="6511"/>
      <c r="BS18" s="6509"/>
      <c r="BT18" s="6510">
        <v>6</v>
      </c>
      <c r="BU18" s="6511"/>
      <c r="BV18" s="6509"/>
      <c r="BW18" s="6510">
        <v>7</v>
      </c>
      <c r="BX18" s="6511"/>
      <c r="BY18" s="6509"/>
      <c r="BZ18" s="6510">
        <v>8</v>
      </c>
      <c r="CA18" s="6511"/>
      <c r="CB18" s="6509"/>
      <c r="CC18" s="6510">
        <v>9</v>
      </c>
      <c r="CD18" s="6511"/>
      <c r="CE18" s="6509"/>
      <c r="CF18" s="6510">
        <v>0</v>
      </c>
      <c r="CG18" s="6511"/>
      <c r="CH18" s="6509"/>
      <c r="CI18" s="6510" t="s">
        <v>3725</v>
      </c>
      <c r="CJ18" s="6511"/>
      <c r="CK18" s="6509"/>
      <c r="CL18" s="6510" t="s">
        <v>3726</v>
      </c>
      <c r="CM18" s="6511"/>
    </row>
    <row r="19" spans="1:91" ht="44.25">
      <c r="A19" s="5096"/>
      <c r="B19" s="6474" t="s">
        <v>144</v>
      </c>
      <c r="C19" s="6475" t="s">
        <v>3701</v>
      </c>
      <c r="D19" s="6476" t="s">
        <v>144</v>
      </c>
      <c r="E19" s="6477" t="s">
        <v>3759</v>
      </c>
      <c r="F19" s="6475" t="s">
        <v>3701</v>
      </c>
      <c r="G19" s="6478" t="s">
        <v>3759</v>
      </c>
      <c r="H19" s="6479">
        <v>8</v>
      </c>
      <c r="I19" s="6475" t="s">
        <v>3701</v>
      </c>
      <c r="J19" s="6476">
        <v>8</v>
      </c>
      <c r="K19" s="6479">
        <v>34</v>
      </c>
      <c r="L19" s="6475" t="s">
        <v>3701</v>
      </c>
      <c r="M19" s="6480">
        <v>34</v>
      </c>
      <c r="N19" s="5096"/>
      <c r="O19" s="6474" t="s">
        <v>144</v>
      </c>
      <c r="P19" s="6475" t="s">
        <v>3701</v>
      </c>
      <c r="Q19" s="6481" t="s">
        <v>144</v>
      </c>
      <c r="R19" s="6477" t="s">
        <v>3759</v>
      </c>
      <c r="S19" s="6475" t="s">
        <v>3701</v>
      </c>
      <c r="T19" s="6482" t="s">
        <v>3759</v>
      </c>
      <c r="U19" s="6479">
        <v>8</v>
      </c>
      <c r="V19" s="6475" t="s">
        <v>3701</v>
      </c>
      <c r="W19" s="6481">
        <v>8</v>
      </c>
      <c r="X19" s="6479">
        <v>34</v>
      </c>
      <c r="Y19" s="6475" t="s">
        <v>3701</v>
      </c>
      <c r="Z19" s="6483">
        <v>34</v>
      </c>
      <c r="AA19" s="5096"/>
      <c r="AB19" s="5096"/>
      <c r="AC19" s="5096"/>
      <c r="AD19" s="6492"/>
      <c r="AE19" s="6500"/>
      <c r="AF19" s="6500"/>
      <c r="AG19" s="6500"/>
      <c r="AH19" s="6500"/>
      <c r="AI19" s="6500"/>
      <c r="AJ19" s="6500"/>
      <c r="AK19" s="6500"/>
      <c r="AL19" s="6500"/>
      <c r="AM19" s="6500"/>
      <c r="AN19" s="6500"/>
      <c r="AO19" s="6500"/>
      <c r="AP19" s="6500"/>
      <c r="AQ19" s="6500"/>
      <c r="AR19" s="6500"/>
      <c r="AS19" s="6500"/>
      <c r="AT19" s="6500"/>
      <c r="AU19" s="6500"/>
      <c r="AV19" s="6500"/>
      <c r="AW19" s="6500"/>
      <c r="AX19" s="6500"/>
      <c r="AY19" s="6500"/>
      <c r="AZ19" s="6500"/>
      <c r="BA19" s="6500"/>
      <c r="BD19" s="6501"/>
      <c r="BE19" s="6512" t="s">
        <v>2806</v>
      </c>
      <c r="BF19" s="6513"/>
      <c r="BG19" s="6509"/>
      <c r="BH19" s="6512" t="s">
        <v>3728</v>
      </c>
      <c r="BI19" s="6513" t="s">
        <v>3729</v>
      </c>
      <c r="BJ19" s="6509"/>
      <c r="BK19" s="6512" t="s">
        <v>2803</v>
      </c>
      <c r="BL19" s="6513" t="s">
        <v>2804</v>
      </c>
      <c r="BM19" s="6509"/>
      <c r="BN19" s="6512" t="s">
        <v>3730</v>
      </c>
      <c r="BO19" s="6513" t="s">
        <v>3731</v>
      </c>
      <c r="BP19" s="6509"/>
      <c r="BQ19" s="6512" t="s">
        <v>3732</v>
      </c>
      <c r="BR19" s="6513" t="s">
        <v>3733</v>
      </c>
      <c r="BS19" s="6509"/>
      <c r="BT19" s="6512" t="s">
        <v>2177</v>
      </c>
      <c r="BU19" s="6513" t="s">
        <v>3734</v>
      </c>
      <c r="BV19" s="6509"/>
      <c r="BW19" s="6512" t="s">
        <v>3735</v>
      </c>
      <c r="BX19" s="6513" t="s">
        <v>3736</v>
      </c>
      <c r="BY19" s="6509"/>
      <c r="BZ19" s="6512" t="s">
        <v>3737</v>
      </c>
      <c r="CA19" s="6513" t="s">
        <v>3738</v>
      </c>
      <c r="CB19" s="6509"/>
      <c r="CC19" s="6512" t="s">
        <v>3739</v>
      </c>
      <c r="CD19" s="6513" t="s">
        <v>3740</v>
      </c>
      <c r="CE19" s="6509"/>
      <c r="CF19" s="6512" t="s">
        <v>3741</v>
      </c>
      <c r="CG19" s="6513" t="s">
        <v>1379</v>
      </c>
      <c r="CH19" s="6509"/>
      <c r="CI19" s="6512" t="s">
        <v>3742</v>
      </c>
      <c r="CJ19" s="6513" t="s">
        <v>3743</v>
      </c>
      <c r="CK19" s="6509"/>
      <c r="CL19" s="6512" t="s">
        <v>3701</v>
      </c>
      <c r="CM19" s="6513" t="s">
        <v>3744</v>
      </c>
    </row>
    <row r="20" spans="1:91" ht="44.25">
      <c r="A20" s="5096"/>
      <c r="B20" s="6474" t="s">
        <v>145</v>
      </c>
      <c r="C20" s="6475" t="s">
        <v>3701</v>
      </c>
      <c r="D20" s="6476" t="s">
        <v>145</v>
      </c>
      <c r="E20" s="6477" t="s">
        <v>3760</v>
      </c>
      <c r="F20" s="6475" t="s">
        <v>3701</v>
      </c>
      <c r="G20" s="6478" t="s">
        <v>3760</v>
      </c>
      <c r="H20" s="6479">
        <v>9</v>
      </c>
      <c r="I20" s="6475" t="s">
        <v>3701</v>
      </c>
      <c r="J20" s="6476">
        <v>9</v>
      </c>
      <c r="K20" s="6479">
        <v>35</v>
      </c>
      <c r="L20" s="6475" t="s">
        <v>3701</v>
      </c>
      <c r="M20" s="6480">
        <v>35</v>
      </c>
      <c r="N20" s="5096"/>
      <c r="O20" s="6474" t="s">
        <v>145</v>
      </c>
      <c r="P20" s="6475" t="s">
        <v>3701</v>
      </c>
      <c r="Q20" s="6481" t="s">
        <v>145</v>
      </c>
      <c r="R20" s="6477" t="s">
        <v>3760</v>
      </c>
      <c r="S20" s="6475" t="s">
        <v>3701</v>
      </c>
      <c r="T20" s="6482" t="s">
        <v>3760</v>
      </c>
      <c r="U20" s="6479">
        <v>9</v>
      </c>
      <c r="V20" s="6475" t="s">
        <v>3701</v>
      </c>
      <c r="W20" s="6481">
        <v>9</v>
      </c>
      <c r="X20" s="6479">
        <v>35</v>
      </c>
      <c r="Y20" s="6475" t="s">
        <v>3701</v>
      </c>
      <c r="Z20" s="6483">
        <v>35</v>
      </c>
      <c r="AA20" s="5096"/>
      <c r="AB20" s="5096"/>
      <c r="AC20" s="5096"/>
      <c r="AD20" s="6484" t="s">
        <v>3761</v>
      </c>
      <c r="AE20" s="6514" t="s">
        <v>3746</v>
      </c>
      <c r="AF20" s="6515">
        <v>0</v>
      </c>
      <c r="AG20" s="6514" t="s">
        <v>3747</v>
      </c>
      <c r="AH20" s="6515">
        <v>0</v>
      </c>
      <c r="AI20" s="6514" t="s">
        <v>3748</v>
      </c>
      <c r="AJ20" s="6515">
        <v>0</v>
      </c>
      <c r="AK20" s="6514" t="s">
        <v>3749</v>
      </c>
      <c r="AL20" s="6515">
        <v>0</v>
      </c>
      <c r="AM20" s="6514" t="s">
        <v>2809</v>
      </c>
      <c r="AN20" s="6515">
        <v>0</v>
      </c>
      <c r="AO20" s="6514" t="s">
        <v>2823</v>
      </c>
      <c r="AP20" s="6515">
        <v>0</v>
      </c>
      <c r="AQ20" s="6514" t="s">
        <v>3750</v>
      </c>
      <c r="AR20" s="6515">
        <v>0</v>
      </c>
      <c r="AS20" s="6514" t="s">
        <v>3751</v>
      </c>
      <c r="AT20" s="6515">
        <v>0</v>
      </c>
      <c r="AU20" s="6514" t="s">
        <v>3752</v>
      </c>
      <c r="AV20" s="6515">
        <v>0</v>
      </c>
      <c r="AW20" s="6514" t="s">
        <v>2810</v>
      </c>
      <c r="AX20" s="6515">
        <v>0</v>
      </c>
      <c r="AY20" s="6514" t="s">
        <v>2231</v>
      </c>
      <c r="AZ20" s="6515">
        <v>0</v>
      </c>
      <c r="BA20" s="6514" t="s">
        <v>2206</v>
      </c>
      <c r="BD20" s="6492"/>
      <c r="BE20" s="6500"/>
      <c r="BF20" s="6500"/>
      <c r="BG20" s="6500"/>
      <c r="BH20" s="6500"/>
      <c r="BI20" s="6500"/>
      <c r="BJ20" s="6500"/>
      <c r="BK20" s="6500"/>
      <c r="BL20" s="6500"/>
      <c r="BM20" s="6500"/>
      <c r="BN20" s="6500"/>
      <c r="BO20" s="6500"/>
      <c r="BP20" s="6500"/>
      <c r="BQ20" s="6500"/>
      <c r="BR20" s="6500"/>
      <c r="BS20" s="6500"/>
      <c r="BT20" s="6500"/>
      <c r="BU20" s="6500"/>
      <c r="BV20" s="6500"/>
      <c r="BW20" s="6500"/>
      <c r="BX20" s="6500"/>
      <c r="BY20" s="6500"/>
      <c r="BZ20" s="6500"/>
      <c r="CA20" s="6500"/>
      <c r="CB20" s="6500"/>
      <c r="CC20" s="6500"/>
      <c r="CD20" s="6500"/>
      <c r="CE20" s="6500"/>
      <c r="CF20" s="6500"/>
      <c r="CG20" s="6500"/>
      <c r="CH20" s="6500"/>
      <c r="CI20" s="6500"/>
      <c r="CJ20" s="6500"/>
      <c r="CK20" s="6500"/>
      <c r="CL20" s="6500"/>
      <c r="CM20" s="6500"/>
    </row>
    <row r="21" spans="1:91" ht="44.25">
      <c r="A21" s="5096"/>
      <c r="B21" s="6474" t="s">
        <v>146</v>
      </c>
      <c r="C21" s="6475" t="s">
        <v>3701</v>
      </c>
      <c r="D21" s="6476" t="s">
        <v>146</v>
      </c>
      <c r="E21" s="6477" t="s">
        <v>3762</v>
      </c>
      <c r="F21" s="6475" t="s">
        <v>3701</v>
      </c>
      <c r="G21" s="6478" t="s">
        <v>3762</v>
      </c>
      <c r="H21" s="6479">
        <v>10</v>
      </c>
      <c r="I21" s="6475" t="s">
        <v>3701</v>
      </c>
      <c r="J21" s="6476">
        <v>10</v>
      </c>
      <c r="K21" s="6479">
        <v>36</v>
      </c>
      <c r="L21" s="6475" t="s">
        <v>3701</v>
      </c>
      <c r="M21" s="6480">
        <v>36</v>
      </c>
      <c r="N21" s="5096"/>
      <c r="O21" s="6474" t="s">
        <v>146</v>
      </c>
      <c r="P21" s="6475" t="s">
        <v>3701</v>
      </c>
      <c r="Q21" s="6481" t="s">
        <v>146</v>
      </c>
      <c r="R21" s="6477" t="s">
        <v>3762</v>
      </c>
      <c r="S21" s="6475" t="s">
        <v>3701</v>
      </c>
      <c r="T21" s="6482" t="s">
        <v>3762</v>
      </c>
      <c r="U21" s="6479">
        <v>10</v>
      </c>
      <c r="V21" s="6475" t="s">
        <v>3701</v>
      </c>
      <c r="W21" s="6481">
        <v>10</v>
      </c>
      <c r="X21" s="6479">
        <v>36</v>
      </c>
      <c r="Y21" s="6475" t="s">
        <v>3701</v>
      </c>
      <c r="Z21" s="6483">
        <v>36</v>
      </c>
      <c r="AA21" s="5096"/>
      <c r="AB21" s="5096"/>
      <c r="AC21" s="5096"/>
      <c r="AD21" s="6492"/>
      <c r="AE21" s="6500"/>
      <c r="AF21" s="6500"/>
      <c r="AG21" s="6500"/>
      <c r="AH21" s="6500"/>
      <c r="AI21" s="6500"/>
      <c r="AJ21" s="6500"/>
      <c r="AK21" s="6500"/>
      <c r="AL21" s="6500"/>
      <c r="AM21" s="6500"/>
      <c r="AN21" s="6500"/>
      <c r="AO21" s="6500"/>
      <c r="AP21" s="6500"/>
      <c r="AQ21" s="6500"/>
      <c r="AR21" s="6500"/>
      <c r="AS21" s="6500"/>
      <c r="AT21" s="6500"/>
      <c r="AU21" s="6500"/>
      <c r="AV21" s="6500"/>
      <c r="AW21" s="6500"/>
      <c r="AX21" s="6500"/>
      <c r="AY21" s="6500"/>
      <c r="AZ21" s="6500"/>
      <c r="BA21" s="6500"/>
      <c r="BD21" s="6501" t="s">
        <v>3763</v>
      </c>
      <c r="BE21" s="6516">
        <v>1</v>
      </c>
      <c r="BF21" s="6517"/>
      <c r="BG21" s="6515"/>
      <c r="BH21" s="6516">
        <v>2</v>
      </c>
      <c r="BI21" s="6517"/>
      <c r="BJ21" s="6515"/>
      <c r="BK21" s="6516">
        <v>3</v>
      </c>
      <c r="BL21" s="6517"/>
      <c r="BM21" s="6515"/>
      <c r="BN21" s="6516">
        <v>4</v>
      </c>
      <c r="BO21" s="6517"/>
      <c r="BP21" s="6515"/>
      <c r="BQ21" s="6516">
        <v>5</v>
      </c>
      <c r="BR21" s="6517"/>
      <c r="BS21" s="6515"/>
      <c r="BT21" s="6516">
        <v>6</v>
      </c>
      <c r="BU21" s="6517"/>
      <c r="BV21" s="6515"/>
      <c r="BW21" s="6516">
        <v>7</v>
      </c>
      <c r="BX21" s="6517"/>
      <c r="BY21" s="6515"/>
      <c r="BZ21" s="6516">
        <v>8</v>
      </c>
      <c r="CA21" s="6517"/>
      <c r="CB21" s="6515"/>
      <c r="CC21" s="6516">
        <v>9</v>
      </c>
      <c r="CD21" s="6517"/>
      <c r="CE21" s="6515"/>
      <c r="CF21" s="6516">
        <v>0</v>
      </c>
      <c r="CG21" s="6517"/>
      <c r="CH21" s="6515"/>
      <c r="CI21" s="6516" t="s">
        <v>3725</v>
      </c>
      <c r="CJ21" s="6517"/>
      <c r="CK21" s="6515"/>
      <c r="CL21" s="6516" t="s">
        <v>3726</v>
      </c>
      <c r="CM21" s="6517"/>
    </row>
    <row r="22" spans="1:91" ht="44.25">
      <c r="A22" s="5096"/>
      <c r="B22" s="6474" t="s">
        <v>147</v>
      </c>
      <c r="C22" s="6475" t="s">
        <v>3701</v>
      </c>
      <c r="D22" s="6476" t="s">
        <v>147</v>
      </c>
      <c r="E22" s="6477" t="s">
        <v>3764</v>
      </c>
      <c r="F22" s="6475" t="s">
        <v>3701</v>
      </c>
      <c r="G22" s="6478" t="s">
        <v>3764</v>
      </c>
      <c r="H22" s="6479">
        <v>11</v>
      </c>
      <c r="I22" s="6475" t="s">
        <v>3701</v>
      </c>
      <c r="J22" s="6476">
        <v>11</v>
      </c>
      <c r="K22" s="6479">
        <v>37</v>
      </c>
      <c r="L22" s="6475" t="s">
        <v>3701</v>
      </c>
      <c r="M22" s="6480">
        <v>37</v>
      </c>
      <c r="N22" s="5096"/>
      <c r="O22" s="6474" t="s">
        <v>147</v>
      </c>
      <c r="P22" s="6475" t="s">
        <v>3701</v>
      </c>
      <c r="Q22" s="6481" t="s">
        <v>147</v>
      </c>
      <c r="R22" s="6477" t="s">
        <v>3764</v>
      </c>
      <c r="S22" s="6475" t="s">
        <v>3701</v>
      </c>
      <c r="T22" s="6482" t="s">
        <v>3764</v>
      </c>
      <c r="U22" s="6479">
        <v>11</v>
      </c>
      <c r="V22" s="6475" t="s">
        <v>3701</v>
      </c>
      <c r="W22" s="6481">
        <v>11</v>
      </c>
      <c r="X22" s="6479">
        <v>37</v>
      </c>
      <c r="Y22" s="6475" t="s">
        <v>3701</v>
      </c>
      <c r="Z22" s="6483">
        <v>37</v>
      </c>
      <c r="AA22" s="5096"/>
      <c r="AB22" s="5096"/>
      <c r="AC22" s="5096"/>
      <c r="AD22" s="6484" t="s">
        <v>3765</v>
      </c>
      <c r="AE22" s="6518" t="s">
        <v>3746</v>
      </c>
      <c r="AF22" s="6519">
        <v>0</v>
      </c>
      <c r="AG22" s="6518" t="s">
        <v>3747</v>
      </c>
      <c r="AH22" s="6519">
        <v>0</v>
      </c>
      <c r="AI22" s="6518" t="s">
        <v>3748</v>
      </c>
      <c r="AJ22" s="6519">
        <v>0</v>
      </c>
      <c r="AK22" s="6518" t="s">
        <v>3749</v>
      </c>
      <c r="AL22" s="6519">
        <v>0</v>
      </c>
      <c r="AM22" s="6518" t="s">
        <v>2809</v>
      </c>
      <c r="AN22" s="6519">
        <v>0</v>
      </c>
      <c r="AO22" s="6518" t="s">
        <v>2823</v>
      </c>
      <c r="AP22" s="6519">
        <v>0</v>
      </c>
      <c r="AQ22" s="6518" t="s">
        <v>3750</v>
      </c>
      <c r="AR22" s="6519">
        <v>0</v>
      </c>
      <c r="AS22" s="6518" t="s">
        <v>3751</v>
      </c>
      <c r="AT22" s="6519">
        <v>0</v>
      </c>
      <c r="AU22" s="6518" t="s">
        <v>3752</v>
      </c>
      <c r="AV22" s="6519">
        <v>0</v>
      </c>
      <c r="AW22" s="6518" t="s">
        <v>2810</v>
      </c>
      <c r="AX22" s="6519">
        <v>0</v>
      </c>
      <c r="AY22" s="6518" t="s">
        <v>2231</v>
      </c>
      <c r="AZ22" s="6519">
        <v>0</v>
      </c>
      <c r="BA22" s="6518" t="s">
        <v>2206</v>
      </c>
      <c r="BD22" s="6501"/>
      <c r="BE22" s="6520" t="s">
        <v>2806</v>
      </c>
      <c r="BF22" s="6521"/>
      <c r="BG22" s="6515"/>
      <c r="BH22" s="6520" t="s">
        <v>3728</v>
      </c>
      <c r="BI22" s="6521" t="s">
        <v>3729</v>
      </c>
      <c r="BJ22" s="6515"/>
      <c r="BK22" s="6520" t="s">
        <v>2803</v>
      </c>
      <c r="BL22" s="6521" t="s">
        <v>2804</v>
      </c>
      <c r="BM22" s="6515"/>
      <c r="BN22" s="6520" t="s">
        <v>3730</v>
      </c>
      <c r="BO22" s="6521" t="s">
        <v>3731</v>
      </c>
      <c r="BP22" s="6515"/>
      <c r="BQ22" s="6520" t="s">
        <v>3732</v>
      </c>
      <c r="BR22" s="6521" t="s">
        <v>3733</v>
      </c>
      <c r="BS22" s="6515"/>
      <c r="BT22" s="6520" t="s">
        <v>2177</v>
      </c>
      <c r="BU22" s="6521" t="s">
        <v>3734</v>
      </c>
      <c r="BV22" s="6515"/>
      <c r="BW22" s="6520" t="s">
        <v>3735</v>
      </c>
      <c r="BX22" s="6521" t="s">
        <v>3736</v>
      </c>
      <c r="BY22" s="6515"/>
      <c r="BZ22" s="6520" t="s">
        <v>3737</v>
      </c>
      <c r="CA22" s="6521" t="s">
        <v>3738</v>
      </c>
      <c r="CB22" s="6515"/>
      <c r="CC22" s="6520" t="s">
        <v>3739</v>
      </c>
      <c r="CD22" s="6521" t="s">
        <v>3740</v>
      </c>
      <c r="CE22" s="6515"/>
      <c r="CF22" s="6520" t="s">
        <v>3741</v>
      </c>
      <c r="CG22" s="6521" t="s">
        <v>1379</v>
      </c>
      <c r="CH22" s="6515"/>
      <c r="CI22" s="6520" t="s">
        <v>3742</v>
      </c>
      <c r="CJ22" s="6521" t="s">
        <v>3743</v>
      </c>
      <c r="CK22" s="6515"/>
      <c r="CL22" s="6520" t="s">
        <v>3701</v>
      </c>
      <c r="CM22" s="6521" t="s">
        <v>3744</v>
      </c>
    </row>
    <row r="23" spans="1:91" ht="44.25">
      <c r="A23" s="5096"/>
      <c r="B23" s="6474" t="s">
        <v>224</v>
      </c>
      <c r="C23" s="6475" t="s">
        <v>3701</v>
      </c>
      <c r="D23" s="6476" t="s">
        <v>224</v>
      </c>
      <c r="E23" s="6477" t="s">
        <v>212</v>
      </c>
      <c r="F23" s="6475" t="s">
        <v>3701</v>
      </c>
      <c r="G23" s="6478" t="s">
        <v>212</v>
      </c>
      <c r="H23" s="6479">
        <v>12</v>
      </c>
      <c r="I23" s="6475" t="s">
        <v>3701</v>
      </c>
      <c r="J23" s="6522">
        <v>12</v>
      </c>
      <c r="K23" s="6479">
        <v>38</v>
      </c>
      <c r="L23" s="6475" t="s">
        <v>3701</v>
      </c>
      <c r="M23" s="6480">
        <v>38</v>
      </c>
      <c r="N23" s="5096"/>
      <c r="O23" s="6474" t="s">
        <v>224</v>
      </c>
      <c r="P23" s="6475" t="s">
        <v>3701</v>
      </c>
      <c r="Q23" s="6481" t="s">
        <v>224</v>
      </c>
      <c r="R23" s="6477" t="s">
        <v>212</v>
      </c>
      <c r="S23" s="6475" t="s">
        <v>3701</v>
      </c>
      <c r="T23" s="6482" t="s">
        <v>212</v>
      </c>
      <c r="U23" s="6479">
        <v>12</v>
      </c>
      <c r="V23" s="6475" t="s">
        <v>3701</v>
      </c>
      <c r="W23" s="6481">
        <v>12</v>
      </c>
      <c r="X23" s="6479">
        <v>38</v>
      </c>
      <c r="Y23" s="6475" t="s">
        <v>3701</v>
      </c>
      <c r="Z23" s="6483">
        <v>38</v>
      </c>
      <c r="AA23" s="5096"/>
      <c r="AB23" s="5096"/>
      <c r="AC23" s="5096"/>
      <c r="BD23" s="6492"/>
      <c r="BE23" s="6500"/>
      <c r="BF23" s="6500"/>
      <c r="BG23" s="6500"/>
      <c r="BH23" s="6500"/>
      <c r="BI23" s="6500"/>
      <c r="BJ23" s="6500"/>
      <c r="BK23" s="6500"/>
      <c r="BL23" s="6500"/>
      <c r="BM23" s="6500"/>
      <c r="BN23" s="6500"/>
      <c r="BO23" s="6500"/>
      <c r="BP23" s="6500"/>
      <c r="BQ23" s="6500"/>
      <c r="BR23" s="6500"/>
      <c r="BS23" s="6500"/>
      <c r="BT23" s="6500"/>
      <c r="BU23" s="6500"/>
      <c r="BV23" s="6500"/>
      <c r="BW23" s="6500"/>
      <c r="BX23" s="6500"/>
      <c r="BY23" s="6500"/>
      <c r="BZ23" s="6500"/>
      <c r="CA23" s="6500"/>
      <c r="CB23" s="6500"/>
      <c r="CC23" s="6500"/>
      <c r="CD23" s="6500"/>
      <c r="CE23" s="6500"/>
      <c r="CF23" s="6500"/>
      <c r="CG23" s="6500"/>
      <c r="CH23" s="6500"/>
      <c r="CI23" s="6500"/>
      <c r="CJ23" s="6500"/>
      <c r="CK23" s="6500"/>
      <c r="CL23" s="6500"/>
      <c r="CM23" s="6500"/>
    </row>
    <row r="24" spans="1:91" ht="44.25">
      <c r="A24" s="5096"/>
      <c r="B24" s="6474" t="s">
        <v>316</v>
      </c>
      <c r="C24" s="6475" t="s">
        <v>3701</v>
      </c>
      <c r="D24" s="6476" t="s">
        <v>316</v>
      </c>
      <c r="E24" s="6477" t="s">
        <v>3766</v>
      </c>
      <c r="F24" s="6475" t="s">
        <v>3701</v>
      </c>
      <c r="G24" s="6478" t="s">
        <v>3766</v>
      </c>
      <c r="H24" s="6479">
        <v>13</v>
      </c>
      <c r="I24" s="6475" t="s">
        <v>3701</v>
      </c>
      <c r="J24" s="6522">
        <v>13</v>
      </c>
      <c r="K24" s="6479">
        <v>39</v>
      </c>
      <c r="L24" s="6475" t="s">
        <v>3701</v>
      </c>
      <c r="M24" s="6480">
        <v>39</v>
      </c>
      <c r="N24" s="5096"/>
      <c r="O24" s="6474" t="s">
        <v>316</v>
      </c>
      <c r="P24" s="6475" t="s">
        <v>3701</v>
      </c>
      <c r="Q24" s="6481" t="s">
        <v>316</v>
      </c>
      <c r="R24" s="6477" t="s">
        <v>3766</v>
      </c>
      <c r="S24" s="6475" t="s">
        <v>3701</v>
      </c>
      <c r="T24" s="6482" t="s">
        <v>3766</v>
      </c>
      <c r="U24" s="6479">
        <v>13</v>
      </c>
      <c r="V24" s="6475" t="s">
        <v>3701</v>
      </c>
      <c r="W24" s="6481">
        <v>13</v>
      </c>
      <c r="X24" s="6479">
        <v>39</v>
      </c>
      <c r="Y24" s="6475" t="s">
        <v>3701</v>
      </c>
      <c r="Z24" s="6483">
        <v>39</v>
      </c>
      <c r="AA24" s="5096"/>
      <c r="AB24" s="5096"/>
      <c r="AC24" s="5096"/>
      <c r="AD24" s="6464" t="s">
        <v>3767</v>
      </c>
      <c r="BD24" s="6501" t="s">
        <v>3765</v>
      </c>
      <c r="BE24" s="6523">
        <v>1</v>
      </c>
      <c r="BF24" s="6524"/>
      <c r="BG24" s="6519"/>
      <c r="BH24" s="6523">
        <v>2</v>
      </c>
      <c r="BI24" s="6524"/>
      <c r="BJ24" s="6519"/>
      <c r="BK24" s="6523">
        <v>3</v>
      </c>
      <c r="BL24" s="6524"/>
      <c r="BM24" s="6519"/>
      <c r="BN24" s="6523">
        <v>4</v>
      </c>
      <c r="BO24" s="6524"/>
      <c r="BP24" s="6519"/>
      <c r="BQ24" s="6523">
        <v>5</v>
      </c>
      <c r="BR24" s="6524"/>
      <c r="BS24" s="6519"/>
      <c r="BT24" s="6523">
        <v>6</v>
      </c>
      <c r="BU24" s="6524"/>
      <c r="BV24" s="6519"/>
      <c r="BW24" s="6523">
        <v>7</v>
      </c>
      <c r="BX24" s="6524"/>
      <c r="BY24" s="6519"/>
      <c r="BZ24" s="6523">
        <v>8</v>
      </c>
      <c r="CA24" s="6524"/>
      <c r="CB24" s="6519"/>
      <c r="CC24" s="6523">
        <v>9</v>
      </c>
      <c r="CD24" s="6524"/>
      <c r="CE24" s="6519"/>
      <c r="CF24" s="6523">
        <v>0</v>
      </c>
      <c r="CG24" s="6524"/>
      <c r="CH24" s="6519"/>
      <c r="CI24" s="6523" t="s">
        <v>3725</v>
      </c>
      <c r="CJ24" s="6524"/>
      <c r="CK24" s="6519"/>
      <c r="CL24" s="6523" t="s">
        <v>3726</v>
      </c>
      <c r="CM24" s="6524"/>
    </row>
    <row r="25" spans="1:91" ht="46.5">
      <c r="A25" s="5096"/>
      <c r="B25" s="6474" t="s">
        <v>654</v>
      </c>
      <c r="C25" s="6475" t="s">
        <v>3701</v>
      </c>
      <c r="D25" s="6476" t="s">
        <v>654</v>
      </c>
      <c r="E25" s="6477" t="s">
        <v>3768</v>
      </c>
      <c r="F25" s="6475" t="s">
        <v>3701</v>
      </c>
      <c r="G25" s="6478" t="s">
        <v>3768</v>
      </c>
      <c r="H25" s="6479">
        <v>14</v>
      </c>
      <c r="I25" s="6475" t="s">
        <v>3701</v>
      </c>
      <c r="J25" s="6522">
        <v>14</v>
      </c>
      <c r="K25" s="6479">
        <v>40</v>
      </c>
      <c r="L25" s="6475" t="s">
        <v>3701</v>
      </c>
      <c r="M25" s="6480">
        <v>40</v>
      </c>
      <c r="N25" s="5096"/>
      <c r="O25" s="6474" t="s">
        <v>654</v>
      </c>
      <c r="P25" s="6475" t="s">
        <v>3701</v>
      </c>
      <c r="Q25" s="6481" t="s">
        <v>654</v>
      </c>
      <c r="R25" s="6477" t="s">
        <v>3768</v>
      </c>
      <c r="S25" s="6475" t="s">
        <v>3701</v>
      </c>
      <c r="T25" s="6482" t="s">
        <v>3768</v>
      </c>
      <c r="U25" s="6479">
        <v>14</v>
      </c>
      <c r="V25" s="6475" t="s">
        <v>3701</v>
      </c>
      <c r="W25" s="6481">
        <v>14</v>
      </c>
      <c r="X25" s="6479">
        <v>40</v>
      </c>
      <c r="Y25" s="6475" t="s">
        <v>3701</v>
      </c>
      <c r="Z25" s="6483">
        <v>40</v>
      </c>
      <c r="AA25" s="5096"/>
      <c r="AB25" s="5096"/>
      <c r="AC25" s="5096"/>
      <c r="AD25" s="6484" t="s">
        <v>3711</v>
      </c>
      <c r="AE25" s="6525" t="s">
        <v>3769</v>
      </c>
      <c r="AF25" s="6526"/>
      <c r="AG25" s="6525" t="s">
        <v>3770</v>
      </c>
      <c r="AH25" s="6526"/>
      <c r="AI25" s="6525" t="s">
        <v>3771</v>
      </c>
      <c r="AJ25" s="6526"/>
      <c r="AK25" s="6525" t="s">
        <v>3772</v>
      </c>
      <c r="AL25" s="6526"/>
      <c r="AM25" s="6525" t="s">
        <v>3773</v>
      </c>
      <c r="AN25" s="6526"/>
      <c r="AO25" s="6525" t="s">
        <v>3774</v>
      </c>
      <c r="AP25" s="6526"/>
      <c r="AQ25" s="6525" t="s">
        <v>3775</v>
      </c>
      <c r="AR25" s="6526"/>
      <c r="AS25" s="6525" t="s">
        <v>3776</v>
      </c>
      <c r="AT25" s="6526"/>
      <c r="AU25" s="6525" t="s">
        <v>3777</v>
      </c>
      <c r="AV25" s="6526"/>
      <c r="AW25" s="6525" t="s">
        <v>3778</v>
      </c>
      <c r="AX25" s="6526"/>
      <c r="AY25" s="6525" t="s">
        <v>3779</v>
      </c>
      <c r="AZ25" s="6526"/>
      <c r="BA25" s="6525" t="s">
        <v>3780</v>
      </c>
      <c r="BD25" s="6501"/>
      <c r="BE25" s="6527" t="s">
        <v>2806</v>
      </c>
      <c r="BF25" s="6528"/>
      <c r="BG25" s="6519"/>
      <c r="BH25" s="6527" t="s">
        <v>3728</v>
      </c>
      <c r="BI25" s="6528" t="s">
        <v>3729</v>
      </c>
      <c r="BJ25" s="6519"/>
      <c r="BK25" s="6527" t="s">
        <v>2803</v>
      </c>
      <c r="BL25" s="6528" t="s">
        <v>2804</v>
      </c>
      <c r="BM25" s="6519"/>
      <c r="BN25" s="6527" t="s">
        <v>3730</v>
      </c>
      <c r="BO25" s="6528" t="s">
        <v>3731</v>
      </c>
      <c r="BP25" s="6519"/>
      <c r="BQ25" s="6527" t="s">
        <v>3732</v>
      </c>
      <c r="BR25" s="6528" t="s">
        <v>3733</v>
      </c>
      <c r="BS25" s="6519"/>
      <c r="BT25" s="6527" t="s">
        <v>2177</v>
      </c>
      <c r="BU25" s="6528" t="s">
        <v>3734</v>
      </c>
      <c r="BV25" s="6519"/>
      <c r="BW25" s="6527" t="s">
        <v>3735</v>
      </c>
      <c r="BX25" s="6528" t="s">
        <v>3736</v>
      </c>
      <c r="BY25" s="6519"/>
      <c r="BZ25" s="6527" t="s">
        <v>3737</v>
      </c>
      <c r="CA25" s="6528" t="s">
        <v>3738</v>
      </c>
      <c r="CB25" s="6519"/>
      <c r="CC25" s="6527" t="s">
        <v>3739</v>
      </c>
      <c r="CD25" s="6528" t="s">
        <v>3740</v>
      </c>
      <c r="CE25" s="6519"/>
      <c r="CF25" s="6527" t="s">
        <v>3741</v>
      </c>
      <c r="CG25" s="6528" t="s">
        <v>1379</v>
      </c>
      <c r="CH25" s="6519"/>
      <c r="CI25" s="6527" t="s">
        <v>3742</v>
      </c>
      <c r="CJ25" s="6528" t="s">
        <v>3743</v>
      </c>
      <c r="CK25" s="6519"/>
      <c r="CL25" s="6527" t="s">
        <v>3701</v>
      </c>
      <c r="CM25" s="6528" t="s">
        <v>3744</v>
      </c>
    </row>
    <row r="26" spans="1:91" ht="44.25">
      <c r="A26" s="5096"/>
      <c r="B26" s="6474" t="s">
        <v>2997</v>
      </c>
      <c r="C26" s="6475" t="s">
        <v>3701</v>
      </c>
      <c r="D26" s="6476" t="s">
        <v>2997</v>
      </c>
      <c r="E26" s="6477" t="s">
        <v>3781</v>
      </c>
      <c r="F26" s="6475" t="s">
        <v>3701</v>
      </c>
      <c r="G26" s="6478" t="s">
        <v>3781</v>
      </c>
      <c r="H26" s="6479">
        <v>15</v>
      </c>
      <c r="I26" s="6475" t="s">
        <v>3701</v>
      </c>
      <c r="J26" s="6522">
        <v>15</v>
      </c>
      <c r="K26" s="6479">
        <v>41</v>
      </c>
      <c r="L26" s="6475" t="s">
        <v>3701</v>
      </c>
      <c r="M26" s="6480">
        <v>41</v>
      </c>
      <c r="N26" s="5096"/>
      <c r="O26" s="6474" t="s">
        <v>2997</v>
      </c>
      <c r="P26" s="6475" t="s">
        <v>3701</v>
      </c>
      <c r="Q26" s="6481" t="s">
        <v>2997</v>
      </c>
      <c r="R26" s="6477" t="s">
        <v>3781</v>
      </c>
      <c r="S26" s="6475" t="s">
        <v>3701</v>
      </c>
      <c r="T26" s="6482" t="s">
        <v>3781</v>
      </c>
      <c r="U26" s="6479">
        <v>15</v>
      </c>
      <c r="V26" s="6475" t="s">
        <v>3701</v>
      </c>
      <c r="W26" s="6481">
        <v>15</v>
      </c>
      <c r="X26" s="6479">
        <v>41</v>
      </c>
      <c r="Y26" s="6475" t="s">
        <v>3701</v>
      </c>
      <c r="Z26" s="6483">
        <v>41</v>
      </c>
      <c r="AA26" s="5096"/>
      <c r="AB26" s="5096"/>
      <c r="AC26" s="5096"/>
      <c r="AD26" s="6492"/>
      <c r="AE26" s="6529"/>
      <c r="AF26" s="6529"/>
      <c r="AG26" s="6529"/>
      <c r="AH26" s="6529"/>
      <c r="AI26" s="6529"/>
      <c r="AJ26" s="6529"/>
      <c r="AK26" s="6529"/>
      <c r="AL26" s="6529"/>
      <c r="AM26" s="6529"/>
      <c r="AN26" s="6529"/>
      <c r="AO26" s="6529"/>
      <c r="AP26" s="6529"/>
      <c r="AQ26" s="6529"/>
      <c r="AR26" s="6529"/>
      <c r="AS26" s="6529"/>
      <c r="AT26" s="6529"/>
      <c r="AU26" s="6529"/>
      <c r="AV26" s="6529"/>
      <c r="AW26" s="6529"/>
      <c r="AX26" s="6529"/>
      <c r="AY26" s="6529"/>
      <c r="AZ26" s="6529"/>
      <c r="BA26" s="6529"/>
      <c r="BD26" s="6492"/>
      <c r="BE26" s="6500"/>
      <c r="BF26" s="6500"/>
      <c r="BG26" s="6500"/>
      <c r="BH26" s="6500"/>
      <c r="BI26" s="6500"/>
      <c r="BJ26" s="6500"/>
      <c r="BK26" s="6500"/>
      <c r="BL26" s="6500"/>
      <c r="BM26" s="6500"/>
      <c r="BN26" s="6500"/>
      <c r="BO26" s="6500"/>
      <c r="BP26" s="6500"/>
      <c r="BQ26" s="6500"/>
      <c r="BR26" s="6500"/>
      <c r="BS26" s="6500"/>
      <c r="BT26" s="6500"/>
      <c r="BU26" s="6500"/>
      <c r="BV26" s="6500"/>
      <c r="BW26" s="6500"/>
      <c r="BX26" s="6500"/>
      <c r="BY26" s="6500"/>
      <c r="BZ26" s="6500"/>
      <c r="CA26" s="6500"/>
      <c r="CB26" s="6500"/>
      <c r="CC26" s="6500"/>
      <c r="CD26" s="6500"/>
      <c r="CE26" s="6500"/>
      <c r="CF26" s="6500"/>
      <c r="CG26" s="6500"/>
      <c r="CH26" s="6500"/>
      <c r="CI26" s="6500"/>
      <c r="CJ26" s="6500"/>
      <c r="CK26" s="6500"/>
      <c r="CL26" s="6500"/>
      <c r="CM26" s="6500"/>
    </row>
    <row r="27" spans="1:91" ht="44.25">
      <c r="A27" s="5096"/>
      <c r="B27" s="6474" t="s">
        <v>318</v>
      </c>
      <c r="C27" s="6475" t="s">
        <v>3701</v>
      </c>
      <c r="D27" s="6476" t="s">
        <v>318</v>
      </c>
      <c r="E27" s="6477" t="s">
        <v>788</v>
      </c>
      <c r="F27" s="6475" t="s">
        <v>3701</v>
      </c>
      <c r="G27" s="6478" t="s">
        <v>788</v>
      </c>
      <c r="H27" s="6479">
        <v>16</v>
      </c>
      <c r="I27" s="6475" t="s">
        <v>3701</v>
      </c>
      <c r="J27" s="6522">
        <v>16</v>
      </c>
      <c r="K27" s="6479">
        <v>42</v>
      </c>
      <c r="L27" s="6475" t="s">
        <v>3701</v>
      </c>
      <c r="M27" s="6480">
        <v>42</v>
      </c>
      <c r="N27" s="5096"/>
      <c r="O27" s="6474" t="s">
        <v>318</v>
      </c>
      <c r="P27" s="6475" t="s">
        <v>3701</v>
      </c>
      <c r="Q27" s="6481" t="s">
        <v>318</v>
      </c>
      <c r="R27" s="6477" t="s">
        <v>788</v>
      </c>
      <c r="S27" s="6475" t="s">
        <v>3701</v>
      </c>
      <c r="T27" s="6482" t="s">
        <v>788</v>
      </c>
      <c r="U27" s="6479">
        <v>16</v>
      </c>
      <c r="V27" s="6475" t="s">
        <v>3701</v>
      </c>
      <c r="W27" s="6481">
        <v>16</v>
      </c>
      <c r="X27" s="6479">
        <v>42</v>
      </c>
      <c r="Y27" s="6475" t="s">
        <v>3701</v>
      </c>
      <c r="Z27" s="6483">
        <v>42</v>
      </c>
      <c r="AA27" s="5096"/>
      <c r="AB27" s="5096"/>
      <c r="AC27" s="5096"/>
      <c r="AD27" s="6484" t="s">
        <v>2759</v>
      </c>
      <c r="AE27" s="6530" t="s">
        <v>2204</v>
      </c>
      <c r="AF27" s="6531"/>
      <c r="AG27" s="6530" t="s">
        <v>3782</v>
      </c>
      <c r="AH27" s="6531"/>
      <c r="AI27" s="6530" t="s">
        <v>3783</v>
      </c>
      <c r="AJ27" s="6531"/>
      <c r="AK27" s="6530" t="s">
        <v>3784</v>
      </c>
      <c r="AL27" s="6531"/>
      <c r="AM27" s="6530" t="s">
        <v>3785</v>
      </c>
      <c r="AN27" s="6531"/>
      <c r="AO27" s="6530" t="s">
        <v>3786</v>
      </c>
      <c r="AP27" s="6531"/>
      <c r="AQ27" s="6530" t="s">
        <v>3787</v>
      </c>
      <c r="AR27" s="6531"/>
      <c r="AS27" s="6530" t="s">
        <v>3788</v>
      </c>
      <c r="AT27" s="6531"/>
      <c r="AU27" s="6530" t="s">
        <v>3789</v>
      </c>
      <c r="AV27" s="6531"/>
      <c r="AW27" s="6530" t="s">
        <v>3790</v>
      </c>
      <c r="AX27" s="6531"/>
      <c r="AY27" s="6530" t="s">
        <v>3791</v>
      </c>
      <c r="AZ27" s="6531"/>
      <c r="BA27" s="6530" t="s">
        <v>3792</v>
      </c>
      <c r="BD27" s="6492"/>
      <c r="BE27" s="6465" t="s">
        <v>3793</v>
      </c>
      <c r="BF27" s="6500"/>
      <c r="BG27" s="6500"/>
      <c r="BH27" s="6500"/>
      <c r="BI27" s="6500"/>
      <c r="BJ27" s="6500"/>
      <c r="BK27" s="6500"/>
      <c r="BL27" s="6500"/>
      <c r="BM27" s="6500"/>
      <c r="BN27" s="6500"/>
      <c r="BO27" s="6500"/>
      <c r="BP27" s="6500"/>
      <c r="BQ27" s="6500"/>
      <c r="BR27" s="6500"/>
      <c r="BS27" s="6500"/>
      <c r="BT27" s="6500"/>
      <c r="BU27" s="6500"/>
      <c r="BV27" s="6500"/>
      <c r="BW27" s="6500"/>
      <c r="BX27" s="6500"/>
      <c r="BY27" s="6500"/>
      <c r="BZ27" s="6500"/>
      <c r="CA27" s="6500"/>
      <c r="CB27" s="6500"/>
      <c r="CC27" s="6500"/>
      <c r="CD27" s="6500"/>
      <c r="CE27" s="6500"/>
      <c r="CF27" s="6500"/>
      <c r="CG27" s="6500"/>
      <c r="CH27" s="6500"/>
      <c r="CI27" s="6500"/>
      <c r="CJ27" s="6500"/>
      <c r="CK27" s="6500"/>
      <c r="CL27" s="6500"/>
      <c r="CM27" s="6500"/>
    </row>
    <row r="28" spans="1:91" ht="44.25">
      <c r="A28" s="5096"/>
      <c r="B28" s="6474" t="s">
        <v>706</v>
      </c>
      <c r="C28" s="6475" t="s">
        <v>3701</v>
      </c>
      <c r="D28" s="6476" t="s">
        <v>706</v>
      </c>
      <c r="E28" s="6477" t="s">
        <v>785</v>
      </c>
      <c r="F28" s="6475" t="s">
        <v>3701</v>
      </c>
      <c r="G28" s="6478" t="s">
        <v>785</v>
      </c>
      <c r="H28" s="6479">
        <v>17</v>
      </c>
      <c r="I28" s="6475" t="s">
        <v>3701</v>
      </c>
      <c r="J28" s="6522">
        <v>17</v>
      </c>
      <c r="K28" s="6479">
        <v>43</v>
      </c>
      <c r="L28" s="6475" t="s">
        <v>3701</v>
      </c>
      <c r="M28" s="6480">
        <v>43</v>
      </c>
      <c r="N28" s="5096"/>
      <c r="O28" s="6474" t="s">
        <v>706</v>
      </c>
      <c r="P28" s="6475" t="s">
        <v>3701</v>
      </c>
      <c r="Q28" s="6481" t="s">
        <v>706</v>
      </c>
      <c r="R28" s="6477" t="s">
        <v>785</v>
      </c>
      <c r="S28" s="6475" t="s">
        <v>3701</v>
      </c>
      <c r="T28" s="6482" t="s">
        <v>785</v>
      </c>
      <c r="U28" s="6479">
        <v>17</v>
      </c>
      <c r="V28" s="6475" t="s">
        <v>3701</v>
      </c>
      <c r="W28" s="6481">
        <v>17</v>
      </c>
      <c r="X28" s="6479">
        <v>43</v>
      </c>
      <c r="Y28" s="6475" t="s">
        <v>3701</v>
      </c>
      <c r="Z28" s="6483">
        <v>43</v>
      </c>
      <c r="AA28" s="5096"/>
      <c r="AB28" s="5096"/>
      <c r="AC28" s="5096"/>
      <c r="AD28" s="6492"/>
      <c r="AE28" s="6532"/>
      <c r="AF28" s="6532"/>
      <c r="AG28" s="6532"/>
      <c r="AH28" s="6532"/>
      <c r="AI28" s="6532"/>
      <c r="AJ28" s="6532"/>
      <c r="AK28" s="6532"/>
      <c r="AL28" s="6532"/>
      <c r="AM28" s="6532"/>
      <c r="AN28" s="6532"/>
      <c r="AO28" s="6532"/>
      <c r="AP28" s="6532"/>
      <c r="AQ28" s="6532"/>
      <c r="AR28" s="6532"/>
      <c r="AS28" s="6532"/>
      <c r="AT28" s="6532"/>
      <c r="AU28" s="6532"/>
      <c r="AV28" s="6532"/>
      <c r="AW28" s="6532"/>
      <c r="AX28" s="6532"/>
      <c r="AY28" s="6532"/>
      <c r="AZ28" s="6532"/>
      <c r="BA28" s="6532"/>
      <c r="BD28" s="6487" t="s">
        <v>3724</v>
      </c>
      <c r="BE28" s="6488" t="s">
        <v>99</v>
      </c>
      <c r="BF28" s="6489"/>
      <c r="BG28" s="6490"/>
      <c r="BH28" s="6488" t="s">
        <v>688</v>
      </c>
      <c r="BI28" s="6489"/>
      <c r="BJ28" s="6490"/>
      <c r="BK28" s="6488" t="s">
        <v>112</v>
      </c>
      <c r="BL28" s="6489"/>
      <c r="BM28" s="6490"/>
      <c r="BN28" s="6488" t="s">
        <v>504</v>
      </c>
      <c r="BO28" s="6489"/>
      <c r="BP28" s="6490"/>
      <c r="BQ28" s="6488" t="s">
        <v>562</v>
      </c>
      <c r="BR28" s="6489"/>
      <c r="BS28" s="6490"/>
      <c r="BT28" s="6488" t="s">
        <v>3794</v>
      </c>
      <c r="BU28" s="6489"/>
      <c r="BV28" s="6490"/>
      <c r="BW28" s="6488" t="s">
        <v>576</v>
      </c>
      <c r="BX28" s="6489"/>
      <c r="BY28" s="6490"/>
      <c r="BZ28" s="6488" t="s">
        <v>145</v>
      </c>
      <c r="CA28" s="6489"/>
      <c r="CB28" s="6490"/>
      <c r="CC28" s="6488" t="s">
        <v>2997</v>
      </c>
      <c r="CD28" s="6489"/>
      <c r="CE28" s="6490"/>
      <c r="CF28" s="6488" t="s">
        <v>318</v>
      </c>
      <c r="CG28" s="6489"/>
      <c r="CH28" s="6490"/>
      <c r="CI28" s="6488" t="s">
        <v>3795</v>
      </c>
      <c r="CJ28" s="6489"/>
      <c r="CK28" s="6490"/>
      <c r="CL28" s="6488" t="s">
        <v>3796</v>
      </c>
      <c r="CM28" s="6489"/>
    </row>
    <row r="29" spans="1:91" ht="44.25">
      <c r="A29" s="5096"/>
      <c r="B29" s="6474" t="s">
        <v>504</v>
      </c>
      <c r="C29" s="6475" t="s">
        <v>3701</v>
      </c>
      <c r="D29" s="6476" t="s">
        <v>504</v>
      </c>
      <c r="E29" s="6477" t="s">
        <v>3797</v>
      </c>
      <c r="F29" s="6475" t="s">
        <v>3701</v>
      </c>
      <c r="G29" s="6478" t="s">
        <v>3797</v>
      </c>
      <c r="H29" s="6479">
        <v>18</v>
      </c>
      <c r="I29" s="6475" t="s">
        <v>3701</v>
      </c>
      <c r="J29" s="6522">
        <v>18</v>
      </c>
      <c r="K29" s="6479">
        <v>44</v>
      </c>
      <c r="L29" s="6475" t="s">
        <v>3701</v>
      </c>
      <c r="M29" s="6480">
        <v>44</v>
      </c>
      <c r="N29" s="5096"/>
      <c r="O29" s="6474" t="s">
        <v>504</v>
      </c>
      <c r="P29" s="6475" t="s">
        <v>3701</v>
      </c>
      <c r="Q29" s="6481" t="s">
        <v>504</v>
      </c>
      <c r="R29" s="6477" t="s">
        <v>3797</v>
      </c>
      <c r="S29" s="6475" t="s">
        <v>3701</v>
      </c>
      <c r="T29" s="6482" t="s">
        <v>3797</v>
      </c>
      <c r="U29" s="6479">
        <v>18</v>
      </c>
      <c r="V29" s="6475" t="s">
        <v>3701</v>
      </c>
      <c r="W29" s="6481">
        <v>18</v>
      </c>
      <c r="X29" s="6479">
        <v>44</v>
      </c>
      <c r="Y29" s="6475" t="s">
        <v>3701</v>
      </c>
      <c r="Z29" s="6483">
        <v>44</v>
      </c>
      <c r="AA29" s="5096"/>
      <c r="AB29" s="5096"/>
      <c r="AC29" s="5096"/>
      <c r="AD29" s="6484" t="s">
        <v>3754</v>
      </c>
      <c r="AE29" s="6533" t="s">
        <v>2204</v>
      </c>
      <c r="AF29" s="6534">
        <v>0</v>
      </c>
      <c r="AG29" s="6533" t="s">
        <v>3782</v>
      </c>
      <c r="AH29" s="6534">
        <v>0</v>
      </c>
      <c r="AI29" s="6533" t="s">
        <v>3783</v>
      </c>
      <c r="AJ29" s="6534">
        <v>0</v>
      </c>
      <c r="AK29" s="6533" t="s">
        <v>3784</v>
      </c>
      <c r="AL29" s="6534">
        <v>0</v>
      </c>
      <c r="AM29" s="6533" t="s">
        <v>3785</v>
      </c>
      <c r="AN29" s="6534">
        <v>0</v>
      </c>
      <c r="AO29" s="6533" t="s">
        <v>3786</v>
      </c>
      <c r="AP29" s="6534">
        <v>0</v>
      </c>
      <c r="AQ29" s="6533" t="s">
        <v>3787</v>
      </c>
      <c r="AR29" s="6534">
        <v>0</v>
      </c>
      <c r="AS29" s="6535" t="s">
        <v>3788</v>
      </c>
      <c r="AT29" s="6534">
        <v>0</v>
      </c>
      <c r="AU29" s="6533" t="s">
        <v>3789</v>
      </c>
      <c r="AV29" s="6534">
        <v>0</v>
      </c>
      <c r="AW29" s="6533" t="s">
        <v>3790</v>
      </c>
      <c r="AX29" s="6534">
        <v>0</v>
      </c>
      <c r="AY29" s="6533" t="s">
        <v>3791</v>
      </c>
      <c r="AZ29" s="6534">
        <v>0</v>
      </c>
      <c r="BA29" s="6533" t="s">
        <v>3792</v>
      </c>
      <c r="BD29" s="6487"/>
      <c r="BE29" s="6494" t="s">
        <v>3710</v>
      </c>
      <c r="BF29" s="6495"/>
      <c r="BG29" s="6490"/>
      <c r="BH29" s="6494" t="s">
        <v>3798</v>
      </c>
      <c r="BI29" s="6495"/>
      <c r="BJ29" s="6490"/>
      <c r="BK29" s="6494" t="s">
        <v>3755</v>
      </c>
      <c r="BL29" s="6495"/>
      <c r="BM29" s="6490"/>
      <c r="BN29" s="6494" t="s">
        <v>3797</v>
      </c>
      <c r="BO29" s="6495"/>
      <c r="BP29" s="6490"/>
      <c r="BQ29" s="6494" t="s">
        <v>784</v>
      </c>
      <c r="BR29" s="6495"/>
      <c r="BS29" s="6490"/>
      <c r="BT29" s="6494" t="s">
        <v>3799</v>
      </c>
      <c r="BU29" s="6495"/>
      <c r="BV29" s="6490"/>
      <c r="BW29" s="6494" t="s">
        <v>22</v>
      </c>
      <c r="BX29" s="6495"/>
      <c r="BY29" s="6490"/>
      <c r="BZ29" s="6494" t="s">
        <v>3760</v>
      </c>
      <c r="CA29" s="6495"/>
      <c r="CB29" s="6490"/>
      <c r="CC29" s="6494" t="s">
        <v>3781</v>
      </c>
      <c r="CD29" s="6495"/>
      <c r="CE29" s="6490"/>
      <c r="CF29" s="6494" t="s">
        <v>788</v>
      </c>
      <c r="CG29" s="6495"/>
      <c r="CH29" s="6490"/>
      <c r="CI29" s="6494" t="s">
        <v>3740</v>
      </c>
      <c r="CJ29" s="6495"/>
      <c r="CK29" s="6490"/>
      <c r="CL29" s="6494"/>
      <c r="CM29" s="6495" t="s">
        <v>3800</v>
      </c>
    </row>
    <row r="30" spans="1:91" ht="44.25">
      <c r="A30" s="5096"/>
      <c r="B30" s="6474" t="s">
        <v>538</v>
      </c>
      <c r="C30" s="6475" t="s">
        <v>3701</v>
      </c>
      <c r="D30" s="6476" t="s">
        <v>538</v>
      </c>
      <c r="E30" s="6477" t="s">
        <v>3801</v>
      </c>
      <c r="F30" s="6475" t="s">
        <v>3701</v>
      </c>
      <c r="G30" s="6478" t="s">
        <v>3801</v>
      </c>
      <c r="H30" s="6479">
        <v>19</v>
      </c>
      <c r="I30" s="6475" t="s">
        <v>3701</v>
      </c>
      <c r="J30" s="6522">
        <v>19</v>
      </c>
      <c r="K30" s="6479">
        <v>45</v>
      </c>
      <c r="L30" s="6475" t="s">
        <v>3701</v>
      </c>
      <c r="M30" s="6480">
        <v>45</v>
      </c>
      <c r="N30" s="5096"/>
      <c r="O30" s="6474" t="s">
        <v>538</v>
      </c>
      <c r="P30" s="6475" t="s">
        <v>3701</v>
      </c>
      <c r="Q30" s="6481" t="s">
        <v>538</v>
      </c>
      <c r="R30" s="6477" t="s">
        <v>3801</v>
      </c>
      <c r="S30" s="6475" t="s">
        <v>3701</v>
      </c>
      <c r="T30" s="6482" t="s">
        <v>3801</v>
      </c>
      <c r="U30" s="6479">
        <v>19</v>
      </c>
      <c r="V30" s="6475" t="s">
        <v>3701</v>
      </c>
      <c r="W30" s="6481">
        <v>19</v>
      </c>
      <c r="X30" s="6479">
        <v>45</v>
      </c>
      <c r="Y30" s="6475" t="s">
        <v>3701</v>
      </c>
      <c r="Z30" s="6483">
        <v>45</v>
      </c>
      <c r="AA30" s="5096"/>
      <c r="AB30" s="5096"/>
      <c r="AC30" s="5096"/>
      <c r="AD30" s="6492"/>
      <c r="AE30" s="6532"/>
      <c r="AF30" s="6532"/>
      <c r="AG30" s="6532"/>
      <c r="AH30" s="6532"/>
      <c r="AI30" s="6532"/>
      <c r="AJ30" s="6532"/>
      <c r="AK30" s="6532"/>
      <c r="AL30" s="6532"/>
      <c r="AM30" s="6532"/>
      <c r="AN30" s="6532"/>
      <c r="AO30" s="6532"/>
      <c r="AP30" s="6532"/>
      <c r="AQ30" s="6532"/>
      <c r="AR30" s="6532"/>
      <c r="AS30" s="6536"/>
      <c r="AT30" s="6532"/>
      <c r="AU30" s="6532"/>
      <c r="AV30" s="6532"/>
      <c r="AW30" s="6532"/>
      <c r="AX30" s="6532"/>
      <c r="AY30" s="6532"/>
      <c r="AZ30" s="6532"/>
      <c r="BA30" s="6532"/>
      <c r="BD30" s="6499"/>
      <c r="BE30" s="6490"/>
      <c r="BF30" s="6490"/>
      <c r="BG30" s="6490"/>
      <c r="BH30" s="6490"/>
      <c r="BI30" s="6490"/>
      <c r="BJ30" s="6490"/>
      <c r="BK30" s="6490"/>
      <c r="BL30" s="6490"/>
      <c r="BM30" s="6490"/>
      <c r="BN30" s="6490"/>
      <c r="BO30" s="6490"/>
      <c r="BP30" s="6490"/>
      <c r="BQ30" s="6490"/>
      <c r="BR30" s="6490"/>
      <c r="BS30" s="6490"/>
      <c r="BT30" s="6490"/>
      <c r="BU30" s="6490"/>
      <c r="BV30" s="6490"/>
      <c r="BW30" s="6490"/>
      <c r="BX30" s="6490"/>
      <c r="BY30" s="6490"/>
      <c r="BZ30" s="6490"/>
      <c r="CA30" s="6490"/>
      <c r="CB30" s="6490"/>
      <c r="CC30" s="6490"/>
      <c r="CD30" s="6490"/>
      <c r="CE30" s="6490"/>
      <c r="CF30" s="6490"/>
      <c r="CG30" s="6490"/>
      <c r="CH30" s="6490"/>
      <c r="CI30" s="6490"/>
      <c r="CJ30" s="6490"/>
      <c r="CK30" s="6490"/>
      <c r="CL30" s="6490"/>
      <c r="CM30" s="6490"/>
    </row>
    <row r="31" spans="1:91" ht="44.25">
      <c r="A31" s="5096"/>
      <c r="B31" s="6474" t="s">
        <v>562</v>
      </c>
      <c r="C31" s="6475" t="s">
        <v>3701</v>
      </c>
      <c r="D31" s="6476" t="s">
        <v>562</v>
      </c>
      <c r="E31" s="6477" t="s">
        <v>784</v>
      </c>
      <c r="F31" s="6475" t="s">
        <v>3701</v>
      </c>
      <c r="G31" s="6478" t="s">
        <v>784</v>
      </c>
      <c r="H31" s="6479">
        <v>20</v>
      </c>
      <c r="I31" s="6475" t="s">
        <v>3701</v>
      </c>
      <c r="J31" s="6522">
        <v>20</v>
      </c>
      <c r="K31" s="6479">
        <v>46</v>
      </c>
      <c r="L31" s="6475" t="s">
        <v>3701</v>
      </c>
      <c r="M31" s="6480">
        <v>46</v>
      </c>
      <c r="N31" s="5096"/>
      <c r="O31" s="6474" t="s">
        <v>562</v>
      </c>
      <c r="P31" s="6475" t="s">
        <v>3701</v>
      </c>
      <c r="Q31" s="6481" t="s">
        <v>562</v>
      </c>
      <c r="R31" s="6477" t="s">
        <v>784</v>
      </c>
      <c r="S31" s="6475" t="s">
        <v>3701</v>
      </c>
      <c r="T31" s="6482" t="s">
        <v>784</v>
      </c>
      <c r="U31" s="6479">
        <v>20</v>
      </c>
      <c r="V31" s="6475" t="s">
        <v>3701</v>
      </c>
      <c r="W31" s="6481">
        <v>20</v>
      </c>
      <c r="X31" s="6479">
        <v>46</v>
      </c>
      <c r="Y31" s="6475" t="s">
        <v>3701</v>
      </c>
      <c r="Z31" s="6483">
        <v>46</v>
      </c>
      <c r="AA31" s="5096"/>
      <c r="AB31" s="5096"/>
      <c r="AC31" s="5096"/>
      <c r="AD31" s="6484" t="s">
        <v>3757</v>
      </c>
      <c r="AE31" s="6537" t="s">
        <v>2204</v>
      </c>
      <c r="AF31" s="6538">
        <v>0</v>
      </c>
      <c r="AG31" s="6537" t="s">
        <v>3782</v>
      </c>
      <c r="AH31" s="6538">
        <v>0</v>
      </c>
      <c r="AI31" s="6537" t="s">
        <v>3783</v>
      </c>
      <c r="AJ31" s="6538">
        <v>0</v>
      </c>
      <c r="AK31" s="6537" t="s">
        <v>3784</v>
      </c>
      <c r="AL31" s="6538">
        <v>0</v>
      </c>
      <c r="AM31" s="6537" t="s">
        <v>3785</v>
      </c>
      <c r="AN31" s="6538">
        <v>0</v>
      </c>
      <c r="AO31" s="6537" t="s">
        <v>3786</v>
      </c>
      <c r="AP31" s="6538">
        <v>0</v>
      </c>
      <c r="AQ31" s="6537" t="s">
        <v>3787</v>
      </c>
      <c r="AR31" s="6538">
        <v>0</v>
      </c>
      <c r="AS31" s="6537" t="s">
        <v>3788</v>
      </c>
      <c r="AT31" s="6538">
        <v>0</v>
      </c>
      <c r="AU31" s="6537" t="s">
        <v>3789</v>
      </c>
      <c r="AV31" s="6538">
        <v>0</v>
      </c>
      <c r="AW31" s="6537" t="s">
        <v>3790</v>
      </c>
      <c r="AX31" s="6538">
        <v>0</v>
      </c>
      <c r="AY31" s="6537" t="s">
        <v>3791</v>
      </c>
      <c r="AZ31" s="6538">
        <v>0</v>
      </c>
      <c r="BA31" s="6537" t="s">
        <v>3792</v>
      </c>
      <c r="BD31" s="6501" t="s">
        <v>3754</v>
      </c>
      <c r="BE31" s="6502" t="s">
        <v>99</v>
      </c>
      <c r="BF31" s="6503"/>
      <c r="BG31" s="6504"/>
      <c r="BH31" s="6502" t="s">
        <v>688</v>
      </c>
      <c r="BI31" s="6503"/>
      <c r="BJ31" s="6504"/>
      <c r="BK31" s="6502" t="s">
        <v>112</v>
      </c>
      <c r="BL31" s="6503"/>
      <c r="BM31" s="6504"/>
      <c r="BN31" s="6502" t="s">
        <v>504</v>
      </c>
      <c r="BO31" s="6503"/>
      <c r="BP31" s="6504"/>
      <c r="BQ31" s="6502" t="s">
        <v>562</v>
      </c>
      <c r="BR31" s="6503"/>
      <c r="BS31" s="6504"/>
      <c r="BT31" s="6502" t="s">
        <v>3794</v>
      </c>
      <c r="BU31" s="6503"/>
      <c r="BV31" s="6504"/>
      <c r="BW31" s="6502" t="s">
        <v>576</v>
      </c>
      <c r="BX31" s="6503"/>
      <c r="BY31" s="6504"/>
      <c r="BZ31" s="6502" t="s">
        <v>145</v>
      </c>
      <c r="CA31" s="6503"/>
      <c r="CB31" s="6504"/>
      <c r="CC31" s="6502" t="s">
        <v>2997</v>
      </c>
      <c r="CD31" s="6503"/>
      <c r="CE31" s="6504"/>
      <c r="CF31" s="6502" t="s">
        <v>318</v>
      </c>
      <c r="CG31" s="6503"/>
      <c r="CH31" s="6504"/>
      <c r="CI31" s="6502" t="s">
        <v>3795</v>
      </c>
      <c r="CJ31" s="6503"/>
      <c r="CK31" s="6504"/>
      <c r="CL31" s="6502" t="s">
        <v>3796</v>
      </c>
      <c r="CM31" s="6503"/>
    </row>
    <row r="32" spans="1:91" ht="44.25">
      <c r="A32" s="5096"/>
      <c r="B32" s="6474" t="s">
        <v>576</v>
      </c>
      <c r="C32" s="6475" t="s">
        <v>3701</v>
      </c>
      <c r="D32" s="6476" t="s">
        <v>576</v>
      </c>
      <c r="E32" s="6477" t="s">
        <v>22</v>
      </c>
      <c r="F32" s="6475" t="s">
        <v>3701</v>
      </c>
      <c r="G32" s="6478" t="s">
        <v>22</v>
      </c>
      <c r="H32" s="6479">
        <v>21</v>
      </c>
      <c r="I32" s="6475" t="s">
        <v>3701</v>
      </c>
      <c r="J32" s="6522">
        <v>21</v>
      </c>
      <c r="K32" s="6479">
        <v>47</v>
      </c>
      <c r="L32" s="6475" t="s">
        <v>3701</v>
      </c>
      <c r="M32" s="6480">
        <v>47</v>
      </c>
      <c r="N32" s="5096"/>
      <c r="O32" s="6474" t="s">
        <v>576</v>
      </c>
      <c r="P32" s="6475" t="s">
        <v>3701</v>
      </c>
      <c r="Q32" s="6481" t="s">
        <v>576</v>
      </c>
      <c r="R32" s="6477" t="s">
        <v>22</v>
      </c>
      <c r="S32" s="6475" t="s">
        <v>3701</v>
      </c>
      <c r="T32" s="6482" t="s">
        <v>22</v>
      </c>
      <c r="U32" s="6479">
        <v>21</v>
      </c>
      <c r="V32" s="6475" t="s">
        <v>3701</v>
      </c>
      <c r="W32" s="6481">
        <v>21</v>
      </c>
      <c r="X32" s="6479">
        <v>47</v>
      </c>
      <c r="Y32" s="6475" t="s">
        <v>3701</v>
      </c>
      <c r="Z32" s="6483">
        <v>47</v>
      </c>
      <c r="AA32" s="5096"/>
      <c r="AB32" s="5096"/>
      <c r="AC32" s="5096"/>
      <c r="AD32" s="6492"/>
      <c r="AE32" s="6532"/>
      <c r="AF32" s="6532"/>
      <c r="AG32" s="6532"/>
      <c r="AH32" s="6532"/>
      <c r="AI32" s="6532"/>
      <c r="AJ32" s="6532"/>
      <c r="AK32" s="6532"/>
      <c r="AL32" s="6532"/>
      <c r="AM32" s="6532"/>
      <c r="AN32" s="6532"/>
      <c r="AO32" s="6532"/>
      <c r="AP32" s="6532"/>
      <c r="AQ32" s="6532"/>
      <c r="AR32" s="6532"/>
      <c r="AS32" s="6532"/>
      <c r="AT32" s="6532"/>
      <c r="AU32" s="6532"/>
      <c r="AV32" s="6532"/>
      <c r="AW32" s="6532"/>
      <c r="AX32" s="6532"/>
      <c r="AY32" s="6532"/>
      <c r="AZ32" s="6532"/>
      <c r="BA32" s="6532"/>
      <c r="BD32" s="6501"/>
      <c r="BE32" s="6506" t="s">
        <v>3710</v>
      </c>
      <c r="BF32" s="6507"/>
      <c r="BG32" s="6504"/>
      <c r="BH32" s="6506" t="s">
        <v>3798</v>
      </c>
      <c r="BI32" s="6507"/>
      <c r="BJ32" s="6504"/>
      <c r="BK32" s="6506" t="s">
        <v>3755</v>
      </c>
      <c r="BL32" s="6507"/>
      <c r="BM32" s="6504"/>
      <c r="BN32" s="6506" t="s">
        <v>3797</v>
      </c>
      <c r="BO32" s="6507"/>
      <c r="BP32" s="6504"/>
      <c r="BQ32" s="6506" t="s">
        <v>784</v>
      </c>
      <c r="BR32" s="6507"/>
      <c r="BS32" s="6504"/>
      <c r="BT32" s="6506" t="s">
        <v>3799</v>
      </c>
      <c r="BU32" s="6507"/>
      <c r="BV32" s="6504"/>
      <c r="BW32" s="6506" t="s">
        <v>22</v>
      </c>
      <c r="BX32" s="6507"/>
      <c r="BY32" s="6504"/>
      <c r="BZ32" s="6506" t="s">
        <v>3760</v>
      </c>
      <c r="CA32" s="6507"/>
      <c r="CB32" s="6504"/>
      <c r="CC32" s="6506" t="s">
        <v>3781</v>
      </c>
      <c r="CD32" s="6507"/>
      <c r="CE32" s="6504"/>
      <c r="CF32" s="6506" t="s">
        <v>788</v>
      </c>
      <c r="CG32" s="6507"/>
      <c r="CH32" s="6504"/>
      <c r="CI32" s="6506" t="s">
        <v>3740</v>
      </c>
      <c r="CJ32" s="6507"/>
      <c r="CK32" s="6504"/>
      <c r="CL32" s="6506"/>
      <c r="CM32" s="6507" t="s">
        <v>3800</v>
      </c>
    </row>
    <row r="33" spans="1:91" ht="44.25">
      <c r="A33" s="5096"/>
      <c r="B33" s="6474" t="s">
        <v>590</v>
      </c>
      <c r="C33" s="6475" t="s">
        <v>3701</v>
      </c>
      <c r="D33" s="6476" t="s">
        <v>590</v>
      </c>
      <c r="E33" s="6477" t="s">
        <v>3802</v>
      </c>
      <c r="F33" s="6475" t="s">
        <v>3701</v>
      </c>
      <c r="G33" s="6478" t="s">
        <v>3802</v>
      </c>
      <c r="H33" s="6479">
        <v>22</v>
      </c>
      <c r="I33" s="6475" t="s">
        <v>3701</v>
      </c>
      <c r="J33" s="6522">
        <v>22</v>
      </c>
      <c r="K33" s="6479">
        <v>48</v>
      </c>
      <c r="L33" s="6475" t="s">
        <v>3701</v>
      </c>
      <c r="M33" s="6480">
        <v>48</v>
      </c>
      <c r="N33" s="5096"/>
      <c r="O33" s="6474" t="s">
        <v>590</v>
      </c>
      <c r="P33" s="6475" t="s">
        <v>3701</v>
      </c>
      <c r="Q33" s="6481" t="s">
        <v>590</v>
      </c>
      <c r="R33" s="6477" t="s">
        <v>3802</v>
      </c>
      <c r="S33" s="6475" t="s">
        <v>3701</v>
      </c>
      <c r="T33" s="6482" t="s">
        <v>3802</v>
      </c>
      <c r="U33" s="6479">
        <v>22</v>
      </c>
      <c r="V33" s="6475" t="s">
        <v>3701</v>
      </c>
      <c r="W33" s="6481">
        <v>22</v>
      </c>
      <c r="X33" s="6479">
        <v>48</v>
      </c>
      <c r="Y33" s="6475" t="s">
        <v>3701</v>
      </c>
      <c r="Z33" s="6483">
        <v>48</v>
      </c>
      <c r="AA33" s="5096"/>
      <c r="AB33" s="5096"/>
      <c r="AC33" s="5096"/>
      <c r="AD33" s="6484" t="s">
        <v>3761</v>
      </c>
      <c r="AE33" s="6539" t="s">
        <v>2204</v>
      </c>
      <c r="AF33" s="6540">
        <v>0</v>
      </c>
      <c r="AG33" s="6539" t="s">
        <v>3782</v>
      </c>
      <c r="AH33" s="6540">
        <v>0</v>
      </c>
      <c r="AI33" s="6539" t="s">
        <v>3783</v>
      </c>
      <c r="AJ33" s="6540">
        <v>0</v>
      </c>
      <c r="AK33" s="6539" t="s">
        <v>3784</v>
      </c>
      <c r="AL33" s="6540">
        <v>0</v>
      </c>
      <c r="AM33" s="6539" t="s">
        <v>3785</v>
      </c>
      <c r="AN33" s="6540">
        <v>0</v>
      </c>
      <c r="AO33" s="6539" t="s">
        <v>3786</v>
      </c>
      <c r="AP33" s="6540">
        <v>0</v>
      </c>
      <c r="AQ33" s="6539" t="s">
        <v>3787</v>
      </c>
      <c r="AR33" s="6540">
        <v>0</v>
      </c>
      <c r="AS33" s="6539" t="s">
        <v>3788</v>
      </c>
      <c r="AT33" s="6540">
        <v>0</v>
      </c>
      <c r="AU33" s="6539" t="s">
        <v>3789</v>
      </c>
      <c r="AV33" s="6540">
        <v>0</v>
      </c>
      <c r="AW33" s="6539" t="s">
        <v>3790</v>
      </c>
      <c r="AX33" s="6540">
        <v>0</v>
      </c>
      <c r="AY33" s="6539" t="s">
        <v>3791</v>
      </c>
      <c r="AZ33" s="6540">
        <v>0</v>
      </c>
      <c r="BA33" s="6539" t="s">
        <v>3792</v>
      </c>
      <c r="BD33" s="6499"/>
      <c r="BE33" s="6500"/>
      <c r="BF33" s="6500"/>
      <c r="BG33" s="6500"/>
      <c r="BH33" s="6500"/>
      <c r="BI33" s="6500"/>
      <c r="BJ33" s="6500"/>
      <c r="BK33" s="6500"/>
      <c r="BL33" s="6500"/>
      <c r="BM33" s="6500"/>
      <c r="BN33" s="6500"/>
      <c r="BO33" s="6500"/>
      <c r="BP33" s="6500"/>
      <c r="BQ33" s="6500"/>
      <c r="BR33" s="6500"/>
      <c r="BS33" s="6500"/>
      <c r="BT33" s="6500"/>
      <c r="BU33" s="6500"/>
      <c r="BV33" s="6500"/>
      <c r="BW33" s="6500"/>
      <c r="BX33" s="6500"/>
      <c r="BY33" s="6500"/>
      <c r="BZ33" s="6500"/>
      <c r="CA33" s="6500"/>
      <c r="CB33" s="6500"/>
      <c r="CC33" s="6500"/>
      <c r="CD33" s="6500"/>
      <c r="CE33" s="6500"/>
      <c r="CF33" s="6500"/>
      <c r="CG33" s="6500"/>
      <c r="CH33" s="6500"/>
      <c r="CI33" s="6500"/>
      <c r="CJ33" s="6500"/>
      <c r="CK33" s="6500"/>
      <c r="CL33" s="6500"/>
      <c r="CM33" s="6500"/>
    </row>
    <row r="34" spans="1:91" ht="44.25">
      <c r="A34" s="5096"/>
      <c r="B34" s="6474" t="s">
        <v>3803</v>
      </c>
      <c r="C34" s="6475" t="s">
        <v>3701</v>
      </c>
      <c r="D34" s="6476" t="s">
        <v>3803</v>
      </c>
      <c r="E34" s="6477" t="s">
        <v>3804</v>
      </c>
      <c r="F34" s="6475" t="s">
        <v>3701</v>
      </c>
      <c r="G34" s="6478" t="s">
        <v>3804</v>
      </c>
      <c r="H34" s="6479">
        <v>23</v>
      </c>
      <c r="I34" s="6475" t="s">
        <v>3701</v>
      </c>
      <c r="J34" s="6522">
        <v>23</v>
      </c>
      <c r="K34" s="6479">
        <v>49</v>
      </c>
      <c r="L34" s="6475" t="s">
        <v>3701</v>
      </c>
      <c r="M34" s="6480">
        <v>49</v>
      </c>
      <c r="N34" s="5096"/>
      <c r="O34" s="6474" t="s">
        <v>3803</v>
      </c>
      <c r="P34" s="6475" t="s">
        <v>3701</v>
      </c>
      <c r="Q34" s="6481" t="s">
        <v>3803</v>
      </c>
      <c r="R34" s="6477" t="s">
        <v>3804</v>
      </c>
      <c r="S34" s="6475" t="s">
        <v>3701</v>
      </c>
      <c r="T34" s="6482" t="s">
        <v>3804</v>
      </c>
      <c r="U34" s="6479">
        <v>23</v>
      </c>
      <c r="V34" s="6475" t="s">
        <v>3701</v>
      </c>
      <c r="W34" s="6481">
        <v>23</v>
      </c>
      <c r="X34" s="6479">
        <v>49</v>
      </c>
      <c r="Y34" s="6475" t="s">
        <v>3701</v>
      </c>
      <c r="Z34" s="6483">
        <v>49</v>
      </c>
      <c r="AA34" s="5096"/>
      <c r="AB34" s="5096"/>
      <c r="AC34" s="5096"/>
      <c r="AD34" s="6492"/>
      <c r="AE34" s="6532"/>
      <c r="AF34" s="6532"/>
      <c r="AG34" s="6532"/>
      <c r="AH34" s="6532"/>
      <c r="AI34" s="6532"/>
      <c r="AJ34" s="6532"/>
      <c r="AK34" s="6532"/>
      <c r="AL34" s="6532"/>
      <c r="AM34" s="6532"/>
      <c r="AN34" s="6532"/>
      <c r="AO34" s="6532"/>
      <c r="AP34" s="6532"/>
      <c r="AQ34" s="6532"/>
      <c r="AR34" s="6532"/>
      <c r="AS34" s="6532"/>
      <c r="AT34" s="6532"/>
      <c r="AU34" s="6532"/>
      <c r="AV34" s="6532"/>
      <c r="AW34" s="6532"/>
      <c r="AX34" s="6532"/>
      <c r="AY34" s="6532"/>
      <c r="AZ34" s="6532"/>
      <c r="BA34" s="6532"/>
      <c r="BD34" s="6501" t="s">
        <v>3758</v>
      </c>
      <c r="BE34" s="6510" t="s">
        <v>99</v>
      </c>
      <c r="BF34" s="6511"/>
      <c r="BG34" s="6509"/>
      <c r="BH34" s="6510" t="s">
        <v>688</v>
      </c>
      <c r="BI34" s="6511"/>
      <c r="BJ34" s="6509"/>
      <c r="BK34" s="6510" t="s">
        <v>112</v>
      </c>
      <c r="BL34" s="6511"/>
      <c r="BM34" s="6509"/>
      <c r="BN34" s="6510" t="s">
        <v>504</v>
      </c>
      <c r="BO34" s="6511"/>
      <c r="BP34" s="6509"/>
      <c r="BQ34" s="6510" t="s">
        <v>562</v>
      </c>
      <c r="BR34" s="6511"/>
      <c r="BS34" s="6509"/>
      <c r="BT34" s="6510" t="s">
        <v>3794</v>
      </c>
      <c r="BU34" s="6511"/>
      <c r="BV34" s="6509"/>
      <c r="BW34" s="6510" t="s">
        <v>576</v>
      </c>
      <c r="BX34" s="6511"/>
      <c r="BY34" s="6509"/>
      <c r="BZ34" s="6510" t="s">
        <v>145</v>
      </c>
      <c r="CA34" s="6511"/>
      <c r="CB34" s="6509"/>
      <c r="CC34" s="6510" t="s">
        <v>2997</v>
      </c>
      <c r="CD34" s="6511"/>
      <c r="CE34" s="6509"/>
      <c r="CF34" s="6510" t="s">
        <v>318</v>
      </c>
      <c r="CG34" s="6511"/>
      <c r="CH34" s="6509"/>
      <c r="CI34" s="6510" t="s">
        <v>3795</v>
      </c>
      <c r="CJ34" s="6511"/>
      <c r="CK34" s="6509"/>
      <c r="CL34" s="6510" t="s">
        <v>3796</v>
      </c>
      <c r="CM34" s="6511"/>
    </row>
    <row r="35" spans="1:91" ht="44.25">
      <c r="A35" s="5096"/>
      <c r="B35" s="6474" t="s">
        <v>783</v>
      </c>
      <c r="C35" s="6475" t="s">
        <v>3701</v>
      </c>
      <c r="D35" s="6476" t="s">
        <v>783</v>
      </c>
      <c r="E35" s="6477" t="s">
        <v>3805</v>
      </c>
      <c r="F35" s="6475" t="s">
        <v>3701</v>
      </c>
      <c r="G35" s="6478" t="s">
        <v>3805</v>
      </c>
      <c r="H35" s="6479">
        <v>24</v>
      </c>
      <c r="I35" s="6475" t="s">
        <v>3701</v>
      </c>
      <c r="J35" s="6522">
        <v>24</v>
      </c>
      <c r="K35" s="6479">
        <v>50</v>
      </c>
      <c r="L35" s="6475" t="s">
        <v>3701</v>
      </c>
      <c r="M35" s="6480">
        <v>50</v>
      </c>
      <c r="N35" s="5096"/>
      <c r="O35" s="6474" t="s">
        <v>783</v>
      </c>
      <c r="P35" s="6475" t="s">
        <v>3701</v>
      </c>
      <c r="Q35" s="6481" t="s">
        <v>783</v>
      </c>
      <c r="R35" s="6477" t="s">
        <v>3805</v>
      </c>
      <c r="S35" s="6475" t="s">
        <v>3701</v>
      </c>
      <c r="T35" s="6482" t="s">
        <v>3805</v>
      </c>
      <c r="U35" s="6479">
        <v>24</v>
      </c>
      <c r="V35" s="6475" t="s">
        <v>3701</v>
      </c>
      <c r="W35" s="6481">
        <v>24</v>
      </c>
      <c r="X35" s="6479">
        <v>50</v>
      </c>
      <c r="Y35" s="6475" t="s">
        <v>3701</v>
      </c>
      <c r="Z35" s="6483">
        <v>50</v>
      </c>
      <c r="AA35" s="5096"/>
      <c r="AB35" s="5096"/>
      <c r="AC35" s="6541"/>
      <c r="AD35" s="6484" t="s">
        <v>3765</v>
      </c>
      <c r="AE35" s="6542" t="s">
        <v>2204</v>
      </c>
      <c r="AF35" s="6543">
        <v>0</v>
      </c>
      <c r="AG35" s="6542" t="s">
        <v>3782</v>
      </c>
      <c r="AH35" s="6543">
        <v>0</v>
      </c>
      <c r="AI35" s="6542" t="s">
        <v>3783</v>
      </c>
      <c r="AJ35" s="6543">
        <v>0</v>
      </c>
      <c r="AK35" s="6542" t="s">
        <v>3784</v>
      </c>
      <c r="AL35" s="6543">
        <v>0</v>
      </c>
      <c r="AM35" s="6542" t="s">
        <v>3785</v>
      </c>
      <c r="AN35" s="6543">
        <v>0</v>
      </c>
      <c r="AO35" s="6542" t="s">
        <v>3786</v>
      </c>
      <c r="AP35" s="6543">
        <v>0</v>
      </c>
      <c r="AQ35" s="6542" t="s">
        <v>3787</v>
      </c>
      <c r="AR35" s="6543">
        <v>0</v>
      </c>
      <c r="AS35" s="6542" t="s">
        <v>3788</v>
      </c>
      <c r="AT35" s="6543">
        <v>0</v>
      </c>
      <c r="AU35" s="6542" t="s">
        <v>3789</v>
      </c>
      <c r="AV35" s="6543">
        <v>0</v>
      </c>
      <c r="AW35" s="6542" t="s">
        <v>3790</v>
      </c>
      <c r="AX35" s="6543">
        <v>0</v>
      </c>
      <c r="AY35" s="6542" t="s">
        <v>3791</v>
      </c>
      <c r="AZ35" s="6543">
        <v>0</v>
      </c>
      <c r="BA35" s="6542" t="s">
        <v>3792</v>
      </c>
      <c r="BD35" s="6501"/>
      <c r="BE35" s="6512" t="s">
        <v>3710</v>
      </c>
      <c r="BF35" s="6513"/>
      <c r="BG35" s="6509"/>
      <c r="BH35" s="6512" t="s">
        <v>3798</v>
      </c>
      <c r="BI35" s="6513"/>
      <c r="BJ35" s="6509"/>
      <c r="BK35" s="6512" t="s">
        <v>3755</v>
      </c>
      <c r="BL35" s="6513"/>
      <c r="BM35" s="6509"/>
      <c r="BN35" s="6512" t="s">
        <v>3797</v>
      </c>
      <c r="BO35" s="6513"/>
      <c r="BP35" s="6509"/>
      <c r="BQ35" s="6512" t="s">
        <v>784</v>
      </c>
      <c r="BR35" s="6513"/>
      <c r="BS35" s="6509"/>
      <c r="BT35" s="6512" t="s">
        <v>3799</v>
      </c>
      <c r="BU35" s="6513"/>
      <c r="BV35" s="6509"/>
      <c r="BW35" s="6512" t="s">
        <v>22</v>
      </c>
      <c r="BX35" s="6513"/>
      <c r="BY35" s="6509"/>
      <c r="BZ35" s="6512" t="s">
        <v>3760</v>
      </c>
      <c r="CA35" s="6513"/>
      <c r="CB35" s="6509"/>
      <c r="CC35" s="6512" t="s">
        <v>3781</v>
      </c>
      <c r="CD35" s="6513"/>
      <c r="CE35" s="6509"/>
      <c r="CF35" s="6512" t="s">
        <v>788</v>
      </c>
      <c r="CG35" s="6513"/>
      <c r="CH35" s="6509"/>
      <c r="CI35" s="6512" t="s">
        <v>3740</v>
      </c>
      <c r="CJ35" s="6513"/>
      <c r="CK35" s="6509"/>
      <c r="CL35" s="6512"/>
      <c r="CM35" s="6513" t="s">
        <v>3800</v>
      </c>
    </row>
    <row r="36" spans="1:91" ht="44.25">
      <c r="A36" s="5096"/>
      <c r="B36" s="6474" t="s">
        <v>3794</v>
      </c>
      <c r="C36" s="6475" t="s">
        <v>3701</v>
      </c>
      <c r="D36" s="6476" t="s">
        <v>3794</v>
      </c>
      <c r="E36" s="6477" t="s">
        <v>3799</v>
      </c>
      <c r="F36" s="6475" t="s">
        <v>3701</v>
      </c>
      <c r="G36" s="6478" t="s">
        <v>3799</v>
      </c>
      <c r="H36" s="6479">
        <v>25</v>
      </c>
      <c r="I36" s="6475" t="s">
        <v>3701</v>
      </c>
      <c r="J36" s="6522">
        <v>25</v>
      </c>
      <c r="K36" s="6479">
        <v>51</v>
      </c>
      <c r="L36" s="6475" t="s">
        <v>3701</v>
      </c>
      <c r="M36" s="6480">
        <v>51</v>
      </c>
      <c r="N36" s="5096"/>
      <c r="O36" s="6474" t="s">
        <v>3794</v>
      </c>
      <c r="P36" s="6475" t="s">
        <v>3701</v>
      </c>
      <c r="Q36" s="6481" t="s">
        <v>3794</v>
      </c>
      <c r="R36" s="6477" t="s">
        <v>3799</v>
      </c>
      <c r="S36" s="6475" t="s">
        <v>3701</v>
      </c>
      <c r="T36" s="6482" t="s">
        <v>3799</v>
      </c>
      <c r="U36" s="6479">
        <v>25</v>
      </c>
      <c r="V36" s="6475" t="s">
        <v>3701</v>
      </c>
      <c r="W36" s="6481">
        <v>25</v>
      </c>
      <c r="X36" s="6479">
        <v>51</v>
      </c>
      <c r="Y36" s="6475" t="s">
        <v>3701</v>
      </c>
      <c r="Z36" s="6483">
        <v>51</v>
      </c>
      <c r="AA36" s="5096"/>
      <c r="AB36" s="5096"/>
      <c r="AC36" s="5096"/>
      <c r="AD36" s="6492"/>
      <c r="BD36" s="6492"/>
      <c r="BE36" s="6500"/>
      <c r="BF36" s="6500"/>
      <c r="BG36" s="6500"/>
      <c r="BH36" s="6500"/>
      <c r="BI36" s="6500"/>
      <c r="BJ36" s="6500"/>
      <c r="BK36" s="6500"/>
      <c r="BL36" s="6500"/>
      <c r="BM36" s="6500"/>
      <c r="BN36" s="6500"/>
      <c r="BO36" s="6500"/>
      <c r="BP36" s="6500"/>
      <c r="BQ36" s="6500"/>
      <c r="BR36" s="6500"/>
      <c r="BS36" s="6500"/>
      <c r="BT36" s="6500"/>
      <c r="BU36" s="6500"/>
      <c r="BV36" s="6500"/>
      <c r="BW36" s="6500"/>
      <c r="BX36" s="6500"/>
      <c r="BY36" s="6500"/>
      <c r="BZ36" s="6500"/>
      <c r="CA36" s="6500"/>
      <c r="CB36" s="6500"/>
      <c r="CC36" s="6500"/>
      <c r="CD36" s="6500"/>
      <c r="CE36" s="6500"/>
      <c r="CF36" s="6500"/>
      <c r="CG36" s="6500"/>
      <c r="CH36" s="6500"/>
      <c r="CI36" s="6500"/>
      <c r="CJ36" s="6500"/>
      <c r="CK36" s="6500"/>
      <c r="CL36" s="6500"/>
      <c r="CM36" s="6500"/>
    </row>
    <row r="37" spans="1:91" ht="44.25">
      <c r="A37" s="5096"/>
      <c r="B37" s="6474" t="s">
        <v>688</v>
      </c>
      <c r="C37" s="6475" t="s">
        <v>3701</v>
      </c>
      <c r="D37" s="6476" t="s">
        <v>688</v>
      </c>
      <c r="E37" s="6477" t="s">
        <v>3798</v>
      </c>
      <c r="F37" s="6475" t="s">
        <v>3701</v>
      </c>
      <c r="G37" s="6478" t="s">
        <v>3798</v>
      </c>
      <c r="H37" s="6479">
        <v>26</v>
      </c>
      <c r="I37" s="6475" t="s">
        <v>3701</v>
      </c>
      <c r="J37" s="6522">
        <v>26</v>
      </c>
      <c r="K37" s="6479">
        <v>52</v>
      </c>
      <c r="L37" s="6475" t="s">
        <v>3701</v>
      </c>
      <c r="M37" s="6480">
        <v>52</v>
      </c>
      <c r="N37" s="5096"/>
      <c r="O37" s="6474" t="s">
        <v>688</v>
      </c>
      <c r="P37" s="6475" t="s">
        <v>3701</v>
      </c>
      <c r="Q37" s="6481" t="s">
        <v>688</v>
      </c>
      <c r="R37" s="6477" t="s">
        <v>3798</v>
      </c>
      <c r="S37" s="6475" t="s">
        <v>3701</v>
      </c>
      <c r="T37" s="6482" t="s">
        <v>3798</v>
      </c>
      <c r="U37" s="6479">
        <v>26</v>
      </c>
      <c r="V37" s="6475" t="s">
        <v>3701</v>
      </c>
      <c r="W37" s="6481">
        <v>26</v>
      </c>
      <c r="X37" s="6479">
        <v>52</v>
      </c>
      <c r="Y37" s="6475" t="s">
        <v>3701</v>
      </c>
      <c r="Z37" s="6483">
        <v>52</v>
      </c>
      <c r="AA37" s="5096"/>
      <c r="AB37" s="5096"/>
      <c r="AC37" s="5096"/>
      <c r="AD37" s="6544" t="s">
        <v>3767</v>
      </c>
      <c r="BD37" s="6501" t="s">
        <v>3763</v>
      </c>
      <c r="BE37" s="6516" t="s">
        <v>99</v>
      </c>
      <c r="BF37" s="6517"/>
      <c r="BG37" s="6515"/>
      <c r="BH37" s="6516" t="s">
        <v>688</v>
      </c>
      <c r="BI37" s="6517"/>
      <c r="BJ37" s="6515"/>
      <c r="BK37" s="6516" t="s">
        <v>112</v>
      </c>
      <c r="BL37" s="6517"/>
      <c r="BM37" s="6515"/>
      <c r="BN37" s="6516" t="s">
        <v>504</v>
      </c>
      <c r="BO37" s="6517"/>
      <c r="BP37" s="6515"/>
      <c r="BQ37" s="6516" t="s">
        <v>562</v>
      </c>
      <c r="BR37" s="6517"/>
      <c r="BS37" s="6515"/>
      <c r="BT37" s="6516" t="s">
        <v>3794</v>
      </c>
      <c r="BU37" s="6517"/>
      <c r="BV37" s="6515"/>
      <c r="BW37" s="6516" t="s">
        <v>576</v>
      </c>
      <c r="BX37" s="6517"/>
      <c r="BY37" s="6515"/>
      <c r="BZ37" s="6516" t="s">
        <v>145</v>
      </c>
      <c r="CA37" s="6517"/>
      <c r="CB37" s="6515"/>
      <c r="CC37" s="6516" t="s">
        <v>2997</v>
      </c>
      <c r="CD37" s="6517"/>
      <c r="CE37" s="6515"/>
      <c r="CF37" s="6516" t="s">
        <v>318</v>
      </c>
      <c r="CG37" s="6517"/>
      <c r="CH37" s="6515"/>
      <c r="CI37" s="6516" t="s">
        <v>3795</v>
      </c>
      <c r="CJ37" s="6517"/>
      <c r="CK37" s="6515"/>
      <c r="CL37" s="6516" t="s">
        <v>3796</v>
      </c>
      <c r="CM37" s="6517"/>
    </row>
    <row r="38" spans="1:91" ht="46.5">
      <c r="A38" s="5096"/>
      <c r="B38" s="6474" t="s">
        <v>2806</v>
      </c>
      <c r="C38" s="6475" t="s">
        <v>3701</v>
      </c>
      <c r="D38" s="6476" t="s">
        <v>2806</v>
      </c>
      <c r="E38" s="6477" t="s">
        <v>58</v>
      </c>
      <c r="F38" s="6475" t="s">
        <v>3701</v>
      </c>
      <c r="G38" s="6478" t="s">
        <v>58</v>
      </c>
      <c r="H38" s="6479" t="s">
        <v>3796</v>
      </c>
      <c r="I38" s="6475" t="s">
        <v>3701</v>
      </c>
      <c r="J38" s="6522" t="s">
        <v>3796</v>
      </c>
      <c r="K38" s="6479" t="s">
        <v>3806</v>
      </c>
      <c r="L38" s="6475" t="s">
        <v>3701</v>
      </c>
      <c r="M38" s="6480" t="s">
        <v>3806</v>
      </c>
      <c r="N38" s="5096"/>
      <c r="O38" s="6474" t="s">
        <v>2806</v>
      </c>
      <c r="P38" s="6475" t="s">
        <v>3701</v>
      </c>
      <c r="Q38" s="6481" t="s">
        <v>2806</v>
      </c>
      <c r="R38" s="6477" t="s">
        <v>58</v>
      </c>
      <c r="S38" s="6475" t="s">
        <v>3701</v>
      </c>
      <c r="T38" s="6482" t="s">
        <v>58</v>
      </c>
      <c r="U38" s="6545" t="s">
        <v>3796</v>
      </c>
      <c r="V38" s="6475" t="s">
        <v>3701</v>
      </c>
      <c r="W38" s="6481" t="s">
        <v>3796</v>
      </c>
      <c r="X38" s="6546" t="s">
        <v>3806</v>
      </c>
      <c r="Y38" s="6475" t="s">
        <v>3701</v>
      </c>
      <c r="Z38" s="6483" t="s">
        <v>3806</v>
      </c>
      <c r="AA38" s="5096"/>
      <c r="AB38" s="5096"/>
      <c r="AC38" s="6541"/>
      <c r="AD38" s="6484" t="s">
        <v>3711</v>
      </c>
      <c r="AE38" s="6525" t="s">
        <v>3807</v>
      </c>
      <c r="AF38" s="6526"/>
      <c r="AG38" s="6525" t="s">
        <v>3808</v>
      </c>
      <c r="AH38" s="6526"/>
      <c r="AI38" s="6525" t="s">
        <v>3809</v>
      </c>
      <c r="AJ38" s="6526"/>
      <c r="AK38" s="6525" t="s">
        <v>3810</v>
      </c>
      <c r="AL38" s="6526"/>
      <c r="AM38" s="6525" t="s">
        <v>3811</v>
      </c>
      <c r="AN38" s="6526"/>
      <c r="AO38" s="6525" t="s">
        <v>3812</v>
      </c>
      <c r="AP38" s="6526"/>
      <c r="AQ38" s="6525" t="s">
        <v>3813</v>
      </c>
      <c r="AR38" s="6526"/>
      <c r="AS38" s="6525" t="s">
        <v>3814</v>
      </c>
      <c r="AT38" s="6526"/>
      <c r="AU38" s="6525" t="s">
        <v>3815</v>
      </c>
      <c r="AV38" s="6526"/>
      <c r="AW38" s="6525" t="s">
        <v>3816</v>
      </c>
      <c r="AX38" s="6526"/>
      <c r="AY38" s="6525" t="s">
        <v>3817</v>
      </c>
      <c r="AZ38" s="6526"/>
      <c r="BA38" s="6525" t="s">
        <v>3818</v>
      </c>
      <c r="BD38" s="6501"/>
      <c r="BE38" s="6520" t="s">
        <v>3710</v>
      </c>
      <c r="BF38" s="6521"/>
      <c r="BG38" s="6515"/>
      <c r="BH38" s="6520" t="s">
        <v>3798</v>
      </c>
      <c r="BI38" s="6521"/>
      <c r="BJ38" s="6515"/>
      <c r="BK38" s="6520" t="s">
        <v>3755</v>
      </c>
      <c r="BL38" s="6521"/>
      <c r="BM38" s="6515"/>
      <c r="BN38" s="6520" t="s">
        <v>3797</v>
      </c>
      <c r="BO38" s="6521"/>
      <c r="BP38" s="6515"/>
      <c r="BQ38" s="6520" t="s">
        <v>784</v>
      </c>
      <c r="BR38" s="6521"/>
      <c r="BS38" s="6515"/>
      <c r="BT38" s="6520" t="s">
        <v>3799</v>
      </c>
      <c r="BU38" s="6521"/>
      <c r="BV38" s="6515"/>
      <c r="BW38" s="6520" t="s">
        <v>22</v>
      </c>
      <c r="BX38" s="6521"/>
      <c r="BY38" s="6515"/>
      <c r="BZ38" s="6520" t="s">
        <v>3760</v>
      </c>
      <c r="CA38" s="6521"/>
      <c r="CB38" s="6515"/>
      <c r="CC38" s="6520" t="s">
        <v>3781</v>
      </c>
      <c r="CD38" s="6521"/>
      <c r="CE38" s="6515"/>
      <c r="CF38" s="6520" t="s">
        <v>788</v>
      </c>
      <c r="CG38" s="6521"/>
      <c r="CH38" s="6515"/>
      <c r="CI38" s="6520" t="s">
        <v>3740</v>
      </c>
      <c r="CJ38" s="6521"/>
      <c r="CK38" s="6515"/>
      <c r="CL38" s="6520"/>
      <c r="CM38" s="6521" t="s">
        <v>3800</v>
      </c>
    </row>
    <row r="39" spans="1:91" ht="44.25">
      <c r="A39" s="5096"/>
      <c r="B39" s="6474" t="s">
        <v>3728</v>
      </c>
      <c r="C39" s="6475" t="s">
        <v>3701</v>
      </c>
      <c r="D39" s="6476" t="s">
        <v>3728</v>
      </c>
      <c r="E39" s="6477" t="s">
        <v>2804</v>
      </c>
      <c r="F39" s="6475" t="s">
        <v>3701</v>
      </c>
      <c r="G39" s="6478" t="s">
        <v>2804</v>
      </c>
      <c r="H39" s="6479" t="s">
        <v>1379</v>
      </c>
      <c r="I39" s="6475" t="s">
        <v>3701</v>
      </c>
      <c r="J39" s="6522" t="s">
        <v>1379</v>
      </c>
      <c r="K39" s="6479" t="s">
        <v>3819</v>
      </c>
      <c r="L39" s="6475" t="s">
        <v>3701</v>
      </c>
      <c r="M39" s="6480" t="s">
        <v>3819</v>
      </c>
      <c r="N39" s="5096"/>
      <c r="O39" s="6474" t="s">
        <v>3728</v>
      </c>
      <c r="P39" s="6475" t="s">
        <v>3701</v>
      </c>
      <c r="Q39" s="6481" t="s">
        <v>3728</v>
      </c>
      <c r="R39" s="6477" t="s">
        <v>2804</v>
      </c>
      <c r="S39" s="6475" t="s">
        <v>3701</v>
      </c>
      <c r="T39" s="6482" t="s">
        <v>2804</v>
      </c>
      <c r="U39" s="6545" t="s">
        <v>1379</v>
      </c>
      <c r="V39" s="6475" t="s">
        <v>3701</v>
      </c>
      <c r="W39" s="6481" t="s">
        <v>1379</v>
      </c>
      <c r="X39" s="6546" t="s">
        <v>3819</v>
      </c>
      <c r="Y39" s="6475" t="s">
        <v>3701</v>
      </c>
      <c r="Z39" s="6483" t="s">
        <v>3819</v>
      </c>
      <c r="AA39" s="5096"/>
      <c r="AB39" s="5096"/>
      <c r="AC39" s="5096"/>
      <c r="AD39" s="6492"/>
      <c r="AE39" s="6529"/>
      <c r="AF39" s="6529"/>
      <c r="AG39" s="6529"/>
      <c r="AH39" s="6529"/>
      <c r="AI39" s="6529"/>
      <c r="AJ39" s="6529"/>
      <c r="AK39" s="6529"/>
      <c r="AL39" s="6529"/>
      <c r="AM39" s="6529"/>
      <c r="AN39" s="6529"/>
      <c r="AO39" s="6529"/>
      <c r="AP39" s="6529"/>
      <c r="AQ39" s="6529"/>
      <c r="AR39" s="6529"/>
      <c r="AS39" s="6529"/>
      <c r="AT39" s="6529"/>
      <c r="AU39" s="6529"/>
      <c r="AV39" s="6529"/>
      <c r="AW39" s="6529"/>
      <c r="AX39" s="6529"/>
      <c r="AY39" s="6529"/>
      <c r="AZ39" s="6529"/>
      <c r="BA39" s="6529"/>
      <c r="BD39" s="6492"/>
      <c r="BE39" s="6500"/>
      <c r="BF39" s="6500"/>
      <c r="BG39" s="6500"/>
      <c r="BH39" s="6500"/>
      <c r="BI39" s="6500"/>
      <c r="BJ39" s="6500"/>
      <c r="BK39" s="6500"/>
      <c r="BL39" s="6500"/>
      <c r="BM39" s="6500"/>
      <c r="BN39" s="6500"/>
      <c r="BO39" s="6500"/>
      <c r="BP39" s="6500"/>
      <c r="BQ39" s="6500"/>
      <c r="BR39" s="6500"/>
      <c r="BS39" s="6500"/>
      <c r="BT39" s="6500"/>
      <c r="BU39" s="6500"/>
      <c r="BV39" s="6500"/>
      <c r="BW39" s="6500"/>
      <c r="BX39" s="6500"/>
      <c r="BY39" s="6500"/>
      <c r="BZ39" s="6500"/>
      <c r="CA39" s="6500"/>
      <c r="CB39" s="6500"/>
      <c r="CC39" s="6500"/>
      <c r="CD39" s="6500"/>
      <c r="CE39" s="6500"/>
      <c r="CF39" s="6500"/>
      <c r="CG39" s="6500"/>
      <c r="CH39" s="6500"/>
      <c r="CI39" s="6500"/>
      <c r="CJ39" s="6500"/>
      <c r="CK39" s="6500"/>
      <c r="CL39" s="6500"/>
      <c r="CM39" s="6500"/>
    </row>
    <row r="40" spans="1:91" ht="44.25">
      <c r="A40" s="5096"/>
      <c r="B40" s="6474" t="s">
        <v>3735</v>
      </c>
      <c r="C40" s="6475" t="s">
        <v>3701</v>
      </c>
      <c r="D40" s="6476" t="s">
        <v>3735</v>
      </c>
      <c r="E40" s="6477" t="s">
        <v>3732</v>
      </c>
      <c r="F40" s="6475" t="s">
        <v>3701</v>
      </c>
      <c r="G40" s="6478" t="s">
        <v>3732</v>
      </c>
      <c r="H40" s="6479" t="s">
        <v>2756</v>
      </c>
      <c r="I40" s="6475" t="s">
        <v>3701</v>
      </c>
      <c r="J40" s="6522" t="s">
        <v>2756</v>
      </c>
      <c r="K40" s="6479" t="s">
        <v>2177</v>
      </c>
      <c r="L40" s="6475" t="s">
        <v>3701</v>
      </c>
      <c r="M40" s="6480" t="s">
        <v>2177</v>
      </c>
      <c r="N40" s="5096"/>
      <c r="O40" s="6474" t="s">
        <v>3735</v>
      </c>
      <c r="P40" s="6475" t="s">
        <v>3701</v>
      </c>
      <c r="Q40" s="6481" t="s">
        <v>3735</v>
      </c>
      <c r="R40" s="6477" t="s">
        <v>3732</v>
      </c>
      <c r="S40" s="6475" t="s">
        <v>3701</v>
      </c>
      <c r="T40" s="6482" t="s">
        <v>3732</v>
      </c>
      <c r="U40" s="6545" t="s">
        <v>2756</v>
      </c>
      <c r="V40" s="6475" t="s">
        <v>3701</v>
      </c>
      <c r="W40" s="6481" t="s">
        <v>2756</v>
      </c>
      <c r="X40" s="6546" t="s">
        <v>2177</v>
      </c>
      <c r="Y40" s="6475" t="s">
        <v>3701</v>
      </c>
      <c r="Z40" s="6483" t="s">
        <v>2177</v>
      </c>
      <c r="AA40" s="5096"/>
      <c r="AB40" s="6541"/>
      <c r="AC40" s="5096"/>
      <c r="AD40" s="6484" t="s">
        <v>2759</v>
      </c>
      <c r="AE40" s="6497" t="s">
        <v>3820</v>
      </c>
      <c r="AF40" s="6498"/>
      <c r="AG40" s="6497" t="s">
        <v>3821</v>
      </c>
      <c r="AH40" s="6498"/>
      <c r="AI40" s="6497" t="s">
        <v>3822</v>
      </c>
      <c r="AJ40" s="6498"/>
      <c r="AK40" s="6497" t="s">
        <v>3823</v>
      </c>
      <c r="AL40" s="6498"/>
      <c r="AM40" s="6497" t="s">
        <v>3824</v>
      </c>
      <c r="AN40" s="6498"/>
      <c r="AO40" s="6497" t="s">
        <v>3825</v>
      </c>
      <c r="AP40" s="6498"/>
      <c r="AQ40" s="6497" t="s">
        <v>3826</v>
      </c>
      <c r="AR40" s="6498"/>
      <c r="AS40" s="6497" t="s">
        <v>3827</v>
      </c>
      <c r="AT40" s="6498"/>
      <c r="AU40" s="6497" t="s">
        <v>3828</v>
      </c>
      <c r="AV40" s="6498"/>
      <c r="AW40" s="6497" t="s">
        <v>3829</v>
      </c>
      <c r="AX40" s="6498"/>
      <c r="AY40" s="6497" t="s">
        <v>3830</v>
      </c>
      <c r="AZ40" s="6498"/>
      <c r="BA40" s="6497" t="s">
        <v>3831</v>
      </c>
      <c r="BD40" s="6501" t="s">
        <v>3765</v>
      </c>
      <c r="BE40" s="6523" t="s">
        <v>99</v>
      </c>
      <c r="BF40" s="6524"/>
      <c r="BG40" s="6519"/>
      <c r="BH40" s="6523" t="s">
        <v>688</v>
      </c>
      <c r="BI40" s="6524"/>
      <c r="BJ40" s="6519"/>
      <c r="BK40" s="6523" t="s">
        <v>112</v>
      </c>
      <c r="BL40" s="6524"/>
      <c r="BM40" s="6519"/>
      <c r="BN40" s="6523" t="s">
        <v>504</v>
      </c>
      <c r="BO40" s="6524"/>
      <c r="BP40" s="6519"/>
      <c r="BQ40" s="6523" t="s">
        <v>562</v>
      </c>
      <c r="BR40" s="6524"/>
      <c r="BS40" s="6519"/>
      <c r="BT40" s="6523" t="s">
        <v>3794</v>
      </c>
      <c r="BU40" s="6524"/>
      <c r="BV40" s="6519"/>
      <c r="BW40" s="6523" t="s">
        <v>576</v>
      </c>
      <c r="BX40" s="6524"/>
      <c r="BY40" s="6519"/>
      <c r="BZ40" s="6523" t="s">
        <v>145</v>
      </c>
      <c r="CA40" s="6524"/>
      <c r="CB40" s="6519"/>
      <c r="CC40" s="6523" t="s">
        <v>2997</v>
      </c>
      <c r="CD40" s="6524"/>
      <c r="CE40" s="6519"/>
      <c r="CF40" s="6523" t="s">
        <v>318</v>
      </c>
      <c r="CG40" s="6524"/>
      <c r="CH40" s="6519"/>
      <c r="CI40" s="6523" t="s">
        <v>3795</v>
      </c>
      <c r="CJ40" s="6524"/>
      <c r="CK40" s="6519"/>
      <c r="CL40" s="6523" t="s">
        <v>3796</v>
      </c>
      <c r="CM40" s="6524"/>
    </row>
    <row r="41" spans="1:91" ht="44.25">
      <c r="A41" s="5096"/>
      <c r="B41" s="6474" t="s">
        <v>3832</v>
      </c>
      <c r="C41" s="6475" t="s">
        <v>3701</v>
      </c>
      <c r="D41" s="6476" t="s">
        <v>3832</v>
      </c>
      <c r="E41" s="6477" t="s">
        <v>3742</v>
      </c>
      <c r="F41" s="6475" t="s">
        <v>3701</v>
      </c>
      <c r="G41" s="6478" t="s">
        <v>3742</v>
      </c>
      <c r="H41" s="6479" t="s">
        <v>32</v>
      </c>
      <c r="I41" s="6475" t="s">
        <v>3701</v>
      </c>
      <c r="J41" s="6522" t="s">
        <v>32</v>
      </c>
      <c r="K41" s="6479" t="s">
        <v>1239</v>
      </c>
      <c r="L41" s="6475" t="s">
        <v>3701</v>
      </c>
      <c r="M41" s="6480" t="s">
        <v>1239</v>
      </c>
      <c r="N41" s="5096"/>
      <c r="O41" s="6474" t="s">
        <v>3832</v>
      </c>
      <c r="P41" s="6475" t="s">
        <v>3701</v>
      </c>
      <c r="Q41" s="6481" t="s">
        <v>3832</v>
      </c>
      <c r="R41" s="6477" t="s">
        <v>3742</v>
      </c>
      <c r="S41" s="6475" t="s">
        <v>3701</v>
      </c>
      <c r="T41" s="6482" t="s">
        <v>3742</v>
      </c>
      <c r="U41" s="6545" t="s">
        <v>32</v>
      </c>
      <c r="V41" s="6475" t="s">
        <v>3701</v>
      </c>
      <c r="W41" s="6481" t="s">
        <v>32</v>
      </c>
      <c r="X41" s="6546" t="s">
        <v>1239</v>
      </c>
      <c r="Y41" s="6475" t="s">
        <v>3701</v>
      </c>
      <c r="Z41" s="6483" t="s">
        <v>1239</v>
      </c>
      <c r="AA41" s="5096"/>
      <c r="AB41" s="5096"/>
      <c r="AC41" s="5096"/>
      <c r="AD41" s="6492"/>
      <c r="AE41" s="6500"/>
      <c r="AF41" s="6500"/>
      <c r="AG41" s="6500"/>
      <c r="AH41" s="6500"/>
      <c r="AI41" s="6500"/>
      <c r="AJ41" s="6500"/>
      <c r="AK41" s="6500"/>
      <c r="AL41" s="6500"/>
      <c r="AM41" s="6500"/>
      <c r="AN41" s="6500"/>
      <c r="AO41" s="6500"/>
      <c r="AP41" s="6500"/>
      <c r="AQ41" s="6500"/>
      <c r="AR41" s="6500"/>
      <c r="AS41" s="6500"/>
      <c r="AT41" s="6500"/>
      <c r="AU41" s="6500"/>
      <c r="AV41" s="6500"/>
      <c r="AW41" s="6500"/>
      <c r="AX41" s="6500"/>
      <c r="AY41" s="6500"/>
      <c r="AZ41" s="6500"/>
      <c r="BA41" s="6500"/>
      <c r="BD41" s="6501"/>
      <c r="BE41" s="6527" t="s">
        <v>3710</v>
      </c>
      <c r="BF41" s="6528"/>
      <c r="BG41" s="6519"/>
      <c r="BH41" s="6527" t="s">
        <v>3798</v>
      </c>
      <c r="BI41" s="6528"/>
      <c r="BJ41" s="6519"/>
      <c r="BK41" s="6527" t="s">
        <v>3755</v>
      </c>
      <c r="BL41" s="6528"/>
      <c r="BM41" s="6519"/>
      <c r="BN41" s="6527" t="s">
        <v>3797</v>
      </c>
      <c r="BO41" s="6528"/>
      <c r="BP41" s="6519"/>
      <c r="BQ41" s="6527" t="s">
        <v>784</v>
      </c>
      <c r="BR41" s="6528"/>
      <c r="BS41" s="6519"/>
      <c r="BT41" s="6527" t="s">
        <v>3799</v>
      </c>
      <c r="BU41" s="6528"/>
      <c r="BV41" s="6519"/>
      <c r="BW41" s="6527" t="s">
        <v>22</v>
      </c>
      <c r="BX41" s="6528"/>
      <c r="BY41" s="6519"/>
      <c r="BZ41" s="6527" t="s">
        <v>3760</v>
      </c>
      <c r="CA41" s="6528"/>
      <c r="CB41" s="6519"/>
      <c r="CC41" s="6527" t="s">
        <v>3781</v>
      </c>
      <c r="CD41" s="6528"/>
      <c r="CE41" s="6519"/>
      <c r="CF41" s="6527" t="s">
        <v>788</v>
      </c>
      <c r="CG41" s="6528"/>
      <c r="CH41" s="6519"/>
      <c r="CI41" s="6527" t="s">
        <v>3740</v>
      </c>
      <c r="CJ41" s="6528"/>
      <c r="CK41" s="6519"/>
      <c r="CL41" s="6527"/>
      <c r="CM41" s="6528" t="s">
        <v>3800</v>
      </c>
    </row>
    <row r="42" spans="1:91" ht="44.25">
      <c r="A42" s="5096"/>
      <c r="B42" s="6474" t="s">
        <v>3739</v>
      </c>
      <c r="C42" s="6475" t="s">
        <v>3701</v>
      </c>
      <c r="D42" s="6476" t="s">
        <v>3739</v>
      </c>
      <c r="E42" s="6477" t="s">
        <v>3733</v>
      </c>
      <c r="F42" s="6475" t="s">
        <v>3701</v>
      </c>
      <c r="G42" s="6478" t="s">
        <v>3733</v>
      </c>
      <c r="H42" s="6479" t="s">
        <v>3833</v>
      </c>
      <c r="I42" s="6475" t="s">
        <v>3701</v>
      </c>
      <c r="J42" s="6522" t="s">
        <v>3833</v>
      </c>
      <c r="K42" s="6479" t="s">
        <v>3729</v>
      </c>
      <c r="L42" s="6475" t="s">
        <v>3701</v>
      </c>
      <c r="M42" s="6480" t="s">
        <v>3729</v>
      </c>
      <c r="N42" s="5096"/>
      <c r="O42" s="6474" t="s">
        <v>3739</v>
      </c>
      <c r="P42" s="6475" t="s">
        <v>3701</v>
      </c>
      <c r="Q42" s="6481" t="s">
        <v>3739</v>
      </c>
      <c r="R42" s="6477" t="s">
        <v>3733</v>
      </c>
      <c r="S42" s="6475" t="s">
        <v>3701</v>
      </c>
      <c r="T42" s="6482" t="s">
        <v>3733</v>
      </c>
      <c r="U42" s="6545" t="s">
        <v>3833</v>
      </c>
      <c r="V42" s="6475" t="s">
        <v>3701</v>
      </c>
      <c r="W42" s="6481" t="s">
        <v>3833</v>
      </c>
      <c r="X42" s="6546" t="s">
        <v>3729</v>
      </c>
      <c r="Y42" s="6475" t="s">
        <v>3701</v>
      </c>
      <c r="Z42" s="6483" t="s">
        <v>3729</v>
      </c>
      <c r="AA42" s="5096"/>
      <c r="AB42" s="5096"/>
      <c r="AC42" s="5096"/>
      <c r="AD42" s="6484" t="s">
        <v>3754</v>
      </c>
      <c r="AE42" s="6505" t="s">
        <v>3820</v>
      </c>
      <c r="AF42" s="6504">
        <v>0</v>
      </c>
      <c r="AG42" s="6505" t="s">
        <v>3821</v>
      </c>
      <c r="AH42" s="6504">
        <v>0</v>
      </c>
      <c r="AI42" s="6505" t="s">
        <v>3822</v>
      </c>
      <c r="AJ42" s="6504">
        <v>0</v>
      </c>
      <c r="AK42" s="6505" t="s">
        <v>3823</v>
      </c>
      <c r="AL42" s="6504">
        <v>0</v>
      </c>
      <c r="AM42" s="6505" t="s">
        <v>3824</v>
      </c>
      <c r="AN42" s="6504">
        <v>0</v>
      </c>
      <c r="AO42" s="6505" t="s">
        <v>3825</v>
      </c>
      <c r="AP42" s="6504">
        <v>0</v>
      </c>
      <c r="AQ42" s="6505" t="s">
        <v>3826</v>
      </c>
      <c r="AR42" s="6504">
        <v>0</v>
      </c>
      <c r="AS42" s="6547" t="s">
        <v>3827</v>
      </c>
      <c r="AT42" s="6504">
        <v>0</v>
      </c>
      <c r="AU42" s="6505" t="s">
        <v>3828</v>
      </c>
      <c r="AV42" s="6504">
        <v>0</v>
      </c>
      <c r="AW42" s="6505" t="s">
        <v>3829</v>
      </c>
      <c r="AX42" s="6504">
        <v>0</v>
      </c>
      <c r="AY42" s="6505" t="s">
        <v>3830</v>
      </c>
      <c r="AZ42" s="6504">
        <v>0</v>
      </c>
      <c r="BA42" s="6505" t="s">
        <v>3831</v>
      </c>
      <c r="BD42" s="6492"/>
      <c r="BE42" s="6500"/>
      <c r="BF42" s="6500"/>
      <c r="BG42" s="6500"/>
      <c r="BH42" s="6500"/>
      <c r="BI42" s="6500"/>
      <c r="BJ42" s="6500"/>
      <c r="BK42" s="6500"/>
      <c r="BL42" s="6500"/>
      <c r="BM42" s="6500"/>
      <c r="BN42" s="6500"/>
      <c r="BO42" s="6500"/>
      <c r="BP42" s="6500"/>
      <c r="BQ42" s="6500"/>
      <c r="BR42" s="6500"/>
      <c r="BS42" s="6500"/>
      <c r="BT42" s="6500"/>
      <c r="BU42" s="6500"/>
      <c r="BV42" s="6500"/>
      <c r="BW42" s="6500"/>
      <c r="BX42" s="6500"/>
      <c r="BY42" s="6500"/>
      <c r="BZ42" s="6500"/>
      <c r="CA42" s="6500"/>
      <c r="CB42" s="6500"/>
      <c r="CC42" s="6500"/>
      <c r="CD42" s="6500"/>
      <c r="CE42" s="6500"/>
      <c r="CF42" s="6500"/>
      <c r="CG42" s="6500"/>
      <c r="CH42" s="6500"/>
      <c r="CI42" s="6500"/>
      <c r="CJ42" s="6500"/>
      <c r="CK42" s="6500"/>
      <c r="CL42" s="6500"/>
      <c r="CM42" s="6500"/>
    </row>
    <row r="43" spans="1:91" ht="44.25">
      <c r="A43" s="5096"/>
      <c r="B43" s="6474" t="s">
        <v>3741</v>
      </c>
      <c r="C43" s="6475" t="s">
        <v>3701</v>
      </c>
      <c r="D43" s="6476" t="s">
        <v>3741</v>
      </c>
      <c r="E43" s="6477" t="s">
        <v>3743</v>
      </c>
      <c r="F43" s="6475" t="s">
        <v>3701</v>
      </c>
      <c r="G43" s="6478" t="s">
        <v>3743</v>
      </c>
      <c r="H43" s="6479" t="s">
        <v>3834</v>
      </c>
      <c r="I43" s="6475" t="s">
        <v>3701</v>
      </c>
      <c r="J43" s="6522" t="s">
        <v>3834</v>
      </c>
      <c r="K43" s="6479" t="s">
        <v>2803</v>
      </c>
      <c r="L43" s="6475" t="s">
        <v>3701</v>
      </c>
      <c r="M43" s="6480" t="s">
        <v>2803</v>
      </c>
      <c r="N43" s="5096"/>
      <c r="O43" s="6474" t="s">
        <v>3741</v>
      </c>
      <c r="P43" s="6475" t="s">
        <v>3701</v>
      </c>
      <c r="Q43" s="6481" t="s">
        <v>3741</v>
      </c>
      <c r="R43" s="6477" t="s">
        <v>3743</v>
      </c>
      <c r="S43" s="6475" t="s">
        <v>3701</v>
      </c>
      <c r="T43" s="6482" t="s">
        <v>3743</v>
      </c>
      <c r="U43" s="6545" t="s">
        <v>3834</v>
      </c>
      <c r="V43" s="6475" t="s">
        <v>3701</v>
      </c>
      <c r="W43" s="6481" t="s">
        <v>3834</v>
      </c>
      <c r="X43" s="6546" t="s">
        <v>2803</v>
      </c>
      <c r="Y43" s="6475" t="s">
        <v>3701</v>
      </c>
      <c r="Z43" s="6483" t="s">
        <v>2803</v>
      </c>
      <c r="AA43" s="5096"/>
      <c r="AB43" s="5096"/>
      <c r="AC43" s="5096"/>
      <c r="AD43" s="6492"/>
      <c r="AE43" s="6500"/>
      <c r="AF43" s="6500"/>
      <c r="AG43" s="6500"/>
      <c r="AH43" s="6500"/>
      <c r="AI43" s="6500"/>
      <c r="AJ43" s="6500"/>
      <c r="AK43" s="6500"/>
      <c r="AL43" s="6500"/>
      <c r="AM43" s="6500"/>
      <c r="AN43" s="6500"/>
      <c r="AO43" s="6500"/>
      <c r="AP43" s="6500"/>
      <c r="AQ43" s="6500"/>
      <c r="AR43" s="6500"/>
      <c r="AS43" s="6548"/>
      <c r="AT43" s="6500"/>
      <c r="AU43" s="6500"/>
      <c r="AV43" s="6500"/>
      <c r="AW43" s="6500"/>
      <c r="AX43" s="6500"/>
      <c r="AY43" s="6500"/>
      <c r="AZ43" s="6500"/>
      <c r="BA43" s="6500"/>
      <c r="BD43" s="6492"/>
      <c r="BE43" s="6465" t="s">
        <v>3835</v>
      </c>
      <c r="BF43" s="6500"/>
      <c r="BG43" s="6500"/>
      <c r="BH43" s="6500"/>
      <c r="BI43" s="6500"/>
      <c r="BJ43" s="6500"/>
      <c r="BK43" s="6500"/>
      <c r="BL43" s="6500"/>
      <c r="BM43" s="6500"/>
      <c r="BN43" s="6500"/>
      <c r="BO43" s="6500"/>
      <c r="BP43" s="6500"/>
      <c r="BQ43" s="6500"/>
      <c r="BR43" s="6500"/>
      <c r="BS43" s="6500"/>
      <c r="BT43" s="6500"/>
      <c r="BU43" s="6500"/>
      <c r="BV43" s="6500"/>
      <c r="BW43" s="6500"/>
      <c r="BX43" s="6500"/>
      <c r="BY43" s="6500"/>
      <c r="BZ43" s="6500"/>
      <c r="CA43" s="6500"/>
      <c r="CB43" s="6500"/>
      <c r="CC43" s="6500"/>
      <c r="CD43" s="6500"/>
      <c r="CE43" s="6500"/>
      <c r="CF43" s="6500"/>
      <c r="CG43" s="6500"/>
      <c r="CH43" s="6500"/>
      <c r="CI43" s="6500"/>
      <c r="CJ43" s="6500"/>
      <c r="CK43" s="6500"/>
      <c r="CL43" s="6500"/>
      <c r="CM43" s="6500"/>
    </row>
    <row r="44" spans="1:91" ht="44.25">
      <c r="A44" s="5096"/>
      <c r="B44" s="6474" t="s">
        <v>3836</v>
      </c>
      <c r="C44" s="6475" t="s">
        <v>3701</v>
      </c>
      <c r="D44" s="6476" t="s">
        <v>3836</v>
      </c>
      <c r="E44" s="6477" t="s">
        <v>3731</v>
      </c>
      <c r="F44" s="6475" t="s">
        <v>3701</v>
      </c>
      <c r="G44" s="6478" t="s">
        <v>3731</v>
      </c>
      <c r="H44" s="6479" t="s">
        <v>3738</v>
      </c>
      <c r="I44" s="6475" t="s">
        <v>3701</v>
      </c>
      <c r="J44" s="6522" t="s">
        <v>3738</v>
      </c>
      <c r="K44" s="6479" t="s">
        <v>3837</v>
      </c>
      <c r="L44" s="6475" t="s">
        <v>3701</v>
      </c>
      <c r="M44" s="6480" t="s">
        <v>3837</v>
      </c>
      <c r="N44" s="5096"/>
      <c r="O44" s="6474" t="s">
        <v>3836</v>
      </c>
      <c r="P44" s="6475" t="s">
        <v>3701</v>
      </c>
      <c r="Q44" s="6481" t="s">
        <v>3836</v>
      </c>
      <c r="R44" s="6477" t="s">
        <v>3731</v>
      </c>
      <c r="S44" s="6475" t="s">
        <v>3701</v>
      </c>
      <c r="T44" s="6482" t="s">
        <v>3731</v>
      </c>
      <c r="U44" s="6545" t="s">
        <v>3738</v>
      </c>
      <c r="V44" s="6475" t="s">
        <v>3701</v>
      </c>
      <c r="W44" s="6481" t="s">
        <v>3738</v>
      </c>
      <c r="X44" s="6546" t="s">
        <v>3837</v>
      </c>
      <c r="Y44" s="6475" t="s">
        <v>3701</v>
      </c>
      <c r="Z44" s="6483" t="s">
        <v>3837</v>
      </c>
      <c r="AA44" s="5096"/>
      <c r="AB44" s="6541"/>
      <c r="AC44" s="5096"/>
      <c r="AD44" s="6484" t="s">
        <v>3757</v>
      </c>
      <c r="AE44" s="6508" t="s">
        <v>3820</v>
      </c>
      <c r="AF44" s="6509">
        <v>0</v>
      </c>
      <c r="AG44" s="6508" t="s">
        <v>3821</v>
      </c>
      <c r="AH44" s="6509">
        <v>0</v>
      </c>
      <c r="AI44" s="6508" t="s">
        <v>3822</v>
      </c>
      <c r="AJ44" s="6509">
        <v>0</v>
      </c>
      <c r="AK44" s="6508" t="s">
        <v>3823</v>
      </c>
      <c r="AL44" s="6509">
        <v>0</v>
      </c>
      <c r="AM44" s="6508" t="s">
        <v>3824</v>
      </c>
      <c r="AN44" s="6509">
        <v>0</v>
      </c>
      <c r="AO44" s="6508" t="s">
        <v>3825</v>
      </c>
      <c r="AP44" s="6509">
        <v>0</v>
      </c>
      <c r="AQ44" s="6508" t="s">
        <v>3826</v>
      </c>
      <c r="AR44" s="6509">
        <v>0</v>
      </c>
      <c r="AS44" s="6508" t="s">
        <v>3827</v>
      </c>
      <c r="AT44" s="6509">
        <v>0</v>
      </c>
      <c r="AU44" s="6508" t="s">
        <v>3828</v>
      </c>
      <c r="AV44" s="6509">
        <v>0</v>
      </c>
      <c r="AW44" s="6508" t="s">
        <v>3829</v>
      </c>
      <c r="AX44" s="6509">
        <v>0</v>
      </c>
      <c r="AY44" s="6508" t="s">
        <v>3830</v>
      </c>
      <c r="AZ44" s="6509">
        <v>0</v>
      </c>
      <c r="BA44" s="6508" t="s">
        <v>3831</v>
      </c>
      <c r="BD44" s="6487" t="s">
        <v>3724</v>
      </c>
      <c r="BE44" s="6488" t="s">
        <v>706</v>
      </c>
      <c r="BF44" s="6489"/>
      <c r="BG44" s="6490"/>
      <c r="BH44" s="6488" t="s">
        <v>538</v>
      </c>
      <c r="BI44" s="6489"/>
      <c r="BJ44" s="6490"/>
      <c r="BK44" s="6488" t="s">
        <v>111</v>
      </c>
      <c r="BL44" s="6489"/>
      <c r="BM44" s="6490"/>
      <c r="BN44" s="6488" t="s">
        <v>142</v>
      </c>
      <c r="BO44" s="6489"/>
      <c r="BP44" s="6490"/>
      <c r="BQ44" s="6488" t="s">
        <v>143</v>
      </c>
      <c r="BR44" s="6489"/>
      <c r="BS44" s="6490"/>
      <c r="BT44" s="6488" t="s">
        <v>144</v>
      </c>
      <c r="BU44" s="6489"/>
      <c r="BV44" s="6490"/>
      <c r="BW44" s="6488" t="s">
        <v>146</v>
      </c>
      <c r="BX44" s="6489"/>
      <c r="BY44" s="6490"/>
      <c r="BZ44" s="6488" t="s">
        <v>147</v>
      </c>
      <c r="CA44" s="6489"/>
      <c r="CB44" s="6490"/>
      <c r="CC44" s="6488" t="s">
        <v>224</v>
      </c>
      <c r="CD44" s="6489"/>
      <c r="CE44" s="6490"/>
      <c r="CF44" s="6488" t="s">
        <v>316</v>
      </c>
      <c r="CG44" s="6489"/>
      <c r="CH44" s="6490"/>
      <c r="CI44" s="6488" t="s">
        <v>58</v>
      </c>
      <c r="CJ44" s="6489"/>
      <c r="CK44" s="6490"/>
      <c r="CL44" s="6488" t="s">
        <v>3836</v>
      </c>
      <c r="CM44" s="6489"/>
    </row>
    <row r="45" spans="1:91" ht="44.25">
      <c r="A45" s="5096"/>
      <c r="B45" s="6474" t="s">
        <v>3838</v>
      </c>
      <c r="C45" s="6475" t="s">
        <v>3701</v>
      </c>
      <c r="D45" s="6476" t="s">
        <v>3838</v>
      </c>
      <c r="E45" s="6477" t="s">
        <v>3744</v>
      </c>
      <c r="F45" s="6475" t="s">
        <v>3701</v>
      </c>
      <c r="G45" s="6478" t="s">
        <v>3744</v>
      </c>
      <c r="H45" s="6479" t="s">
        <v>3839</v>
      </c>
      <c r="I45" s="6475" t="s">
        <v>3701</v>
      </c>
      <c r="J45" s="6522" t="s">
        <v>3839</v>
      </c>
      <c r="K45" s="6479" t="s">
        <v>3840</v>
      </c>
      <c r="L45" s="6475" t="s">
        <v>3701</v>
      </c>
      <c r="M45" s="6480" t="s">
        <v>3840</v>
      </c>
      <c r="N45" s="5096"/>
      <c r="O45" s="6474" t="s">
        <v>3838</v>
      </c>
      <c r="P45" s="6475" t="s">
        <v>3701</v>
      </c>
      <c r="Q45" s="6481" t="s">
        <v>3838</v>
      </c>
      <c r="R45" s="6477" t="s">
        <v>3744</v>
      </c>
      <c r="S45" s="6475" t="s">
        <v>3701</v>
      </c>
      <c r="T45" s="6482" t="s">
        <v>3744</v>
      </c>
      <c r="U45" s="6545" t="s">
        <v>3839</v>
      </c>
      <c r="V45" s="6475" t="s">
        <v>3701</v>
      </c>
      <c r="W45" s="6481" t="s">
        <v>3839</v>
      </c>
      <c r="X45" s="6546" t="s">
        <v>3840</v>
      </c>
      <c r="Y45" s="6475" t="s">
        <v>3701</v>
      </c>
      <c r="Z45" s="6483" t="s">
        <v>3840</v>
      </c>
      <c r="AA45" s="5096"/>
      <c r="AB45" s="5096"/>
      <c r="AC45" s="5096"/>
      <c r="AD45" s="6492"/>
      <c r="AE45" s="6500"/>
      <c r="AF45" s="6500"/>
      <c r="AG45" s="6500"/>
      <c r="AH45" s="6500"/>
      <c r="AI45" s="6500"/>
      <c r="AJ45" s="6500"/>
      <c r="AK45" s="6500"/>
      <c r="AL45" s="6500"/>
      <c r="AM45" s="6500"/>
      <c r="AN45" s="6500"/>
      <c r="AO45" s="6500"/>
      <c r="AP45" s="6500"/>
      <c r="AQ45" s="6500"/>
      <c r="AR45" s="6500"/>
      <c r="AS45" s="6500"/>
      <c r="AT45" s="6500"/>
      <c r="AU45" s="6500"/>
      <c r="AV45" s="6500"/>
      <c r="AW45" s="6500"/>
      <c r="AX45" s="6500"/>
      <c r="AY45" s="6500"/>
      <c r="AZ45" s="6500"/>
      <c r="BA45" s="6500"/>
      <c r="BD45" s="6487"/>
      <c r="BE45" s="6494" t="s">
        <v>785</v>
      </c>
      <c r="BF45" s="6495"/>
      <c r="BG45" s="6490"/>
      <c r="BH45" s="6494" t="s">
        <v>3801</v>
      </c>
      <c r="BI45" s="6495"/>
      <c r="BJ45" s="6490"/>
      <c r="BK45" s="6494" t="s">
        <v>3753</v>
      </c>
      <c r="BL45" s="6495"/>
      <c r="BM45" s="6490"/>
      <c r="BN45" s="6494" t="s">
        <v>3756</v>
      </c>
      <c r="BO45" s="6495"/>
      <c r="BP45" s="6490"/>
      <c r="BQ45" s="6494" t="s">
        <v>2059</v>
      </c>
      <c r="BR45" s="6495"/>
      <c r="BS45" s="6490"/>
      <c r="BT45" s="6494" t="s">
        <v>3759</v>
      </c>
      <c r="BU45" s="6495"/>
      <c r="BV45" s="6490"/>
      <c r="BW45" s="6494" t="s">
        <v>3762</v>
      </c>
      <c r="BX45" s="6495"/>
      <c r="BY45" s="6490"/>
      <c r="BZ45" s="6494" t="s">
        <v>3764</v>
      </c>
      <c r="CA45" s="6495"/>
      <c r="CB45" s="6490"/>
      <c r="CC45" s="6494" t="s">
        <v>212</v>
      </c>
      <c r="CD45" s="6495"/>
      <c r="CE45" s="6490"/>
      <c r="CF45" s="6494" t="s">
        <v>3766</v>
      </c>
      <c r="CG45" s="6495"/>
      <c r="CH45" s="6490"/>
      <c r="CI45" s="6494" t="s">
        <v>3832</v>
      </c>
      <c r="CJ45" s="6495"/>
      <c r="CK45" s="6490"/>
      <c r="CL45" s="6494" t="s">
        <v>3837</v>
      </c>
      <c r="CM45" s="6495"/>
    </row>
    <row r="46" spans="1:91" ht="44.25">
      <c r="A46" s="5096"/>
      <c r="B46" s="6474"/>
      <c r="C46" s="6475" t="s">
        <v>3701</v>
      </c>
      <c r="D46" s="6476"/>
      <c r="E46" s="6477" t="s">
        <v>3734</v>
      </c>
      <c r="F46" s="6475" t="s">
        <v>3701</v>
      </c>
      <c r="G46" s="6478" t="s">
        <v>3734</v>
      </c>
      <c r="H46" s="6479" t="s">
        <v>3737</v>
      </c>
      <c r="I46" s="6475" t="s">
        <v>3701</v>
      </c>
      <c r="J46" s="6522" t="s">
        <v>3737</v>
      </c>
      <c r="K46" s="6479"/>
      <c r="L46" s="6475" t="s">
        <v>3701</v>
      </c>
      <c r="M46" s="6480"/>
      <c r="N46" s="5096"/>
      <c r="O46" s="6474"/>
      <c r="P46" s="6475" t="s">
        <v>3701</v>
      </c>
      <c r="Q46" s="6481"/>
      <c r="R46" s="6477" t="s">
        <v>3734</v>
      </c>
      <c r="S46" s="6475" t="s">
        <v>3701</v>
      </c>
      <c r="T46" s="6482" t="s">
        <v>3734</v>
      </c>
      <c r="U46" s="6545" t="s">
        <v>3737</v>
      </c>
      <c r="V46" s="6475" t="s">
        <v>3701</v>
      </c>
      <c r="W46" s="6481" t="s">
        <v>3737</v>
      </c>
      <c r="X46" s="6546"/>
      <c r="Y46" s="6475" t="s">
        <v>3701</v>
      </c>
      <c r="Z46" s="6483"/>
      <c r="AA46" s="5096"/>
      <c r="AB46" s="5096"/>
      <c r="AC46" s="5096"/>
      <c r="AD46" s="6484" t="s">
        <v>3761</v>
      </c>
      <c r="AE46" s="6514" t="s">
        <v>3820</v>
      </c>
      <c r="AF46" s="6515">
        <v>0</v>
      </c>
      <c r="AG46" s="6514" t="s">
        <v>3821</v>
      </c>
      <c r="AH46" s="6515">
        <v>0</v>
      </c>
      <c r="AI46" s="6514" t="s">
        <v>3822</v>
      </c>
      <c r="AJ46" s="6515">
        <v>0</v>
      </c>
      <c r="AK46" s="6514" t="s">
        <v>3823</v>
      </c>
      <c r="AL46" s="6515">
        <v>0</v>
      </c>
      <c r="AM46" s="6514" t="s">
        <v>3824</v>
      </c>
      <c r="AN46" s="6515">
        <v>0</v>
      </c>
      <c r="AO46" s="6514" t="s">
        <v>3825</v>
      </c>
      <c r="AP46" s="6515">
        <v>0</v>
      </c>
      <c r="AQ46" s="6514" t="s">
        <v>3826</v>
      </c>
      <c r="AR46" s="6515">
        <v>0</v>
      </c>
      <c r="AS46" s="6514" t="s">
        <v>3827</v>
      </c>
      <c r="AT46" s="6515">
        <v>0</v>
      </c>
      <c r="AU46" s="6514" t="s">
        <v>3828</v>
      </c>
      <c r="AV46" s="6515">
        <v>0</v>
      </c>
      <c r="AW46" s="6514" t="s">
        <v>3829</v>
      </c>
      <c r="AX46" s="6515">
        <v>0</v>
      </c>
      <c r="AY46" s="6514" t="s">
        <v>3830</v>
      </c>
      <c r="AZ46" s="6515">
        <v>0</v>
      </c>
      <c r="BA46" s="6514" t="s">
        <v>3831</v>
      </c>
      <c r="BD46" s="6499"/>
      <c r="BE46" s="6490"/>
      <c r="BF46" s="6490"/>
      <c r="BG46" s="6490"/>
      <c r="BH46" s="6490"/>
      <c r="BI46" s="6490"/>
      <c r="BJ46" s="6490"/>
      <c r="BK46" s="6490"/>
      <c r="BL46" s="6490"/>
      <c r="BM46" s="6490"/>
      <c r="BN46" s="6490"/>
      <c r="BO46" s="6490"/>
      <c r="BP46" s="6490"/>
      <c r="BQ46" s="6490"/>
      <c r="BR46" s="6490"/>
      <c r="BS46" s="6490"/>
      <c r="BT46" s="6490"/>
      <c r="BU46" s="6490"/>
      <c r="BV46" s="6490"/>
      <c r="BW46" s="6490"/>
      <c r="BX46" s="6490"/>
      <c r="BY46" s="6490"/>
      <c r="BZ46" s="6490"/>
      <c r="CA46" s="6490"/>
      <c r="CB46" s="6490"/>
      <c r="CC46" s="6490"/>
      <c r="CD46" s="6490"/>
      <c r="CE46" s="6490"/>
      <c r="CF46" s="6490"/>
      <c r="CG46" s="6490"/>
      <c r="CH46" s="6490"/>
      <c r="CI46" s="6490"/>
      <c r="CJ46" s="6490"/>
      <c r="CK46" s="6490"/>
      <c r="CL46" s="6490"/>
      <c r="CM46" s="6490"/>
    </row>
    <row r="47" spans="1:91" ht="30">
      <c r="A47" s="5096"/>
      <c r="B47" s="6549"/>
      <c r="C47" s="6550"/>
      <c r="D47" s="6550"/>
      <c r="E47" s="6550"/>
      <c r="F47" s="6550"/>
      <c r="G47" s="6550"/>
      <c r="H47" s="6550"/>
      <c r="I47" s="6550"/>
      <c r="J47" s="6550"/>
      <c r="K47" s="6550"/>
      <c r="L47" s="6550"/>
      <c r="M47" s="6551"/>
      <c r="N47" s="6552"/>
      <c r="O47" s="6549"/>
      <c r="P47" s="6550"/>
      <c r="Q47" s="6550"/>
      <c r="R47" s="6550"/>
      <c r="S47" s="6550"/>
      <c r="T47" s="6550"/>
      <c r="U47" s="6550"/>
      <c r="V47" s="6550"/>
      <c r="W47" s="6550"/>
      <c r="X47" s="6550"/>
      <c r="Y47" s="6550"/>
      <c r="Z47" s="6551"/>
      <c r="AA47" s="6552"/>
      <c r="AB47" s="5096"/>
      <c r="AC47" s="5096"/>
      <c r="AD47" s="6492"/>
      <c r="AE47" s="6500"/>
      <c r="AF47" s="6500"/>
      <c r="AG47" s="6500"/>
      <c r="AH47" s="6500"/>
      <c r="AI47" s="6500"/>
      <c r="AJ47" s="6500"/>
      <c r="AK47" s="6500"/>
      <c r="AL47" s="6500"/>
      <c r="AM47" s="6500"/>
      <c r="AN47" s="6500"/>
      <c r="AO47" s="6500"/>
      <c r="AP47" s="6500"/>
      <c r="AQ47" s="6500"/>
      <c r="AR47" s="6500"/>
      <c r="AS47" s="6500"/>
      <c r="AT47" s="6500"/>
      <c r="AU47" s="6500"/>
      <c r="AV47" s="6500"/>
      <c r="AW47" s="6500"/>
      <c r="AX47" s="6500"/>
      <c r="AY47" s="6500"/>
      <c r="AZ47" s="6500"/>
      <c r="BA47" s="6500"/>
      <c r="BD47" s="6501" t="s">
        <v>3754</v>
      </c>
      <c r="BE47" s="6502" t="s">
        <v>706</v>
      </c>
      <c r="BF47" s="6503"/>
      <c r="BG47" s="6504"/>
      <c r="BH47" s="6502" t="s">
        <v>538</v>
      </c>
      <c r="BI47" s="6503"/>
      <c r="BJ47" s="6504"/>
      <c r="BK47" s="6502" t="s">
        <v>111</v>
      </c>
      <c r="BL47" s="6503"/>
      <c r="BM47" s="6504"/>
      <c r="BN47" s="6502" t="s">
        <v>142</v>
      </c>
      <c r="BO47" s="6503"/>
      <c r="BP47" s="6504"/>
      <c r="BQ47" s="6502" t="s">
        <v>143</v>
      </c>
      <c r="BR47" s="6503"/>
      <c r="BS47" s="6504"/>
      <c r="BT47" s="6502" t="s">
        <v>144</v>
      </c>
      <c r="BU47" s="6503"/>
      <c r="BV47" s="6504"/>
      <c r="BW47" s="6502" t="s">
        <v>146</v>
      </c>
      <c r="BX47" s="6503"/>
      <c r="BY47" s="6504"/>
      <c r="BZ47" s="6502" t="s">
        <v>147</v>
      </c>
      <c r="CA47" s="6503"/>
      <c r="CB47" s="6504"/>
      <c r="CC47" s="6502" t="s">
        <v>224</v>
      </c>
      <c r="CD47" s="6503"/>
      <c r="CE47" s="6504"/>
      <c r="CF47" s="6502" t="s">
        <v>316</v>
      </c>
      <c r="CG47" s="6503"/>
      <c r="CH47" s="6504"/>
      <c r="CI47" s="6502" t="s">
        <v>58</v>
      </c>
      <c r="CJ47" s="6503"/>
      <c r="CK47" s="6504"/>
      <c r="CL47" s="6502" t="s">
        <v>3836</v>
      </c>
      <c r="CM47" s="6503"/>
    </row>
    <row r="48" spans="1:91" ht="30">
      <c r="AD48" s="6484" t="s">
        <v>3765</v>
      </c>
      <c r="AE48" s="6518" t="s">
        <v>3820</v>
      </c>
      <c r="AF48" s="6519">
        <v>0</v>
      </c>
      <c r="AG48" s="6518" t="s">
        <v>3821</v>
      </c>
      <c r="AH48" s="6519">
        <v>0</v>
      </c>
      <c r="AI48" s="6518" t="s">
        <v>3822</v>
      </c>
      <c r="AJ48" s="6519">
        <v>0</v>
      </c>
      <c r="AK48" s="6518" t="s">
        <v>3823</v>
      </c>
      <c r="AL48" s="6519">
        <v>0</v>
      </c>
      <c r="AM48" s="6518" t="s">
        <v>3824</v>
      </c>
      <c r="AN48" s="6519">
        <v>0</v>
      </c>
      <c r="AO48" s="6518" t="s">
        <v>3825</v>
      </c>
      <c r="AP48" s="6519">
        <v>0</v>
      </c>
      <c r="AQ48" s="6518" t="s">
        <v>3826</v>
      </c>
      <c r="AR48" s="6519">
        <v>0</v>
      </c>
      <c r="AS48" s="6518" t="s">
        <v>3827</v>
      </c>
      <c r="AT48" s="6519">
        <v>0</v>
      </c>
      <c r="AU48" s="6518" t="s">
        <v>3828</v>
      </c>
      <c r="AV48" s="6519">
        <v>0</v>
      </c>
      <c r="AW48" s="6518" t="s">
        <v>3829</v>
      </c>
      <c r="AX48" s="6519">
        <v>0</v>
      </c>
      <c r="AY48" s="6518" t="s">
        <v>3830</v>
      </c>
      <c r="AZ48" s="6519">
        <v>0</v>
      </c>
      <c r="BA48" s="6518" t="s">
        <v>3831</v>
      </c>
      <c r="BD48" s="6501"/>
      <c r="BE48" s="6506" t="s">
        <v>785</v>
      </c>
      <c r="BF48" s="6507"/>
      <c r="BG48" s="6504"/>
      <c r="BH48" s="6506" t="s">
        <v>3801</v>
      </c>
      <c r="BI48" s="6507"/>
      <c r="BJ48" s="6504"/>
      <c r="BK48" s="6506" t="s">
        <v>3753</v>
      </c>
      <c r="BL48" s="6507"/>
      <c r="BM48" s="6504"/>
      <c r="BN48" s="6506" t="s">
        <v>3756</v>
      </c>
      <c r="BO48" s="6507"/>
      <c r="BP48" s="6504"/>
      <c r="BQ48" s="6506" t="s">
        <v>2059</v>
      </c>
      <c r="BR48" s="6507"/>
      <c r="BS48" s="6504"/>
      <c r="BT48" s="6506" t="s">
        <v>3759</v>
      </c>
      <c r="BU48" s="6507"/>
      <c r="BV48" s="6504"/>
      <c r="BW48" s="6506" t="s">
        <v>3762</v>
      </c>
      <c r="BX48" s="6507"/>
      <c r="BY48" s="6504"/>
      <c r="BZ48" s="6506" t="s">
        <v>3764</v>
      </c>
      <c r="CA48" s="6507"/>
      <c r="CB48" s="6504"/>
      <c r="CC48" s="6506" t="s">
        <v>212</v>
      </c>
      <c r="CD48" s="6507"/>
      <c r="CE48" s="6504"/>
      <c r="CF48" s="6506" t="s">
        <v>3766</v>
      </c>
      <c r="CG48" s="6507"/>
      <c r="CH48" s="6504"/>
      <c r="CI48" s="6506" t="s">
        <v>3832</v>
      </c>
      <c r="CJ48" s="6507"/>
      <c r="CK48" s="6504"/>
      <c r="CL48" s="6506" t="s">
        <v>3837</v>
      </c>
      <c r="CM48" s="6507"/>
    </row>
    <row r="49" spans="1:91" ht="30">
      <c r="AD49" s="6492"/>
      <c r="BD49" s="6499"/>
      <c r="BE49" s="6500"/>
      <c r="BF49" s="6500"/>
      <c r="BG49" s="6500"/>
      <c r="BH49" s="6500"/>
      <c r="BI49" s="6500"/>
      <c r="BJ49" s="6500"/>
      <c r="BK49" s="6500"/>
      <c r="BL49" s="6500"/>
      <c r="BM49" s="6500"/>
      <c r="BN49" s="6500"/>
      <c r="BO49" s="6500"/>
      <c r="BP49" s="6500"/>
      <c r="BQ49" s="6500"/>
      <c r="BR49" s="6500"/>
      <c r="BS49" s="6500"/>
      <c r="BT49" s="6500"/>
      <c r="BU49" s="6500"/>
      <c r="BV49" s="6500"/>
      <c r="BW49" s="6500"/>
      <c r="BX49" s="6500"/>
      <c r="BY49" s="6500"/>
      <c r="BZ49" s="6500"/>
      <c r="CA49" s="6500"/>
      <c r="CB49" s="6500"/>
      <c r="CC49" s="6500"/>
      <c r="CD49" s="6500"/>
      <c r="CE49" s="6500"/>
      <c r="CF49" s="6500"/>
      <c r="CG49" s="6500"/>
      <c r="CH49" s="6500"/>
      <c r="CI49" s="6500"/>
      <c r="CJ49" s="6500"/>
      <c r="CK49" s="6500"/>
      <c r="CL49" s="6500"/>
      <c r="CM49" s="6500"/>
    </row>
    <row r="50" spans="1:91" ht="30">
      <c r="B50" s="6444" t="s">
        <v>3697</v>
      </c>
      <c r="C50" s="6445"/>
      <c r="D50" s="6446" t="s">
        <v>3698</v>
      </c>
      <c r="E50" s="6553" t="s">
        <v>3841</v>
      </c>
      <c r="F50" s="6554"/>
      <c r="G50" s="6554"/>
      <c r="H50" s="6554"/>
      <c r="I50" s="6554"/>
      <c r="J50" s="6554"/>
      <c r="K50" s="6554"/>
      <c r="L50" s="6554"/>
      <c r="M50" s="6555"/>
      <c r="O50" s="6444" t="s">
        <v>3697</v>
      </c>
      <c r="P50" s="6445"/>
      <c r="Q50" s="6446" t="s">
        <v>3698</v>
      </c>
      <c r="R50" s="6556" t="s">
        <v>3842</v>
      </c>
      <c r="S50" s="6557"/>
      <c r="T50" s="6557"/>
      <c r="U50" s="6557"/>
      <c r="V50" s="6557"/>
      <c r="W50" s="6557"/>
      <c r="X50" s="6557"/>
      <c r="Y50" s="6557"/>
      <c r="Z50" s="6558"/>
      <c r="AD50" s="6544" t="s">
        <v>3767</v>
      </c>
      <c r="BD50" s="6501" t="s">
        <v>3758</v>
      </c>
      <c r="BE50" s="6510" t="s">
        <v>706</v>
      </c>
      <c r="BF50" s="6511"/>
      <c r="BG50" s="6509"/>
      <c r="BH50" s="6510" t="s">
        <v>538</v>
      </c>
      <c r="BI50" s="6511"/>
      <c r="BJ50" s="6509"/>
      <c r="BK50" s="6510" t="s">
        <v>111</v>
      </c>
      <c r="BL50" s="6511"/>
      <c r="BM50" s="6509"/>
      <c r="BN50" s="6510" t="s">
        <v>142</v>
      </c>
      <c r="BO50" s="6511"/>
      <c r="BP50" s="6509"/>
      <c r="BQ50" s="6510" t="s">
        <v>143</v>
      </c>
      <c r="BR50" s="6511"/>
      <c r="BS50" s="6509"/>
      <c r="BT50" s="6510" t="s">
        <v>144</v>
      </c>
      <c r="BU50" s="6511"/>
      <c r="BV50" s="6509"/>
      <c r="BW50" s="6510" t="s">
        <v>146</v>
      </c>
      <c r="BX50" s="6511"/>
      <c r="BY50" s="6509"/>
      <c r="BZ50" s="6510" t="s">
        <v>147</v>
      </c>
      <c r="CA50" s="6511"/>
      <c r="CB50" s="6509"/>
      <c r="CC50" s="6510" t="s">
        <v>224</v>
      </c>
      <c r="CD50" s="6511"/>
      <c r="CE50" s="6509"/>
      <c r="CF50" s="6510" t="s">
        <v>316</v>
      </c>
      <c r="CG50" s="6511"/>
      <c r="CH50" s="6509"/>
      <c r="CI50" s="6510" t="s">
        <v>58</v>
      </c>
      <c r="CJ50" s="6511"/>
      <c r="CK50" s="6509"/>
      <c r="CL50" s="6510" t="s">
        <v>3836</v>
      </c>
      <c r="CM50" s="6511"/>
    </row>
    <row r="51" spans="1:91" ht="46.5">
      <c r="B51" s="6453" t="s">
        <v>3703</v>
      </c>
      <c r="C51" s="6454" t="s">
        <v>3701</v>
      </c>
      <c r="D51" s="6559" t="str">
        <f>B51</f>
        <v>Aa</v>
      </c>
      <c r="E51" s="6560" t="s">
        <v>3702</v>
      </c>
      <c r="F51" s="6560"/>
      <c r="G51" s="6561"/>
      <c r="H51" s="6561"/>
      <c r="I51" s="6561"/>
      <c r="J51" s="6561"/>
      <c r="K51" s="6561"/>
      <c r="L51" s="6561"/>
      <c r="M51" s="6562"/>
      <c r="O51" s="6453" t="s">
        <v>3703</v>
      </c>
      <c r="P51" s="6454" t="s">
        <v>3701</v>
      </c>
      <c r="Q51" s="6563" t="str">
        <f>O51</f>
        <v>Aa</v>
      </c>
      <c r="R51" s="6560" t="s">
        <v>3702</v>
      </c>
      <c r="S51" s="6560"/>
      <c r="T51" s="6561"/>
      <c r="U51" s="6561"/>
      <c r="V51" s="6561"/>
      <c r="W51" s="6561"/>
      <c r="X51" s="6561"/>
      <c r="Y51" s="6561"/>
      <c r="Z51" s="6562"/>
      <c r="AD51" s="6484" t="s">
        <v>3711</v>
      </c>
      <c r="AE51" s="6525" t="s">
        <v>3843</v>
      </c>
      <c r="AF51" s="6526"/>
      <c r="AG51" s="6525" t="s">
        <v>3844</v>
      </c>
      <c r="AH51" s="6526"/>
      <c r="AI51" s="6525" t="s">
        <v>3845</v>
      </c>
      <c r="AJ51" s="6526"/>
      <c r="AK51" s="6525" t="s">
        <v>3846</v>
      </c>
      <c r="AL51" s="6526"/>
      <c r="AM51" s="6525" t="s">
        <v>3847</v>
      </c>
      <c r="AN51" s="6526"/>
      <c r="AO51" s="6525" t="s">
        <v>3848</v>
      </c>
      <c r="AP51" s="6526"/>
      <c r="AQ51" s="6525" t="s">
        <v>3849</v>
      </c>
      <c r="AR51" s="6526"/>
      <c r="AS51" s="6525" t="s">
        <v>3850</v>
      </c>
      <c r="AT51" s="6526"/>
      <c r="AU51" s="6525" t="s">
        <v>3851</v>
      </c>
      <c r="AV51" s="6526"/>
      <c r="AW51" s="6525" t="s">
        <v>3852</v>
      </c>
      <c r="AX51" s="6526"/>
      <c r="AY51" s="6525" t="s">
        <v>3853</v>
      </c>
      <c r="AZ51" s="6526"/>
      <c r="BA51" s="6525" t="s">
        <v>3854</v>
      </c>
      <c r="BD51" s="6501"/>
      <c r="BE51" s="6512" t="s">
        <v>785</v>
      </c>
      <c r="BF51" s="6513"/>
      <c r="BG51" s="6509"/>
      <c r="BH51" s="6512" t="s">
        <v>3801</v>
      </c>
      <c r="BI51" s="6513"/>
      <c r="BJ51" s="6509"/>
      <c r="BK51" s="6512" t="s">
        <v>3753</v>
      </c>
      <c r="BL51" s="6513"/>
      <c r="BM51" s="6509"/>
      <c r="BN51" s="6512" t="s">
        <v>3756</v>
      </c>
      <c r="BO51" s="6513"/>
      <c r="BP51" s="6509"/>
      <c r="BQ51" s="6512" t="s">
        <v>2059</v>
      </c>
      <c r="BR51" s="6513"/>
      <c r="BS51" s="6509"/>
      <c r="BT51" s="6512" t="s">
        <v>3759</v>
      </c>
      <c r="BU51" s="6513"/>
      <c r="BV51" s="6509"/>
      <c r="BW51" s="6512" t="s">
        <v>3762</v>
      </c>
      <c r="BX51" s="6513"/>
      <c r="BY51" s="6509"/>
      <c r="BZ51" s="6512" t="s">
        <v>3764</v>
      </c>
      <c r="CA51" s="6513"/>
      <c r="CB51" s="6509"/>
      <c r="CC51" s="6512" t="s">
        <v>212</v>
      </c>
      <c r="CD51" s="6513"/>
      <c r="CE51" s="6509"/>
      <c r="CF51" s="6512" t="s">
        <v>3766</v>
      </c>
      <c r="CG51" s="6513"/>
      <c r="CH51" s="6509"/>
      <c r="CI51" s="6512" t="s">
        <v>3832</v>
      </c>
      <c r="CJ51" s="6513"/>
      <c r="CK51" s="6509"/>
      <c r="CL51" s="6512" t="s">
        <v>3837</v>
      </c>
      <c r="CM51" s="6513"/>
    </row>
    <row r="52" spans="1:91" ht="30">
      <c r="B52" s="6462"/>
      <c r="M52" s="6463"/>
      <c r="O52" s="6462"/>
      <c r="Z52" s="6463"/>
      <c r="AD52" s="6492"/>
      <c r="AE52" s="6529"/>
      <c r="AF52" s="6529"/>
      <c r="AG52" s="6529"/>
      <c r="AH52" s="6529"/>
      <c r="AI52" s="6529"/>
      <c r="AJ52" s="6529"/>
      <c r="AK52" s="6529"/>
      <c r="AL52" s="6529"/>
      <c r="AM52" s="6529"/>
      <c r="AN52" s="6529"/>
      <c r="AO52" s="6529"/>
      <c r="AP52" s="6529"/>
      <c r="AQ52" s="6529"/>
      <c r="AR52" s="6529"/>
      <c r="AS52" s="6529"/>
      <c r="AT52" s="6529"/>
      <c r="AU52" s="6529"/>
      <c r="AV52" s="6529"/>
      <c r="AW52" s="6529"/>
      <c r="AX52" s="6529"/>
      <c r="AY52" s="6529"/>
      <c r="AZ52" s="6529"/>
      <c r="BA52" s="6529"/>
      <c r="BD52" s="6492"/>
      <c r="BE52" s="6500"/>
      <c r="BF52" s="6500"/>
      <c r="BG52" s="6500"/>
      <c r="BH52" s="6500"/>
      <c r="BI52" s="6500"/>
      <c r="BJ52" s="6500"/>
      <c r="BK52" s="6500"/>
      <c r="BL52" s="6500"/>
      <c r="BM52" s="6500"/>
      <c r="BN52" s="6500"/>
      <c r="BO52" s="6500"/>
      <c r="BP52" s="6500"/>
      <c r="BQ52" s="6500"/>
      <c r="BR52" s="6500"/>
      <c r="BS52" s="6500"/>
      <c r="BT52" s="6500"/>
      <c r="BU52" s="6500"/>
      <c r="BV52" s="6500"/>
      <c r="BW52" s="6500"/>
      <c r="BX52" s="6500"/>
      <c r="BY52" s="6500"/>
      <c r="BZ52" s="6500"/>
      <c r="CA52" s="6500"/>
      <c r="CB52" s="6500"/>
      <c r="CC52" s="6500"/>
      <c r="CD52" s="6500"/>
      <c r="CE52" s="6500"/>
      <c r="CF52" s="6500"/>
      <c r="CG52" s="6500"/>
      <c r="CH52" s="6500"/>
      <c r="CI52" s="6500"/>
      <c r="CJ52" s="6500"/>
      <c r="CK52" s="6500"/>
      <c r="CL52" s="6500"/>
      <c r="CM52" s="6500"/>
    </row>
    <row r="53" spans="1:91" ht="30">
      <c r="B53" s="6466" t="s">
        <v>3705</v>
      </c>
      <c r="C53" s="6564" t="s">
        <v>3706</v>
      </c>
      <c r="D53" s="6565"/>
      <c r="E53" s="6469" t="s">
        <v>3707</v>
      </c>
      <c r="F53" s="6564" t="s">
        <v>3706</v>
      </c>
      <c r="G53" s="6565"/>
      <c r="H53" s="6469" t="s">
        <v>3708</v>
      </c>
      <c r="I53" s="6564" t="s">
        <v>3706</v>
      </c>
      <c r="J53" s="6565"/>
      <c r="K53" s="6469" t="s">
        <v>3709</v>
      </c>
      <c r="L53" s="6564" t="s">
        <v>3706</v>
      </c>
      <c r="M53" s="6566"/>
      <c r="O53" s="6466" t="s">
        <v>3705</v>
      </c>
      <c r="P53" s="6567" t="s">
        <v>3706</v>
      </c>
      <c r="Q53" s="6568"/>
      <c r="R53" s="6469" t="s">
        <v>3707</v>
      </c>
      <c r="S53" s="6567" t="s">
        <v>3706</v>
      </c>
      <c r="T53" s="6568"/>
      <c r="U53" s="6469" t="s">
        <v>3708</v>
      </c>
      <c r="V53" s="6567" t="s">
        <v>3706</v>
      </c>
      <c r="W53" s="6568"/>
      <c r="X53" s="6469" t="s">
        <v>3709</v>
      </c>
      <c r="Y53" s="6567" t="s">
        <v>3706</v>
      </c>
      <c r="Z53" s="6569"/>
      <c r="AD53" s="6484" t="s">
        <v>2759</v>
      </c>
      <c r="AE53" s="6497" t="s">
        <v>3855</v>
      </c>
      <c r="AF53" s="6498"/>
      <c r="AG53" s="6497" t="s">
        <v>3856</v>
      </c>
      <c r="AH53" s="6498"/>
      <c r="AI53" s="6497" t="s">
        <v>3857</v>
      </c>
      <c r="AJ53" s="6498"/>
      <c r="AK53" s="6497" t="s">
        <v>3858</v>
      </c>
      <c r="AL53" s="6498"/>
      <c r="AM53" s="6497" t="s">
        <v>3859</v>
      </c>
      <c r="AN53" s="6498"/>
      <c r="AO53" s="6497" t="s">
        <v>3860</v>
      </c>
      <c r="AP53" s="6498"/>
      <c r="AQ53" s="6497" t="s">
        <v>3861</v>
      </c>
      <c r="AR53" s="6498"/>
      <c r="AS53" s="6497" t="s">
        <v>3862</v>
      </c>
      <c r="AT53" s="6498"/>
      <c r="AU53" s="6497" t="s">
        <v>3863</v>
      </c>
      <c r="AV53" s="6498"/>
      <c r="AW53" s="6497" t="s">
        <v>3864</v>
      </c>
      <c r="AX53" s="6498"/>
      <c r="AY53" s="6497" t="s">
        <v>3865</v>
      </c>
      <c r="AZ53" s="6498"/>
      <c r="BA53" s="6497" t="s">
        <v>3866</v>
      </c>
      <c r="BD53" s="6501" t="s">
        <v>3763</v>
      </c>
      <c r="BE53" s="6516" t="s">
        <v>706</v>
      </c>
      <c r="BF53" s="6517"/>
      <c r="BG53" s="6515"/>
      <c r="BH53" s="6516" t="s">
        <v>538</v>
      </c>
      <c r="BI53" s="6517"/>
      <c r="BJ53" s="6515"/>
      <c r="BK53" s="6516" t="s">
        <v>111</v>
      </c>
      <c r="BL53" s="6517"/>
      <c r="BM53" s="6515"/>
      <c r="BN53" s="6516" t="s">
        <v>142</v>
      </c>
      <c r="BO53" s="6517"/>
      <c r="BP53" s="6515"/>
      <c r="BQ53" s="6516" t="s">
        <v>143</v>
      </c>
      <c r="BR53" s="6517"/>
      <c r="BS53" s="6515"/>
      <c r="BT53" s="6516" t="s">
        <v>144</v>
      </c>
      <c r="BU53" s="6517"/>
      <c r="BV53" s="6515"/>
      <c r="BW53" s="6516" t="s">
        <v>146</v>
      </c>
      <c r="BX53" s="6517"/>
      <c r="BY53" s="6515"/>
      <c r="BZ53" s="6516" t="s">
        <v>147</v>
      </c>
      <c r="CA53" s="6517"/>
      <c r="CB53" s="6515"/>
      <c r="CC53" s="6516" t="s">
        <v>224</v>
      </c>
      <c r="CD53" s="6517"/>
      <c r="CE53" s="6515"/>
      <c r="CF53" s="6516" t="s">
        <v>316</v>
      </c>
      <c r="CG53" s="6517"/>
      <c r="CH53" s="6515"/>
      <c r="CI53" s="6516" t="s">
        <v>58</v>
      </c>
      <c r="CJ53" s="6517"/>
      <c r="CK53" s="6515"/>
      <c r="CL53" s="6516" t="s">
        <v>3836</v>
      </c>
      <c r="CM53" s="6517"/>
    </row>
    <row r="54" spans="1:91" ht="44.25">
      <c r="A54" s="5096"/>
      <c r="B54" s="6474" t="s">
        <v>99</v>
      </c>
      <c r="C54" s="6475" t="s">
        <v>3701</v>
      </c>
      <c r="D54" s="6570" t="s">
        <v>99</v>
      </c>
      <c r="E54" s="6477" t="s">
        <v>3710</v>
      </c>
      <c r="F54" s="6475" t="s">
        <v>3701</v>
      </c>
      <c r="G54" s="6571" t="s">
        <v>3710</v>
      </c>
      <c r="H54" s="6479">
        <v>1</v>
      </c>
      <c r="I54" s="6475" t="s">
        <v>3701</v>
      </c>
      <c r="J54" s="6571">
        <v>1</v>
      </c>
      <c r="K54" s="6479">
        <v>27</v>
      </c>
      <c r="L54" s="6475" t="s">
        <v>3701</v>
      </c>
      <c r="M54" s="6572">
        <v>27</v>
      </c>
      <c r="N54" s="5096"/>
      <c r="O54" s="6474" t="s">
        <v>99</v>
      </c>
      <c r="P54" s="6475" t="s">
        <v>3701</v>
      </c>
      <c r="Q54" s="6573" t="s">
        <v>99</v>
      </c>
      <c r="R54" s="6477" t="s">
        <v>3710</v>
      </c>
      <c r="S54" s="6475" t="s">
        <v>3701</v>
      </c>
      <c r="T54" s="6574" t="s">
        <v>3710</v>
      </c>
      <c r="U54" s="6479">
        <v>1</v>
      </c>
      <c r="V54" s="6475" t="s">
        <v>3701</v>
      </c>
      <c r="W54" s="6573">
        <v>1</v>
      </c>
      <c r="X54" s="6479">
        <v>27</v>
      </c>
      <c r="Y54" s="6475" t="s">
        <v>3701</v>
      </c>
      <c r="Z54" s="6575">
        <v>27</v>
      </c>
      <c r="AA54" s="5096"/>
      <c r="AB54" s="5096"/>
      <c r="AC54" s="5096"/>
      <c r="AD54" s="6492"/>
      <c r="AE54" s="6500"/>
      <c r="AF54" s="6500"/>
      <c r="AG54" s="6500"/>
      <c r="AH54" s="6500"/>
      <c r="AI54" s="6500"/>
      <c r="AJ54" s="6500"/>
      <c r="AK54" s="6500"/>
      <c r="AL54" s="6500"/>
      <c r="AM54" s="6500"/>
      <c r="AN54" s="6500"/>
      <c r="AO54" s="6500"/>
      <c r="AP54" s="6500"/>
      <c r="AQ54" s="6500"/>
      <c r="AR54" s="6500"/>
      <c r="AS54" s="6500"/>
      <c r="AT54" s="6500"/>
      <c r="AU54" s="6500"/>
      <c r="AV54" s="6500"/>
      <c r="AW54" s="6500"/>
      <c r="AX54" s="6500"/>
      <c r="AY54" s="6500"/>
      <c r="AZ54" s="6500"/>
      <c r="BA54" s="6500"/>
      <c r="BD54" s="6501"/>
      <c r="BE54" s="6520" t="s">
        <v>785</v>
      </c>
      <c r="BF54" s="6521"/>
      <c r="BG54" s="6515"/>
      <c r="BH54" s="6520" t="s">
        <v>3801</v>
      </c>
      <c r="BI54" s="6521"/>
      <c r="BJ54" s="6515"/>
      <c r="BK54" s="6520" t="s">
        <v>3753</v>
      </c>
      <c r="BL54" s="6521"/>
      <c r="BM54" s="6515"/>
      <c r="BN54" s="6520" t="s">
        <v>3756</v>
      </c>
      <c r="BO54" s="6521"/>
      <c r="BP54" s="6515"/>
      <c r="BQ54" s="6520" t="s">
        <v>2059</v>
      </c>
      <c r="BR54" s="6521"/>
      <c r="BS54" s="6515"/>
      <c r="BT54" s="6520" t="s">
        <v>3759</v>
      </c>
      <c r="BU54" s="6521"/>
      <c r="BV54" s="6515"/>
      <c r="BW54" s="6520" t="s">
        <v>3762</v>
      </c>
      <c r="BX54" s="6521"/>
      <c r="BY54" s="6515"/>
      <c r="BZ54" s="6520" t="s">
        <v>3764</v>
      </c>
      <c r="CA54" s="6521"/>
      <c r="CB54" s="6515"/>
      <c r="CC54" s="6520" t="s">
        <v>212</v>
      </c>
      <c r="CD54" s="6521"/>
      <c r="CE54" s="6515"/>
      <c r="CF54" s="6520" t="s">
        <v>3766</v>
      </c>
      <c r="CG54" s="6521"/>
      <c r="CH54" s="6515"/>
      <c r="CI54" s="6520" t="s">
        <v>3832</v>
      </c>
      <c r="CJ54" s="6521"/>
      <c r="CK54" s="6515"/>
      <c r="CL54" s="6520" t="s">
        <v>3837</v>
      </c>
      <c r="CM54" s="6521"/>
    </row>
    <row r="55" spans="1:91" ht="44.25">
      <c r="A55" s="5096"/>
      <c r="B55" s="6474" t="s">
        <v>100</v>
      </c>
      <c r="C55" s="6475" t="s">
        <v>3701</v>
      </c>
      <c r="D55" s="6570" t="s">
        <v>100</v>
      </c>
      <c r="E55" s="6477" t="s">
        <v>3727</v>
      </c>
      <c r="F55" s="6475" t="s">
        <v>3701</v>
      </c>
      <c r="G55" s="6571" t="s">
        <v>3727</v>
      </c>
      <c r="H55" s="6479">
        <v>2</v>
      </c>
      <c r="I55" s="6475" t="s">
        <v>3701</v>
      </c>
      <c r="J55" s="6571">
        <v>2</v>
      </c>
      <c r="K55" s="6479">
        <v>28</v>
      </c>
      <c r="L55" s="6475" t="s">
        <v>3701</v>
      </c>
      <c r="M55" s="6572">
        <v>28</v>
      </c>
      <c r="N55" s="5096"/>
      <c r="O55" s="6474" t="s">
        <v>100</v>
      </c>
      <c r="P55" s="6475" t="s">
        <v>3701</v>
      </c>
      <c r="Q55" s="6573" t="s">
        <v>100</v>
      </c>
      <c r="R55" s="6477" t="s">
        <v>3727</v>
      </c>
      <c r="S55" s="6475" t="s">
        <v>3701</v>
      </c>
      <c r="T55" s="6574" t="s">
        <v>3727</v>
      </c>
      <c r="U55" s="6479">
        <v>2</v>
      </c>
      <c r="V55" s="6475" t="s">
        <v>3701</v>
      </c>
      <c r="W55" s="6573">
        <v>2</v>
      </c>
      <c r="X55" s="6479">
        <v>28</v>
      </c>
      <c r="Y55" s="6475" t="s">
        <v>3701</v>
      </c>
      <c r="Z55" s="6575">
        <v>28</v>
      </c>
      <c r="AA55" s="5096"/>
      <c r="AB55" s="5096"/>
      <c r="AC55" s="5096"/>
      <c r="AD55" s="6484" t="s">
        <v>3754</v>
      </c>
      <c r="AE55" s="6505" t="s">
        <v>3855</v>
      </c>
      <c r="AF55" s="6504">
        <v>0</v>
      </c>
      <c r="AG55" s="6505" t="s">
        <v>3856</v>
      </c>
      <c r="AH55" s="6504">
        <v>0</v>
      </c>
      <c r="AI55" s="6505" t="s">
        <v>3857</v>
      </c>
      <c r="AJ55" s="6504">
        <v>0</v>
      </c>
      <c r="AK55" s="6505" t="s">
        <v>3858</v>
      </c>
      <c r="AL55" s="6504">
        <v>0</v>
      </c>
      <c r="AM55" s="6505" t="s">
        <v>3859</v>
      </c>
      <c r="AN55" s="6504">
        <v>0</v>
      </c>
      <c r="AO55" s="6505" t="s">
        <v>3860</v>
      </c>
      <c r="AP55" s="6504">
        <v>0</v>
      </c>
      <c r="AQ55" s="6505" t="s">
        <v>3861</v>
      </c>
      <c r="AR55" s="6504">
        <v>0</v>
      </c>
      <c r="AS55" s="6547" t="s">
        <v>3862</v>
      </c>
      <c r="AT55" s="6504">
        <v>0</v>
      </c>
      <c r="AU55" s="6505" t="s">
        <v>3863</v>
      </c>
      <c r="AV55" s="6504">
        <v>0</v>
      </c>
      <c r="AW55" s="6505" t="s">
        <v>3864</v>
      </c>
      <c r="AX55" s="6504">
        <v>0</v>
      </c>
      <c r="AY55" s="6505" t="s">
        <v>3865</v>
      </c>
      <c r="AZ55" s="6504">
        <v>0</v>
      </c>
      <c r="BA55" s="6505" t="s">
        <v>3866</v>
      </c>
      <c r="BD55" s="6492"/>
      <c r="BE55" s="6500"/>
      <c r="BF55" s="6500"/>
      <c r="BG55" s="6500"/>
      <c r="BH55" s="6500"/>
      <c r="BI55" s="6500"/>
      <c r="BJ55" s="6500"/>
      <c r="BK55" s="6500"/>
      <c r="BL55" s="6500"/>
      <c r="BM55" s="6500"/>
      <c r="BN55" s="6500"/>
      <c r="BO55" s="6500"/>
      <c r="BP55" s="6500"/>
      <c r="BQ55" s="6500"/>
      <c r="BR55" s="6500"/>
      <c r="BS55" s="6500"/>
      <c r="BT55" s="6500"/>
      <c r="BU55" s="6500"/>
      <c r="BV55" s="6500"/>
      <c r="BW55" s="6500"/>
      <c r="BX55" s="6500"/>
      <c r="BY55" s="6500"/>
      <c r="BZ55" s="6500"/>
      <c r="CA55" s="6500"/>
      <c r="CB55" s="6500"/>
      <c r="CC55" s="6500"/>
      <c r="CD55" s="6500"/>
      <c r="CE55" s="6500"/>
      <c r="CF55" s="6500"/>
      <c r="CG55" s="6500"/>
      <c r="CH55" s="6500"/>
      <c r="CI55" s="6500"/>
      <c r="CJ55" s="6500"/>
      <c r="CK55" s="6500"/>
      <c r="CL55" s="6500"/>
      <c r="CM55" s="6500"/>
    </row>
    <row r="56" spans="1:91" ht="44.25">
      <c r="A56" s="5096"/>
      <c r="B56" s="6474" t="s">
        <v>101</v>
      </c>
      <c r="C56" s="6475" t="s">
        <v>3701</v>
      </c>
      <c r="D56" s="6570" t="s">
        <v>101</v>
      </c>
      <c r="E56" s="6477" t="s">
        <v>3745</v>
      </c>
      <c r="F56" s="6475" t="s">
        <v>3701</v>
      </c>
      <c r="G56" s="6571" t="s">
        <v>3745</v>
      </c>
      <c r="H56" s="6479">
        <v>3</v>
      </c>
      <c r="I56" s="6475" t="s">
        <v>3701</v>
      </c>
      <c r="J56" s="6571">
        <v>3</v>
      </c>
      <c r="K56" s="6479">
        <v>29</v>
      </c>
      <c r="L56" s="6475" t="s">
        <v>3701</v>
      </c>
      <c r="M56" s="6572">
        <v>29</v>
      </c>
      <c r="N56" s="5096"/>
      <c r="O56" s="6474" t="s">
        <v>101</v>
      </c>
      <c r="P56" s="6475" t="s">
        <v>3701</v>
      </c>
      <c r="Q56" s="6573" t="s">
        <v>101</v>
      </c>
      <c r="R56" s="6477" t="s">
        <v>3745</v>
      </c>
      <c r="S56" s="6475" t="s">
        <v>3701</v>
      </c>
      <c r="T56" s="6574" t="s">
        <v>3745</v>
      </c>
      <c r="U56" s="6479">
        <v>3</v>
      </c>
      <c r="V56" s="6475" t="s">
        <v>3701</v>
      </c>
      <c r="W56" s="6573">
        <v>3</v>
      </c>
      <c r="X56" s="6479">
        <v>29</v>
      </c>
      <c r="Y56" s="6475" t="s">
        <v>3701</v>
      </c>
      <c r="Z56" s="6575">
        <v>29</v>
      </c>
      <c r="AA56" s="5096"/>
      <c r="AB56" s="5096"/>
      <c r="AC56" s="5096"/>
      <c r="AD56" s="6492"/>
      <c r="AE56" s="6500"/>
      <c r="AF56" s="6500"/>
      <c r="AG56" s="6500"/>
      <c r="AH56" s="6500"/>
      <c r="AI56" s="6500"/>
      <c r="AJ56" s="6500"/>
      <c r="AK56" s="6500"/>
      <c r="AL56" s="6500"/>
      <c r="AM56" s="6500"/>
      <c r="AN56" s="6500"/>
      <c r="AO56" s="6500"/>
      <c r="AP56" s="6500"/>
      <c r="AQ56" s="6500"/>
      <c r="AR56" s="6500"/>
      <c r="AS56" s="6548"/>
      <c r="AT56" s="6500"/>
      <c r="AU56" s="6500"/>
      <c r="AV56" s="6500"/>
      <c r="AW56" s="6500"/>
      <c r="AX56" s="6500"/>
      <c r="AY56" s="6500"/>
      <c r="AZ56" s="6500"/>
      <c r="BA56" s="6500"/>
      <c r="BD56" s="6501" t="s">
        <v>3765</v>
      </c>
      <c r="BE56" s="6523" t="s">
        <v>706</v>
      </c>
      <c r="BF56" s="6524"/>
      <c r="BG56" s="6519"/>
      <c r="BH56" s="6523" t="s">
        <v>538</v>
      </c>
      <c r="BI56" s="6524"/>
      <c r="BJ56" s="6519"/>
      <c r="BK56" s="6523" t="s">
        <v>111</v>
      </c>
      <c r="BL56" s="6524"/>
      <c r="BM56" s="6519"/>
      <c r="BN56" s="6523" t="s">
        <v>142</v>
      </c>
      <c r="BO56" s="6524"/>
      <c r="BP56" s="6519"/>
      <c r="BQ56" s="6523" t="s">
        <v>143</v>
      </c>
      <c r="BR56" s="6524"/>
      <c r="BS56" s="6519"/>
      <c r="BT56" s="6523" t="s">
        <v>144</v>
      </c>
      <c r="BU56" s="6524"/>
      <c r="BV56" s="6519"/>
      <c r="BW56" s="6523" t="s">
        <v>146</v>
      </c>
      <c r="BX56" s="6524"/>
      <c r="BY56" s="6519"/>
      <c r="BZ56" s="6523" t="s">
        <v>147</v>
      </c>
      <c r="CA56" s="6524"/>
      <c r="CB56" s="6519"/>
      <c r="CC56" s="6523" t="s">
        <v>224</v>
      </c>
      <c r="CD56" s="6524"/>
      <c r="CE56" s="6519"/>
      <c r="CF56" s="6523" t="s">
        <v>316</v>
      </c>
      <c r="CG56" s="6524"/>
      <c r="CH56" s="6519"/>
      <c r="CI56" s="6523" t="s">
        <v>58</v>
      </c>
      <c r="CJ56" s="6524"/>
      <c r="CK56" s="6519"/>
      <c r="CL56" s="6523" t="s">
        <v>3836</v>
      </c>
      <c r="CM56" s="6524"/>
    </row>
    <row r="57" spans="1:91" ht="44.25">
      <c r="A57" s="5096"/>
      <c r="B57" s="6474" t="s">
        <v>111</v>
      </c>
      <c r="C57" s="6475" t="s">
        <v>3701</v>
      </c>
      <c r="D57" s="6570" t="s">
        <v>111</v>
      </c>
      <c r="E57" s="6477" t="s">
        <v>3753</v>
      </c>
      <c r="F57" s="6475" t="s">
        <v>3701</v>
      </c>
      <c r="G57" s="6571" t="s">
        <v>3753</v>
      </c>
      <c r="H57" s="6479">
        <v>4</v>
      </c>
      <c r="I57" s="6475" t="s">
        <v>3701</v>
      </c>
      <c r="J57" s="6571">
        <v>4</v>
      </c>
      <c r="K57" s="6479">
        <v>30</v>
      </c>
      <c r="L57" s="6475" t="s">
        <v>3701</v>
      </c>
      <c r="M57" s="6572">
        <v>30</v>
      </c>
      <c r="N57" s="5096"/>
      <c r="O57" s="6474" t="s">
        <v>111</v>
      </c>
      <c r="P57" s="6475" t="s">
        <v>3701</v>
      </c>
      <c r="Q57" s="6573" t="s">
        <v>111</v>
      </c>
      <c r="R57" s="6477" t="s">
        <v>3753</v>
      </c>
      <c r="S57" s="6475" t="s">
        <v>3701</v>
      </c>
      <c r="T57" s="6574" t="s">
        <v>3753</v>
      </c>
      <c r="U57" s="6479">
        <v>4</v>
      </c>
      <c r="V57" s="6475" t="s">
        <v>3701</v>
      </c>
      <c r="W57" s="6573">
        <v>4</v>
      </c>
      <c r="X57" s="6479">
        <v>30</v>
      </c>
      <c r="Y57" s="6475" t="s">
        <v>3701</v>
      </c>
      <c r="Z57" s="6575">
        <v>30</v>
      </c>
      <c r="AA57" s="5096"/>
      <c r="AB57" s="5096"/>
      <c r="AC57" s="5096"/>
      <c r="AD57" s="6484" t="s">
        <v>3757</v>
      </c>
      <c r="AE57" s="6508" t="s">
        <v>3855</v>
      </c>
      <c r="AF57" s="6509">
        <v>0</v>
      </c>
      <c r="AG57" s="6508" t="s">
        <v>3856</v>
      </c>
      <c r="AH57" s="6509">
        <v>0</v>
      </c>
      <c r="AI57" s="6508" t="s">
        <v>3857</v>
      </c>
      <c r="AJ57" s="6509">
        <v>0</v>
      </c>
      <c r="AK57" s="6508" t="s">
        <v>3858</v>
      </c>
      <c r="AL57" s="6509">
        <v>0</v>
      </c>
      <c r="AM57" s="6508" t="s">
        <v>3859</v>
      </c>
      <c r="AN57" s="6509">
        <v>0</v>
      </c>
      <c r="AO57" s="6508" t="s">
        <v>3860</v>
      </c>
      <c r="AP57" s="6509">
        <v>0</v>
      </c>
      <c r="AQ57" s="6508" t="s">
        <v>3861</v>
      </c>
      <c r="AR57" s="6509">
        <v>0</v>
      </c>
      <c r="AS57" s="6508" t="s">
        <v>3862</v>
      </c>
      <c r="AT57" s="6509">
        <v>0</v>
      </c>
      <c r="AU57" s="6508" t="s">
        <v>3863</v>
      </c>
      <c r="AV57" s="6509">
        <v>0</v>
      </c>
      <c r="AW57" s="6508" t="s">
        <v>3864</v>
      </c>
      <c r="AX57" s="6509">
        <v>0</v>
      </c>
      <c r="AY57" s="6508" t="s">
        <v>3865</v>
      </c>
      <c r="AZ57" s="6509">
        <v>0</v>
      </c>
      <c r="BA57" s="6508" t="s">
        <v>3866</v>
      </c>
      <c r="BD57" s="6501"/>
      <c r="BE57" s="6527" t="s">
        <v>785</v>
      </c>
      <c r="BF57" s="6528"/>
      <c r="BG57" s="6519"/>
      <c r="BH57" s="6527" t="s">
        <v>3801</v>
      </c>
      <c r="BI57" s="6528"/>
      <c r="BJ57" s="6519"/>
      <c r="BK57" s="6527" t="s">
        <v>3753</v>
      </c>
      <c r="BL57" s="6528"/>
      <c r="BM57" s="6519"/>
      <c r="BN57" s="6527" t="s">
        <v>3756</v>
      </c>
      <c r="BO57" s="6528"/>
      <c r="BP57" s="6519"/>
      <c r="BQ57" s="6527" t="s">
        <v>2059</v>
      </c>
      <c r="BR57" s="6528"/>
      <c r="BS57" s="6519"/>
      <c r="BT57" s="6527" t="s">
        <v>3759</v>
      </c>
      <c r="BU57" s="6528"/>
      <c r="BV57" s="6519"/>
      <c r="BW57" s="6527" t="s">
        <v>3762</v>
      </c>
      <c r="BX57" s="6528"/>
      <c r="BY57" s="6519"/>
      <c r="BZ57" s="6527" t="s">
        <v>3764</v>
      </c>
      <c r="CA57" s="6528"/>
      <c r="CB57" s="6519"/>
      <c r="CC57" s="6527" t="s">
        <v>212</v>
      </c>
      <c r="CD57" s="6528"/>
      <c r="CE57" s="6519"/>
      <c r="CF57" s="6527" t="s">
        <v>3766</v>
      </c>
      <c r="CG57" s="6528"/>
      <c r="CH57" s="6519"/>
      <c r="CI57" s="6527" t="s">
        <v>3832</v>
      </c>
      <c r="CJ57" s="6528"/>
      <c r="CK57" s="6519"/>
      <c r="CL57" s="6527" t="s">
        <v>3837</v>
      </c>
      <c r="CM57" s="6528"/>
    </row>
    <row r="58" spans="1:91" ht="44.25">
      <c r="A58" s="5096"/>
      <c r="B58" s="6474" t="s">
        <v>112</v>
      </c>
      <c r="C58" s="6475" t="s">
        <v>3701</v>
      </c>
      <c r="D58" s="6570" t="s">
        <v>112</v>
      </c>
      <c r="E58" s="6477" t="s">
        <v>3755</v>
      </c>
      <c r="F58" s="6475" t="s">
        <v>3701</v>
      </c>
      <c r="G58" s="6571" t="s">
        <v>3755</v>
      </c>
      <c r="H58" s="6479">
        <v>5</v>
      </c>
      <c r="I58" s="6475" t="s">
        <v>3701</v>
      </c>
      <c r="J58" s="6571">
        <v>5</v>
      </c>
      <c r="K58" s="6479">
        <v>31</v>
      </c>
      <c r="L58" s="6475" t="s">
        <v>3701</v>
      </c>
      <c r="M58" s="6572">
        <v>31</v>
      </c>
      <c r="N58" s="5096"/>
      <c r="O58" s="6474" t="s">
        <v>112</v>
      </c>
      <c r="P58" s="6475" t="s">
        <v>3701</v>
      </c>
      <c r="Q58" s="6573" t="s">
        <v>112</v>
      </c>
      <c r="R58" s="6477" t="s">
        <v>3755</v>
      </c>
      <c r="S58" s="6475" t="s">
        <v>3701</v>
      </c>
      <c r="T58" s="6574" t="s">
        <v>3755</v>
      </c>
      <c r="U58" s="6479">
        <v>5</v>
      </c>
      <c r="V58" s="6475" t="s">
        <v>3701</v>
      </c>
      <c r="W58" s="6573">
        <v>5</v>
      </c>
      <c r="X58" s="6479">
        <v>31</v>
      </c>
      <c r="Y58" s="6475" t="s">
        <v>3701</v>
      </c>
      <c r="Z58" s="6575">
        <v>31</v>
      </c>
      <c r="AA58" s="5096"/>
      <c r="AB58" s="5096"/>
      <c r="AC58" s="5096"/>
      <c r="AD58" s="6492"/>
      <c r="AE58" s="6500"/>
      <c r="AF58" s="6500"/>
      <c r="AG58" s="6500"/>
      <c r="AH58" s="6500"/>
      <c r="AI58" s="6500"/>
      <c r="AJ58" s="6500"/>
      <c r="AK58" s="6500"/>
      <c r="AL58" s="6500"/>
      <c r="AM58" s="6500"/>
      <c r="AN58" s="6500"/>
      <c r="AO58" s="6500"/>
      <c r="AP58" s="6500"/>
      <c r="AQ58" s="6500"/>
      <c r="AR58" s="6500"/>
      <c r="AS58" s="6500"/>
      <c r="AT58" s="6500"/>
      <c r="AU58" s="6500"/>
      <c r="AV58" s="6500"/>
      <c r="AW58" s="6500"/>
      <c r="AX58" s="6500"/>
      <c r="AY58" s="6500"/>
      <c r="AZ58" s="6500"/>
      <c r="BA58" s="6500"/>
      <c r="BD58" s="6492"/>
      <c r="BE58" s="6500"/>
      <c r="BF58" s="6500"/>
      <c r="BG58" s="6500"/>
      <c r="BH58" s="6500"/>
      <c r="BI58" s="6500"/>
      <c r="BJ58" s="6500"/>
      <c r="BK58" s="6500"/>
      <c r="BL58" s="6500"/>
      <c r="BM58" s="6500"/>
      <c r="BN58" s="6500"/>
      <c r="BO58" s="6500"/>
      <c r="BP58" s="6500"/>
      <c r="BQ58" s="6500"/>
      <c r="BR58" s="6500"/>
      <c r="BS58" s="6500"/>
      <c r="BT58" s="6500"/>
      <c r="BU58" s="6500"/>
      <c r="BV58" s="6500"/>
      <c r="BW58" s="6500"/>
      <c r="BX58" s="6500"/>
      <c r="BY58" s="6500"/>
      <c r="BZ58" s="6500"/>
      <c r="CA58" s="6500"/>
      <c r="CB58" s="6500"/>
      <c r="CC58" s="6500"/>
      <c r="CD58" s="6500"/>
      <c r="CE58" s="6500"/>
      <c r="CF58" s="6500"/>
      <c r="CG58" s="6500"/>
      <c r="CH58" s="6500"/>
      <c r="CI58" s="6500"/>
      <c r="CJ58" s="6500"/>
      <c r="CK58" s="6500"/>
      <c r="CL58" s="6500"/>
      <c r="CM58" s="6500"/>
    </row>
    <row r="59" spans="1:91" ht="44.25">
      <c r="A59" s="5096"/>
      <c r="B59" s="6474" t="s">
        <v>142</v>
      </c>
      <c r="C59" s="6475" t="s">
        <v>3701</v>
      </c>
      <c r="D59" s="6570" t="s">
        <v>142</v>
      </c>
      <c r="E59" s="6477" t="s">
        <v>3756</v>
      </c>
      <c r="F59" s="6475" t="s">
        <v>3701</v>
      </c>
      <c r="G59" s="6571" t="s">
        <v>3756</v>
      </c>
      <c r="H59" s="6479">
        <v>6</v>
      </c>
      <c r="I59" s="6475" t="s">
        <v>3701</v>
      </c>
      <c r="J59" s="6571">
        <v>6</v>
      </c>
      <c r="K59" s="6479">
        <v>32</v>
      </c>
      <c r="L59" s="6475" t="s">
        <v>3701</v>
      </c>
      <c r="M59" s="6572">
        <v>32</v>
      </c>
      <c r="N59" s="5096"/>
      <c r="O59" s="6474" t="s">
        <v>142</v>
      </c>
      <c r="P59" s="6475" t="s">
        <v>3701</v>
      </c>
      <c r="Q59" s="6573" t="s">
        <v>142</v>
      </c>
      <c r="R59" s="6477" t="s">
        <v>3756</v>
      </c>
      <c r="S59" s="6475" t="s">
        <v>3701</v>
      </c>
      <c r="T59" s="6574" t="s">
        <v>3756</v>
      </c>
      <c r="U59" s="6479">
        <v>6</v>
      </c>
      <c r="V59" s="6475" t="s">
        <v>3701</v>
      </c>
      <c r="W59" s="6573">
        <v>6</v>
      </c>
      <c r="X59" s="6479">
        <v>32</v>
      </c>
      <c r="Y59" s="6475" t="s">
        <v>3701</v>
      </c>
      <c r="Z59" s="6575">
        <v>32</v>
      </c>
      <c r="AA59" s="5096"/>
      <c r="AB59" s="5096"/>
      <c r="AC59" s="5096"/>
      <c r="AD59" s="6484" t="s">
        <v>3761</v>
      </c>
      <c r="AE59" s="6514" t="s">
        <v>3855</v>
      </c>
      <c r="AF59" s="6515">
        <v>0</v>
      </c>
      <c r="AG59" s="6514" t="s">
        <v>3856</v>
      </c>
      <c r="AH59" s="6515">
        <v>0</v>
      </c>
      <c r="AI59" s="6514" t="s">
        <v>3857</v>
      </c>
      <c r="AJ59" s="6515">
        <v>0</v>
      </c>
      <c r="AK59" s="6514" t="s">
        <v>3858</v>
      </c>
      <c r="AL59" s="6515">
        <v>0</v>
      </c>
      <c r="AM59" s="6514" t="s">
        <v>3859</v>
      </c>
      <c r="AN59" s="6515">
        <v>0</v>
      </c>
      <c r="AO59" s="6514" t="s">
        <v>3860</v>
      </c>
      <c r="AP59" s="6515">
        <v>0</v>
      </c>
      <c r="AQ59" s="6514" t="s">
        <v>3861</v>
      </c>
      <c r="AR59" s="6515">
        <v>0</v>
      </c>
      <c r="AS59" s="6514" t="s">
        <v>3862</v>
      </c>
      <c r="AT59" s="6515">
        <v>0</v>
      </c>
      <c r="AU59" s="6514" t="s">
        <v>3863</v>
      </c>
      <c r="AV59" s="6515">
        <v>0</v>
      </c>
      <c r="AW59" s="6514" t="s">
        <v>3864</v>
      </c>
      <c r="AX59" s="6515">
        <v>0</v>
      </c>
      <c r="AY59" s="6514" t="s">
        <v>3865</v>
      </c>
      <c r="AZ59" s="6515">
        <v>0</v>
      </c>
      <c r="BA59" s="6514" t="s">
        <v>3866</v>
      </c>
      <c r="BD59" s="6492"/>
      <c r="BE59" s="6465" t="s">
        <v>3867</v>
      </c>
      <c r="BF59" s="6500"/>
      <c r="BG59" s="6500"/>
      <c r="BH59" s="6500"/>
      <c r="BI59" s="6500"/>
      <c r="BJ59" s="6500"/>
      <c r="BK59" s="6500"/>
      <c r="BL59" s="6500"/>
      <c r="BM59" s="6500"/>
      <c r="BN59" s="6500"/>
      <c r="BO59" s="6500"/>
      <c r="BP59" s="6500"/>
      <c r="BQ59" s="6500"/>
      <c r="BR59" s="6500"/>
      <c r="BS59" s="6500"/>
      <c r="BT59" s="6500"/>
      <c r="BU59" s="6500"/>
      <c r="BV59" s="6500"/>
      <c r="BW59" s="6500"/>
      <c r="BX59" s="6500"/>
      <c r="BY59" s="6500"/>
      <c r="BZ59" s="6500"/>
      <c r="CA59" s="6500"/>
      <c r="CB59" s="6500"/>
      <c r="CC59" s="6500"/>
      <c r="CD59" s="6500"/>
      <c r="CE59" s="6500"/>
      <c r="CF59" s="6500"/>
      <c r="CG59" s="6500"/>
      <c r="CH59" s="6500"/>
      <c r="CI59" s="6500"/>
      <c r="CJ59" s="6500"/>
      <c r="CK59" s="6500"/>
      <c r="CL59" s="6500"/>
      <c r="CM59" s="6500"/>
    </row>
    <row r="60" spans="1:91" ht="44.25">
      <c r="A60" s="5096"/>
      <c r="B60" s="6474" t="s">
        <v>143</v>
      </c>
      <c r="C60" s="6475" t="s">
        <v>3701</v>
      </c>
      <c r="D60" s="6570" t="s">
        <v>143</v>
      </c>
      <c r="E60" s="6477" t="s">
        <v>2059</v>
      </c>
      <c r="F60" s="6475" t="s">
        <v>3701</v>
      </c>
      <c r="G60" s="6571" t="s">
        <v>2059</v>
      </c>
      <c r="H60" s="6479">
        <v>7</v>
      </c>
      <c r="I60" s="6475" t="s">
        <v>3701</v>
      </c>
      <c r="J60" s="6571">
        <v>7</v>
      </c>
      <c r="K60" s="6479">
        <v>33</v>
      </c>
      <c r="L60" s="6475" t="s">
        <v>3701</v>
      </c>
      <c r="M60" s="6572">
        <v>33</v>
      </c>
      <c r="N60" s="5096"/>
      <c r="O60" s="6474" t="s">
        <v>143</v>
      </c>
      <c r="P60" s="6475" t="s">
        <v>3701</v>
      </c>
      <c r="Q60" s="6573" t="s">
        <v>143</v>
      </c>
      <c r="R60" s="6477" t="s">
        <v>2059</v>
      </c>
      <c r="S60" s="6475" t="s">
        <v>3701</v>
      </c>
      <c r="T60" s="6574" t="s">
        <v>2059</v>
      </c>
      <c r="U60" s="6479">
        <v>7</v>
      </c>
      <c r="V60" s="6475" t="s">
        <v>3701</v>
      </c>
      <c r="W60" s="6573">
        <v>7</v>
      </c>
      <c r="X60" s="6479">
        <v>33</v>
      </c>
      <c r="Y60" s="6475" t="s">
        <v>3701</v>
      </c>
      <c r="Z60" s="6575">
        <v>33</v>
      </c>
      <c r="AA60" s="5096"/>
      <c r="AB60" s="5096"/>
      <c r="AC60" s="5096"/>
      <c r="AD60" s="6492"/>
      <c r="AE60" s="6500"/>
      <c r="AF60" s="6500"/>
      <c r="AG60" s="6500"/>
      <c r="AH60" s="6500"/>
      <c r="AI60" s="6500"/>
      <c r="AJ60" s="6500"/>
      <c r="AK60" s="6500"/>
      <c r="AL60" s="6500"/>
      <c r="AM60" s="6500"/>
      <c r="AN60" s="6500"/>
      <c r="AO60" s="6500"/>
      <c r="AP60" s="6500"/>
      <c r="AQ60" s="6500"/>
      <c r="AR60" s="6500"/>
      <c r="AS60" s="6500"/>
      <c r="AT60" s="6500"/>
      <c r="AU60" s="6500"/>
      <c r="AV60" s="6500"/>
      <c r="AW60" s="6500"/>
      <c r="AX60" s="6500"/>
      <c r="AY60" s="6500"/>
      <c r="AZ60" s="6500"/>
      <c r="BA60" s="6500"/>
      <c r="BD60" s="6487" t="s">
        <v>3724</v>
      </c>
      <c r="BE60" s="6488" t="s">
        <v>3834</v>
      </c>
      <c r="BF60" s="6489"/>
      <c r="BG60" s="6500"/>
      <c r="BH60" s="6488" t="s">
        <v>3803</v>
      </c>
      <c r="BI60" s="6489"/>
      <c r="BJ60" s="6500"/>
      <c r="BK60" s="6488" t="s">
        <v>783</v>
      </c>
      <c r="BL60" s="6489"/>
      <c r="BM60" s="6500"/>
      <c r="BN60" s="6488" t="s">
        <v>101</v>
      </c>
      <c r="BO60" s="6489"/>
      <c r="BP60" s="6500"/>
      <c r="BQ60" s="6488" t="s">
        <v>590</v>
      </c>
      <c r="BR60" s="6489"/>
      <c r="BS60" s="6500"/>
      <c r="BT60" s="6488" t="s">
        <v>100</v>
      </c>
      <c r="BU60" s="6489"/>
      <c r="BV60" s="6500"/>
      <c r="BW60" s="6488" t="s">
        <v>654</v>
      </c>
      <c r="BX60" s="6489"/>
      <c r="BY60" s="6500"/>
      <c r="BZ60" s="6488" t="s">
        <v>32</v>
      </c>
      <c r="CA60" s="6489"/>
      <c r="CB60" s="6500"/>
      <c r="CC60" s="6488" t="s">
        <v>1239</v>
      </c>
      <c r="CD60" s="6489"/>
      <c r="CE60" s="6500"/>
      <c r="CF60" s="6488" t="s">
        <v>3839</v>
      </c>
      <c r="CG60" s="6489"/>
      <c r="CH60" s="6500"/>
      <c r="CI60" s="6488" t="s">
        <v>3838</v>
      </c>
      <c r="CJ60" s="6489"/>
      <c r="CK60" s="6500"/>
      <c r="CL60" s="6500"/>
      <c r="CM60" s="6500"/>
    </row>
    <row r="61" spans="1:91" ht="44.25">
      <c r="A61" s="5096"/>
      <c r="B61" s="6474" t="s">
        <v>144</v>
      </c>
      <c r="C61" s="6475" t="s">
        <v>3701</v>
      </c>
      <c r="D61" s="6570" t="s">
        <v>144</v>
      </c>
      <c r="E61" s="6477" t="s">
        <v>3759</v>
      </c>
      <c r="F61" s="6475" t="s">
        <v>3701</v>
      </c>
      <c r="G61" s="6571" t="s">
        <v>3759</v>
      </c>
      <c r="H61" s="6479">
        <v>8</v>
      </c>
      <c r="I61" s="6475" t="s">
        <v>3701</v>
      </c>
      <c r="J61" s="6571">
        <v>8</v>
      </c>
      <c r="K61" s="6479">
        <v>34</v>
      </c>
      <c r="L61" s="6475" t="s">
        <v>3701</v>
      </c>
      <c r="M61" s="6572">
        <v>34</v>
      </c>
      <c r="N61" s="5096"/>
      <c r="O61" s="6474" t="s">
        <v>144</v>
      </c>
      <c r="P61" s="6475" t="s">
        <v>3701</v>
      </c>
      <c r="Q61" s="6573" t="s">
        <v>144</v>
      </c>
      <c r="R61" s="6477" t="s">
        <v>3759</v>
      </c>
      <c r="S61" s="6475" t="s">
        <v>3701</v>
      </c>
      <c r="T61" s="6574" t="s">
        <v>3759</v>
      </c>
      <c r="U61" s="6479">
        <v>8</v>
      </c>
      <c r="V61" s="6475" t="s">
        <v>3701</v>
      </c>
      <c r="W61" s="6573">
        <v>8</v>
      </c>
      <c r="X61" s="6479">
        <v>34</v>
      </c>
      <c r="Y61" s="6475" t="s">
        <v>3701</v>
      </c>
      <c r="Z61" s="6575">
        <v>34</v>
      </c>
      <c r="AA61" s="5096"/>
      <c r="AB61" s="5096"/>
      <c r="AC61" s="5096"/>
      <c r="AD61" s="6484" t="s">
        <v>3765</v>
      </c>
      <c r="AE61" s="6518" t="s">
        <v>3855</v>
      </c>
      <c r="AF61" s="6519">
        <v>0</v>
      </c>
      <c r="AG61" s="6518" t="s">
        <v>3856</v>
      </c>
      <c r="AH61" s="6519">
        <v>0</v>
      </c>
      <c r="AI61" s="6518" t="s">
        <v>3857</v>
      </c>
      <c r="AJ61" s="6519">
        <v>0</v>
      </c>
      <c r="AK61" s="6518" t="s">
        <v>3858</v>
      </c>
      <c r="AL61" s="6519">
        <v>0</v>
      </c>
      <c r="AM61" s="6518" t="s">
        <v>3859</v>
      </c>
      <c r="AN61" s="6519">
        <v>0</v>
      </c>
      <c r="AO61" s="6518" t="s">
        <v>3860</v>
      </c>
      <c r="AP61" s="6519">
        <v>0</v>
      </c>
      <c r="AQ61" s="6518" t="s">
        <v>3861</v>
      </c>
      <c r="AR61" s="6519">
        <v>0</v>
      </c>
      <c r="AS61" s="6518" t="s">
        <v>3862</v>
      </c>
      <c r="AT61" s="6519">
        <v>0</v>
      </c>
      <c r="AU61" s="6518" t="s">
        <v>3863</v>
      </c>
      <c r="AV61" s="6519">
        <v>0</v>
      </c>
      <c r="AW61" s="6518" t="s">
        <v>3864</v>
      </c>
      <c r="AX61" s="6519">
        <v>0</v>
      </c>
      <c r="AY61" s="6518" t="s">
        <v>3865</v>
      </c>
      <c r="AZ61" s="6519">
        <v>0</v>
      </c>
      <c r="BA61" s="6518" t="s">
        <v>3866</v>
      </c>
      <c r="BD61" s="6487"/>
      <c r="BE61" s="6494" t="s">
        <v>3834</v>
      </c>
      <c r="BF61" s="6495"/>
      <c r="BG61" s="6500"/>
      <c r="BH61" s="6494" t="s">
        <v>3804</v>
      </c>
      <c r="BI61" s="6495"/>
      <c r="BJ61" s="6500"/>
      <c r="BK61" s="6494" t="s">
        <v>3805</v>
      </c>
      <c r="BL61" s="6495"/>
      <c r="BM61" s="6500"/>
      <c r="BN61" s="6494" t="s">
        <v>3745</v>
      </c>
      <c r="BO61" s="6495"/>
      <c r="BP61" s="6500"/>
      <c r="BQ61" s="6494" t="s">
        <v>3802</v>
      </c>
      <c r="BR61" s="6495"/>
      <c r="BS61" s="6500"/>
      <c r="BT61" s="6494" t="s">
        <v>3727</v>
      </c>
      <c r="BU61" s="6495"/>
      <c r="BV61" s="6500"/>
      <c r="BW61" s="6494" t="s">
        <v>3768</v>
      </c>
      <c r="BX61" s="6495"/>
      <c r="BY61" s="6500"/>
      <c r="BZ61" s="6494" t="s">
        <v>3840</v>
      </c>
      <c r="CA61" s="6495"/>
      <c r="CB61" s="6500"/>
      <c r="CC61" s="6494" t="s">
        <v>3806</v>
      </c>
      <c r="CD61" s="6495"/>
      <c r="CE61" s="6500"/>
      <c r="CF61" s="6494" t="s">
        <v>3819</v>
      </c>
      <c r="CG61" s="6495"/>
      <c r="CH61" s="6500"/>
      <c r="CI61" s="6494" t="s">
        <v>2756</v>
      </c>
      <c r="CJ61" s="6495"/>
      <c r="CK61" s="6500"/>
      <c r="CL61" s="6500"/>
      <c r="CM61" s="6500"/>
    </row>
    <row r="62" spans="1:91" ht="45" thickBot="1">
      <c r="A62" s="5096"/>
      <c r="B62" s="6474" t="s">
        <v>145</v>
      </c>
      <c r="C62" s="6475" t="s">
        <v>3701</v>
      </c>
      <c r="D62" s="6570" t="s">
        <v>145</v>
      </c>
      <c r="E62" s="6477" t="s">
        <v>3760</v>
      </c>
      <c r="F62" s="6475" t="s">
        <v>3701</v>
      </c>
      <c r="G62" s="6571" t="s">
        <v>3760</v>
      </c>
      <c r="H62" s="6479">
        <v>9</v>
      </c>
      <c r="I62" s="6475" t="s">
        <v>3701</v>
      </c>
      <c r="J62" s="6571">
        <v>9</v>
      </c>
      <c r="K62" s="6479">
        <v>35</v>
      </c>
      <c r="L62" s="6475" t="s">
        <v>3701</v>
      </c>
      <c r="M62" s="6572">
        <v>35</v>
      </c>
      <c r="N62" s="5096"/>
      <c r="O62" s="6474" t="s">
        <v>145</v>
      </c>
      <c r="P62" s="6475" t="s">
        <v>3701</v>
      </c>
      <c r="Q62" s="6573" t="s">
        <v>145</v>
      </c>
      <c r="R62" s="6477" t="s">
        <v>3760</v>
      </c>
      <c r="S62" s="6475" t="s">
        <v>3701</v>
      </c>
      <c r="T62" s="6574" t="s">
        <v>3760</v>
      </c>
      <c r="U62" s="6479">
        <v>9</v>
      </c>
      <c r="V62" s="6475" t="s">
        <v>3701</v>
      </c>
      <c r="W62" s="6573">
        <v>9</v>
      </c>
      <c r="X62" s="6479">
        <v>35</v>
      </c>
      <c r="Y62" s="6475" t="s">
        <v>3701</v>
      </c>
      <c r="Z62" s="6575">
        <v>35</v>
      </c>
      <c r="AA62" s="5096"/>
      <c r="AB62" s="5096"/>
      <c r="AC62" s="5096"/>
      <c r="AD62" s="6576"/>
      <c r="AE62" s="6529"/>
      <c r="AF62" s="6529"/>
      <c r="AG62" s="6529"/>
      <c r="AH62" s="6529"/>
      <c r="AI62" s="6529"/>
      <c r="AJ62" s="6529"/>
      <c r="AK62" s="6529"/>
      <c r="AL62" s="6529"/>
      <c r="AM62" s="6529"/>
      <c r="AN62" s="6529"/>
      <c r="AO62" s="6529"/>
      <c r="AP62" s="6529"/>
      <c r="AQ62" s="6529"/>
      <c r="AR62" s="6529"/>
      <c r="AS62" s="6529"/>
      <c r="AT62" s="6529"/>
      <c r="AU62" s="6529"/>
      <c r="AV62" s="6529"/>
      <c r="AW62" s="6529"/>
      <c r="AX62" s="6529"/>
      <c r="AY62" s="6529"/>
      <c r="AZ62" s="6529"/>
      <c r="BA62" s="6529"/>
      <c r="BD62" s="6499"/>
      <c r="BE62" s="6490"/>
      <c r="BF62" s="6490"/>
      <c r="BG62" s="6500"/>
      <c r="BH62" s="6490"/>
      <c r="BI62" s="6490"/>
      <c r="BJ62" s="6500"/>
      <c r="BK62" s="6490"/>
      <c r="BL62" s="6490"/>
      <c r="BM62" s="6500"/>
      <c r="BN62" s="6490"/>
      <c r="BO62" s="6490"/>
      <c r="BP62" s="6500"/>
      <c r="BQ62" s="6490"/>
      <c r="BR62" s="6490"/>
      <c r="BS62" s="6500"/>
      <c r="BT62" s="6490"/>
      <c r="BU62" s="6490"/>
      <c r="BV62" s="6500"/>
      <c r="BW62" s="6490"/>
      <c r="BX62" s="6490"/>
      <c r="BY62" s="6500"/>
      <c r="BZ62" s="6490"/>
      <c r="CA62" s="6490"/>
      <c r="CB62" s="6500"/>
      <c r="CC62" s="6490"/>
      <c r="CD62" s="6490"/>
      <c r="CE62" s="6500"/>
      <c r="CF62" s="6490"/>
      <c r="CG62" s="6490"/>
      <c r="CH62" s="6500"/>
      <c r="CI62" s="6490"/>
      <c r="CJ62" s="6490"/>
      <c r="CK62" s="6500"/>
      <c r="CL62" s="6500"/>
      <c r="CM62" s="6500"/>
    </row>
    <row r="63" spans="1:91" ht="44.25" customHeight="1">
      <c r="A63" s="5096"/>
      <c r="B63" s="6474" t="s">
        <v>146</v>
      </c>
      <c r="C63" s="6475" t="s">
        <v>3701</v>
      </c>
      <c r="D63" s="6570" t="s">
        <v>146</v>
      </c>
      <c r="E63" s="6477" t="s">
        <v>3762</v>
      </c>
      <c r="F63" s="6475" t="s">
        <v>3701</v>
      </c>
      <c r="G63" s="6571" t="s">
        <v>3762</v>
      </c>
      <c r="H63" s="6479">
        <v>10</v>
      </c>
      <c r="I63" s="6475" t="s">
        <v>3701</v>
      </c>
      <c r="J63" s="6571">
        <v>10</v>
      </c>
      <c r="K63" s="6479">
        <v>36</v>
      </c>
      <c r="L63" s="6475" t="s">
        <v>3701</v>
      </c>
      <c r="M63" s="6572">
        <v>36</v>
      </c>
      <c r="N63" s="5096"/>
      <c r="O63" s="6474" t="s">
        <v>146</v>
      </c>
      <c r="P63" s="6475" t="s">
        <v>3701</v>
      </c>
      <c r="Q63" s="6573" t="s">
        <v>146</v>
      </c>
      <c r="R63" s="6477" t="s">
        <v>3762</v>
      </c>
      <c r="S63" s="6475" t="s">
        <v>3701</v>
      </c>
      <c r="T63" s="6574" t="s">
        <v>3762</v>
      </c>
      <c r="U63" s="6479">
        <v>10</v>
      </c>
      <c r="V63" s="6475" t="s">
        <v>3701</v>
      </c>
      <c r="W63" s="6573">
        <v>10</v>
      </c>
      <c r="X63" s="6479">
        <v>36</v>
      </c>
      <c r="Y63" s="6475" t="s">
        <v>3701</v>
      </c>
      <c r="Z63" s="6575">
        <v>36</v>
      </c>
      <c r="AA63" s="5096"/>
      <c r="AB63" s="5096"/>
      <c r="AC63" s="5096"/>
      <c r="AE63" s="6577" t="s">
        <v>3868</v>
      </c>
      <c r="AF63" s="6578"/>
      <c r="AG63" s="6578"/>
      <c r="AH63" s="6578"/>
      <c r="AI63" s="6578"/>
      <c r="AJ63" s="6578"/>
      <c r="AK63" s="6578"/>
      <c r="AL63" s="6578"/>
      <c r="AM63" s="6578"/>
      <c r="AN63" s="6578"/>
      <c r="AO63" s="6578"/>
      <c r="AP63" s="6578"/>
      <c r="AQ63" s="6578"/>
      <c r="AR63" s="6578"/>
      <c r="AS63" s="6578"/>
      <c r="AT63" s="6578"/>
      <c r="AU63" s="6579"/>
      <c r="BD63" s="6501" t="s">
        <v>3754</v>
      </c>
      <c r="BE63" s="6502" t="s">
        <v>3834</v>
      </c>
      <c r="BF63" s="6503"/>
      <c r="BG63" s="6500"/>
      <c r="BH63" s="6502" t="s">
        <v>3803</v>
      </c>
      <c r="BI63" s="6503"/>
      <c r="BJ63" s="6500"/>
      <c r="BK63" s="6502" t="s">
        <v>783</v>
      </c>
      <c r="BL63" s="6503"/>
      <c r="BM63" s="6500"/>
      <c r="BN63" s="6502" t="s">
        <v>101</v>
      </c>
      <c r="BO63" s="6503"/>
      <c r="BP63" s="6500"/>
      <c r="BQ63" s="6502" t="s">
        <v>590</v>
      </c>
      <c r="BR63" s="6503"/>
      <c r="BS63" s="6500"/>
      <c r="BT63" s="6502" t="s">
        <v>100</v>
      </c>
      <c r="BU63" s="6503"/>
      <c r="BV63" s="6500"/>
      <c r="BW63" s="6502" t="s">
        <v>654</v>
      </c>
      <c r="BX63" s="6503"/>
      <c r="BY63" s="6500"/>
      <c r="BZ63" s="6502" t="s">
        <v>32</v>
      </c>
      <c r="CA63" s="6503"/>
      <c r="CB63" s="6500"/>
      <c r="CC63" s="6502" t="s">
        <v>1239</v>
      </c>
      <c r="CD63" s="6503"/>
      <c r="CE63" s="6500"/>
      <c r="CF63" s="6502" t="s">
        <v>3839</v>
      </c>
      <c r="CG63" s="6503"/>
      <c r="CH63" s="6500"/>
      <c r="CI63" s="6502" t="s">
        <v>3838</v>
      </c>
      <c r="CJ63" s="6503"/>
      <c r="CK63" s="6500"/>
      <c r="CL63" s="6500"/>
      <c r="CM63" s="6500"/>
    </row>
    <row r="64" spans="1:91" ht="45" thickBot="1">
      <c r="A64" s="5096"/>
      <c r="B64" s="6474" t="s">
        <v>147</v>
      </c>
      <c r="C64" s="6475" t="s">
        <v>3701</v>
      </c>
      <c r="D64" s="6570" t="s">
        <v>147</v>
      </c>
      <c r="E64" s="6477" t="s">
        <v>3764</v>
      </c>
      <c r="F64" s="6475" t="s">
        <v>3701</v>
      </c>
      <c r="G64" s="6571" t="s">
        <v>3764</v>
      </c>
      <c r="H64" s="6479">
        <v>11</v>
      </c>
      <c r="I64" s="6475" t="s">
        <v>3701</v>
      </c>
      <c r="J64" s="6571">
        <v>11</v>
      </c>
      <c r="K64" s="6479">
        <v>37</v>
      </c>
      <c r="L64" s="6475" t="s">
        <v>3701</v>
      </c>
      <c r="M64" s="6572">
        <v>37</v>
      </c>
      <c r="N64" s="5096"/>
      <c r="O64" s="6474" t="s">
        <v>147</v>
      </c>
      <c r="P64" s="6475" t="s">
        <v>3701</v>
      </c>
      <c r="Q64" s="6573" t="s">
        <v>147</v>
      </c>
      <c r="R64" s="6477" t="s">
        <v>3764</v>
      </c>
      <c r="S64" s="6475" t="s">
        <v>3701</v>
      </c>
      <c r="T64" s="6574" t="s">
        <v>3764</v>
      </c>
      <c r="U64" s="6479">
        <v>11</v>
      </c>
      <c r="V64" s="6475" t="s">
        <v>3701</v>
      </c>
      <c r="W64" s="6573">
        <v>11</v>
      </c>
      <c r="X64" s="6479">
        <v>37</v>
      </c>
      <c r="Y64" s="6475" t="s">
        <v>3701</v>
      </c>
      <c r="Z64" s="6575">
        <v>37</v>
      </c>
      <c r="AA64" s="5096"/>
      <c r="AB64" s="5096"/>
      <c r="AC64" s="5096"/>
      <c r="AE64" s="6580"/>
      <c r="AF64" s="6581"/>
      <c r="AG64" s="6581"/>
      <c r="AH64" s="6581"/>
      <c r="AI64" s="6581"/>
      <c r="AJ64" s="6581"/>
      <c r="AK64" s="6581"/>
      <c r="AL64" s="6581"/>
      <c r="AM64" s="6581"/>
      <c r="AN64" s="6581"/>
      <c r="AO64" s="6581"/>
      <c r="AP64" s="6581"/>
      <c r="AQ64" s="6581"/>
      <c r="AR64" s="6581"/>
      <c r="AS64" s="6581"/>
      <c r="AT64" s="6581"/>
      <c r="AU64" s="6582"/>
      <c r="BD64" s="6501"/>
      <c r="BE64" s="6506" t="s">
        <v>3834</v>
      </c>
      <c r="BF64" s="6507"/>
      <c r="BG64" s="6500"/>
      <c r="BH64" s="6506" t="s">
        <v>3804</v>
      </c>
      <c r="BI64" s="6507"/>
      <c r="BJ64" s="6500"/>
      <c r="BK64" s="6506" t="s">
        <v>3805</v>
      </c>
      <c r="BL64" s="6507"/>
      <c r="BM64" s="6500"/>
      <c r="BN64" s="6506" t="s">
        <v>3745</v>
      </c>
      <c r="BO64" s="6507"/>
      <c r="BP64" s="6500"/>
      <c r="BQ64" s="6506" t="s">
        <v>3802</v>
      </c>
      <c r="BR64" s="6507"/>
      <c r="BS64" s="6500"/>
      <c r="BT64" s="6506" t="s">
        <v>3727</v>
      </c>
      <c r="BU64" s="6507"/>
      <c r="BV64" s="6500"/>
      <c r="BW64" s="6506" t="s">
        <v>3768</v>
      </c>
      <c r="BX64" s="6507"/>
      <c r="BY64" s="6500"/>
      <c r="BZ64" s="6506" t="s">
        <v>3840</v>
      </c>
      <c r="CA64" s="6507"/>
      <c r="CB64" s="6500"/>
      <c r="CC64" s="6506" t="s">
        <v>3806</v>
      </c>
      <c r="CD64" s="6507"/>
      <c r="CE64" s="6500"/>
      <c r="CF64" s="6506" t="s">
        <v>3819</v>
      </c>
      <c r="CG64" s="6507"/>
      <c r="CH64" s="6500"/>
      <c r="CI64" s="6506" t="s">
        <v>2756</v>
      </c>
      <c r="CJ64" s="6507"/>
      <c r="CK64" s="6500"/>
      <c r="CL64" s="6500"/>
      <c r="CM64" s="6500"/>
    </row>
    <row r="65" spans="1:91" ht="44.25">
      <c r="A65" s="5096"/>
      <c r="B65" s="6474" t="s">
        <v>224</v>
      </c>
      <c r="C65" s="6475" t="s">
        <v>3701</v>
      </c>
      <c r="D65" s="6570" t="s">
        <v>224</v>
      </c>
      <c r="E65" s="6477" t="s">
        <v>212</v>
      </c>
      <c r="F65" s="6475" t="s">
        <v>3701</v>
      </c>
      <c r="G65" s="6571" t="s">
        <v>212</v>
      </c>
      <c r="H65" s="6479">
        <v>12</v>
      </c>
      <c r="I65" s="6475" t="s">
        <v>3701</v>
      </c>
      <c r="J65" s="6571">
        <v>12</v>
      </c>
      <c r="K65" s="6479">
        <v>38</v>
      </c>
      <c r="L65" s="6475" t="s">
        <v>3701</v>
      </c>
      <c r="M65" s="6572">
        <v>38</v>
      </c>
      <c r="N65" s="5096"/>
      <c r="O65" s="6474" t="s">
        <v>224</v>
      </c>
      <c r="P65" s="6475" t="s">
        <v>3701</v>
      </c>
      <c r="Q65" s="6573" t="s">
        <v>224</v>
      </c>
      <c r="R65" s="6477" t="s">
        <v>212</v>
      </c>
      <c r="S65" s="6475" t="s">
        <v>3701</v>
      </c>
      <c r="T65" s="6574" t="s">
        <v>212</v>
      </c>
      <c r="U65" s="6479">
        <v>12</v>
      </c>
      <c r="V65" s="6475" t="s">
        <v>3701</v>
      </c>
      <c r="W65" s="6573">
        <v>12</v>
      </c>
      <c r="X65" s="6479">
        <v>38</v>
      </c>
      <c r="Y65" s="6475" t="s">
        <v>3701</v>
      </c>
      <c r="Z65" s="6575">
        <v>38</v>
      </c>
      <c r="AA65" s="5096"/>
      <c r="AB65" s="5096"/>
      <c r="AC65" s="5096"/>
      <c r="AE65" s="801"/>
      <c r="AF65" s="801"/>
      <c r="AG65" s="801"/>
      <c r="AH65" s="801"/>
      <c r="AI65" s="801"/>
      <c r="AJ65" s="801"/>
      <c r="AK65" s="801"/>
      <c r="AL65" s="801"/>
      <c r="AM65" s="801"/>
      <c r="AN65" s="801"/>
      <c r="AO65" s="801"/>
      <c r="AP65" s="801"/>
      <c r="BD65" s="6499"/>
      <c r="BE65" s="6500"/>
      <c r="BF65" s="6500"/>
      <c r="BG65" s="6500"/>
      <c r="BH65" s="6500"/>
      <c r="BI65" s="6500"/>
      <c r="BJ65" s="6500"/>
      <c r="BK65" s="6500"/>
      <c r="BL65" s="6500"/>
      <c r="BM65" s="6500"/>
      <c r="BN65" s="6500"/>
      <c r="BO65" s="6500"/>
      <c r="BP65" s="6500"/>
      <c r="BQ65" s="6500"/>
      <c r="BR65" s="6500"/>
      <c r="BS65" s="6500"/>
      <c r="BT65" s="6500"/>
      <c r="BU65" s="6500"/>
      <c r="BV65" s="6500"/>
      <c r="BW65" s="6500"/>
      <c r="BX65" s="6500"/>
      <c r="BY65" s="6500"/>
      <c r="BZ65" s="6500"/>
      <c r="CA65" s="6500"/>
      <c r="CB65" s="6500"/>
      <c r="CC65" s="6500"/>
      <c r="CD65" s="6500"/>
      <c r="CE65" s="6500"/>
      <c r="CF65" s="6500"/>
      <c r="CG65" s="6500"/>
      <c r="CH65" s="6500"/>
      <c r="CI65" s="6500"/>
      <c r="CJ65" s="6500"/>
      <c r="CK65" s="6500"/>
      <c r="CL65" s="6500"/>
      <c r="CM65" s="6500"/>
    </row>
    <row r="66" spans="1:91" ht="44.25" customHeight="1">
      <c r="A66" s="5096"/>
      <c r="B66" s="6474" t="s">
        <v>316</v>
      </c>
      <c r="C66" s="6475" t="s">
        <v>3701</v>
      </c>
      <c r="D66" s="6570" t="s">
        <v>316</v>
      </c>
      <c r="E66" s="6477" t="s">
        <v>3766</v>
      </c>
      <c r="F66" s="6475" t="s">
        <v>3701</v>
      </c>
      <c r="G66" s="6571" t="s">
        <v>3766</v>
      </c>
      <c r="H66" s="6479">
        <v>13</v>
      </c>
      <c r="I66" s="6475" t="s">
        <v>3701</v>
      </c>
      <c r="J66" s="6571">
        <v>13</v>
      </c>
      <c r="K66" s="6479">
        <v>39</v>
      </c>
      <c r="L66" s="6475" t="s">
        <v>3701</v>
      </c>
      <c r="M66" s="6572">
        <v>39</v>
      </c>
      <c r="N66" s="5096"/>
      <c r="O66" s="6474" t="s">
        <v>316</v>
      </c>
      <c r="P66" s="6475" t="s">
        <v>3701</v>
      </c>
      <c r="Q66" s="6573" t="s">
        <v>316</v>
      </c>
      <c r="R66" s="6477" t="s">
        <v>3766</v>
      </c>
      <c r="S66" s="6475" t="s">
        <v>3701</v>
      </c>
      <c r="T66" s="6574" t="s">
        <v>3766</v>
      </c>
      <c r="U66" s="6479">
        <v>13</v>
      </c>
      <c r="V66" s="6475" t="s">
        <v>3701</v>
      </c>
      <c r="W66" s="6573">
        <v>13</v>
      </c>
      <c r="X66" s="6479">
        <v>39</v>
      </c>
      <c r="Y66" s="6475" t="s">
        <v>3701</v>
      </c>
      <c r="Z66" s="6575">
        <v>39</v>
      </c>
      <c r="AA66" s="5096"/>
      <c r="AB66" s="5096"/>
      <c r="AC66" s="5096"/>
      <c r="AE66" s="6583" t="s">
        <v>3869</v>
      </c>
      <c r="AF66" s="6584"/>
      <c r="AG66" s="6584"/>
      <c r="AH66" s="6584"/>
      <c r="AI66" s="6584"/>
      <c r="AJ66" s="6584"/>
      <c r="AK66" s="6584"/>
      <c r="AL66" s="6584"/>
      <c r="AM66" s="6584"/>
      <c r="AN66" s="6584"/>
      <c r="AO66" s="6584"/>
      <c r="AP66" s="6584"/>
      <c r="AQ66" s="6585"/>
      <c r="AS66" s="6586" t="s">
        <v>2764</v>
      </c>
      <c r="AU66" s="6586" t="s">
        <v>2765</v>
      </c>
      <c r="BD66" s="6501" t="s">
        <v>3758</v>
      </c>
      <c r="BE66" s="6510" t="s">
        <v>3834</v>
      </c>
      <c r="BF66" s="6511"/>
      <c r="BG66" s="6500"/>
      <c r="BH66" s="6510" t="s">
        <v>3803</v>
      </c>
      <c r="BI66" s="6511"/>
      <c r="BJ66" s="6500"/>
      <c r="BK66" s="6510" t="s">
        <v>783</v>
      </c>
      <c r="BL66" s="6511"/>
      <c r="BM66" s="6500"/>
      <c r="BN66" s="6510" t="s">
        <v>101</v>
      </c>
      <c r="BO66" s="6511"/>
      <c r="BP66" s="6500"/>
      <c r="BQ66" s="6510" t="s">
        <v>590</v>
      </c>
      <c r="BR66" s="6511"/>
      <c r="BS66" s="6500"/>
      <c r="BT66" s="6510" t="s">
        <v>100</v>
      </c>
      <c r="BU66" s="6511"/>
      <c r="BV66" s="6500"/>
      <c r="BW66" s="6510" t="s">
        <v>654</v>
      </c>
      <c r="BX66" s="6511"/>
      <c r="BY66" s="6500"/>
      <c r="BZ66" s="6510" t="s">
        <v>32</v>
      </c>
      <c r="CA66" s="6511"/>
      <c r="CB66" s="6500"/>
      <c r="CC66" s="6510" t="s">
        <v>1239</v>
      </c>
      <c r="CD66" s="6511"/>
      <c r="CE66" s="6500"/>
      <c r="CF66" s="6510" t="s">
        <v>3839</v>
      </c>
      <c r="CG66" s="6511"/>
      <c r="CH66" s="6500"/>
      <c r="CI66" s="6510" t="s">
        <v>3838</v>
      </c>
      <c r="CJ66" s="6511"/>
      <c r="CK66" s="6500"/>
      <c r="CL66" s="6500"/>
      <c r="CM66" s="6500"/>
    </row>
    <row r="67" spans="1:91" ht="44.25">
      <c r="A67" s="5096"/>
      <c r="B67" s="6474" t="s">
        <v>654</v>
      </c>
      <c r="C67" s="6475" t="s">
        <v>3701</v>
      </c>
      <c r="D67" s="6570" t="s">
        <v>654</v>
      </c>
      <c r="E67" s="6477" t="s">
        <v>3768</v>
      </c>
      <c r="F67" s="6475" t="s">
        <v>3701</v>
      </c>
      <c r="G67" s="6571" t="s">
        <v>3768</v>
      </c>
      <c r="H67" s="6479">
        <v>14</v>
      </c>
      <c r="I67" s="6475" t="s">
        <v>3701</v>
      </c>
      <c r="J67" s="6571">
        <v>14</v>
      </c>
      <c r="K67" s="6479">
        <v>40</v>
      </c>
      <c r="L67" s="6475" t="s">
        <v>3701</v>
      </c>
      <c r="M67" s="6572">
        <v>40</v>
      </c>
      <c r="N67" s="5096"/>
      <c r="O67" s="6474" t="s">
        <v>654</v>
      </c>
      <c r="P67" s="6475" t="s">
        <v>3701</v>
      </c>
      <c r="Q67" s="6573" t="s">
        <v>654</v>
      </c>
      <c r="R67" s="6477" t="s">
        <v>3768</v>
      </c>
      <c r="S67" s="6475" t="s">
        <v>3701</v>
      </c>
      <c r="T67" s="6574" t="s">
        <v>3768</v>
      </c>
      <c r="U67" s="6479">
        <v>14</v>
      </c>
      <c r="V67" s="6475" t="s">
        <v>3701</v>
      </c>
      <c r="W67" s="6573">
        <v>14</v>
      </c>
      <c r="X67" s="6479">
        <v>40</v>
      </c>
      <c r="Y67" s="6475" t="s">
        <v>3701</v>
      </c>
      <c r="Z67" s="6575">
        <v>40</v>
      </c>
      <c r="AA67" s="5096"/>
      <c r="AB67" s="5096"/>
      <c r="AC67" s="5096"/>
      <c r="AE67" s="6587"/>
      <c r="AF67" s="6588"/>
      <c r="AG67" s="6588"/>
      <c r="AH67" s="6588"/>
      <c r="AI67" s="6588"/>
      <c r="AJ67" s="6588"/>
      <c r="AK67" s="6588"/>
      <c r="AL67" s="6588"/>
      <c r="AM67" s="6588"/>
      <c r="AN67" s="6588"/>
      <c r="AO67" s="6588"/>
      <c r="AP67" s="6588"/>
      <c r="AQ67" s="6589"/>
      <c r="AS67" s="6586" t="s">
        <v>3870</v>
      </c>
      <c r="AU67" s="6586" t="s">
        <v>3871</v>
      </c>
      <c r="BD67" s="6501"/>
      <c r="BE67" s="6512" t="s">
        <v>3834</v>
      </c>
      <c r="BF67" s="6513"/>
      <c r="BG67" s="6500"/>
      <c r="BH67" s="6512" t="s">
        <v>3804</v>
      </c>
      <c r="BI67" s="6513"/>
      <c r="BJ67" s="6500"/>
      <c r="BK67" s="6512" t="s">
        <v>3805</v>
      </c>
      <c r="BL67" s="6513"/>
      <c r="BM67" s="6500"/>
      <c r="BN67" s="6512" t="s">
        <v>3745</v>
      </c>
      <c r="BO67" s="6513"/>
      <c r="BP67" s="6500"/>
      <c r="BQ67" s="6512" t="s">
        <v>3802</v>
      </c>
      <c r="BR67" s="6513"/>
      <c r="BS67" s="6500"/>
      <c r="BT67" s="6512" t="s">
        <v>3727</v>
      </c>
      <c r="BU67" s="6513"/>
      <c r="BV67" s="6500"/>
      <c r="BW67" s="6512" t="s">
        <v>3768</v>
      </c>
      <c r="BX67" s="6513"/>
      <c r="BY67" s="6500"/>
      <c r="BZ67" s="6512" t="s">
        <v>3840</v>
      </c>
      <c r="CA67" s="6513"/>
      <c r="CB67" s="6500"/>
      <c r="CC67" s="6512" t="s">
        <v>3806</v>
      </c>
      <c r="CD67" s="6513"/>
      <c r="CE67" s="6500"/>
      <c r="CF67" s="6512" t="s">
        <v>3819</v>
      </c>
      <c r="CG67" s="6513"/>
      <c r="CH67" s="6500"/>
      <c r="CI67" s="6512" t="s">
        <v>2756</v>
      </c>
      <c r="CJ67" s="6513"/>
      <c r="CK67" s="6500"/>
      <c r="CL67" s="6500"/>
      <c r="CM67" s="6500"/>
    </row>
    <row r="68" spans="1:91" ht="44.25">
      <c r="A68" s="5096"/>
      <c r="B68" s="6474" t="s">
        <v>2997</v>
      </c>
      <c r="C68" s="6475" t="s">
        <v>3701</v>
      </c>
      <c r="D68" s="6570" t="s">
        <v>2997</v>
      </c>
      <c r="E68" s="6477" t="s">
        <v>3781</v>
      </c>
      <c r="F68" s="6475" t="s">
        <v>3701</v>
      </c>
      <c r="G68" s="6571" t="s">
        <v>3781</v>
      </c>
      <c r="H68" s="6479">
        <v>15</v>
      </c>
      <c r="I68" s="6475" t="s">
        <v>3701</v>
      </c>
      <c r="J68" s="6571">
        <v>15</v>
      </c>
      <c r="K68" s="6479">
        <v>41</v>
      </c>
      <c r="L68" s="6475" t="s">
        <v>3701</v>
      </c>
      <c r="M68" s="6572">
        <v>41</v>
      </c>
      <c r="N68" s="5096"/>
      <c r="O68" s="6474" t="s">
        <v>2997</v>
      </c>
      <c r="P68" s="6475" t="s">
        <v>3701</v>
      </c>
      <c r="Q68" s="6573" t="s">
        <v>2997</v>
      </c>
      <c r="R68" s="6477" t="s">
        <v>3781</v>
      </c>
      <c r="S68" s="6475" t="s">
        <v>3701</v>
      </c>
      <c r="T68" s="6574" t="s">
        <v>3781</v>
      </c>
      <c r="U68" s="6479">
        <v>15</v>
      </c>
      <c r="V68" s="6475" t="s">
        <v>3701</v>
      </c>
      <c r="W68" s="6573">
        <v>15</v>
      </c>
      <c r="X68" s="6479">
        <v>41</v>
      </c>
      <c r="Y68" s="6475" t="s">
        <v>3701</v>
      </c>
      <c r="Z68" s="6575">
        <v>41</v>
      </c>
      <c r="AA68" s="5096"/>
      <c r="AB68" s="5096"/>
      <c r="AC68" s="5096"/>
      <c r="AE68" s="6590"/>
      <c r="AF68" s="6591"/>
      <c r="AG68" s="6591"/>
      <c r="AH68" s="6591"/>
      <c r="AI68" s="6591"/>
      <c r="AJ68" s="6591"/>
      <c r="AK68" s="6591"/>
      <c r="AL68" s="6591"/>
      <c r="AM68" s="6591"/>
      <c r="AN68" s="6591"/>
      <c r="AO68" s="6591"/>
      <c r="AP68" s="6591"/>
      <c r="AQ68" s="6592"/>
      <c r="AS68" s="6593"/>
      <c r="BD68" s="6492"/>
      <c r="BE68" s="6500"/>
      <c r="BF68" s="6500"/>
      <c r="BG68" s="6500"/>
      <c r="BH68" s="6500"/>
      <c r="BI68" s="6500"/>
      <c r="BJ68" s="6500"/>
      <c r="BK68" s="6500"/>
      <c r="BL68" s="6500"/>
      <c r="BM68" s="6500"/>
      <c r="BN68" s="6500"/>
      <c r="BO68" s="6500"/>
      <c r="BP68" s="6500"/>
      <c r="BQ68" s="6500"/>
      <c r="BR68" s="6500"/>
      <c r="BS68" s="6500"/>
      <c r="BT68" s="6500"/>
      <c r="BU68" s="6500"/>
      <c r="BV68" s="6500"/>
      <c r="BW68" s="6500"/>
      <c r="BX68" s="6500"/>
      <c r="BY68" s="6500"/>
      <c r="BZ68" s="6500"/>
      <c r="CA68" s="6500"/>
      <c r="CB68" s="6500"/>
      <c r="CC68" s="6500"/>
      <c r="CD68" s="6500"/>
      <c r="CE68" s="6500"/>
      <c r="CF68" s="6500"/>
      <c r="CG68" s="6500"/>
      <c r="CH68" s="6500"/>
      <c r="CI68" s="6500"/>
      <c r="CJ68" s="6500"/>
      <c r="CK68" s="6500"/>
      <c r="CL68" s="6500"/>
      <c r="CM68" s="6500"/>
    </row>
    <row r="69" spans="1:91" ht="44.25">
      <c r="A69" s="5096"/>
      <c r="B69" s="6474" t="s">
        <v>318</v>
      </c>
      <c r="C69" s="6475" t="s">
        <v>3701</v>
      </c>
      <c r="D69" s="6570" t="s">
        <v>318</v>
      </c>
      <c r="E69" s="6477" t="s">
        <v>788</v>
      </c>
      <c r="F69" s="6475" t="s">
        <v>3701</v>
      </c>
      <c r="G69" s="6571" t="s">
        <v>788</v>
      </c>
      <c r="H69" s="6479">
        <v>16</v>
      </c>
      <c r="I69" s="6475" t="s">
        <v>3701</v>
      </c>
      <c r="J69" s="6571">
        <v>16</v>
      </c>
      <c r="K69" s="6479">
        <v>42</v>
      </c>
      <c r="L69" s="6475" t="s">
        <v>3701</v>
      </c>
      <c r="M69" s="6572">
        <v>42</v>
      </c>
      <c r="N69" s="5096"/>
      <c r="O69" s="6474" t="s">
        <v>318</v>
      </c>
      <c r="P69" s="6475" t="s">
        <v>3701</v>
      </c>
      <c r="Q69" s="6573" t="s">
        <v>318</v>
      </c>
      <c r="R69" s="6477" t="s">
        <v>788</v>
      </c>
      <c r="S69" s="6475" t="s">
        <v>3701</v>
      </c>
      <c r="T69" s="6574" t="s">
        <v>788</v>
      </c>
      <c r="U69" s="6479">
        <v>16</v>
      </c>
      <c r="V69" s="6475" t="s">
        <v>3701</v>
      </c>
      <c r="W69" s="6573">
        <v>16</v>
      </c>
      <c r="X69" s="6479">
        <v>42</v>
      </c>
      <c r="Y69" s="6475" t="s">
        <v>3701</v>
      </c>
      <c r="Z69" s="6575">
        <v>42</v>
      </c>
      <c r="AA69" s="5096"/>
      <c r="AB69" s="5096"/>
      <c r="AC69" s="5096"/>
      <c r="AE69" s="801"/>
      <c r="AF69" s="801"/>
      <c r="AG69" s="801"/>
      <c r="AH69" s="801"/>
      <c r="AI69" s="801"/>
      <c r="AJ69" s="801"/>
      <c r="AK69" s="801"/>
      <c r="AL69" s="801"/>
      <c r="AM69" s="801"/>
      <c r="AN69" s="801"/>
      <c r="AO69" s="801"/>
      <c r="AP69" s="801"/>
      <c r="BD69" s="6501" t="s">
        <v>3763</v>
      </c>
      <c r="BE69" s="6516" t="s">
        <v>3834</v>
      </c>
      <c r="BF69" s="6517"/>
      <c r="BG69" s="6500"/>
      <c r="BH69" s="6516" t="s">
        <v>3803</v>
      </c>
      <c r="BI69" s="6517"/>
      <c r="BJ69" s="6500"/>
      <c r="BK69" s="6516" t="s">
        <v>783</v>
      </c>
      <c r="BL69" s="6517"/>
      <c r="BM69" s="6500"/>
      <c r="BN69" s="6516" t="s">
        <v>101</v>
      </c>
      <c r="BO69" s="6517"/>
      <c r="BP69" s="6500"/>
      <c r="BQ69" s="6516" t="s">
        <v>590</v>
      </c>
      <c r="BR69" s="6517"/>
      <c r="BS69" s="6500"/>
      <c r="BT69" s="6516" t="s">
        <v>100</v>
      </c>
      <c r="BU69" s="6517"/>
      <c r="BV69" s="6500"/>
      <c r="BW69" s="6516" t="s">
        <v>654</v>
      </c>
      <c r="BX69" s="6517"/>
      <c r="BY69" s="6500"/>
      <c r="BZ69" s="6516" t="s">
        <v>32</v>
      </c>
      <c r="CA69" s="6517"/>
      <c r="CB69" s="6500"/>
      <c r="CC69" s="6516" t="s">
        <v>1239</v>
      </c>
      <c r="CD69" s="6517"/>
      <c r="CE69" s="6500"/>
      <c r="CF69" s="6516" t="s">
        <v>3839</v>
      </c>
      <c r="CG69" s="6517"/>
      <c r="CH69" s="6500"/>
      <c r="CI69" s="6516" t="s">
        <v>3838</v>
      </c>
      <c r="CJ69" s="6517"/>
      <c r="CK69" s="6500"/>
      <c r="CL69" s="6500"/>
      <c r="CM69" s="6500"/>
    </row>
    <row r="70" spans="1:91" ht="44.25">
      <c r="A70" s="5096"/>
      <c r="B70" s="6474" t="s">
        <v>706</v>
      </c>
      <c r="C70" s="6475" t="s">
        <v>3701</v>
      </c>
      <c r="D70" s="6570" t="s">
        <v>706</v>
      </c>
      <c r="E70" s="6477" t="s">
        <v>785</v>
      </c>
      <c r="F70" s="6475" t="s">
        <v>3701</v>
      </c>
      <c r="G70" s="6571" t="s">
        <v>785</v>
      </c>
      <c r="H70" s="6479">
        <v>17</v>
      </c>
      <c r="I70" s="6475" t="s">
        <v>3701</v>
      </c>
      <c r="J70" s="6571">
        <v>17</v>
      </c>
      <c r="K70" s="6479">
        <v>43</v>
      </c>
      <c r="L70" s="6475" t="s">
        <v>3701</v>
      </c>
      <c r="M70" s="6572">
        <v>43</v>
      </c>
      <c r="N70" s="5096"/>
      <c r="O70" s="6474" t="s">
        <v>706</v>
      </c>
      <c r="P70" s="6475" t="s">
        <v>3701</v>
      </c>
      <c r="Q70" s="6573" t="s">
        <v>706</v>
      </c>
      <c r="R70" s="6477" t="s">
        <v>785</v>
      </c>
      <c r="S70" s="6475" t="s">
        <v>3701</v>
      </c>
      <c r="T70" s="6574" t="s">
        <v>785</v>
      </c>
      <c r="U70" s="6479">
        <v>17</v>
      </c>
      <c r="V70" s="6475" t="s">
        <v>3701</v>
      </c>
      <c r="W70" s="6573">
        <v>17</v>
      </c>
      <c r="X70" s="6479">
        <v>43</v>
      </c>
      <c r="Y70" s="6475" t="s">
        <v>3701</v>
      </c>
      <c r="Z70" s="6575">
        <v>43</v>
      </c>
      <c r="AA70" s="5096"/>
      <c r="AB70" s="5096"/>
      <c r="AC70" s="5096"/>
      <c r="AF70" s="6594"/>
      <c r="AG70" s="6595" t="s">
        <v>3872</v>
      </c>
      <c r="AH70" s="6595"/>
      <c r="AI70" s="6595"/>
      <c r="AJ70" s="6595"/>
      <c r="AK70" s="6595"/>
      <c r="AL70" s="6595"/>
      <c r="AM70" s="6595"/>
      <c r="AN70" s="6595"/>
      <c r="AO70" s="6595"/>
      <c r="AP70" s="6595"/>
      <c r="AQ70" s="6595"/>
      <c r="AR70" s="6595"/>
      <c r="AS70" s="6595"/>
      <c r="AT70" s="6595"/>
      <c r="AU70" s="6595"/>
      <c r="BD70" s="6501"/>
      <c r="BE70" s="6520" t="s">
        <v>3834</v>
      </c>
      <c r="BF70" s="6521"/>
      <c r="BG70" s="6500"/>
      <c r="BH70" s="6520" t="s">
        <v>3804</v>
      </c>
      <c r="BI70" s="6521"/>
      <c r="BJ70" s="6500"/>
      <c r="BK70" s="6520" t="s">
        <v>3805</v>
      </c>
      <c r="BL70" s="6521"/>
      <c r="BM70" s="6500"/>
      <c r="BN70" s="6520" t="s">
        <v>3745</v>
      </c>
      <c r="BO70" s="6521"/>
      <c r="BP70" s="6500"/>
      <c r="BQ70" s="6520" t="s">
        <v>3802</v>
      </c>
      <c r="BR70" s="6521"/>
      <c r="BS70" s="6500"/>
      <c r="BT70" s="6520" t="s">
        <v>3727</v>
      </c>
      <c r="BU70" s="6521"/>
      <c r="BV70" s="6500"/>
      <c r="BW70" s="6520" t="s">
        <v>3768</v>
      </c>
      <c r="BX70" s="6521"/>
      <c r="BY70" s="6500"/>
      <c r="BZ70" s="6520" t="s">
        <v>3840</v>
      </c>
      <c r="CA70" s="6521"/>
      <c r="CB70" s="6500"/>
      <c r="CC70" s="6520" t="s">
        <v>3806</v>
      </c>
      <c r="CD70" s="6521"/>
      <c r="CE70" s="6500"/>
      <c r="CF70" s="6520" t="s">
        <v>3819</v>
      </c>
      <c r="CG70" s="6521"/>
      <c r="CH70" s="6500"/>
      <c r="CI70" s="6520" t="s">
        <v>2756</v>
      </c>
      <c r="CJ70" s="6521"/>
      <c r="CK70" s="6500"/>
      <c r="CL70" s="6500"/>
      <c r="CM70" s="6500"/>
    </row>
    <row r="71" spans="1:91" ht="44.25">
      <c r="A71" s="5096"/>
      <c r="B71" s="6474" t="s">
        <v>504</v>
      </c>
      <c r="C71" s="6475" t="s">
        <v>3701</v>
      </c>
      <c r="D71" s="6570" t="s">
        <v>504</v>
      </c>
      <c r="E71" s="6477" t="s">
        <v>3797</v>
      </c>
      <c r="F71" s="6475" t="s">
        <v>3701</v>
      </c>
      <c r="G71" s="6571" t="s">
        <v>3797</v>
      </c>
      <c r="H71" s="6479">
        <v>18</v>
      </c>
      <c r="I71" s="6475" t="s">
        <v>3701</v>
      </c>
      <c r="J71" s="6571">
        <v>18</v>
      </c>
      <c r="K71" s="6479">
        <v>44</v>
      </c>
      <c r="L71" s="6475" t="s">
        <v>3701</v>
      </c>
      <c r="M71" s="6572">
        <v>44</v>
      </c>
      <c r="N71" s="5096"/>
      <c r="O71" s="6474" t="s">
        <v>504</v>
      </c>
      <c r="P71" s="6475" t="s">
        <v>3701</v>
      </c>
      <c r="Q71" s="6573" t="s">
        <v>504</v>
      </c>
      <c r="R71" s="6477" t="s">
        <v>3797</v>
      </c>
      <c r="S71" s="6475" t="s">
        <v>3701</v>
      </c>
      <c r="T71" s="6574" t="s">
        <v>3797</v>
      </c>
      <c r="U71" s="6479">
        <v>18</v>
      </c>
      <c r="V71" s="6475" t="s">
        <v>3701</v>
      </c>
      <c r="W71" s="6573">
        <v>18</v>
      </c>
      <c r="X71" s="6479">
        <v>44</v>
      </c>
      <c r="Y71" s="6475" t="s">
        <v>3701</v>
      </c>
      <c r="Z71" s="6575">
        <v>44</v>
      </c>
      <c r="AA71" s="5096"/>
      <c r="AB71" s="5096"/>
      <c r="AC71" s="5096"/>
      <c r="AE71" s="801"/>
      <c r="AF71" s="801"/>
      <c r="AG71" s="801"/>
      <c r="AH71" s="801"/>
      <c r="AI71" s="801"/>
      <c r="AJ71" s="801"/>
      <c r="AK71" s="801"/>
      <c r="AL71" s="801"/>
      <c r="AM71" s="801"/>
      <c r="AN71" s="801"/>
      <c r="AO71" s="801"/>
      <c r="AP71" s="801"/>
      <c r="BD71" s="6492"/>
      <c r="BE71" s="6500"/>
      <c r="BF71" s="6500"/>
      <c r="BG71" s="6500"/>
      <c r="BH71" s="6500"/>
      <c r="BI71" s="6500"/>
      <c r="BJ71" s="6500"/>
      <c r="BK71" s="6500"/>
      <c r="BL71" s="6500"/>
      <c r="BM71" s="6500"/>
      <c r="BN71" s="6500"/>
      <c r="BO71" s="6500"/>
      <c r="BP71" s="6500"/>
      <c r="BQ71" s="6500"/>
      <c r="BR71" s="6500"/>
      <c r="BS71" s="6500"/>
      <c r="BT71" s="6500"/>
      <c r="BU71" s="6500"/>
      <c r="BV71" s="6500"/>
      <c r="BW71" s="6500"/>
      <c r="BX71" s="6500"/>
      <c r="BY71" s="6500"/>
      <c r="BZ71" s="6500"/>
      <c r="CA71" s="6500"/>
      <c r="CB71" s="6500"/>
      <c r="CC71" s="6500"/>
      <c r="CD71" s="6500"/>
      <c r="CE71" s="6500"/>
      <c r="CF71" s="6500"/>
      <c r="CG71" s="6500"/>
      <c r="CH71" s="6500"/>
      <c r="CI71" s="6500"/>
      <c r="CJ71" s="6500"/>
      <c r="CK71" s="6500"/>
      <c r="CL71" s="6500"/>
      <c r="CM71" s="6500"/>
    </row>
    <row r="72" spans="1:91" ht="44.25">
      <c r="A72" s="5096"/>
      <c r="B72" s="6474" t="s">
        <v>538</v>
      </c>
      <c r="C72" s="6475" t="s">
        <v>3701</v>
      </c>
      <c r="D72" s="6570" t="s">
        <v>538</v>
      </c>
      <c r="E72" s="6477" t="s">
        <v>3801</v>
      </c>
      <c r="F72" s="6475" t="s">
        <v>3701</v>
      </c>
      <c r="G72" s="6571" t="s">
        <v>3801</v>
      </c>
      <c r="H72" s="6479">
        <v>19</v>
      </c>
      <c r="I72" s="6475" t="s">
        <v>3701</v>
      </c>
      <c r="J72" s="6571">
        <v>19</v>
      </c>
      <c r="K72" s="6479">
        <v>45</v>
      </c>
      <c r="L72" s="6475" t="s">
        <v>3701</v>
      </c>
      <c r="M72" s="6572">
        <v>45</v>
      </c>
      <c r="N72" s="5096"/>
      <c r="O72" s="6474" t="s">
        <v>538</v>
      </c>
      <c r="P72" s="6475" t="s">
        <v>3701</v>
      </c>
      <c r="Q72" s="6573" t="s">
        <v>538</v>
      </c>
      <c r="R72" s="6477" t="s">
        <v>3801</v>
      </c>
      <c r="S72" s="6475" t="s">
        <v>3701</v>
      </c>
      <c r="T72" s="6574" t="s">
        <v>3801</v>
      </c>
      <c r="U72" s="6479">
        <v>19</v>
      </c>
      <c r="V72" s="6475" t="s">
        <v>3701</v>
      </c>
      <c r="W72" s="6573">
        <v>19</v>
      </c>
      <c r="X72" s="6479">
        <v>45</v>
      </c>
      <c r="Y72" s="6475" t="s">
        <v>3701</v>
      </c>
      <c r="Z72" s="6575">
        <v>45</v>
      </c>
      <c r="AA72" s="5096"/>
      <c r="AB72" s="5096"/>
      <c r="AC72" s="5096"/>
      <c r="AG72" s="6596" t="s">
        <v>150</v>
      </c>
      <c r="AI72" s="6597" t="s">
        <v>175</v>
      </c>
      <c r="AJ72" s="6593"/>
      <c r="AK72" s="6598" t="s">
        <v>150</v>
      </c>
      <c r="AM72" s="6599" t="s">
        <v>175</v>
      </c>
      <c r="AO72" s="6600" t="s">
        <v>175</v>
      </c>
      <c r="AQ72" s="6601" t="s">
        <v>150</v>
      </c>
      <c r="AS72" s="6602" t="s">
        <v>150</v>
      </c>
      <c r="AU72" s="6603" t="s">
        <v>150</v>
      </c>
      <c r="BD72" s="6501" t="s">
        <v>3765</v>
      </c>
      <c r="BE72" s="6523" t="s">
        <v>3834</v>
      </c>
      <c r="BF72" s="6524"/>
      <c r="BG72" s="6500"/>
      <c r="BH72" s="6523" t="s">
        <v>3803</v>
      </c>
      <c r="BI72" s="6524"/>
      <c r="BJ72" s="6500"/>
      <c r="BK72" s="6523" t="s">
        <v>783</v>
      </c>
      <c r="BL72" s="6524"/>
      <c r="BM72" s="6500"/>
      <c r="BN72" s="6523" t="s">
        <v>101</v>
      </c>
      <c r="BO72" s="6524"/>
      <c r="BP72" s="6500"/>
      <c r="BQ72" s="6523" t="s">
        <v>590</v>
      </c>
      <c r="BR72" s="6524"/>
      <c r="BS72" s="6500"/>
      <c r="BT72" s="6523" t="s">
        <v>100</v>
      </c>
      <c r="BU72" s="6524"/>
      <c r="BV72" s="6500"/>
      <c r="BW72" s="6523" t="s">
        <v>654</v>
      </c>
      <c r="BX72" s="6524"/>
      <c r="BY72" s="6500"/>
      <c r="BZ72" s="6523" t="s">
        <v>32</v>
      </c>
      <c r="CA72" s="6524"/>
      <c r="CB72" s="6500"/>
      <c r="CC72" s="6523" t="s">
        <v>1239</v>
      </c>
      <c r="CD72" s="6524"/>
      <c r="CE72" s="6500"/>
      <c r="CF72" s="6523" t="s">
        <v>3839</v>
      </c>
      <c r="CG72" s="6524"/>
      <c r="CH72" s="6500"/>
      <c r="CI72" s="6523" t="s">
        <v>3838</v>
      </c>
      <c r="CJ72" s="6524"/>
      <c r="CK72" s="6500"/>
      <c r="CL72" s="6500"/>
      <c r="CM72" s="6500"/>
    </row>
    <row r="73" spans="1:91" ht="44.25">
      <c r="A73" s="5096"/>
      <c r="B73" s="6474" t="s">
        <v>562</v>
      </c>
      <c r="C73" s="6475" t="s">
        <v>3701</v>
      </c>
      <c r="D73" s="6570" t="s">
        <v>562</v>
      </c>
      <c r="E73" s="6477" t="s">
        <v>784</v>
      </c>
      <c r="F73" s="6475" t="s">
        <v>3701</v>
      </c>
      <c r="G73" s="6571" t="s">
        <v>784</v>
      </c>
      <c r="H73" s="6479">
        <v>20</v>
      </c>
      <c r="I73" s="6475" t="s">
        <v>3701</v>
      </c>
      <c r="J73" s="6571">
        <v>20</v>
      </c>
      <c r="K73" s="6479">
        <v>46</v>
      </c>
      <c r="L73" s="6475" t="s">
        <v>3701</v>
      </c>
      <c r="M73" s="6572">
        <v>46</v>
      </c>
      <c r="N73" s="5096"/>
      <c r="O73" s="6474" t="s">
        <v>562</v>
      </c>
      <c r="P73" s="6475" t="s">
        <v>3701</v>
      </c>
      <c r="Q73" s="6573" t="s">
        <v>562</v>
      </c>
      <c r="R73" s="6477" t="s">
        <v>784</v>
      </c>
      <c r="S73" s="6475" t="s">
        <v>3701</v>
      </c>
      <c r="T73" s="6574" t="s">
        <v>784</v>
      </c>
      <c r="U73" s="6479">
        <v>20</v>
      </c>
      <c r="V73" s="6475" t="s">
        <v>3701</v>
      </c>
      <c r="W73" s="6573">
        <v>20</v>
      </c>
      <c r="X73" s="6479">
        <v>46</v>
      </c>
      <c r="Y73" s="6475" t="s">
        <v>3701</v>
      </c>
      <c r="Z73" s="6575">
        <v>46</v>
      </c>
      <c r="AA73" s="5096"/>
      <c r="AB73" s="5096"/>
      <c r="AC73" s="5096"/>
      <c r="AG73" s="6604" t="s">
        <v>152</v>
      </c>
      <c r="AI73" s="6605" t="s">
        <v>177</v>
      </c>
      <c r="AJ73" s="6593"/>
      <c r="AK73" s="6598" t="s">
        <v>152</v>
      </c>
      <c r="AM73" s="6599" t="s">
        <v>176</v>
      </c>
      <c r="AO73" s="6606" t="s">
        <v>177</v>
      </c>
      <c r="AQ73" s="6601" t="s">
        <v>152</v>
      </c>
      <c r="AS73" s="6602" t="s">
        <v>152</v>
      </c>
      <c r="AU73" s="6603" t="s">
        <v>152</v>
      </c>
      <c r="BD73" s="6501"/>
      <c r="BE73" s="6527" t="s">
        <v>3834</v>
      </c>
      <c r="BF73" s="6528"/>
      <c r="BG73" s="6500"/>
      <c r="BH73" s="6527" t="s">
        <v>3804</v>
      </c>
      <c r="BI73" s="6528"/>
      <c r="BJ73" s="6500"/>
      <c r="BK73" s="6527" t="s">
        <v>3805</v>
      </c>
      <c r="BL73" s="6528"/>
      <c r="BM73" s="6500"/>
      <c r="BN73" s="6527" t="s">
        <v>3745</v>
      </c>
      <c r="BO73" s="6528"/>
      <c r="BP73" s="6500"/>
      <c r="BQ73" s="6527" t="s">
        <v>3802</v>
      </c>
      <c r="BR73" s="6528"/>
      <c r="BS73" s="6500"/>
      <c r="BT73" s="6527" t="s">
        <v>3727</v>
      </c>
      <c r="BU73" s="6528"/>
      <c r="BV73" s="6500"/>
      <c r="BW73" s="6527" t="s">
        <v>3768</v>
      </c>
      <c r="BX73" s="6528"/>
      <c r="BY73" s="6500"/>
      <c r="BZ73" s="6527" t="s">
        <v>3840</v>
      </c>
      <c r="CA73" s="6528"/>
      <c r="CB73" s="6500"/>
      <c r="CC73" s="6527" t="s">
        <v>3806</v>
      </c>
      <c r="CD73" s="6528"/>
      <c r="CE73" s="6500"/>
      <c r="CF73" s="6527" t="s">
        <v>3819</v>
      </c>
      <c r="CG73" s="6528"/>
      <c r="CH73" s="6500"/>
      <c r="CI73" s="6527" t="s">
        <v>2756</v>
      </c>
      <c r="CJ73" s="6528"/>
      <c r="CK73" s="6500"/>
      <c r="CL73" s="6500"/>
      <c r="CM73" s="6500"/>
    </row>
    <row r="74" spans="1:91" ht="44.25">
      <c r="A74" s="5096"/>
      <c r="B74" s="6474" t="s">
        <v>576</v>
      </c>
      <c r="C74" s="6475" t="s">
        <v>3701</v>
      </c>
      <c r="D74" s="6570" t="s">
        <v>576</v>
      </c>
      <c r="E74" s="6477" t="s">
        <v>22</v>
      </c>
      <c r="F74" s="6475" t="s">
        <v>3701</v>
      </c>
      <c r="G74" s="6571" t="s">
        <v>22</v>
      </c>
      <c r="H74" s="6479">
        <v>21</v>
      </c>
      <c r="I74" s="6475" t="s">
        <v>3701</v>
      </c>
      <c r="J74" s="6571">
        <v>21</v>
      </c>
      <c r="K74" s="6479">
        <v>47</v>
      </c>
      <c r="L74" s="6475" t="s">
        <v>3701</v>
      </c>
      <c r="M74" s="6572">
        <v>47</v>
      </c>
      <c r="N74" s="5096"/>
      <c r="O74" s="6474" t="s">
        <v>576</v>
      </c>
      <c r="P74" s="6475" t="s">
        <v>3701</v>
      </c>
      <c r="Q74" s="6573" t="s">
        <v>576</v>
      </c>
      <c r="R74" s="6477" t="s">
        <v>22</v>
      </c>
      <c r="S74" s="6475" t="s">
        <v>3701</v>
      </c>
      <c r="T74" s="6574" t="s">
        <v>22</v>
      </c>
      <c r="U74" s="6479">
        <v>21</v>
      </c>
      <c r="V74" s="6475" t="s">
        <v>3701</v>
      </c>
      <c r="W74" s="6573">
        <v>21</v>
      </c>
      <c r="X74" s="6479">
        <v>47</v>
      </c>
      <c r="Y74" s="6475" t="s">
        <v>3701</v>
      </c>
      <c r="Z74" s="6575">
        <v>47</v>
      </c>
      <c r="AA74" s="5096"/>
      <c r="AB74" s="5096"/>
      <c r="AC74" s="5096"/>
      <c r="AG74" s="6607" t="s">
        <v>154</v>
      </c>
      <c r="AI74" s="6604" t="s">
        <v>176</v>
      </c>
      <c r="AJ74" s="6593"/>
      <c r="AK74" s="6598" t="s">
        <v>154</v>
      </c>
      <c r="AM74" s="6599" t="s">
        <v>177</v>
      </c>
      <c r="AO74" s="6606"/>
      <c r="AQ74" s="6601" t="s">
        <v>154</v>
      </c>
      <c r="AS74" s="6602" t="s">
        <v>154</v>
      </c>
      <c r="AU74" s="6603" t="s">
        <v>154</v>
      </c>
      <c r="BE74" s="6529"/>
      <c r="BF74" s="6529"/>
      <c r="BG74" s="6529"/>
      <c r="BH74" s="6529"/>
      <c r="BI74" s="6529"/>
      <c r="BJ74" s="6529"/>
      <c r="BK74" s="6529"/>
      <c r="BL74" s="6529"/>
      <c r="BM74" s="6529"/>
      <c r="BN74" s="6529"/>
      <c r="BO74" s="6529"/>
      <c r="BP74" s="6529"/>
      <c r="BQ74" s="6529"/>
      <c r="BR74" s="6529"/>
      <c r="BS74" s="6529"/>
      <c r="BT74" s="6529"/>
      <c r="BU74" s="6529"/>
      <c r="BV74" s="6529"/>
      <c r="BW74" s="6529"/>
      <c r="BX74" s="6529"/>
      <c r="BY74" s="6529"/>
      <c r="BZ74" s="6529"/>
      <c r="CA74" s="6529"/>
      <c r="CB74" s="6529"/>
      <c r="CC74" s="6529"/>
      <c r="CD74" s="6529"/>
      <c r="CE74" s="6529"/>
      <c r="CF74" s="6529"/>
      <c r="CG74" s="6529"/>
      <c r="CH74" s="6529"/>
      <c r="CI74" s="6529"/>
      <c r="CJ74" s="6529"/>
      <c r="CK74" s="6529"/>
      <c r="CL74" s="6529"/>
      <c r="CM74" s="6529"/>
    </row>
    <row r="75" spans="1:91" ht="44.25">
      <c r="A75" s="5096"/>
      <c r="B75" s="6474" t="s">
        <v>590</v>
      </c>
      <c r="C75" s="6475" t="s">
        <v>3701</v>
      </c>
      <c r="D75" s="6570" t="s">
        <v>590</v>
      </c>
      <c r="E75" s="6477" t="s">
        <v>3802</v>
      </c>
      <c r="F75" s="6475" t="s">
        <v>3701</v>
      </c>
      <c r="G75" s="6571" t="s">
        <v>3802</v>
      </c>
      <c r="H75" s="6479">
        <v>22</v>
      </c>
      <c r="I75" s="6475" t="s">
        <v>3701</v>
      </c>
      <c r="J75" s="6571">
        <v>22</v>
      </c>
      <c r="K75" s="6479">
        <v>48</v>
      </c>
      <c r="L75" s="6475" t="s">
        <v>3701</v>
      </c>
      <c r="M75" s="6572">
        <v>48</v>
      </c>
      <c r="N75" s="5096"/>
      <c r="O75" s="6474" t="s">
        <v>590</v>
      </c>
      <c r="P75" s="6475" t="s">
        <v>3701</v>
      </c>
      <c r="Q75" s="6573" t="s">
        <v>590</v>
      </c>
      <c r="R75" s="6477" t="s">
        <v>3802</v>
      </c>
      <c r="S75" s="6475" t="s">
        <v>3701</v>
      </c>
      <c r="T75" s="6574" t="s">
        <v>3802</v>
      </c>
      <c r="U75" s="6479">
        <v>22</v>
      </c>
      <c r="V75" s="6475" t="s">
        <v>3701</v>
      </c>
      <c r="W75" s="6573">
        <v>22</v>
      </c>
      <c r="X75" s="6479">
        <v>48</v>
      </c>
      <c r="Y75" s="6475" t="s">
        <v>3701</v>
      </c>
      <c r="Z75" s="6575">
        <v>48</v>
      </c>
      <c r="AA75" s="5096"/>
      <c r="AB75" s="5096"/>
      <c r="AC75" s="5096"/>
      <c r="AG75" s="6608" t="s">
        <v>155</v>
      </c>
      <c r="AI75" s="6605" t="s">
        <v>178</v>
      </c>
      <c r="AJ75" s="6593"/>
      <c r="AK75" s="6598" t="s">
        <v>155</v>
      </c>
      <c r="AM75" s="6599" t="s">
        <v>178</v>
      </c>
      <c r="AO75" s="6609" t="s">
        <v>176</v>
      </c>
      <c r="AQ75" s="6601" t="s">
        <v>155</v>
      </c>
      <c r="AS75" s="6602" t="s">
        <v>155</v>
      </c>
      <c r="AU75" s="6603" t="s">
        <v>155</v>
      </c>
      <c r="BE75" s="6529"/>
      <c r="BF75" s="6529"/>
      <c r="BG75" s="6529"/>
      <c r="BH75" s="6529"/>
      <c r="BI75" s="6529"/>
      <c r="BJ75" s="6529"/>
      <c r="BK75" s="6529"/>
      <c r="BL75" s="6529"/>
      <c r="BM75" s="6529"/>
      <c r="BN75" s="6529"/>
      <c r="BO75" s="6529"/>
      <c r="BP75" s="6529"/>
      <c r="BQ75" s="6529"/>
      <c r="BR75" s="6529"/>
      <c r="BS75" s="6529"/>
      <c r="BT75" s="6529"/>
      <c r="BU75" s="6529"/>
      <c r="BV75" s="6529"/>
      <c r="BW75" s="6529"/>
      <c r="BX75" s="6529"/>
      <c r="BY75" s="6529"/>
      <c r="BZ75" s="6529"/>
      <c r="CA75" s="6529"/>
      <c r="CB75" s="6529"/>
      <c r="CC75" s="6529"/>
      <c r="CD75" s="6529"/>
      <c r="CE75" s="6529"/>
      <c r="CF75" s="6529"/>
      <c r="CG75" s="6529"/>
      <c r="CH75" s="6529"/>
      <c r="CI75" s="6529"/>
      <c r="CJ75" s="6529"/>
      <c r="CK75" s="6529"/>
      <c r="CL75" s="6529"/>
      <c r="CM75" s="6529"/>
    </row>
    <row r="76" spans="1:91" ht="44.25">
      <c r="A76" s="5096"/>
      <c r="B76" s="6474" t="s">
        <v>3803</v>
      </c>
      <c r="C76" s="6475" t="s">
        <v>3701</v>
      </c>
      <c r="D76" s="6570" t="s">
        <v>3803</v>
      </c>
      <c r="E76" s="6477" t="s">
        <v>3804</v>
      </c>
      <c r="F76" s="6475" t="s">
        <v>3701</v>
      </c>
      <c r="G76" s="6571" t="s">
        <v>3804</v>
      </c>
      <c r="H76" s="6479">
        <v>23</v>
      </c>
      <c r="I76" s="6475" t="s">
        <v>3701</v>
      </c>
      <c r="J76" s="6571">
        <v>23</v>
      </c>
      <c r="K76" s="6479">
        <v>49</v>
      </c>
      <c r="L76" s="6475" t="s">
        <v>3701</v>
      </c>
      <c r="M76" s="6572">
        <v>49</v>
      </c>
      <c r="N76" s="5096"/>
      <c r="O76" s="6474" t="s">
        <v>3803</v>
      </c>
      <c r="P76" s="6475" t="s">
        <v>3701</v>
      </c>
      <c r="Q76" s="6573" t="s">
        <v>3803</v>
      </c>
      <c r="R76" s="6477" t="s">
        <v>3804</v>
      </c>
      <c r="S76" s="6475" t="s">
        <v>3701</v>
      </c>
      <c r="T76" s="6574" t="s">
        <v>3804</v>
      </c>
      <c r="U76" s="6479">
        <v>23</v>
      </c>
      <c r="V76" s="6475" t="s">
        <v>3701</v>
      </c>
      <c r="W76" s="6573">
        <v>23</v>
      </c>
      <c r="X76" s="6479">
        <v>49</v>
      </c>
      <c r="Y76" s="6475" t="s">
        <v>3701</v>
      </c>
      <c r="Z76" s="6575">
        <v>49</v>
      </c>
      <c r="AA76" s="5096"/>
      <c r="AB76" s="5096"/>
      <c r="AC76" s="5096"/>
      <c r="AG76" s="6610" t="s">
        <v>156</v>
      </c>
      <c r="AI76" s="6605" t="s">
        <v>179</v>
      </c>
      <c r="AJ76" s="6593"/>
      <c r="AK76" s="6598" t="s">
        <v>156</v>
      </c>
      <c r="AM76" s="6599" t="s">
        <v>179</v>
      </c>
      <c r="AO76" s="6611" t="s">
        <v>178</v>
      </c>
      <c r="AQ76" s="6601" t="s">
        <v>156</v>
      </c>
      <c r="AS76" s="6602" t="s">
        <v>156</v>
      </c>
      <c r="AU76" s="6603" t="s">
        <v>156</v>
      </c>
      <c r="BE76" s="6529"/>
      <c r="BF76" s="6529"/>
      <c r="BG76" s="6529"/>
      <c r="BH76" s="6529"/>
      <c r="BI76" s="6529"/>
      <c r="BJ76" s="6529"/>
      <c r="BK76" s="6529"/>
      <c r="BL76" s="6529"/>
      <c r="BM76" s="6529"/>
      <c r="BN76" s="6529"/>
      <c r="BO76" s="6529"/>
      <c r="BP76" s="6529"/>
      <c r="BQ76" s="6529"/>
      <c r="BR76" s="6529"/>
      <c r="BS76" s="6529"/>
      <c r="BT76" s="6529"/>
      <c r="BU76" s="6529"/>
      <c r="BV76" s="6529"/>
      <c r="BW76" s="6529"/>
      <c r="BX76" s="6529"/>
      <c r="BY76" s="6529"/>
      <c r="BZ76" s="6529"/>
      <c r="CA76" s="6529"/>
      <c r="CB76" s="6529"/>
      <c r="CC76" s="6529"/>
      <c r="CD76" s="6529"/>
      <c r="CE76" s="6529"/>
      <c r="CF76" s="6529"/>
      <c r="CG76" s="6529"/>
      <c r="CH76" s="6529"/>
      <c r="CI76" s="6529"/>
      <c r="CJ76" s="6529"/>
      <c r="CK76" s="6529"/>
      <c r="CL76" s="6529"/>
      <c r="CM76" s="6529"/>
    </row>
    <row r="77" spans="1:91" ht="44.25">
      <c r="A77" s="5096"/>
      <c r="B77" s="6474" t="s">
        <v>783</v>
      </c>
      <c r="C77" s="6475" t="s">
        <v>3701</v>
      </c>
      <c r="D77" s="6570" t="s">
        <v>783</v>
      </c>
      <c r="E77" s="6477" t="s">
        <v>3805</v>
      </c>
      <c r="F77" s="6475" t="s">
        <v>3701</v>
      </c>
      <c r="G77" s="6571" t="s">
        <v>3805</v>
      </c>
      <c r="H77" s="6479">
        <v>24</v>
      </c>
      <c r="I77" s="6475" t="s">
        <v>3701</v>
      </c>
      <c r="J77" s="6571">
        <v>24</v>
      </c>
      <c r="K77" s="6479">
        <v>50</v>
      </c>
      <c r="L77" s="6475" t="s">
        <v>3701</v>
      </c>
      <c r="M77" s="6572">
        <v>50</v>
      </c>
      <c r="N77" s="5096"/>
      <c r="O77" s="6474" t="s">
        <v>783</v>
      </c>
      <c r="P77" s="6475" t="s">
        <v>3701</v>
      </c>
      <c r="Q77" s="6573" t="s">
        <v>783</v>
      </c>
      <c r="R77" s="6477" t="s">
        <v>3805</v>
      </c>
      <c r="S77" s="6475" t="s">
        <v>3701</v>
      </c>
      <c r="T77" s="6574" t="s">
        <v>3805</v>
      </c>
      <c r="U77" s="6479">
        <v>24</v>
      </c>
      <c r="V77" s="6475" t="s">
        <v>3701</v>
      </c>
      <c r="W77" s="6573">
        <v>24</v>
      </c>
      <c r="X77" s="6479">
        <v>50</v>
      </c>
      <c r="Y77" s="6475" t="s">
        <v>3701</v>
      </c>
      <c r="Z77" s="6575">
        <v>50</v>
      </c>
      <c r="AA77" s="5096"/>
      <c r="AB77" s="5096"/>
      <c r="AC77" s="5096"/>
      <c r="AG77" s="6612" t="s">
        <v>157</v>
      </c>
      <c r="AI77" s="6605" t="s">
        <v>180</v>
      </c>
      <c r="AJ77" s="6593"/>
      <c r="AK77" s="6598" t="s">
        <v>157</v>
      </c>
      <c r="AM77" s="6599" t="s">
        <v>180</v>
      </c>
      <c r="AO77" s="6613" t="s">
        <v>179</v>
      </c>
      <c r="AQ77" s="6601" t="s">
        <v>157</v>
      </c>
      <c r="AS77" s="6602" t="s">
        <v>157</v>
      </c>
      <c r="AU77" s="6603" t="s">
        <v>157</v>
      </c>
      <c r="BE77" s="6529"/>
      <c r="BF77" s="6529"/>
      <c r="BG77" s="6529"/>
      <c r="BH77" s="6529"/>
      <c r="BI77" s="6529"/>
      <c r="BJ77" s="6529"/>
      <c r="BK77" s="6529"/>
      <c r="BL77" s="6529"/>
      <c r="BM77" s="6529"/>
      <c r="BN77" s="6529"/>
      <c r="BO77" s="6529"/>
      <c r="BP77" s="6529"/>
      <c r="BQ77" s="6529"/>
      <c r="BR77" s="6529"/>
      <c r="BS77" s="6529"/>
      <c r="BT77" s="6529"/>
      <c r="BU77" s="6529"/>
      <c r="BV77" s="6529"/>
      <c r="BW77" s="6529"/>
      <c r="BX77" s="6529"/>
      <c r="BY77" s="6529"/>
      <c r="BZ77" s="6529"/>
      <c r="CA77" s="6529"/>
      <c r="CB77" s="6529"/>
      <c r="CC77" s="6529"/>
      <c r="CD77" s="6529"/>
      <c r="CE77" s="6529"/>
      <c r="CF77" s="6529"/>
      <c r="CG77" s="6529"/>
      <c r="CH77" s="6529"/>
      <c r="CI77" s="6529"/>
      <c r="CJ77" s="6529"/>
      <c r="CK77" s="6529"/>
      <c r="CL77" s="6529"/>
      <c r="CM77" s="6529"/>
    </row>
    <row r="78" spans="1:91" ht="44.25">
      <c r="A78" s="5096"/>
      <c r="B78" s="6474" t="s">
        <v>3794</v>
      </c>
      <c r="C78" s="6475" t="s">
        <v>3701</v>
      </c>
      <c r="D78" s="6570" t="s">
        <v>3794</v>
      </c>
      <c r="E78" s="6477" t="s">
        <v>3799</v>
      </c>
      <c r="F78" s="6475" t="s">
        <v>3701</v>
      </c>
      <c r="G78" s="6571" t="s">
        <v>3799</v>
      </c>
      <c r="H78" s="6479">
        <v>25</v>
      </c>
      <c r="I78" s="6475" t="s">
        <v>3701</v>
      </c>
      <c r="J78" s="6571">
        <v>25</v>
      </c>
      <c r="K78" s="6479">
        <v>51</v>
      </c>
      <c r="L78" s="6475" t="s">
        <v>3701</v>
      </c>
      <c r="M78" s="6572">
        <v>51</v>
      </c>
      <c r="N78" s="5096"/>
      <c r="O78" s="6474" t="s">
        <v>3794</v>
      </c>
      <c r="P78" s="6475" t="s">
        <v>3701</v>
      </c>
      <c r="Q78" s="6573" t="s">
        <v>3794</v>
      </c>
      <c r="R78" s="6477" t="s">
        <v>3799</v>
      </c>
      <c r="S78" s="6475" t="s">
        <v>3701</v>
      </c>
      <c r="T78" s="6574" t="s">
        <v>3799</v>
      </c>
      <c r="U78" s="6479">
        <v>25</v>
      </c>
      <c r="V78" s="6475" t="s">
        <v>3701</v>
      </c>
      <c r="W78" s="6573">
        <v>25</v>
      </c>
      <c r="X78" s="6479">
        <v>51</v>
      </c>
      <c r="Y78" s="6475" t="s">
        <v>3701</v>
      </c>
      <c r="Z78" s="6575">
        <v>51</v>
      </c>
      <c r="AA78" s="5096"/>
      <c r="AB78" s="5096"/>
      <c r="AC78" s="5096"/>
      <c r="AG78" s="6614" t="s">
        <v>158</v>
      </c>
      <c r="AI78" s="6605" t="s">
        <v>181</v>
      </c>
      <c r="AJ78" s="6593"/>
      <c r="AK78" s="6598" t="s">
        <v>158</v>
      </c>
      <c r="AM78" s="6599" t="s">
        <v>181</v>
      </c>
      <c r="AO78" s="6615" t="s">
        <v>180</v>
      </c>
      <c r="AQ78" s="6601" t="s">
        <v>158</v>
      </c>
      <c r="AS78" s="6602" t="s">
        <v>158</v>
      </c>
      <c r="AU78" s="6603" t="s">
        <v>158</v>
      </c>
      <c r="BE78" s="6529"/>
      <c r="BF78" s="6529"/>
      <c r="BG78" s="6529"/>
      <c r="BH78" s="6529"/>
      <c r="BI78" s="6529"/>
      <c r="BJ78" s="6529"/>
      <c r="BK78" s="6529"/>
      <c r="BL78" s="6529"/>
      <c r="BM78" s="6529"/>
      <c r="BN78" s="6529"/>
      <c r="BO78" s="6529"/>
      <c r="BP78" s="6529"/>
      <c r="BQ78" s="6529"/>
      <c r="BR78" s="6529"/>
      <c r="BS78" s="6529"/>
      <c r="BT78" s="6529"/>
      <c r="BU78" s="6529"/>
      <c r="BV78" s="6529"/>
      <c r="BW78" s="6529"/>
      <c r="BX78" s="6529"/>
      <c r="BY78" s="6529"/>
      <c r="BZ78" s="6529"/>
      <c r="CA78" s="6529"/>
      <c r="CB78" s="6529"/>
      <c r="CC78" s="6529"/>
      <c r="CD78" s="6529"/>
      <c r="CE78" s="6529"/>
      <c r="CF78" s="6529"/>
      <c r="CG78" s="6529"/>
      <c r="CH78" s="6529"/>
      <c r="CI78" s="6529"/>
      <c r="CJ78" s="6529"/>
      <c r="CK78" s="6529"/>
      <c r="CL78" s="6529"/>
      <c r="CM78" s="6529"/>
    </row>
    <row r="79" spans="1:91" ht="44.25">
      <c r="A79" s="5096"/>
      <c r="B79" s="6474" t="s">
        <v>688</v>
      </c>
      <c r="C79" s="6475" t="s">
        <v>3701</v>
      </c>
      <c r="D79" s="6570" t="s">
        <v>688</v>
      </c>
      <c r="E79" s="6477" t="s">
        <v>3798</v>
      </c>
      <c r="F79" s="6475" t="s">
        <v>3701</v>
      </c>
      <c r="G79" s="6571" t="s">
        <v>3798</v>
      </c>
      <c r="H79" s="6479">
        <v>26</v>
      </c>
      <c r="I79" s="6475" t="s">
        <v>3701</v>
      </c>
      <c r="J79" s="6571">
        <v>26</v>
      </c>
      <c r="K79" s="6479">
        <v>52</v>
      </c>
      <c r="L79" s="6475" t="s">
        <v>3701</v>
      </c>
      <c r="M79" s="6572">
        <v>52</v>
      </c>
      <c r="N79" s="5096"/>
      <c r="O79" s="6474" t="s">
        <v>688</v>
      </c>
      <c r="P79" s="6475" t="s">
        <v>3701</v>
      </c>
      <c r="Q79" s="6573" t="s">
        <v>688</v>
      </c>
      <c r="R79" s="6477" t="s">
        <v>3798</v>
      </c>
      <c r="S79" s="6475" t="s">
        <v>3701</v>
      </c>
      <c r="T79" s="6574" t="s">
        <v>3798</v>
      </c>
      <c r="U79" s="6479">
        <v>26</v>
      </c>
      <c r="V79" s="6475" t="s">
        <v>3701</v>
      </c>
      <c r="W79" s="6573">
        <v>26</v>
      </c>
      <c r="X79" s="6479">
        <v>52</v>
      </c>
      <c r="Y79" s="6475" t="s">
        <v>3701</v>
      </c>
      <c r="Z79" s="6575">
        <v>52</v>
      </c>
      <c r="AA79" s="5096"/>
      <c r="AB79" s="5096"/>
      <c r="AC79" s="5096"/>
      <c r="AG79" s="6616" t="s">
        <v>159</v>
      </c>
      <c r="AI79" s="6605" t="s">
        <v>182</v>
      </c>
      <c r="AJ79" s="6593"/>
      <c r="AK79" s="6598" t="s">
        <v>159</v>
      </c>
      <c r="AM79" s="6599" t="s">
        <v>182</v>
      </c>
      <c r="AO79" s="6617" t="s">
        <v>181</v>
      </c>
      <c r="AQ79" s="6601" t="s">
        <v>159</v>
      </c>
      <c r="AS79" s="6602" t="s">
        <v>159</v>
      </c>
      <c r="AU79" s="6603" t="s">
        <v>159</v>
      </c>
      <c r="BE79" s="6529"/>
      <c r="BF79" s="6529"/>
      <c r="BG79" s="6529"/>
      <c r="BH79" s="6529"/>
      <c r="BI79" s="6529"/>
      <c r="BJ79" s="6529"/>
      <c r="BK79" s="6529"/>
      <c r="BL79" s="6529"/>
      <c r="BM79" s="6529"/>
      <c r="BN79" s="6529"/>
      <c r="BO79" s="6529"/>
      <c r="BP79" s="6529"/>
      <c r="BQ79" s="6529"/>
      <c r="BR79" s="6529"/>
      <c r="BS79" s="6529"/>
      <c r="BT79" s="6529"/>
      <c r="BU79" s="6529"/>
      <c r="BV79" s="6529"/>
      <c r="BW79" s="6529"/>
      <c r="BX79" s="6529"/>
      <c r="BY79" s="6529"/>
      <c r="BZ79" s="6529"/>
      <c r="CA79" s="6529"/>
      <c r="CB79" s="6529"/>
      <c r="CC79" s="6529"/>
      <c r="CD79" s="6529"/>
      <c r="CE79" s="6529"/>
      <c r="CF79" s="6529"/>
      <c r="CG79" s="6529"/>
      <c r="CH79" s="6529"/>
      <c r="CI79" s="6529"/>
      <c r="CJ79" s="6529"/>
      <c r="CK79" s="6529"/>
      <c r="CL79" s="6529"/>
      <c r="CM79" s="6529"/>
    </row>
    <row r="80" spans="1:91" ht="44.25">
      <c r="A80" s="5096"/>
      <c r="B80" s="6474" t="s">
        <v>2806</v>
      </c>
      <c r="C80" s="6475" t="s">
        <v>3701</v>
      </c>
      <c r="D80" s="6570" t="s">
        <v>2806</v>
      </c>
      <c r="E80" s="6477" t="s">
        <v>58</v>
      </c>
      <c r="F80" s="6475" t="s">
        <v>3701</v>
      </c>
      <c r="G80" s="6571" t="s">
        <v>58</v>
      </c>
      <c r="H80" s="6479" t="s">
        <v>3796</v>
      </c>
      <c r="I80" s="6475" t="s">
        <v>3701</v>
      </c>
      <c r="J80" s="6570" t="s">
        <v>3796</v>
      </c>
      <c r="K80" s="6479" t="s">
        <v>3806</v>
      </c>
      <c r="L80" s="6475" t="s">
        <v>3701</v>
      </c>
      <c r="M80" s="6572" t="s">
        <v>3806</v>
      </c>
      <c r="N80" s="5096"/>
      <c r="O80" s="6474" t="s">
        <v>2806</v>
      </c>
      <c r="P80" s="6475" t="s">
        <v>3701</v>
      </c>
      <c r="Q80" s="6573" t="s">
        <v>2806</v>
      </c>
      <c r="R80" s="6477" t="s">
        <v>58</v>
      </c>
      <c r="S80" s="6475" t="s">
        <v>3701</v>
      </c>
      <c r="T80" s="6574" t="s">
        <v>58</v>
      </c>
      <c r="U80" s="6479" t="s">
        <v>3796</v>
      </c>
      <c r="V80" s="6475" t="s">
        <v>3701</v>
      </c>
      <c r="W80" s="6573" t="s">
        <v>3796</v>
      </c>
      <c r="X80" s="6479" t="s">
        <v>3806</v>
      </c>
      <c r="Y80" s="6475" t="s">
        <v>3701</v>
      </c>
      <c r="Z80" s="6575" t="s">
        <v>3806</v>
      </c>
      <c r="AA80" s="5096"/>
      <c r="AB80" s="5096"/>
      <c r="AC80" s="5096"/>
      <c r="AG80" s="6618" t="s">
        <v>160</v>
      </c>
      <c r="AI80" s="6605" t="s">
        <v>183</v>
      </c>
      <c r="AJ80" s="6593"/>
      <c r="AK80" s="6598" t="s">
        <v>160</v>
      </c>
      <c r="AM80" s="6599" t="s">
        <v>183</v>
      </c>
      <c r="AO80" s="6619" t="s">
        <v>182</v>
      </c>
      <c r="AQ80" s="6601" t="s">
        <v>160</v>
      </c>
      <c r="AS80" s="6602" t="s">
        <v>160</v>
      </c>
      <c r="AU80" s="6603" t="s">
        <v>160</v>
      </c>
      <c r="BE80" s="6529"/>
      <c r="BF80" s="6529"/>
      <c r="BG80" s="6529"/>
      <c r="BH80" s="6529"/>
      <c r="BI80" s="6529"/>
      <c r="BJ80" s="6529"/>
      <c r="BK80" s="6529"/>
      <c r="BL80" s="6529"/>
      <c r="BM80" s="6529"/>
      <c r="BN80" s="6529"/>
      <c r="BO80" s="6529"/>
      <c r="BP80" s="6529"/>
      <c r="BQ80" s="6529"/>
      <c r="BR80" s="6529"/>
      <c r="BS80" s="6529"/>
      <c r="BT80" s="6529"/>
      <c r="BU80" s="6529"/>
      <c r="BV80" s="6529"/>
      <c r="BW80" s="6529"/>
      <c r="BX80" s="6529"/>
      <c r="BY80" s="6529"/>
      <c r="BZ80" s="6529"/>
      <c r="CA80" s="6529"/>
      <c r="CB80" s="6529"/>
      <c r="CC80" s="6529"/>
      <c r="CD80" s="6529"/>
      <c r="CE80" s="6529"/>
      <c r="CF80" s="6529"/>
      <c r="CG80" s="6529"/>
      <c r="CH80" s="6529"/>
      <c r="CI80" s="6529"/>
      <c r="CJ80" s="6529"/>
      <c r="CK80" s="6529"/>
      <c r="CL80" s="6529"/>
      <c r="CM80" s="6529"/>
    </row>
    <row r="81" spans="1:91" ht="44.25">
      <c r="A81" s="5096"/>
      <c r="B81" s="6474" t="s">
        <v>3728</v>
      </c>
      <c r="C81" s="6475" t="s">
        <v>3701</v>
      </c>
      <c r="D81" s="6570" t="s">
        <v>3728</v>
      </c>
      <c r="E81" s="6477" t="s">
        <v>2804</v>
      </c>
      <c r="F81" s="6475" t="s">
        <v>3701</v>
      </c>
      <c r="G81" s="6571" t="s">
        <v>2804</v>
      </c>
      <c r="H81" s="6479" t="s">
        <v>1379</v>
      </c>
      <c r="I81" s="6475" t="s">
        <v>3701</v>
      </c>
      <c r="J81" s="6570" t="s">
        <v>1379</v>
      </c>
      <c r="K81" s="6479" t="s">
        <v>3819</v>
      </c>
      <c r="L81" s="6475" t="s">
        <v>3701</v>
      </c>
      <c r="M81" s="6572" t="s">
        <v>3819</v>
      </c>
      <c r="N81" s="5096"/>
      <c r="O81" s="6474" t="s">
        <v>3728</v>
      </c>
      <c r="P81" s="6475" t="s">
        <v>3701</v>
      </c>
      <c r="Q81" s="6573" t="s">
        <v>3728</v>
      </c>
      <c r="R81" s="6477" t="s">
        <v>2804</v>
      </c>
      <c r="S81" s="6475" t="s">
        <v>3701</v>
      </c>
      <c r="T81" s="6574" t="s">
        <v>2804</v>
      </c>
      <c r="U81" s="6479" t="s">
        <v>1379</v>
      </c>
      <c r="V81" s="6475" t="s">
        <v>3701</v>
      </c>
      <c r="W81" s="6573" t="s">
        <v>1379</v>
      </c>
      <c r="X81" s="6479" t="s">
        <v>3819</v>
      </c>
      <c r="Y81" s="6475" t="s">
        <v>3701</v>
      </c>
      <c r="Z81" s="6575" t="s">
        <v>3819</v>
      </c>
      <c r="AA81" s="5096"/>
      <c r="AB81" s="5096"/>
      <c r="AC81" s="5096"/>
      <c r="AG81" s="6620" t="s">
        <v>161</v>
      </c>
      <c r="AI81" s="6605" t="s">
        <v>184</v>
      </c>
      <c r="AJ81" s="6593"/>
      <c r="AK81" s="6598" t="s">
        <v>161</v>
      </c>
      <c r="AM81" s="6599" t="s">
        <v>184</v>
      </c>
      <c r="AO81" s="6621" t="s">
        <v>183</v>
      </c>
      <c r="AQ81" s="6601" t="s">
        <v>161</v>
      </c>
      <c r="AS81" s="6602" t="s">
        <v>161</v>
      </c>
      <c r="AU81" s="6603" t="s">
        <v>161</v>
      </c>
      <c r="BE81" s="6529"/>
      <c r="BF81" s="6529"/>
      <c r="BG81" s="6529"/>
      <c r="BH81" s="6529"/>
      <c r="BI81" s="6529"/>
      <c r="BJ81" s="6529"/>
      <c r="BK81" s="6529"/>
      <c r="BL81" s="6529"/>
      <c r="BM81" s="6529"/>
      <c r="BN81" s="6529"/>
      <c r="BO81" s="6529"/>
      <c r="BP81" s="6529"/>
      <c r="BQ81" s="6529"/>
      <c r="BR81" s="6529"/>
      <c r="BS81" s="6529"/>
      <c r="BT81" s="6529"/>
      <c r="BU81" s="6529"/>
      <c r="BV81" s="6529"/>
      <c r="BW81" s="6529"/>
      <c r="BX81" s="6529"/>
      <c r="BY81" s="6529"/>
      <c r="BZ81" s="6529"/>
      <c r="CA81" s="6529"/>
      <c r="CB81" s="6529"/>
      <c r="CC81" s="6529"/>
      <c r="CD81" s="6529"/>
      <c r="CE81" s="6529"/>
      <c r="CF81" s="6529"/>
      <c r="CG81" s="6529"/>
      <c r="CH81" s="6529"/>
      <c r="CI81" s="6529"/>
      <c r="CJ81" s="6529"/>
      <c r="CK81" s="6529"/>
      <c r="CL81" s="6529"/>
      <c r="CM81" s="6529"/>
    </row>
    <row r="82" spans="1:91" ht="44.25">
      <c r="A82" s="5096"/>
      <c r="B82" s="6474" t="s">
        <v>3735</v>
      </c>
      <c r="C82" s="6475" t="s">
        <v>3701</v>
      </c>
      <c r="D82" s="6570" t="s">
        <v>3735</v>
      </c>
      <c r="E82" s="6477" t="s">
        <v>3732</v>
      </c>
      <c r="F82" s="6475" t="s">
        <v>3701</v>
      </c>
      <c r="G82" s="6571" t="s">
        <v>3732</v>
      </c>
      <c r="H82" s="6479" t="s">
        <v>2756</v>
      </c>
      <c r="I82" s="6475" t="s">
        <v>3701</v>
      </c>
      <c r="J82" s="6570" t="s">
        <v>2756</v>
      </c>
      <c r="K82" s="6479" t="s">
        <v>2177</v>
      </c>
      <c r="L82" s="6475" t="s">
        <v>3701</v>
      </c>
      <c r="M82" s="6572" t="s">
        <v>2177</v>
      </c>
      <c r="N82" s="5096"/>
      <c r="O82" s="6474" t="s">
        <v>3735</v>
      </c>
      <c r="P82" s="6475" t="s">
        <v>3701</v>
      </c>
      <c r="Q82" s="6573" t="s">
        <v>3735</v>
      </c>
      <c r="R82" s="6477" t="s">
        <v>3732</v>
      </c>
      <c r="S82" s="6475" t="s">
        <v>3701</v>
      </c>
      <c r="T82" s="6574" t="s">
        <v>3732</v>
      </c>
      <c r="U82" s="6479" t="s">
        <v>2756</v>
      </c>
      <c r="V82" s="6475" t="s">
        <v>3701</v>
      </c>
      <c r="W82" s="6573" t="s">
        <v>2756</v>
      </c>
      <c r="X82" s="6479" t="s">
        <v>2177</v>
      </c>
      <c r="Y82" s="6475" t="s">
        <v>3701</v>
      </c>
      <c r="Z82" s="6575" t="s">
        <v>2177</v>
      </c>
      <c r="AA82" s="5096"/>
      <c r="AB82" s="5096"/>
      <c r="AC82" s="5096"/>
      <c r="AG82" s="6622" t="s">
        <v>163</v>
      </c>
      <c r="AI82" s="6605" t="s">
        <v>185</v>
      </c>
      <c r="AJ82" s="6593"/>
      <c r="AK82" s="6598" t="s">
        <v>163</v>
      </c>
      <c r="AM82" s="6599" t="s">
        <v>185</v>
      </c>
      <c r="AO82" s="6593"/>
      <c r="AQ82" s="6601" t="s">
        <v>163</v>
      </c>
      <c r="AS82" s="6602" t="s">
        <v>163</v>
      </c>
      <c r="AU82" s="6603" t="s">
        <v>163</v>
      </c>
      <c r="BE82" s="6529"/>
      <c r="BF82" s="6529"/>
      <c r="BG82" s="6529"/>
      <c r="BH82" s="6529"/>
      <c r="BI82" s="6529"/>
      <c r="BJ82" s="6529"/>
      <c r="BK82" s="6529"/>
      <c r="BL82" s="6529"/>
      <c r="BM82" s="6529"/>
      <c r="BN82" s="6529"/>
      <c r="BO82" s="6529"/>
      <c r="BP82" s="6529"/>
      <c r="BQ82" s="6529"/>
      <c r="BR82" s="6529"/>
      <c r="BS82" s="6529"/>
      <c r="BT82" s="6529"/>
      <c r="BU82" s="6529"/>
      <c r="BV82" s="6529"/>
      <c r="BW82" s="6529"/>
      <c r="BX82" s="6529"/>
      <c r="BY82" s="6529"/>
      <c r="BZ82" s="6529"/>
      <c r="CA82" s="6529"/>
      <c r="CB82" s="6529"/>
      <c r="CC82" s="6529"/>
      <c r="CD82" s="6529"/>
      <c r="CE82" s="6529"/>
      <c r="CF82" s="6529"/>
      <c r="CG82" s="6529"/>
      <c r="CH82" s="6529"/>
      <c r="CI82" s="6529"/>
      <c r="CJ82" s="6529"/>
      <c r="CK82" s="6529"/>
      <c r="CL82" s="6529"/>
      <c r="CM82" s="6529"/>
    </row>
    <row r="83" spans="1:91" ht="44.25">
      <c r="A83" s="5096"/>
      <c r="B83" s="6474" t="s">
        <v>3832</v>
      </c>
      <c r="C83" s="6475" t="s">
        <v>3701</v>
      </c>
      <c r="D83" s="6570" t="s">
        <v>3832</v>
      </c>
      <c r="E83" s="6477" t="s">
        <v>3742</v>
      </c>
      <c r="F83" s="6475" t="s">
        <v>3701</v>
      </c>
      <c r="G83" s="6571" t="s">
        <v>3742</v>
      </c>
      <c r="H83" s="6479" t="s">
        <v>32</v>
      </c>
      <c r="I83" s="6475" t="s">
        <v>3701</v>
      </c>
      <c r="J83" s="6570" t="s">
        <v>32</v>
      </c>
      <c r="K83" s="6479" t="s">
        <v>1239</v>
      </c>
      <c r="L83" s="6475" t="s">
        <v>3701</v>
      </c>
      <c r="M83" s="6572" t="s">
        <v>1239</v>
      </c>
      <c r="N83" s="5096"/>
      <c r="O83" s="6474" t="s">
        <v>3832</v>
      </c>
      <c r="P83" s="6475" t="s">
        <v>3701</v>
      </c>
      <c r="Q83" s="6573" t="s">
        <v>3832</v>
      </c>
      <c r="R83" s="6477" t="s">
        <v>3742</v>
      </c>
      <c r="S83" s="6475" t="s">
        <v>3701</v>
      </c>
      <c r="T83" s="6574" t="s">
        <v>3742</v>
      </c>
      <c r="U83" s="6479" t="s">
        <v>32</v>
      </c>
      <c r="V83" s="6475" t="s">
        <v>3701</v>
      </c>
      <c r="W83" s="6573" t="s">
        <v>32</v>
      </c>
      <c r="X83" s="6479" t="s">
        <v>1239</v>
      </c>
      <c r="Y83" s="6475" t="s">
        <v>3701</v>
      </c>
      <c r="Z83" s="6575" t="s">
        <v>1239</v>
      </c>
      <c r="AA83" s="5096"/>
      <c r="AB83" s="5096"/>
      <c r="AC83" s="5096"/>
      <c r="AG83" s="6623" t="s">
        <v>164</v>
      </c>
      <c r="AI83" s="6605" t="s">
        <v>186</v>
      </c>
      <c r="AJ83" s="6593"/>
      <c r="AK83" s="6598" t="s">
        <v>164</v>
      </c>
      <c r="AM83" s="6599" t="s">
        <v>186</v>
      </c>
      <c r="AO83" s="6593"/>
      <c r="AQ83" s="6601" t="s">
        <v>164</v>
      </c>
      <c r="AS83" s="6602" t="s">
        <v>164</v>
      </c>
      <c r="AU83" s="6603" t="s">
        <v>164</v>
      </c>
      <c r="BE83" s="6529"/>
      <c r="BF83" s="6529"/>
      <c r="BG83" s="6529"/>
      <c r="BH83" s="6529"/>
      <c r="BI83" s="6529"/>
      <c r="BJ83" s="6529"/>
      <c r="BK83" s="6529"/>
      <c r="BL83" s="6529"/>
      <c r="BM83" s="6529"/>
      <c r="BN83" s="6529"/>
      <c r="BO83" s="6529"/>
      <c r="BP83" s="6529"/>
      <c r="BQ83" s="6529"/>
      <c r="BR83" s="6529"/>
      <c r="BS83" s="6529"/>
      <c r="BT83" s="6529"/>
      <c r="BU83" s="6529"/>
      <c r="BV83" s="6529"/>
      <c r="BW83" s="6529"/>
      <c r="BX83" s="6529"/>
      <c r="BY83" s="6529"/>
      <c r="BZ83" s="6529"/>
      <c r="CA83" s="6529"/>
      <c r="CB83" s="6529"/>
      <c r="CC83" s="6529"/>
      <c r="CD83" s="6529"/>
      <c r="CE83" s="6529"/>
      <c r="CF83" s="6529"/>
      <c r="CG83" s="6529"/>
      <c r="CH83" s="6529"/>
      <c r="CI83" s="6529"/>
      <c r="CJ83" s="6529"/>
      <c r="CK83" s="6529"/>
      <c r="CL83" s="6529"/>
      <c r="CM83" s="6529"/>
    </row>
    <row r="84" spans="1:91" ht="44.25">
      <c r="A84" s="5096"/>
      <c r="B84" s="6474" t="s">
        <v>3739</v>
      </c>
      <c r="C84" s="6475" t="s">
        <v>3701</v>
      </c>
      <c r="D84" s="6570" t="s">
        <v>3739</v>
      </c>
      <c r="E84" s="6477" t="s">
        <v>3733</v>
      </c>
      <c r="F84" s="6475" t="s">
        <v>3701</v>
      </c>
      <c r="G84" s="6571" t="s">
        <v>3733</v>
      </c>
      <c r="H84" s="6479" t="s">
        <v>3833</v>
      </c>
      <c r="I84" s="6475" t="s">
        <v>3701</v>
      </c>
      <c r="J84" s="6570" t="s">
        <v>3833</v>
      </c>
      <c r="K84" s="6479" t="s">
        <v>3729</v>
      </c>
      <c r="L84" s="6475" t="s">
        <v>3701</v>
      </c>
      <c r="M84" s="6572" t="s">
        <v>3729</v>
      </c>
      <c r="N84" s="5096"/>
      <c r="O84" s="6474" t="s">
        <v>3739</v>
      </c>
      <c r="P84" s="6475" t="s">
        <v>3701</v>
      </c>
      <c r="Q84" s="6573" t="s">
        <v>3739</v>
      </c>
      <c r="R84" s="6477" t="s">
        <v>3733</v>
      </c>
      <c r="S84" s="6475" t="s">
        <v>3701</v>
      </c>
      <c r="T84" s="6574" t="s">
        <v>3733</v>
      </c>
      <c r="U84" s="6479" t="s">
        <v>3833</v>
      </c>
      <c r="V84" s="6475" t="s">
        <v>3701</v>
      </c>
      <c r="W84" s="6573" t="s">
        <v>3833</v>
      </c>
      <c r="X84" s="6479" t="s">
        <v>3729</v>
      </c>
      <c r="Y84" s="6475" t="s">
        <v>3701</v>
      </c>
      <c r="Z84" s="6575" t="s">
        <v>3729</v>
      </c>
      <c r="AA84" s="5096"/>
      <c r="AB84" s="5096"/>
      <c r="AC84" s="5096"/>
      <c r="AG84" s="6624" t="s">
        <v>167</v>
      </c>
      <c r="AI84" s="6605" t="s">
        <v>187</v>
      </c>
      <c r="AJ84" s="6593"/>
      <c r="AK84" s="6598" t="s">
        <v>167</v>
      </c>
      <c r="AM84" s="6599" t="s">
        <v>187</v>
      </c>
      <c r="AO84" s="6593"/>
      <c r="AQ84" s="6601" t="s">
        <v>167</v>
      </c>
      <c r="AS84" s="6602" t="s">
        <v>167</v>
      </c>
      <c r="AU84" s="6603" t="s">
        <v>167</v>
      </c>
    </row>
    <row r="85" spans="1:91" ht="44.25">
      <c r="A85" s="5096"/>
      <c r="B85" s="6474" t="s">
        <v>3741</v>
      </c>
      <c r="C85" s="6475" t="s">
        <v>3701</v>
      </c>
      <c r="D85" s="6570" t="s">
        <v>3741</v>
      </c>
      <c r="E85" s="6477" t="s">
        <v>3743</v>
      </c>
      <c r="F85" s="6475" t="s">
        <v>3701</v>
      </c>
      <c r="G85" s="6571" t="s">
        <v>3743</v>
      </c>
      <c r="H85" s="6479" t="s">
        <v>3834</v>
      </c>
      <c r="I85" s="6475" t="s">
        <v>3701</v>
      </c>
      <c r="J85" s="6570" t="s">
        <v>3834</v>
      </c>
      <c r="K85" s="6479" t="s">
        <v>2803</v>
      </c>
      <c r="L85" s="6475" t="s">
        <v>3701</v>
      </c>
      <c r="M85" s="6572" t="s">
        <v>2803</v>
      </c>
      <c r="N85" s="5096"/>
      <c r="O85" s="6474" t="s">
        <v>3741</v>
      </c>
      <c r="P85" s="6475" t="s">
        <v>3701</v>
      </c>
      <c r="Q85" s="6573" t="s">
        <v>3741</v>
      </c>
      <c r="R85" s="6477" t="s">
        <v>3743</v>
      </c>
      <c r="S85" s="6475" t="s">
        <v>3701</v>
      </c>
      <c r="T85" s="6574" t="s">
        <v>3743</v>
      </c>
      <c r="U85" s="6479" t="s">
        <v>3834</v>
      </c>
      <c r="V85" s="6475" t="s">
        <v>3701</v>
      </c>
      <c r="W85" s="6573" t="s">
        <v>3834</v>
      </c>
      <c r="X85" s="6479" t="s">
        <v>2803</v>
      </c>
      <c r="Y85" s="6475" t="s">
        <v>3701</v>
      </c>
      <c r="Z85" s="6575" t="s">
        <v>2803</v>
      </c>
      <c r="AA85" s="5096"/>
      <c r="AB85" s="5096"/>
      <c r="AC85" s="5096"/>
      <c r="AG85" s="6625" t="s">
        <v>168</v>
      </c>
      <c r="AI85" s="6605" t="s">
        <v>188</v>
      </c>
      <c r="AJ85" s="6593"/>
      <c r="AK85" s="6598" t="s">
        <v>168</v>
      </c>
      <c r="AM85" s="6599" t="s">
        <v>188</v>
      </c>
      <c r="AO85" s="6593"/>
      <c r="AQ85" s="6601" t="s">
        <v>168</v>
      </c>
      <c r="AS85" s="6602" t="s">
        <v>168</v>
      </c>
      <c r="AU85" s="6603" t="s">
        <v>168</v>
      </c>
    </row>
    <row r="86" spans="1:91" s="835" customFormat="1" ht="44.25">
      <c r="A86" s="5096"/>
      <c r="B86" s="6474" t="s">
        <v>3836</v>
      </c>
      <c r="C86" s="6475" t="s">
        <v>3701</v>
      </c>
      <c r="D86" s="6570" t="s">
        <v>3836</v>
      </c>
      <c r="E86" s="6477" t="s">
        <v>3731</v>
      </c>
      <c r="F86" s="6475" t="s">
        <v>3701</v>
      </c>
      <c r="G86" s="6571" t="s">
        <v>3731</v>
      </c>
      <c r="H86" s="6479" t="s">
        <v>3738</v>
      </c>
      <c r="I86" s="6475" t="s">
        <v>3701</v>
      </c>
      <c r="J86" s="6570" t="s">
        <v>3738</v>
      </c>
      <c r="K86" s="6479" t="s">
        <v>3837</v>
      </c>
      <c r="L86" s="6475" t="s">
        <v>3701</v>
      </c>
      <c r="M86" s="6572" t="s">
        <v>3837</v>
      </c>
      <c r="N86" s="5096"/>
      <c r="O86" s="6474" t="s">
        <v>3836</v>
      </c>
      <c r="P86" s="6475" t="s">
        <v>3701</v>
      </c>
      <c r="Q86" s="6573" t="s">
        <v>3836</v>
      </c>
      <c r="R86" s="6477" t="s">
        <v>3731</v>
      </c>
      <c r="S86" s="6475" t="s">
        <v>3701</v>
      </c>
      <c r="T86" s="6574" t="s">
        <v>3731</v>
      </c>
      <c r="U86" s="6479" t="s">
        <v>3738</v>
      </c>
      <c r="V86" s="6475" t="s">
        <v>3701</v>
      </c>
      <c r="W86" s="6573" t="s">
        <v>3738</v>
      </c>
      <c r="X86" s="6479" t="s">
        <v>3837</v>
      </c>
      <c r="Y86" s="6475" t="s">
        <v>3701</v>
      </c>
      <c r="Z86" s="6575" t="s">
        <v>3837</v>
      </c>
      <c r="AA86" s="5096"/>
      <c r="AB86" s="5096"/>
      <c r="AC86" s="5096"/>
      <c r="AG86" s="6626" t="s">
        <v>169</v>
      </c>
      <c r="AI86" s="6605" t="s">
        <v>189</v>
      </c>
      <c r="AJ86" s="6593"/>
      <c r="AK86" s="6598" t="s">
        <v>169</v>
      </c>
      <c r="AM86" s="6599" t="s">
        <v>189</v>
      </c>
      <c r="AO86" s="6593"/>
      <c r="AQ86" s="6601" t="s">
        <v>169</v>
      </c>
      <c r="AS86" s="6602" t="s">
        <v>169</v>
      </c>
      <c r="AU86" s="6603" t="s">
        <v>169</v>
      </c>
    </row>
    <row r="87" spans="1:91" s="835" customFormat="1" ht="44.25">
      <c r="A87" s="5096"/>
      <c r="B87" s="6474" t="s">
        <v>3838</v>
      </c>
      <c r="C87" s="6475" t="s">
        <v>3701</v>
      </c>
      <c r="D87" s="6570" t="s">
        <v>3838</v>
      </c>
      <c r="E87" s="6477" t="s">
        <v>3744</v>
      </c>
      <c r="F87" s="6475" t="s">
        <v>3701</v>
      </c>
      <c r="G87" s="6571" t="s">
        <v>3744</v>
      </c>
      <c r="H87" s="6479" t="s">
        <v>3839</v>
      </c>
      <c r="I87" s="6475" t="s">
        <v>3701</v>
      </c>
      <c r="J87" s="6570" t="s">
        <v>3839</v>
      </c>
      <c r="K87" s="6479" t="s">
        <v>3840</v>
      </c>
      <c r="L87" s="6475" t="s">
        <v>3701</v>
      </c>
      <c r="M87" s="6572" t="s">
        <v>3840</v>
      </c>
      <c r="N87" s="5096"/>
      <c r="O87" s="6474" t="s">
        <v>3838</v>
      </c>
      <c r="P87" s="6475" t="s">
        <v>3701</v>
      </c>
      <c r="Q87" s="6573" t="s">
        <v>3838</v>
      </c>
      <c r="R87" s="6477" t="s">
        <v>3744</v>
      </c>
      <c r="S87" s="6475" t="s">
        <v>3701</v>
      </c>
      <c r="T87" s="6574" t="s">
        <v>3744</v>
      </c>
      <c r="U87" s="6479" t="s">
        <v>3839</v>
      </c>
      <c r="V87" s="6475" t="s">
        <v>3701</v>
      </c>
      <c r="W87" s="6573" t="s">
        <v>3839</v>
      </c>
      <c r="X87" s="6479" t="s">
        <v>3840</v>
      </c>
      <c r="Y87" s="6475" t="s">
        <v>3701</v>
      </c>
      <c r="Z87" s="6575" t="s">
        <v>3840</v>
      </c>
      <c r="AA87" s="5096"/>
      <c r="AB87" s="5096"/>
      <c r="AC87" s="5096"/>
      <c r="AG87" s="6627" t="s">
        <v>170</v>
      </c>
      <c r="AI87" s="6605" t="s">
        <v>190</v>
      </c>
      <c r="AJ87" s="6593"/>
      <c r="AK87" s="6598" t="s">
        <v>170</v>
      </c>
      <c r="AM87" s="6599" t="s">
        <v>190</v>
      </c>
      <c r="AO87" s="6593"/>
      <c r="AQ87" s="6601" t="s">
        <v>170</v>
      </c>
      <c r="AS87" s="6602" t="s">
        <v>170</v>
      </c>
      <c r="AU87" s="6603" t="s">
        <v>170</v>
      </c>
    </row>
    <row r="88" spans="1:91" s="835" customFormat="1" ht="44.25">
      <c r="A88" s="5096"/>
      <c r="B88" s="6474"/>
      <c r="C88" s="6475" t="s">
        <v>3701</v>
      </c>
      <c r="D88" s="6570"/>
      <c r="E88" s="6477" t="s">
        <v>3734</v>
      </c>
      <c r="F88" s="6475" t="s">
        <v>3701</v>
      </c>
      <c r="G88" s="6571" t="s">
        <v>3734</v>
      </c>
      <c r="H88" s="6479" t="s">
        <v>3737</v>
      </c>
      <c r="I88" s="6475" t="s">
        <v>3701</v>
      </c>
      <c r="J88" s="6570" t="s">
        <v>3737</v>
      </c>
      <c r="K88" s="6479"/>
      <c r="L88" s="6475" t="s">
        <v>3701</v>
      </c>
      <c r="M88" s="6572"/>
      <c r="N88" s="5096"/>
      <c r="O88" s="6474"/>
      <c r="P88" s="6475" t="s">
        <v>3701</v>
      </c>
      <c r="Q88" s="6573"/>
      <c r="R88" s="6477" t="s">
        <v>3734</v>
      </c>
      <c r="S88" s="6475" t="s">
        <v>3701</v>
      </c>
      <c r="T88" s="6574" t="s">
        <v>3734</v>
      </c>
      <c r="U88" s="6479" t="s">
        <v>3737</v>
      </c>
      <c r="V88" s="6475" t="s">
        <v>3701</v>
      </c>
      <c r="W88" s="6573" t="s">
        <v>3737</v>
      </c>
      <c r="X88" s="6479"/>
      <c r="Y88" s="6475" t="s">
        <v>3701</v>
      </c>
      <c r="Z88" s="6575"/>
      <c r="AA88" s="5096"/>
      <c r="AB88" s="5096"/>
      <c r="AC88" s="5096"/>
      <c r="AG88" s="6628" t="s">
        <v>171</v>
      </c>
      <c r="AI88" s="6605" t="s">
        <v>191</v>
      </c>
      <c r="AJ88" s="6593"/>
      <c r="AK88" s="6598" t="s">
        <v>171</v>
      </c>
      <c r="AM88" s="6599" t="s">
        <v>191</v>
      </c>
      <c r="AO88" s="6593"/>
      <c r="AQ88" s="6601" t="s">
        <v>171</v>
      </c>
      <c r="AS88" s="6602" t="s">
        <v>171</v>
      </c>
      <c r="AU88" s="6603" t="s">
        <v>171</v>
      </c>
    </row>
    <row r="89" spans="1:91" s="835" customFormat="1" ht="18.75">
      <c r="A89" s="6629"/>
      <c r="B89" s="6630"/>
      <c r="C89" s="6631"/>
      <c r="D89" s="6631"/>
      <c r="E89" s="6631"/>
      <c r="F89" s="6631"/>
      <c r="G89" s="6631"/>
      <c r="H89" s="6631"/>
      <c r="I89" s="6631"/>
      <c r="J89" s="6631"/>
      <c r="K89" s="6631"/>
      <c r="L89" s="6631"/>
      <c r="M89" s="6632"/>
      <c r="N89" s="6633"/>
      <c r="O89" s="6630"/>
      <c r="P89" s="6631"/>
      <c r="Q89" s="6631"/>
      <c r="R89" s="6631"/>
      <c r="S89" s="6631"/>
      <c r="T89" s="6631"/>
      <c r="U89" s="6631"/>
      <c r="V89" s="6631"/>
      <c r="W89" s="6631"/>
      <c r="X89" s="6631"/>
      <c r="Y89" s="6631"/>
      <c r="Z89" s="6632"/>
      <c r="AA89" s="6633"/>
      <c r="AB89" s="6629"/>
      <c r="AC89" s="6629"/>
      <c r="AG89" s="6634" t="s">
        <v>172</v>
      </c>
      <c r="AI89" s="6605" t="s">
        <v>192</v>
      </c>
      <c r="AJ89" s="6593"/>
      <c r="AK89" s="6598" t="s">
        <v>172</v>
      </c>
      <c r="AM89" s="6599" t="s">
        <v>192</v>
      </c>
      <c r="AO89" s="6593"/>
      <c r="AQ89" s="6601" t="s">
        <v>172</v>
      </c>
      <c r="AS89" s="6602" t="s">
        <v>172</v>
      </c>
      <c r="AU89" s="6603" t="s">
        <v>172</v>
      </c>
    </row>
    <row r="90" spans="1:91" s="835" customFormat="1" ht="18.75">
      <c r="A90" s="801"/>
      <c r="B90" s="801"/>
      <c r="C90" s="801"/>
      <c r="D90" s="801"/>
      <c r="E90" s="801"/>
      <c r="F90" s="801"/>
      <c r="G90" s="801"/>
      <c r="H90" s="801"/>
      <c r="I90" s="801"/>
      <c r="J90" s="801"/>
      <c r="K90" s="801"/>
      <c r="L90" s="801"/>
      <c r="M90" s="801"/>
      <c r="N90" s="801"/>
      <c r="O90" s="801"/>
      <c r="P90" s="801"/>
      <c r="Q90" s="801"/>
      <c r="R90" s="801"/>
      <c r="S90" s="801"/>
      <c r="T90" s="801"/>
      <c r="U90" s="801"/>
      <c r="V90" s="801"/>
      <c r="W90" s="801"/>
      <c r="X90" s="801"/>
      <c r="Y90" s="801"/>
      <c r="Z90" s="801"/>
      <c r="AA90" s="801"/>
      <c r="AB90" s="801"/>
      <c r="AC90" s="801"/>
      <c r="AG90" s="6635" t="s">
        <v>173</v>
      </c>
      <c r="AI90" s="6605" t="s">
        <v>193</v>
      </c>
      <c r="AJ90" s="6593"/>
      <c r="AK90" s="6598" t="s">
        <v>173</v>
      </c>
      <c r="AM90" s="6599" t="s">
        <v>193</v>
      </c>
      <c r="AO90" s="6593"/>
      <c r="AQ90" s="6601" t="s">
        <v>173</v>
      </c>
      <c r="AS90" s="6602" t="s">
        <v>173</v>
      </c>
      <c r="AU90" s="6603" t="s">
        <v>173</v>
      </c>
    </row>
    <row r="91" spans="1:91" s="835" customFormat="1" ht="18.75">
      <c r="A91" s="801"/>
      <c r="B91" s="801"/>
      <c r="C91" s="801"/>
      <c r="D91" s="801"/>
      <c r="E91" s="801"/>
      <c r="F91" s="801"/>
      <c r="G91" s="801"/>
      <c r="H91" s="801"/>
      <c r="I91" s="801"/>
      <c r="J91" s="801"/>
      <c r="K91" s="801"/>
      <c r="L91" s="801"/>
      <c r="M91" s="801"/>
      <c r="N91" s="801"/>
      <c r="O91" s="801"/>
      <c r="P91" s="801"/>
      <c r="Q91" s="801"/>
      <c r="R91" s="801"/>
      <c r="S91" s="801"/>
      <c r="T91" s="801"/>
      <c r="U91" s="801"/>
      <c r="V91" s="801"/>
      <c r="W91" s="801"/>
      <c r="X91" s="801"/>
      <c r="Y91" s="801"/>
      <c r="Z91" s="801"/>
      <c r="AA91" s="801"/>
      <c r="AB91" s="801"/>
      <c r="AC91" s="801"/>
      <c r="AG91" s="6635" t="s">
        <v>174</v>
      </c>
      <c r="AI91" s="6605" t="s">
        <v>194</v>
      </c>
      <c r="AJ91" s="6593"/>
      <c r="AK91" s="6598" t="s">
        <v>174</v>
      </c>
      <c r="AM91" s="6636"/>
      <c r="AO91" s="6593"/>
      <c r="AQ91" s="6601" t="s">
        <v>174</v>
      </c>
      <c r="AS91" s="6602" t="s">
        <v>174</v>
      </c>
      <c r="AU91" s="6603" t="s">
        <v>174</v>
      </c>
    </row>
    <row r="92" spans="1:91" s="835" customFormat="1" ht="30">
      <c r="A92" s="801"/>
      <c r="B92" s="6444" t="s">
        <v>3697</v>
      </c>
      <c r="C92" s="6445"/>
      <c r="D92" s="6446" t="s">
        <v>3698</v>
      </c>
      <c r="E92" s="6637" t="s">
        <v>3873</v>
      </c>
      <c r="F92" s="6638"/>
      <c r="G92" s="6638"/>
      <c r="H92" s="6638"/>
      <c r="I92" s="6638"/>
      <c r="J92" s="6638"/>
      <c r="K92" s="6638"/>
      <c r="L92" s="6638"/>
      <c r="M92" s="6639"/>
      <c r="N92" s="801"/>
      <c r="O92" s="6444" t="s">
        <v>3697</v>
      </c>
      <c r="P92" s="6445"/>
      <c r="Q92" s="6446" t="s">
        <v>3698</v>
      </c>
      <c r="R92" s="6447" t="s">
        <v>3874</v>
      </c>
      <c r="S92" s="6448"/>
      <c r="T92" s="6448"/>
      <c r="U92" s="6448"/>
      <c r="V92" s="6448"/>
      <c r="W92" s="6448"/>
      <c r="X92" s="6448"/>
      <c r="Y92" s="6448"/>
      <c r="Z92" s="6449"/>
      <c r="AA92" s="801"/>
      <c r="AB92" s="801"/>
      <c r="AC92" s="801"/>
    </row>
    <row r="93" spans="1:91" s="835" customFormat="1" ht="30">
      <c r="A93" s="801"/>
      <c r="B93" s="6453" t="s">
        <v>3703</v>
      </c>
      <c r="C93" s="6454" t="s">
        <v>3701</v>
      </c>
      <c r="D93" s="6640" t="str">
        <f>B93</f>
        <v>Aa</v>
      </c>
      <c r="E93" s="6641" t="s">
        <v>3875</v>
      </c>
      <c r="F93" s="6642"/>
      <c r="G93" s="6643"/>
      <c r="H93" s="6643"/>
      <c r="I93" s="6643"/>
      <c r="J93" s="6643"/>
      <c r="K93" s="6643"/>
      <c r="L93" s="6643"/>
      <c r="M93" s="6644"/>
      <c r="N93" s="801"/>
      <c r="O93" s="6453" t="s">
        <v>3703</v>
      </c>
      <c r="P93" s="6454" t="s">
        <v>3701</v>
      </c>
      <c r="Q93" s="6645" t="str">
        <f>O93</f>
        <v>Aa</v>
      </c>
      <c r="R93" s="6560" t="s">
        <v>3702</v>
      </c>
      <c r="S93" s="6642"/>
      <c r="T93" s="6643"/>
      <c r="U93" s="6643"/>
      <c r="V93" s="6643"/>
      <c r="W93" s="6643"/>
      <c r="X93" s="6643"/>
      <c r="Y93" s="6643"/>
      <c r="Z93" s="6644"/>
      <c r="AA93" s="801"/>
      <c r="AB93" s="801"/>
      <c r="AC93" s="801"/>
    </row>
    <row r="94" spans="1:91" s="835" customFormat="1">
      <c r="A94" s="801"/>
      <c r="B94" s="6462"/>
      <c r="C94" s="801"/>
      <c r="D94" s="801"/>
      <c r="E94" s="801"/>
      <c r="F94" s="801"/>
      <c r="G94" s="801"/>
      <c r="H94" s="801"/>
      <c r="I94" s="801"/>
      <c r="J94" s="801"/>
      <c r="K94" s="801"/>
      <c r="L94" s="801"/>
      <c r="M94" s="6463"/>
      <c r="N94" s="801"/>
      <c r="O94" s="6462"/>
      <c r="P94" s="801"/>
      <c r="Q94" s="801"/>
      <c r="R94" s="801"/>
      <c r="S94" s="801"/>
      <c r="T94" s="801"/>
      <c r="U94" s="801"/>
      <c r="V94" s="801"/>
      <c r="W94" s="801"/>
      <c r="X94" s="801"/>
      <c r="Y94" s="801"/>
      <c r="Z94" s="6463"/>
      <c r="AA94" s="801"/>
      <c r="AB94" s="801"/>
      <c r="AC94" s="801"/>
    </row>
    <row r="95" spans="1:91" s="835" customFormat="1">
      <c r="A95" s="801"/>
      <c r="B95" s="6466" t="s">
        <v>3705</v>
      </c>
      <c r="C95" s="6646" t="s">
        <v>3706</v>
      </c>
      <c r="D95" s="6647"/>
      <c r="E95" s="6469" t="s">
        <v>3707</v>
      </c>
      <c r="F95" s="6646" t="s">
        <v>3706</v>
      </c>
      <c r="G95" s="6647"/>
      <c r="H95" s="6469" t="s">
        <v>3708</v>
      </c>
      <c r="I95" s="6646" t="s">
        <v>3706</v>
      </c>
      <c r="J95" s="6647"/>
      <c r="K95" s="6469" t="s">
        <v>3709</v>
      </c>
      <c r="L95" s="6646" t="s">
        <v>3706</v>
      </c>
      <c r="M95" s="6648"/>
      <c r="N95" s="801"/>
      <c r="O95" s="6466" t="s">
        <v>3705</v>
      </c>
      <c r="P95" s="6467" t="s">
        <v>3706</v>
      </c>
      <c r="Q95" s="6468"/>
      <c r="R95" s="6469" t="s">
        <v>3707</v>
      </c>
      <c r="S95" s="6467" t="s">
        <v>3706</v>
      </c>
      <c r="T95" s="6468"/>
      <c r="U95" s="6469" t="s">
        <v>3708</v>
      </c>
      <c r="V95" s="6467" t="s">
        <v>3706</v>
      </c>
      <c r="W95" s="6468"/>
      <c r="X95" s="6469" t="s">
        <v>3709</v>
      </c>
      <c r="Y95" s="6467" t="s">
        <v>3706</v>
      </c>
      <c r="Z95" s="6470"/>
      <c r="AA95" s="801"/>
      <c r="AB95" s="801"/>
      <c r="AC95" s="801"/>
    </row>
    <row r="96" spans="1:91" s="835" customFormat="1" ht="44.25">
      <c r="A96" s="5096"/>
      <c r="B96" s="6474" t="s">
        <v>99</v>
      </c>
      <c r="C96" s="6475" t="s">
        <v>3701</v>
      </c>
      <c r="D96" s="6649" t="s">
        <v>99</v>
      </c>
      <c r="E96" s="6477" t="s">
        <v>3710</v>
      </c>
      <c r="F96" s="6475" t="s">
        <v>3701</v>
      </c>
      <c r="G96" s="6650" t="s">
        <v>3710</v>
      </c>
      <c r="H96" s="6479">
        <v>1</v>
      </c>
      <c r="I96" s="6475" t="s">
        <v>3701</v>
      </c>
      <c r="J96" s="6649">
        <v>1</v>
      </c>
      <c r="K96" s="6479">
        <v>27</v>
      </c>
      <c r="L96" s="6475" t="s">
        <v>3701</v>
      </c>
      <c r="M96" s="6651">
        <v>27</v>
      </c>
      <c r="N96" s="5096"/>
      <c r="O96" s="6474" t="s">
        <v>99</v>
      </c>
      <c r="P96" s="6475" t="s">
        <v>3701</v>
      </c>
      <c r="Q96" s="6652" t="s">
        <v>99</v>
      </c>
      <c r="R96" s="6477" t="s">
        <v>3710</v>
      </c>
      <c r="S96" s="6475" t="s">
        <v>3701</v>
      </c>
      <c r="T96" s="6653" t="s">
        <v>3710</v>
      </c>
      <c r="U96" s="6479">
        <v>1</v>
      </c>
      <c r="V96" s="6475" t="s">
        <v>3701</v>
      </c>
      <c r="W96" s="6652">
        <v>1</v>
      </c>
      <c r="X96" s="6479">
        <v>27</v>
      </c>
      <c r="Y96" s="6475" t="s">
        <v>3701</v>
      </c>
      <c r="Z96" s="6654">
        <v>27</v>
      </c>
      <c r="AA96" s="5096"/>
      <c r="AB96" s="5096"/>
      <c r="AC96" s="5096"/>
    </row>
    <row r="97" spans="1:29" s="835" customFormat="1" ht="44.25">
      <c r="A97" s="5096"/>
      <c r="B97" s="6474" t="s">
        <v>100</v>
      </c>
      <c r="C97" s="6475" t="s">
        <v>3701</v>
      </c>
      <c r="D97" s="6649" t="s">
        <v>100</v>
      </c>
      <c r="E97" s="6477" t="s">
        <v>3727</v>
      </c>
      <c r="F97" s="6475" t="s">
        <v>3701</v>
      </c>
      <c r="G97" s="6650" t="s">
        <v>3727</v>
      </c>
      <c r="H97" s="6479">
        <v>2</v>
      </c>
      <c r="I97" s="6475" t="s">
        <v>3701</v>
      </c>
      <c r="J97" s="6649">
        <v>2</v>
      </c>
      <c r="K97" s="6479">
        <v>28</v>
      </c>
      <c r="L97" s="6475" t="s">
        <v>3701</v>
      </c>
      <c r="M97" s="6651">
        <v>28</v>
      </c>
      <c r="N97" s="5096"/>
      <c r="O97" s="6474" t="s">
        <v>100</v>
      </c>
      <c r="P97" s="6475" t="s">
        <v>3701</v>
      </c>
      <c r="Q97" s="6652" t="s">
        <v>100</v>
      </c>
      <c r="R97" s="6477" t="s">
        <v>3727</v>
      </c>
      <c r="S97" s="6475" t="s">
        <v>3701</v>
      </c>
      <c r="T97" s="6653" t="s">
        <v>3727</v>
      </c>
      <c r="U97" s="6479">
        <v>2</v>
      </c>
      <c r="V97" s="6475" t="s">
        <v>3701</v>
      </c>
      <c r="W97" s="6652">
        <v>2</v>
      </c>
      <c r="X97" s="6479">
        <v>28</v>
      </c>
      <c r="Y97" s="6475" t="s">
        <v>3701</v>
      </c>
      <c r="Z97" s="6654">
        <v>28</v>
      </c>
      <c r="AA97" s="5096"/>
      <c r="AB97" s="5096"/>
      <c r="AC97" s="5096"/>
    </row>
    <row r="98" spans="1:29" s="835" customFormat="1" ht="44.25">
      <c r="A98" s="5096"/>
      <c r="B98" s="6474" t="s">
        <v>101</v>
      </c>
      <c r="C98" s="6475" t="s">
        <v>3701</v>
      </c>
      <c r="D98" s="6649" t="s">
        <v>101</v>
      </c>
      <c r="E98" s="6477" t="s">
        <v>3745</v>
      </c>
      <c r="F98" s="6475" t="s">
        <v>3701</v>
      </c>
      <c r="G98" s="6650" t="s">
        <v>3745</v>
      </c>
      <c r="H98" s="6479">
        <v>3</v>
      </c>
      <c r="I98" s="6475" t="s">
        <v>3701</v>
      </c>
      <c r="J98" s="6649">
        <v>3</v>
      </c>
      <c r="K98" s="6479">
        <v>29</v>
      </c>
      <c r="L98" s="6475" t="s">
        <v>3701</v>
      </c>
      <c r="M98" s="6651">
        <v>29</v>
      </c>
      <c r="N98" s="5096"/>
      <c r="O98" s="6474" t="s">
        <v>101</v>
      </c>
      <c r="P98" s="6475" t="s">
        <v>3701</v>
      </c>
      <c r="Q98" s="6652" t="s">
        <v>101</v>
      </c>
      <c r="R98" s="6477" t="s">
        <v>3745</v>
      </c>
      <c r="S98" s="6475" t="s">
        <v>3701</v>
      </c>
      <c r="T98" s="6653" t="s">
        <v>3745</v>
      </c>
      <c r="U98" s="6479">
        <v>3</v>
      </c>
      <c r="V98" s="6475" t="s">
        <v>3701</v>
      </c>
      <c r="W98" s="6652">
        <v>3</v>
      </c>
      <c r="X98" s="6479">
        <v>29</v>
      </c>
      <c r="Y98" s="6475" t="s">
        <v>3701</v>
      </c>
      <c r="Z98" s="6654">
        <v>29</v>
      </c>
      <c r="AA98" s="5096"/>
      <c r="AB98" s="5096"/>
      <c r="AC98" s="5096"/>
    </row>
    <row r="99" spans="1:29" s="835" customFormat="1" ht="44.25">
      <c r="A99" s="5096"/>
      <c r="B99" s="6474" t="s">
        <v>111</v>
      </c>
      <c r="C99" s="6475" t="s">
        <v>3701</v>
      </c>
      <c r="D99" s="6649" t="s">
        <v>111</v>
      </c>
      <c r="E99" s="6477" t="s">
        <v>3753</v>
      </c>
      <c r="F99" s="6475" t="s">
        <v>3701</v>
      </c>
      <c r="G99" s="6650" t="s">
        <v>3753</v>
      </c>
      <c r="H99" s="6479">
        <v>4</v>
      </c>
      <c r="I99" s="6475" t="s">
        <v>3701</v>
      </c>
      <c r="J99" s="6649">
        <v>4</v>
      </c>
      <c r="K99" s="6479">
        <v>30</v>
      </c>
      <c r="L99" s="6475" t="s">
        <v>3701</v>
      </c>
      <c r="M99" s="6651">
        <v>30</v>
      </c>
      <c r="N99" s="5096"/>
      <c r="O99" s="6474" t="s">
        <v>111</v>
      </c>
      <c r="P99" s="6475" t="s">
        <v>3701</v>
      </c>
      <c r="Q99" s="6652" t="s">
        <v>111</v>
      </c>
      <c r="R99" s="6477" t="s">
        <v>3753</v>
      </c>
      <c r="S99" s="6475" t="s">
        <v>3701</v>
      </c>
      <c r="T99" s="6653" t="s">
        <v>3753</v>
      </c>
      <c r="U99" s="6479">
        <v>4</v>
      </c>
      <c r="V99" s="6475" t="s">
        <v>3701</v>
      </c>
      <c r="W99" s="6652">
        <v>4</v>
      </c>
      <c r="X99" s="6479">
        <v>30</v>
      </c>
      <c r="Y99" s="6475" t="s">
        <v>3701</v>
      </c>
      <c r="Z99" s="6654">
        <v>30</v>
      </c>
      <c r="AA99" s="5096"/>
      <c r="AB99" s="5096"/>
      <c r="AC99" s="5096"/>
    </row>
    <row r="100" spans="1:29" s="835" customFormat="1" ht="44.25">
      <c r="A100" s="5096"/>
      <c r="B100" s="6474" t="s">
        <v>112</v>
      </c>
      <c r="C100" s="6475" t="s">
        <v>3701</v>
      </c>
      <c r="D100" s="6649" t="s">
        <v>112</v>
      </c>
      <c r="E100" s="6477" t="s">
        <v>3755</v>
      </c>
      <c r="F100" s="6475" t="s">
        <v>3701</v>
      </c>
      <c r="G100" s="6650" t="s">
        <v>3755</v>
      </c>
      <c r="H100" s="6479">
        <v>5</v>
      </c>
      <c r="I100" s="6475" t="s">
        <v>3701</v>
      </c>
      <c r="J100" s="6649">
        <v>5</v>
      </c>
      <c r="K100" s="6479">
        <v>31</v>
      </c>
      <c r="L100" s="6475" t="s">
        <v>3701</v>
      </c>
      <c r="M100" s="6651">
        <v>31</v>
      </c>
      <c r="N100" s="5096"/>
      <c r="O100" s="6474" t="s">
        <v>112</v>
      </c>
      <c r="P100" s="6475" t="s">
        <v>3701</v>
      </c>
      <c r="Q100" s="6652" t="s">
        <v>112</v>
      </c>
      <c r="R100" s="6477" t="s">
        <v>3755</v>
      </c>
      <c r="S100" s="6475" t="s">
        <v>3701</v>
      </c>
      <c r="T100" s="6653" t="s">
        <v>3755</v>
      </c>
      <c r="U100" s="6479">
        <v>5</v>
      </c>
      <c r="V100" s="6475" t="s">
        <v>3701</v>
      </c>
      <c r="W100" s="6652">
        <v>5</v>
      </c>
      <c r="X100" s="6479">
        <v>31</v>
      </c>
      <c r="Y100" s="6475" t="s">
        <v>3701</v>
      </c>
      <c r="Z100" s="6654">
        <v>31</v>
      </c>
      <c r="AA100" s="5096"/>
      <c r="AB100" s="5096"/>
      <c r="AC100" s="5096"/>
    </row>
    <row r="101" spans="1:29" s="835" customFormat="1" ht="44.25">
      <c r="A101" s="5096"/>
      <c r="B101" s="6474" t="s">
        <v>142</v>
      </c>
      <c r="C101" s="6475" t="s">
        <v>3701</v>
      </c>
      <c r="D101" s="6649" t="s">
        <v>142</v>
      </c>
      <c r="E101" s="6477" t="s">
        <v>3756</v>
      </c>
      <c r="F101" s="6475" t="s">
        <v>3701</v>
      </c>
      <c r="G101" s="6650" t="s">
        <v>3756</v>
      </c>
      <c r="H101" s="6479">
        <v>6</v>
      </c>
      <c r="I101" s="6475" t="s">
        <v>3701</v>
      </c>
      <c r="J101" s="6649">
        <v>6</v>
      </c>
      <c r="K101" s="6479">
        <v>32</v>
      </c>
      <c r="L101" s="6475" t="s">
        <v>3701</v>
      </c>
      <c r="M101" s="6651">
        <v>32</v>
      </c>
      <c r="N101" s="5096"/>
      <c r="O101" s="6474" t="s">
        <v>142</v>
      </c>
      <c r="P101" s="6475" t="s">
        <v>3701</v>
      </c>
      <c r="Q101" s="6652" t="s">
        <v>142</v>
      </c>
      <c r="R101" s="6477" t="s">
        <v>3756</v>
      </c>
      <c r="S101" s="6475" t="s">
        <v>3701</v>
      </c>
      <c r="T101" s="6653" t="s">
        <v>3756</v>
      </c>
      <c r="U101" s="6479">
        <v>6</v>
      </c>
      <c r="V101" s="6475" t="s">
        <v>3701</v>
      </c>
      <c r="W101" s="6652">
        <v>6</v>
      </c>
      <c r="X101" s="6479">
        <v>32</v>
      </c>
      <c r="Y101" s="6475" t="s">
        <v>3701</v>
      </c>
      <c r="Z101" s="6654">
        <v>32</v>
      </c>
      <c r="AA101" s="5096"/>
      <c r="AB101" s="5096"/>
      <c r="AC101" s="5096"/>
    </row>
    <row r="102" spans="1:29" s="835" customFormat="1" ht="44.25">
      <c r="A102" s="5096"/>
      <c r="B102" s="6474" t="s">
        <v>143</v>
      </c>
      <c r="C102" s="6475" t="s">
        <v>3701</v>
      </c>
      <c r="D102" s="6649" t="s">
        <v>143</v>
      </c>
      <c r="E102" s="6477" t="s">
        <v>2059</v>
      </c>
      <c r="F102" s="6475" t="s">
        <v>3701</v>
      </c>
      <c r="G102" s="6650" t="s">
        <v>2059</v>
      </c>
      <c r="H102" s="6479">
        <v>7</v>
      </c>
      <c r="I102" s="6475" t="s">
        <v>3701</v>
      </c>
      <c r="J102" s="6649">
        <v>7</v>
      </c>
      <c r="K102" s="6479">
        <v>33</v>
      </c>
      <c r="L102" s="6475" t="s">
        <v>3701</v>
      </c>
      <c r="M102" s="6651">
        <v>33</v>
      </c>
      <c r="N102" s="5096"/>
      <c r="O102" s="6474" t="s">
        <v>143</v>
      </c>
      <c r="P102" s="6475" t="s">
        <v>3701</v>
      </c>
      <c r="Q102" s="6652" t="s">
        <v>143</v>
      </c>
      <c r="R102" s="6477" t="s">
        <v>2059</v>
      </c>
      <c r="S102" s="6475" t="s">
        <v>3701</v>
      </c>
      <c r="T102" s="6653" t="s">
        <v>2059</v>
      </c>
      <c r="U102" s="6479">
        <v>7</v>
      </c>
      <c r="V102" s="6475" t="s">
        <v>3701</v>
      </c>
      <c r="W102" s="6652">
        <v>7</v>
      </c>
      <c r="X102" s="6479">
        <v>33</v>
      </c>
      <c r="Y102" s="6475" t="s">
        <v>3701</v>
      </c>
      <c r="Z102" s="6654">
        <v>33</v>
      </c>
      <c r="AA102" s="5096"/>
      <c r="AB102" s="5096"/>
      <c r="AC102" s="5096"/>
    </row>
    <row r="103" spans="1:29" s="835" customFormat="1" ht="44.25">
      <c r="A103" s="5096"/>
      <c r="B103" s="6474" t="s">
        <v>144</v>
      </c>
      <c r="C103" s="6475" t="s">
        <v>3701</v>
      </c>
      <c r="D103" s="6649" t="s">
        <v>144</v>
      </c>
      <c r="E103" s="6477" t="s">
        <v>3759</v>
      </c>
      <c r="F103" s="6475" t="s">
        <v>3701</v>
      </c>
      <c r="G103" s="6650" t="s">
        <v>3759</v>
      </c>
      <c r="H103" s="6479">
        <v>8</v>
      </c>
      <c r="I103" s="6475" t="s">
        <v>3701</v>
      </c>
      <c r="J103" s="6649">
        <v>8</v>
      </c>
      <c r="K103" s="6479">
        <v>34</v>
      </c>
      <c r="L103" s="6475" t="s">
        <v>3701</v>
      </c>
      <c r="M103" s="6651">
        <v>34</v>
      </c>
      <c r="N103" s="5096"/>
      <c r="O103" s="6474" t="s">
        <v>144</v>
      </c>
      <c r="P103" s="6475" t="s">
        <v>3701</v>
      </c>
      <c r="Q103" s="6652" t="s">
        <v>144</v>
      </c>
      <c r="R103" s="6477" t="s">
        <v>3759</v>
      </c>
      <c r="S103" s="6475" t="s">
        <v>3701</v>
      </c>
      <c r="T103" s="6653" t="s">
        <v>3759</v>
      </c>
      <c r="U103" s="6479">
        <v>8</v>
      </c>
      <c r="V103" s="6475" t="s">
        <v>3701</v>
      </c>
      <c r="W103" s="6652">
        <v>8</v>
      </c>
      <c r="X103" s="6479">
        <v>34</v>
      </c>
      <c r="Y103" s="6475" t="s">
        <v>3701</v>
      </c>
      <c r="Z103" s="6654">
        <v>34</v>
      </c>
      <c r="AA103" s="5096"/>
      <c r="AB103" s="5096"/>
      <c r="AC103" s="5096"/>
    </row>
    <row r="104" spans="1:29" s="835" customFormat="1" ht="44.25">
      <c r="A104" s="5096"/>
      <c r="B104" s="6474" t="s">
        <v>145</v>
      </c>
      <c r="C104" s="6475" t="s">
        <v>3701</v>
      </c>
      <c r="D104" s="6649" t="s">
        <v>145</v>
      </c>
      <c r="E104" s="6477" t="s">
        <v>3760</v>
      </c>
      <c r="F104" s="6475" t="s">
        <v>3701</v>
      </c>
      <c r="G104" s="6650" t="s">
        <v>3760</v>
      </c>
      <c r="H104" s="6479">
        <v>9</v>
      </c>
      <c r="I104" s="6475" t="s">
        <v>3701</v>
      </c>
      <c r="J104" s="6649">
        <v>9</v>
      </c>
      <c r="K104" s="6479">
        <v>35</v>
      </c>
      <c r="L104" s="6475" t="s">
        <v>3701</v>
      </c>
      <c r="M104" s="6651">
        <v>35</v>
      </c>
      <c r="N104" s="5096"/>
      <c r="O104" s="6474" t="s">
        <v>145</v>
      </c>
      <c r="P104" s="6475" t="s">
        <v>3701</v>
      </c>
      <c r="Q104" s="6652" t="s">
        <v>145</v>
      </c>
      <c r="R104" s="6477" t="s">
        <v>3760</v>
      </c>
      <c r="S104" s="6475" t="s">
        <v>3701</v>
      </c>
      <c r="T104" s="6653" t="s">
        <v>3760</v>
      </c>
      <c r="U104" s="6479">
        <v>9</v>
      </c>
      <c r="V104" s="6475" t="s">
        <v>3701</v>
      </c>
      <c r="W104" s="6652">
        <v>9</v>
      </c>
      <c r="X104" s="6479">
        <v>35</v>
      </c>
      <c r="Y104" s="6475" t="s">
        <v>3701</v>
      </c>
      <c r="Z104" s="6654">
        <v>35</v>
      </c>
      <c r="AA104" s="5096"/>
      <c r="AB104" s="5096"/>
      <c r="AC104" s="5096"/>
    </row>
    <row r="105" spans="1:29" s="835" customFormat="1" ht="44.25">
      <c r="A105" s="5096"/>
      <c r="B105" s="6474" t="s">
        <v>146</v>
      </c>
      <c r="C105" s="6475" t="s">
        <v>3701</v>
      </c>
      <c r="D105" s="6649" t="s">
        <v>146</v>
      </c>
      <c r="E105" s="6477" t="s">
        <v>3762</v>
      </c>
      <c r="F105" s="6475" t="s">
        <v>3701</v>
      </c>
      <c r="G105" s="6650" t="s">
        <v>3762</v>
      </c>
      <c r="H105" s="6479">
        <v>10</v>
      </c>
      <c r="I105" s="6475" t="s">
        <v>3701</v>
      </c>
      <c r="J105" s="6649">
        <v>10</v>
      </c>
      <c r="K105" s="6479">
        <v>36</v>
      </c>
      <c r="L105" s="6475" t="s">
        <v>3701</v>
      </c>
      <c r="M105" s="6651">
        <v>36</v>
      </c>
      <c r="N105" s="5096"/>
      <c r="O105" s="6474" t="s">
        <v>146</v>
      </c>
      <c r="P105" s="6475" t="s">
        <v>3701</v>
      </c>
      <c r="Q105" s="6652" t="s">
        <v>146</v>
      </c>
      <c r="R105" s="6477" t="s">
        <v>3762</v>
      </c>
      <c r="S105" s="6475" t="s">
        <v>3701</v>
      </c>
      <c r="T105" s="6653" t="s">
        <v>3762</v>
      </c>
      <c r="U105" s="6479">
        <v>10</v>
      </c>
      <c r="V105" s="6475" t="s">
        <v>3701</v>
      </c>
      <c r="W105" s="6652">
        <v>10</v>
      </c>
      <c r="X105" s="6479">
        <v>36</v>
      </c>
      <c r="Y105" s="6475" t="s">
        <v>3701</v>
      </c>
      <c r="Z105" s="6654">
        <v>36</v>
      </c>
      <c r="AA105" s="5096"/>
      <c r="AB105" s="5096"/>
      <c r="AC105" s="5096"/>
    </row>
    <row r="106" spans="1:29" s="835" customFormat="1" ht="44.25">
      <c r="A106" s="5096"/>
      <c r="B106" s="6474" t="s">
        <v>147</v>
      </c>
      <c r="C106" s="6475" t="s">
        <v>3701</v>
      </c>
      <c r="D106" s="6649" t="s">
        <v>147</v>
      </c>
      <c r="E106" s="6477" t="s">
        <v>3764</v>
      </c>
      <c r="F106" s="6475" t="s">
        <v>3701</v>
      </c>
      <c r="G106" s="6650" t="s">
        <v>3764</v>
      </c>
      <c r="H106" s="6479">
        <v>11</v>
      </c>
      <c r="I106" s="6475" t="s">
        <v>3701</v>
      </c>
      <c r="J106" s="6649">
        <v>11</v>
      </c>
      <c r="K106" s="6479">
        <v>37</v>
      </c>
      <c r="L106" s="6475" t="s">
        <v>3701</v>
      </c>
      <c r="M106" s="6651">
        <v>37</v>
      </c>
      <c r="N106" s="5096"/>
      <c r="O106" s="6474" t="s">
        <v>147</v>
      </c>
      <c r="P106" s="6475" t="s">
        <v>3701</v>
      </c>
      <c r="Q106" s="6652" t="s">
        <v>147</v>
      </c>
      <c r="R106" s="6477" t="s">
        <v>3764</v>
      </c>
      <c r="S106" s="6475" t="s">
        <v>3701</v>
      </c>
      <c r="T106" s="6653" t="s">
        <v>3764</v>
      </c>
      <c r="U106" s="6479">
        <v>11</v>
      </c>
      <c r="V106" s="6475" t="s">
        <v>3701</v>
      </c>
      <c r="W106" s="6652">
        <v>11</v>
      </c>
      <c r="X106" s="6479">
        <v>37</v>
      </c>
      <c r="Y106" s="6475" t="s">
        <v>3701</v>
      </c>
      <c r="Z106" s="6654">
        <v>37</v>
      </c>
      <c r="AA106" s="5096"/>
      <c r="AB106" s="5096"/>
      <c r="AC106" s="5096"/>
    </row>
    <row r="107" spans="1:29" s="835" customFormat="1" ht="44.25">
      <c r="A107" s="5096"/>
      <c r="B107" s="6474" t="s">
        <v>224</v>
      </c>
      <c r="C107" s="6475" t="s">
        <v>3701</v>
      </c>
      <c r="D107" s="6649" t="s">
        <v>224</v>
      </c>
      <c r="E107" s="6477" t="s">
        <v>212</v>
      </c>
      <c r="F107" s="6475" t="s">
        <v>3701</v>
      </c>
      <c r="G107" s="6650" t="s">
        <v>212</v>
      </c>
      <c r="H107" s="6479">
        <v>12</v>
      </c>
      <c r="I107" s="6475" t="s">
        <v>3701</v>
      </c>
      <c r="J107" s="6649">
        <v>12</v>
      </c>
      <c r="K107" s="6479">
        <v>38</v>
      </c>
      <c r="L107" s="6475" t="s">
        <v>3701</v>
      </c>
      <c r="M107" s="6651">
        <v>38</v>
      </c>
      <c r="N107" s="5096"/>
      <c r="O107" s="6474" t="s">
        <v>224</v>
      </c>
      <c r="P107" s="6475" t="s">
        <v>3701</v>
      </c>
      <c r="Q107" s="6652" t="s">
        <v>224</v>
      </c>
      <c r="R107" s="6477" t="s">
        <v>212</v>
      </c>
      <c r="S107" s="6475" t="s">
        <v>3701</v>
      </c>
      <c r="T107" s="6653" t="s">
        <v>212</v>
      </c>
      <c r="U107" s="6479">
        <v>12</v>
      </c>
      <c r="V107" s="6475" t="s">
        <v>3701</v>
      </c>
      <c r="W107" s="6652">
        <v>12</v>
      </c>
      <c r="X107" s="6479">
        <v>38</v>
      </c>
      <c r="Y107" s="6475" t="s">
        <v>3701</v>
      </c>
      <c r="Z107" s="6654">
        <v>38</v>
      </c>
      <c r="AA107" s="5096"/>
      <c r="AB107" s="5096"/>
      <c r="AC107" s="5096"/>
    </row>
    <row r="108" spans="1:29" s="835" customFormat="1" ht="44.25">
      <c r="A108" s="5096"/>
      <c r="B108" s="6474" t="s">
        <v>316</v>
      </c>
      <c r="C108" s="6475" t="s">
        <v>3701</v>
      </c>
      <c r="D108" s="6649" t="s">
        <v>316</v>
      </c>
      <c r="E108" s="6477" t="s">
        <v>3766</v>
      </c>
      <c r="F108" s="6475" t="s">
        <v>3701</v>
      </c>
      <c r="G108" s="6650" t="s">
        <v>3766</v>
      </c>
      <c r="H108" s="6479">
        <v>13</v>
      </c>
      <c r="I108" s="6475" t="s">
        <v>3701</v>
      </c>
      <c r="J108" s="6649">
        <v>13</v>
      </c>
      <c r="K108" s="6479">
        <v>39</v>
      </c>
      <c r="L108" s="6475" t="s">
        <v>3701</v>
      </c>
      <c r="M108" s="6651">
        <v>39</v>
      </c>
      <c r="N108" s="5096"/>
      <c r="O108" s="6474" t="s">
        <v>316</v>
      </c>
      <c r="P108" s="6475" t="s">
        <v>3701</v>
      </c>
      <c r="Q108" s="6652" t="s">
        <v>316</v>
      </c>
      <c r="R108" s="6477" t="s">
        <v>3766</v>
      </c>
      <c r="S108" s="6475" t="s">
        <v>3701</v>
      </c>
      <c r="T108" s="6653" t="s">
        <v>3766</v>
      </c>
      <c r="U108" s="6479">
        <v>13</v>
      </c>
      <c r="V108" s="6475" t="s">
        <v>3701</v>
      </c>
      <c r="W108" s="6652">
        <v>13</v>
      </c>
      <c r="X108" s="6479">
        <v>39</v>
      </c>
      <c r="Y108" s="6475" t="s">
        <v>3701</v>
      </c>
      <c r="Z108" s="6654">
        <v>39</v>
      </c>
      <c r="AA108" s="5096"/>
      <c r="AB108" s="5096"/>
      <c r="AC108" s="5096"/>
    </row>
    <row r="109" spans="1:29" s="835" customFormat="1" ht="44.25">
      <c r="A109" s="5096"/>
      <c r="B109" s="6474" t="s">
        <v>654</v>
      </c>
      <c r="C109" s="6475" t="s">
        <v>3701</v>
      </c>
      <c r="D109" s="6649" t="s">
        <v>654</v>
      </c>
      <c r="E109" s="6477" t="s">
        <v>3768</v>
      </c>
      <c r="F109" s="6475" t="s">
        <v>3701</v>
      </c>
      <c r="G109" s="6650" t="s">
        <v>3768</v>
      </c>
      <c r="H109" s="6479">
        <v>14</v>
      </c>
      <c r="I109" s="6475" t="s">
        <v>3701</v>
      </c>
      <c r="J109" s="6649">
        <v>14</v>
      </c>
      <c r="K109" s="6479">
        <v>40</v>
      </c>
      <c r="L109" s="6475" t="s">
        <v>3701</v>
      </c>
      <c r="M109" s="6651">
        <v>40</v>
      </c>
      <c r="N109" s="5096"/>
      <c r="O109" s="6474" t="s">
        <v>654</v>
      </c>
      <c r="P109" s="6475" t="s">
        <v>3701</v>
      </c>
      <c r="Q109" s="6652" t="s">
        <v>654</v>
      </c>
      <c r="R109" s="6477" t="s">
        <v>3768</v>
      </c>
      <c r="S109" s="6475" t="s">
        <v>3701</v>
      </c>
      <c r="T109" s="6653" t="s">
        <v>3768</v>
      </c>
      <c r="U109" s="6479">
        <v>14</v>
      </c>
      <c r="V109" s="6475" t="s">
        <v>3701</v>
      </c>
      <c r="W109" s="6652">
        <v>14</v>
      </c>
      <c r="X109" s="6479">
        <v>40</v>
      </c>
      <c r="Y109" s="6475" t="s">
        <v>3701</v>
      </c>
      <c r="Z109" s="6654">
        <v>40</v>
      </c>
      <c r="AA109" s="5096"/>
      <c r="AB109" s="5096"/>
      <c r="AC109" s="5096"/>
    </row>
    <row r="110" spans="1:29" s="835" customFormat="1" ht="44.25">
      <c r="A110" s="5096"/>
      <c r="B110" s="6474" t="s">
        <v>2997</v>
      </c>
      <c r="C110" s="6475" t="s">
        <v>3701</v>
      </c>
      <c r="D110" s="6649" t="s">
        <v>2997</v>
      </c>
      <c r="E110" s="6477" t="s">
        <v>3781</v>
      </c>
      <c r="F110" s="6475" t="s">
        <v>3701</v>
      </c>
      <c r="G110" s="6650" t="s">
        <v>3781</v>
      </c>
      <c r="H110" s="6479">
        <v>15</v>
      </c>
      <c r="I110" s="6475" t="s">
        <v>3701</v>
      </c>
      <c r="J110" s="6649">
        <v>15</v>
      </c>
      <c r="K110" s="6479">
        <v>41</v>
      </c>
      <c r="L110" s="6475" t="s">
        <v>3701</v>
      </c>
      <c r="M110" s="6651">
        <v>41</v>
      </c>
      <c r="N110" s="5096"/>
      <c r="O110" s="6474" t="s">
        <v>2997</v>
      </c>
      <c r="P110" s="6475" t="s">
        <v>3701</v>
      </c>
      <c r="Q110" s="6652" t="s">
        <v>2997</v>
      </c>
      <c r="R110" s="6477" t="s">
        <v>3781</v>
      </c>
      <c r="S110" s="6475" t="s">
        <v>3701</v>
      </c>
      <c r="T110" s="6653" t="s">
        <v>3781</v>
      </c>
      <c r="U110" s="6479">
        <v>15</v>
      </c>
      <c r="V110" s="6475" t="s">
        <v>3701</v>
      </c>
      <c r="W110" s="6652">
        <v>15</v>
      </c>
      <c r="X110" s="6479">
        <v>41</v>
      </c>
      <c r="Y110" s="6475" t="s">
        <v>3701</v>
      </c>
      <c r="Z110" s="6654">
        <v>41</v>
      </c>
      <c r="AA110" s="5096"/>
      <c r="AB110" s="5096"/>
      <c r="AC110" s="5096"/>
    </row>
    <row r="111" spans="1:29" s="835" customFormat="1" ht="44.25">
      <c r="A111" s="5096"/>
      <c r="B111" s="6474" t="s">
        <v>318</v>
      </c>
      <c r="C111" s="6475" t="s">
        <v>3701</v>
      </c>
      <c r="D111" s="6649" t="s">
        <v>318</v>
      </c>
      <c r="E111" s="6477" t="s">
        <v>788</v>
      </c>
      <c r="F111" s="6475" t="s">
        <v>3701</v>
      </c>
      <c r="G111" s="6650" t="s">
        <v>788</v>
      </c>
      <c r="H111" s="6479">
        <v>16</v>
      </c>
      <c r="I111" s="6475" t="s">
        <v>3701</v>
      </c>
      <c r="J111" s="6649">
        <v>16</v>
      </c>
      <c r="K111" s="6479">
        <v>42</v>
      </c>
      <c r="L111" s="6475" t="s">
        <v>3701</v>
      </c>
      <c r="M111" s="6651">
        <v>42</v>
      </c>
      <c r="N111" s="5096"/>
      <c r="O111" s="6474" t="s">
        <v>318</v>
      </c>
      <c r="P111" s="6475" t="s">
        <v>3701</v>
      </c>
      <c r="Q111" s="6652" t="s">
        <v>318</v>
      </c>
      <c r="R111" s="6477" t="s">
        <v>788</v>
      </c>
      <c r="S111" s="6475" t="s">
        <v>3701</v>
      </c>
      <c r="T111" s="6653" t="s">
        <v>788</v>
      </c>
      <c r="U111" s="6479">
        <v>16</v>
      </c>
      <c r="V111" s="6475" t="s">
        <v>3701</v>
      </c>
      <c r="W111" s="6652">
        <v>16</v>
      </c>
      <c r="X111" s="6479">
        <v>42</v>
      </c>
      <c r="Y111" s="6475" t="s">
        <v>3701</v>
      </c>
      <c r="Z111" s="6654">
        <v>42</v>
      </c>
      <c r="AA111" s="5096"/>
      <c r="AB111" s="5096"/>
      <c r="AC111" s="5096"/>
    </row>
    <row r="112" spans="1:29" s="835" customFormat="1" ht="44.25">
      <c r="A112" s="5096"/>
      <c r="B112" s="6474" t="s">
        <v>706</v>
      </c>
      <c r="C112" s="6475" t="s">
        <v>3701</v>
      </c>
      <c r="D112" s="6649" t="s">
        <v>706</v>
      </c>
      <c r="E112" s="6477" t="s">
        <v>785</v>
      </c>
      <c r="F112" s="6475" t="s">
        <v>3701</v>
      </c>
      <c r="G112" s="6650" t="s">
        <v>785</v>
      </c>
      <c r="H112" s="6479">
        <v>17</v>
      </c>
      <c r="I112" s="6475" t="s">
        <v>3701</v>
      </c>
      <c r="J112" s="6649">
        <v>17</v>
      </c>
      <c r="K112" s="6479">
        <v>43</v>
      </c>
      <c r="L112" s="6475" t="s">
        <v>3701</v>
      </c>
      <c r="M112" s="6651">
        <v>43</v>
      </c>
      <c r="N112" s="5096"/>
      <c r="O112" s="6474" t="s">
        <v>706</v>
      </c>
      <c r="P112" s="6475" t="s">
        <v>3701</v>
      </c>
      <c r="Q112" s="6652" t="s">
        <v>706</v>
      </c>
      <c r="R112" s="6477" t="s">
        <v>785</v>
      </c>
      <c r="S112" s="6475" t="s">
        <v>3701</v>
      </c>
      <c r="T112" s="6653" t="s">
        <v>785</v>
      </c>
      <c r="U112" s="6479">
        <v>17</v>
      </c>
      <c r="V112" s="6475" t="s">
        <v>3701</v>
      </c>
      <c r="W112" s="6652">
        <v>17</v>
      </c>
      <c r="X112" s="6479">
        <v>43</v>
      </c>
      <c r="Y112" s="6475" t="s">
        <v>3701</v>
      </c>
      <c r="Z112" s="6654">
        <v>43</v>
      </c>
      <c r="AA112" s="5096"/>
      <c r="AB112" s="5096"/>
      <c r="AC112" s="5096"/>
    </row>
    <row r="113" spans="1:29" s="835" customFormat="1" ht="44.25">
      <c r="A113" s="5096"/>
      <c r="B113" s="6474" t="s">
        <v>504</v>
      </c>
      <c r="C113" s="6475" t="s">
        <v>3701</v>
      </c>
      <c r="D113" s="6649" t="s">
        <v>504</v>
      </c>
      <c r="E113" s="6477" t="s">
        <v>3797</v>
      </c>
      <c r="F113" s="6475" t="s">
        <v>3701</v>
      </c>
      <c r="G113" s="6650" t="s">
        <v>3797</v>
      </c>
      <c r="H113" s="6479">
        <v>18</v>
      </c>
      <c r="I113" s="6475" t="s">
        <v>3701</v>
      </c>
      <c r="J113" s="6649">
        <v>18</v>
      </c>
      <c r="K113" s="6479">
        <v>44</v>
      </c>
      <c r="L113" s="6475" t="s">
        <v>3701</v>
      </c>
      <c r="M113" s="6651">
        <v>44</v>
      </c>
      <c r="N113" s="5096"/>
      <c r="O113" s="6474" t="s">
        <v>504</v>
      </c>
      <c r="P113" s="6475" t="s">
        <v>3701</v>
      </c>
      <c r="Q113" s="6652" t="s">
        <v>504</v>
      </c>
      <c r="R113" s="6477" t="s">
        <v>3797</v>
      </c>
      <c r="S113" s="6475" t="s">
        <v>3701</v>
      </c>
      <c r="T113" s="6653" t="s">
        <v>3797</v>
      </c>
      <c r="U113" s="6479">
        <v>18</v>
      </c>
      <c r="V113" s="6475" t="s">
        <v>3701</v>
      </c>
      <c r="W113" s="6652">
        <v>18</v>
      </c>
      <c r="X113" s="6479">
        <v>44</v>
      </c>
      <c r="Y113" s="6475" t="s">
        <v>3701</v>
      </c>
      <c r="Z113" s="6654">
        <v>44</v>
      </c>
      <c r="AA113" s="5096"/>
      <c r="AB113" s="5096"/>
      <c r="AC113" s="5096"/>
    </row>
    <row r="114" spans="1:29" s="835" customFormat="1" ht="44.25">
      <c r="A114" s="5096"/>
      <c r="B114" s="6474" t="s">
        <v>538</v>
      </c>
      <c r="C114" s="6475" t="s">
        <v>3701</v>
      </c>
      <c r="D114" s="6649" t="s">
        <v>538</v>
      </c>
      <c r="E114" s="6477" t="s">
        <v>3801</v>
      </c>
      <c r="F114" s="6475" t="s">
        <v>3701</v>
      </c>
      <c r="G114" s="6650" t="s">
        <v>3801</v>
      </c>
      <c r="H114" s="6479">
        <v>19</v>
      </c>
      <c r="I114" s="6475" t="s">
        <v>3701</v>
      </c>
      <c r="J114" s="6649">
        <v>19</v>
      </c>
      <c r="K114" s="6479">
        <v>45</v>
      </c>
      <c r="L114" s="6475" t="s">
        <v>3701</v>
      </c>
      <c r="M114" s="6651">
        <v>45</v>
      </c>
      <c r="N114" s="5096"/>
      <c r="O114" s="6474" t="s">
        <v>538</v>
      </c>
      <c r="P114" s="6475" t="s">
        <v>3701</v>
      </c>
      <c r="Q114" s="6652" t="s">
        <v>538</v>
      </c>
      <c r="R114" s="6477" t="s">
        <v>3801</v>
      </c>
      <c r="S114" s="6475" t="s">
        <v>3701</v>
      </c>
      <c r="T114" s="6653" t="s">
        <v>3801</v>
      </c>
      <c r="U114" s="6479">
        <v>19</v>
      </c>
      <c r="V114" s="6475" t="s">
        <v>3701</v>
      </c>
      <c r="W114" s="6652">
        <v>19</v>
      </c>
      <c r="X114" s="6479">
        <v>45</v>
      </c>
      <c r="Y114" s="6475" t="s">
        <v>3701</v>
      </c>
      <c r="Z114" s="6654">
        <v>45</v>
      </c>
      <c r="AA114" s="5096"/>
      <c r="AB114" s="5096"/>
      <c r="AC114" s="5096"/>
    </row>
    <row r="115" spans="1:29" s="835" customFormat="1" ht="44.25">
      <c r="A115" s="5096"/>
      <c r="B115" s="6474" t="s">
        <v>562</v>
      </c>
      <c r="C115" s="6475" t="s">
        <v>3701</v>
      </c>
      <c r="D115" s="6649" t="s">
        <v>562</v>
      </c>
      <c r="E115" s="6477" t="s">
        <v>784</v>
      </c>
      <c r="F115" s="6475" t="s">
        <v>3701</v>
      </c>
      <c r="G115" s="6650" t="s">
        <v>784</v>
      </c>
      <c r="H115" s="6479">
        <v>20</v>
      </c>
      <c r="I115" s="6475" t="s">
        <v>3701</v>
      </c>
      <c r="J115" s="6649">
        <v>20</v>
      </c>
      <c r="K115" s="6479">
        <v>46</v>
      </c>
      <c r="L115" s="6475" t="s">
        <v>3701</v>
      </c>
      <c r="M115" s="6651">
        <v>46</v>
      </c>
      <c r="N115" s="5096"/>
      <c r="O115" s="6474" t="s">
        <v>562</v>
      </c>
      <c r="P115" s="6475" t="s">
        <v>3701</v>
      </c>
      <c r="Q115" s="6652" t="s">
        <v>562</v>
      </c>
      <c r="R115" s="6477" t="s">
        <v>784</v>
      </c>
      <c r="S115" s="6475" t="s">
        <v>3701</v>
      </c>
      <c r="T115" s="6653" t="s">
        <v>784</v>
      </c>
      <c r="U115" s="6479">
        <v>20</v>
      </c>
      <c r="V115" s="6475" t="s">
        <v>3701</v>
      </c>
      <c r="W115" s="6652">
        <v>20</v>
      </c>
      <c r="X115" s="6479">
        <v>46</v>
      </c>
      <c r="Y115" s="6475" t="s">
        <v>3701</v>
      </c>
      <c r="Z115" s="6654">
        <v>46</v>
      </c>
      <c r="AA115" s="5096"/>
      <c r="AB115" s="5096"/>
      <c r="AC115" s="5096"/>
    </row>
    <row r="116" spans="1:29" s="835" customFormat="1" ht="44.25">
      <c r="A116" s="5096"/>
      <c r="B116" s="6474" t="s">
        <v>576</v>
      </c>
      <c r="C116" s="6475" t="s">
        <v>3701</v>
      </c>
      <c r="D116" s="6649" t="s">
        <v>576</v>
      </c>
      <c r="E116" s="6477" t="s">
        <v>22</v>
      </c>
      <c r="F116" s="6475" t="s">
        <v>3701</v>
      </c>
      <c r="G116" s="6650" t="s">
        <v>22</v>
      </c>
      <c r="H116" s="6479">
        <v>21</v>
      </c>
      <c r="I116" s="6475" t="s">
        <v>3701</v>
      </c>
      <c r="J116" s="6649">
        <v>21</v>
      </c>
      <c r="K116" s="6479">
        <v>47</v>
      </c>
      <c r="L116" s="6475" t="s">
        <v>3701</v>
      </c>
      <c r="M116" s="6651">
        <v>47</v>
      </c>
      <c r="N116" s="5096"/>
      <c r="O116" s="6474" t="s">
        <v>576</v>
      </c>
      <c r="P116" s="6475" t="s">
        <v>3701</v>
      </c>
      <c r="Q116" s="6652" t="s">
        <v>576</v>
      </c>
      <c r="R116" s="6477" t="s">
        <v>22</v>
      </c>
      <c r="S116" s="6475" t="s">
        <v>3701</v>
      </c>
      <c r="T116" s="6653" t="s">
        <v>22</v>
      </c>
      <c r="U116" s="6479">
        <v>21</v>
      </c>
      <c r="V116" s="6475" t="s">
        <v>3701</v>
      </c>
      <c r="W116" s="6652">
        <v>21</v>
      </c>
      <c r="X116" s="6479">
        <v>47</v>
      </c>
      <c r="Y116" s="6475" t="s">
        <v>3701</v>
      </c>
      <c r="Z116" s="6654">
        <v>47</v>
      </c>
      <c r="AA116" s="5096"/>
      <c r="AB116" s="5096"/>
      <c r="AC116" s="5096"/>
    </row>
    <row r="117" spans="1:29" s="835" customFormat="1" ht="44.25">
      <c r="A117" s="5096"/>
      <c r="B117" s="6474" t="s">
        <v>590</v>
      </c>
      <c r="C117" s="6475" t="s">
        <v>3701</v>
      </c>
      <c r="D117" s="6649" t="s">
        <v>590</v>
      </c>
      <c r="E117" s="6477" t="s">
        <v>3802</v>
      </c>
      <c r="F117" s="6475" t="s">
        <v>3701</v>
      </c>
      <c r="G117" s="6650" t="s">
        <v>3802</v>
      </c>
      <c r="H117" s="6479">
        <v>22</v>
      </c>
      <c r="I117" s="6475" t="s">
        <v>3701</v>
      </c>
      <c r="J117" s="6649">
        <v>22</v>
      </c>
      <c r="K117" s="6479">
        <v>48</v>
      </c>
      <c r="L117" s="6475" t="s">
        <v>3701</v>
      </c>
      <c r="M117" s="6651">
        <v>48</v>
      </c>
      <c r="N117" s="5096"/>
      <c r="O117" s="6474" t="s">
        <v>590</v>
      </c>
      <c r="P117" s="6475" t="s">
        <v>3701</v>
      </c>
      <c r="Q117" s="6652" t="s">
        <v>590</v>
      </c>
      <c r="R117" s="6477" t="s">
        <v>3802</v>
      </c>
      <c r="S117" s="6475" t="s">
        <v>3701</v>
      </c>
      <c r="T117" s="6653" t="s">
        <v>3802</v>
      </c>
      <c r="U117" s="6479">
        <v>22</v>
      </c>
      <c r="V117" s="6475" t="s">
        <v>3701</v>
      </c>
      <c r="W117" s="6652">
        <v>22</v>
      </c>
      <c r="X117" s="6479">
        <v>48</v>
      </c>
      <c r="Y117" s="6475" t="s">
        <v>3701</v>
      </c>
      <c r="Z117" s="6654">
        <v>48</v>
      </c>
      <c r="AA117" s="5096"/>
      <c r="AB117" s="5096"/>
      <c r="AC117" s="5096"/>
    </row>
    <row r="118" spans="1:29" s="835" customFormat="1" ht="44.25">
      <c r="A118" s="5096"/>
      <c r="B118" s="6474" t="s">
        <v>3803</v>
      </c>
      <c r="C118" s="6475" t="s">
        <v>3701</v>
      </c>
      <c r="D118" s="6649" t="s">
        <v>3803</v>
      </c>
      <c r="E118" s="6477" t="s">
        <v>3804</v>
      </c>
      <c r="F118" s="6475" t="s">
        <v>3701</v>
      </c>
      <c r="G118" s="6650" t="s">
        <v>3804</v>
      </c>
      <c r="H118" s="6479">
        <v>23</v>
      </c>
      <c r="I118" s="6475" t="s">
        <v>3701</v>
      </c>
      <c r="J118" s="6649">
        <v>23</v>
      </c>
      <c r="K118" s="6479">
        <v>49</v>
      </c>
      <c r="L118" s="6475" t="s">
        <v>3701</v>
      </c>
      <c r="M118" s="6651">
        <v>49</v>
      </c>
      <c r="N118" s="5096"/>
      <c r="O118" s="6474" t="s">
        <v>3803</v>
      </c>
      <c r="P118" s="6475" t="s">
        <v>3701</v>
      </c>
      <c r="Q118" s="6652" t="s">
        <v>3803</v>
      </c>
      <c r="R118" s="6477" t="s">
        <v>3804</v>
      </c>
      <c r="S118" s="6475" t="s">
        <v>3701</v>
      </c>
      <c r="T118" s="6653" t="s">
        <v>3804</v>
      </c>
      <c r="U118" s="6479">
        <v>23</v>
      </c>
      <c r="V118" s="6475" t="s">
        <v>3701</v>
      </c>
      <c r="W118" s="6652">
        <v>23</v>
      </c>
      <c r="X118" s="6479">
        <v>49</v>
      </c>
      <c r="Y118" s="6475" t="s">
        <v>3701</v>
      </c>
      <c r="Z118" s="6654">
        <v>49</v>
      </c>
      <c r="AA118" s="5096"/>
      <c r="AB118" s="5096"/>
      <c r="AC118" s="5096"/>
    </row>
    <row r="119" spans="1:29" s="835" customFormat="1" ht="44.25">
      <c r="A119" s="5096"/>
      <c r="B119" s="6474" t="s">
        <v>783</v>
      </c>
      <c r="C119" s="6475" t="s">
        <v>3701</v>
      </c>
      <c r="D119" s="6649" t="s">
        <v>783</v>
      </c>
      <c r="E119" s="6477" t="s">
        <v>3805</v>
      </c>
      <c r="F119" s="6475" t="s">
        <v>3701</v>
      </c>
      <c r="G119" s="6650" t="s">
        <v>3805</v>
      </c>
      <c r="H119" s="6479">
        <v>24</v>
      </c>
      <c r="I119" s="6475" t="s">
        <v>3701</v>
      </c>
      <c r="J119" s="6649">
        <v>24</v>
      </c>
      <c r="K119" s="6479">
        <v>50</v>
      </c>
      <c r="L119" s="6475" t="s">
        <v>3701</v>
      </c>
      <c r="M119" s="6651">
        <v>50</v>
      </c>
      <c r="N119" s="5096"/>
      <c r="O119" s="6474" t="s">
        <v>783</v>
      </c>
      <c r="P119" s="6475" t="s">
        <v>3701</v>
      </c>
      <c r="Q119" s="6652" t="s">
        <v>783</v>
      </c>
      <c r="R119" s="6477" t="s">
        <v>3805</v>
      </c>
      <c r="S119" s="6475" t="s">
        <v>3701</v>
      </c>
      <c r="T119" s="6653" t="s">
        <v>3805</v>
      </c>
      <c r="U119" s="6479">
        <v>24</v>
      </c>
      <c r="V119" s="6475" t="s">
        <v>3701</v>
      </c>
      <c r="W119" s="6652">
        <v>24</v>
      </c>
      <c r="X119" s="6479">
        <v>50</v>
      </c>
      <c r="Y119" s="6475" t="s">
        <v>3701</v>
      </c>
      <c r="Z119" s="6654">
        <v>50</v>
      </c>
      <c r="AA119" s="5096"/>
      <c r="AB119" s="5096"/>
      <c r="AC119" s="5096"/>
    </row>
    <row r="120" spans="1:29" s="835" customFormat="1" ht="44.25">
      <c r="A120" s="5096"/>
      <c r="B120" s="6474" t="s">
        <v>3794</v>
      </c>
      <c r="C120" s="6475" t="s">
        <v>3701</v>
      </c>
      <c r="D120" s="6649" t="s">
        <v>3794</v>
      </c>
      <c r="E120" s="6477" t="s">
        <v>3799</v>
      </c>
      <c r="F120" s="6475" t="s">
        <v>3701</v>
      </c>
      <c r="G120" s="6650" t="s">
        <v>3799</v>
      </c>
      <c r="H120" s="6479">
        <v>25</v>
      </c>
      <c r="I120" s="6475" t="s">
        <v>3701</v>
      </c>
      <c r="J120" s="6649">
        <v>25</v>
      </c>
      <c r="K120" s="6479">
        <v>51</v>
      </c>
      <c r="L120" s="6475" t="s">
        <v>3701</v>
      </c>
      <c r="M120" s="6651">
        <v>51</v>
      </c>
      <c r="N120" s="5096"/>
      <c r="O120" s="6474" t="s">
        <v>3794</v>
      </c>
      <c r="P120" s="6475" t="s">
        <v>3701</v>
      </c>
      <c r="Q120" s="6652" t="s">
        <v>3794</v>
      </c>
      <c r="R120" s="6477" t="s">
        <v>3799</v>
      </c>
      <c r="S120" s="6475" t="s">
        <v>3701</v>
      </c>
      <c r="T120" s="6653" t="s">
        <v>3799</v>
      </c>
      <c r="U120" s="6479">
        <v>25</v>
      </c>
      <c r="V120" s="6475" t="s">
        <v>3701</v>
      </c>
      <c r="W120" s="6652">
        <v>25</v>
      </c>
      <c r="X120" s="6479">
        <v>51</v>
      </c>
      <c r="Y120" s="6475" t="s">
        <v>3701</v>
      </c>
      <c r="Z120" s="6654">
        <v>51</v>
      </c>
      <c r="AA120" s="5096"/>
      <c r="AB120" s="5096"/>
      <c r="AC120" s="5096"/>
    </row>
    <row r="121" spans="1:29" s="835" customFormat="1" ht="44.25">
      <c r="A121" s="5096"/>
      <c r="B121" s="6474" t="s">
        <v>688</v>
      </c>
      <c r="C121" s="6475" t="s">
        <v>3701</v>
      </c>
      <c r="D121" s="6649" t="s">
        <v>688</v>
      </c>
      <c r="E121" s="6477" t="s">
        <v>3798</v>
      </c>
      <c r="F121" s="6475" t="s">
        <v>3701</v>
      </c>
      <c r="G121" s="6650" t="s">
        <v>3798</v>
      </c>
      <c r="H121" s="6479">
        <v>26</v>
      </c>
      <c r="I121" s="6475" t="s">
        <v>3701</v>
      </c>
      <c r="J121" s="6649">
        <v>26</v>
      </c>
      <c r="K121" s="6479">
        <v>52</v>
      </c>
      <c r="L121" s="6475" t="s">
        <v>3701</v>
      </c>
      <c r="M121" s="6651">
        <v>52</v>
      </c>
      <c r="N121" s="5096"/>
      <c r="O121" s="6474" t="s">
        <v>688</v>
      </c>
      <c r="P121" s="6475" t="s">
        <v>3701</v>
      </c>
      <c r="Q121" s="6652" t="s">
        <v>688</v>
      </c>
      <c r="R121" s="6477" t="s">
        <v>3798</v>
      </c>
      <c r="S121" s="6475" t="s">
        <v>3701</v>
      </c>
      <c r="T121" s="6653" t="s">
        <v>3798</v>
      </c>
      <c r="U121" s="6479">
        <v>26</v>
      </c>
      <c r="V121" s="6475" t="s">
        <v>3701</v>
      </c>
      <c r="W121" s="6652">
        <v>26</v>
      </c>
      <c r="X121" s="6479">
        <v>52</v>
      </c>
      <c r="Y121" s="6475" t="s">
        <v>3701</v>
      </c>
      <c r="Z121" s="6654">
        <v>52</v>
      </c>
      <c r="AA121" s="5096"/>
      <c r="AB121" s="5096"/>
      <c r="AC121" s="5096"/>
    </row>
    <row r="122" spans="1:29" s="835" customFormat="1" ht="44.25">
      <c r="A122" s="5096"/>
      <c r="B122" s="6474" t="s">
        <v>2806</v>
      </c>
      <c r="C122" s="6475" t="s">
        <v>3701</v>
      </c>
      <c r="D122" s="6649" t="s">
        <v>2806</v>
      </c>
      <c r="E122" s="6477" t="s">
        <v>58</v>
      </c>
      <c r="F122" s="6475" t="s">
        <v>3701</v>
      </c>
      <c r="G122" s="6650" t="s">
        <v>58</v>
      </c>
      <c r="H122" s="6479" t="s">
        <v>3796</v>
      </c>
      <c r="I122" s="6475" t="s">
        <v>3701</v>
      </c>
      <c r="J122" s="6649" t="s">
        <v>3796</v>
      </c>
      <c r="K122" s="6479" t="s">
        <v>3806</v>
      </c>
      <c r="L122" s="6475" t="s">
        <v>3701</v>
      </c>
      <c r="M122" s="6651" t="s">
        <v>3806</v>
      </c>
      <c r="N122" s="5096"/>
      <c r="O122" s="6474" t="s">
        <v>2806</v>
      </c>
      <c r="P122" s="6475" t="s">
        <v>3701</v>
      </c>
      <c r="Q122" s="6652" t="s">
        <v>2806</v>
      </c>
      <c r="R122" s="6477" t="s">
        <v>58</v>
      </c>
      <c r="S122" s="6475" t="s">
        <v>3701</v>
      </c>
      <c r="T122" s="6653" t="s">
        <v>58</v>
      </c>
      <c r="U122" s="6479" t="s">
        <v>3796</v>
      </c>
      <c r="V122" s="6475" t="s">
        <v>3701</v>
      </c>
      <c r="W122" s="6652" t="s">
        <v>3796</v>
      </c>
      <c r="X122" s="6479" t="s">
        <v>3806</v>
      </c>
      <c r="Y122" s="6475" t="s">
        <v>3701</v>
      </c>
      <c r="Z122" s="6654" t="s">
        <v>3806</v>
      </c>
      <c r="AA122" s="5096"/>
      <c r="AB122" s="5096"/>
      <c r="AC122" s="5096"/>
    </row>
    <row r="123" spans="1:29" s="835" customFormat="1" ht="44.25">
      <c r="A123" s="5096"/>
      <c r="B123" s="6474" t="s">
        <v>3728</v>
      </c>
      <c r="C123" s="6475" t="s">
        <v>3701</v>
      </c>
      <c r="D123" s="6649" t="s">
        <v>3728</v>
      </c>
      <c r="E123" s="6477" t="s">
        <v>2804</v>
      </c>
      <c r="F123" s="6475" t="s">
        <v>3701</v>
      </c>
      <c r="G123" s="6650" t="s">
        <v>2804</v>
      </c>
      <c r="H123" s="6479" t="s">
        <v>1379</v>
      </c>
      <c r="I123" s="6475" t="s">
        <v>3701</v>
      </c>
      <c r="J123" s="6649" t="s">
        <v>1379</v>
      </c>
      <c r="K123" s="6479" t="s">
        <v>3819</v>
      </c>
      <c r="L123" s="6475" t="s">
        <v>3701</v>
      </c>
      <c r="M123" s="6651" t="s">
        <v>3819</v>
      </c>
      <c r="N123" s="5096"/>
      <c r="O123" s="6474" t="s">
        <v>3728</v>
      </c>
      <c r="P123" s="6475" t="s">
        <v>3701</v>
      </c>
      <c r="Q123" s="6652" t="s">
        <v>3728</v>
      </c>
      <c r="R123" s="6477" t="s">
        <v>2804</v>
      </c>
      <c r="S123" s="6475" t="s">
        <v>3701</v>
      </c>
      <c r="T123" s="6653" t="s">
        <v>2804</v>
      </c>
      <c r="U123" s="6479" t="s">
        <v>1379</v>
      </c>
      <c r="V123" s="6475" t="s">
        <v>3701</v>
      </c>
      <c r="W123" s="6652" t="s">
        <v>1379</v>
      </c>
      <c r="X123" s="6479" t="s">
        <v>3819</v>
      </c>
      <c r="Y123" s="6475" t="s">
        <v>3701</v>
      </c>
      <c r="Z123" s="6654" t="s">
        <v>3819</v>
      </c>
      <c r="AA123" s="5096"/>
      <c r="AB123" s="5096"/>
      <c r="AC123" s="5096"/>
    </row>
    <row r="124" spans="1:29" s="835" customFormat="1" ht="44.25">
      <c r="A124" s="5096"/>
      <c r="B124" s="6474" t="s">
        <v>3735</v>
      </c>
      <c r="C124" s="6475" t="s">
        <v>3701</v>
      </c>
      <c r="D124" s="6649" t="s">
        <v>3735</v>
      </c>
      <c r="E124" s="6477" t="s">
        <v>3732</v>
      </c>
      <c r="F124" s="6475" t="s">
        <v>3701</v>
      </c>
      <c r="G124" s="6650" t="s">
        <v>3732</v>
      </c>
      <c r="H124" s="6479" t="s">
        <v>2756</v>
      </c>
      <c r="I124" s="6475" t="s">
        <v>3701</v>
      </c>
      <c r="J124" s="6649" t="s">
        <v>2756</v>
      </c>
      <c r="K124" s="6479" t="s">
        <v>2177</v>
      </c>
      <c r="L124" s="6475" t="s">
        <v>3701</v>
      </c>
      <c r="M124" s="6651" t="s">
        <v>2177</v>
      </c>
      <c r="N124" s="5096"/>
      <c r="O124" s="6474" t="s">
        <v>3735</v>
      </c>
      <c r="P124" s="6475" t="s">
        <v>3701</v>
      </c>
      <c r="Q124" s="6652" t="s">
        <v>3735</v>
      </c>
      <c r="R124" s="6477" t="s">
        <v>3732</v>
      </c>
      <c r="S124" s="6475" t="s">
        <v>3701</v>
      </c>
      <c r="T124" s="6653" t="s">
        <v>3732</v>
      </c>
      <c r="U124" s="6479" t="s">
        <v>2756</v>
      </c>
      <c r="V124" s="6475" t="s">
        <v>3701</v>
      </c>
      <c r="W124" s="6652" t="s">
        <v>2756</v>
      </c>
      <c r="X124" s="6479" t="s">
        <v>2177</v>
      </c>
      <c r="Y124" s="6475" t="s">
        <v>3701</v>
      </c>
      <c r="Z124" s="6654" t="s">
        <v>2177</v>
      </c>
      <c r="AA124" s="5096"/>
      <c r="AB124" s="5096"/>
      <c r="AC124" s="5096"/>
    </row>
    <row r="125" spans="1:29" s="835" customFormat="1" ht="44.25">
      <c r="A125" s="5096"/>
      <c r="B125" s="6474" t="s">
        <v>3832</v>
      </c>
      <c r="C125" s="6475" t="s">
        <v>3701</v>
      </c>
      <c r="D125" s="6649" t="s">
        <v>3832</v>
      </c>
      <c r="E125" s="6477" t="s">
        <v>3742</v>
      </c>
      <c r="F125" s="6475" t="s">
        <v>3701</v>
      </c>
      <c r="G125" s="6650" t="s">
        <v>3742</v>
      </c>
      <c r="H125" s="6479" t="s">
        <v>32</v>
      </c>
      <c r="I125" s="6475" t="s">
        <v>3701</v>
      </c>
      <c r="J125" s="6649" t="s">
        <v>32</v>
      </c>
      <c r="K125" s="6479" t="s">
        <v>1239</v>
      </c>
      <c r="L125" s="6475" t="s">
        <v>3701</v>
      </c>
      <c r="M125" s="6651" t="s">
        <v>1239</v>
      </c>
      <c r="N125" s="5096"/>
      <c r="O125" s="6474" t="s">
        <v>3832</v>
      </c>
      <c r="P125" s="6475" t="s">
        <v>3701</v>
      </c>
      <c r="Q125" s="6652" t="s">
        <v>3832</v>
      </c>
      <c r="R125" s="6477" t="s">
        <v>3742</v>
      </c>
      <c r="S125" s="6475" t="s">
        <v>3701</v>
      </c>
      <c r="T125" s="6653" t="s">
        <v>3742</v>
      </c>
      <c r="U125" s="6479" t="s">
        <v>32</v>
      </c>
      <c r="V125" s="6475" t="s">
        <v>3701</v>
      </c>
      <c r="W125" s="6652" t="s">
        <v>32</v>
      </c>
      <c r="X125" s="6479" t="s">
        <v>1239</v>
      </c>
      <c r="Y125" s="6475" t="s">
        <v>3701</v>
      </c>
      <c r="Z125" s="6654" t="s">
        <v>1239</v>
      </c>
      <c r="AA125" s="5096"/>
      <c r="AB125" s="5096"/>
      <c r="AC125" s="5096"/>
    </row>
    <row r="126" spans="1:29" s="835" customFormat="1" ht="44.25">
      <c r="A126" s="5096"/>
      <c r="B126" s="6474" t="s">
        <v>3739</v>
      </c>
      <c r="C126" s="6475" t="s">
        <v>3701</v>
      </c>
      <c r="D126" s="6649" t="s">
        <v>3739</v>
      </c>
      <c r="E126" s="6477" t="s">
        <v>3733</v>
      </c>
      <c r="F126" s="6475" t="s">
        <v>3701</v>
      </c>
      <c r="G126" s="6650" t="s">
        <v>3733</v>
      </c>
      <c r="H126" s="6479" t="s">
        <v>3833</v>
      </c>
      <c r="I126" s="6475" t="s">
        <v>3701</v>
      </c>
      <c r="J126" s="6649" t="s">
        <v>3833</v>
      </c>
      <c r="K126" s="6479" t="s">
        <v>3729</v>
      </c>
      <c r="L126" s="6475" t="s">
        <v>3701</v>
      </c>
      <c r="M126" s="6651" t="s">
        <v>3729</v>
      </c>
      <c r="N126" s="5096"/>
      <c r="O126" s="6474" t="s">
        <v>3739</v>
      </c>
      <c r="P126" s="6475" t="s">
        <v>3701</v>
      </c>
      <c r="Q126" s="6652" t="s">
        <v>3739</v>
      </c>
      <c r="R126" s="6477" t="s">
        <v>3733</v>
      </c>
      <c r="S126" s="6475" t="s">
        <v>3701</v>
      </c>
      <c r="T126" s="6653" t="s">
        <v>3733</v>
      </c>
      <c r="U126" s="6479" t="s">
        <v>3833</v>
      </c>
      <c r="V126" s="6475" t="s">
        <v>3701</v>
      </c>
      <c r="W126" s="6652" t="s">
        <v>3833</v>
      </c>
      <c r="X126" s="6479" t="s">
        <v>3729</v>
      </c>
      <c r="Y126" s="6475" t="s">
        <v>3701</v>
      </c>
      <c r="Z126" s="6654" t="s">
        <v>3729</v>
      </c>
      <c r="AA126" s="5096"/>
      <c r="AB126" s="5096"/>
      <c r="AC126" s="5096"/>
    </row>
    <row r="127" spans="1:29" s="835" customFormat="1" ht="44.25">
      <c r="A127" s="5096"/>
      <c r="B127" s="6474" t="s">
        <v>3741</v>
      </c>
      <c r="C127" s="6475" t="s">
        <v>3701</v>
      </c>
      <c r="D127" s="6649" t="s">
        <v>3741</v>
      </c>
      <c r="E127" s="6477" t="s">
        <v>3743</v>
      </c>
      <c r="F127" s="6475" t="s">
        <v>3701</v>
      </c>
      <c r="G127" s="6650" t="s">
        <v>3743</v>
      </c>
      <c r="H127" s="6479" t="s">
        <v>3834</v>
      </c>
      <c r="I127" s="6475" t="s">
        <v>3701</v>
      </c>
      <c r="J127" s="6649" t="s">
        <v>3834</v>
      </c>
      <c r="K127" s="6479" t="s">
        <v>2803</v>
      </c>
      <c r="L127" s="6475" t="s">
        <v>3701</v>
      </c>
      <c r="M127" s="6651" t="s">
        <v>2803</v>
      </c>
      <c r="N127" s="5096"/>
      <c r="O127" s="6474" t="s">
        <v>3741</v>
      </c>
      <c r="P127" s="6475" t="s">
        <v>3701</v>
      </c>
      <c r="Q127" s="6652" t="s">
        <v>3741</v>
      </c>
      <c r="R127" s="6477" t="s">
        <v>3743</v>
      </c>
      <c r="S127" s="6475" t="s">
        <v>3701</v>
      </c>
      <c r="T127" s="6653" t="s">
        <v>3743</v>
      </c>
      <c r="U127" s="6479" t="s">
        <v>3834</v>
      </c>
      <c r="V127" s="6475" t="s">
        <v>3701</v>
      </c>
      <c r="W127" s="6652" t="s">
        <v>3834</v>
      </c>
      <c r="X127" s="6479" t="s">
        <v>2803</v>
      </c>
      <c r="Y127" s="6475" t="s">
        <v>3701</v>
      </c>
      <c r="Z127" s="6654" t="s">
        <v>2803</v>
      </c>
      <c r="AA127" s="5096"/>
      <c r="AB127" s="5096"/>
      <c r="AC127" s="5096"/>
    </row>
    <row r="128" spans="1:29" s="835" customFormat="1" ht="44.25">
      <c r="A128" s="5096"/>
      <c r="B128" s="6474" t="s">
        <v>3836</v>
      </c>
      <c r="C128" s="6475" t="s">
        <v>3701</v>
      </c>
      <c r="D128" s="6649" t="s">
        <v>3836</v>
      </c>
      <c r="E128" s="6477" t="s">
        <v>3731</v>
      </c>
      <c r="F128" s="6475" t="s">
        <v>3701</v>
      </c>
      <c r="G128" s="6650" t="s">
        <v>3731</v>
      </c>
      <c r="H128" s="6479" t="s">
        <v>3738</v>
      </c>
      <c r="I128" s="6475" t="s">
        <v>3701</v>
      </c>
      <c r="J128" s="6649" t="s">
        <v>3738</v>
      </c>
      <c r="K128" s="6479" t="s">
        <v>3837</v>
      </c>
      <c r="L128" s="6475" t="s">
        <v>3701</v>
      </c>
      <c r="M128" s="6651" t="s">
        <v>3837</v>
      </c>
      <c r="N128" s="5096"/>
      <c r="O128" s="6474" t="s">
        <v>3836</v>
      </c>
      <c r="P128" s="6475" t="s">
        <v>3701</v>
      </c>
      <c r="Q128" s="6652" t="s">
        <v>3836</v>
      </c>
      <c r="R128" s="6477" t="s">
        <v>3731</v>
      </c>
      <c r="S128" s="6475" t="s">
        <v>3701</v>
      </c>
      <c r="T128" s="6653" t="s">
        <v>3731</v>
      </c>
      <c r="U128" s="6479" t="s">
        <v>3738</v>
      </c>
      <c r="V128" s="6475" t="s">
        <v>3701</v>
      </c>
      <c r="W128" s="6652" t="s">
        <v>3738</v>
      </c>
      <c r="X128" s="6479" t="s">
        <v>3837</v>
      </c>
      <c r="Y128" s="6475" t="s">
        <v>3701</v>
      </c>
      <c r="Z128" s="6654" t="s">
        <v>3837</v>
      </c>
      <c r="AA128" s="5096"/>
      <c r="AB128" s="5096"/>
      <c r="AC128" s="5096"/>
    </row>
    <row r="129" spans="1:29" s="835" customFormat="1" ht="44.25">
      <c r="A129" s="5096"/>
      <c r="B129" s="6474" t="s">
        <v>3838</v>
      </c>
      <c r="C129" s="6475" t="s">
        <v>3701</v>
      </c>
      <c r="D129" s="6649" t="s">
        <v>3838</v>
      </c>
      <c r="E129" s="6477" t="s">
        <v>3744</v>
      </c>
      <c r="F129" s="6475" t="s">
        <v>3701</v>
      </c>
      <c r="G129" s="6650" t="s">
        <v>3744</v>
      </c>
      <c r="H129" s="6479" t="s">
        <v>3839</v>
      </c>
      <c r="I129" s="6475" t="s">
        <v>3701</v>
      </c>
      <c r="J129" s="6649" t="s">
        <v>3839</v>
      </c>
      <c r="K129" s="6479" t="s">
        <v>3840</v>
      </c>
      <c r="L129" s="6475" t="s">
        <v>3701</v>
      </c>
      <c r="M129" s="6651" t="s">
        <v>3840</v>
      </c>
      <c r="N129" s="5096"/>
      <c r="O129" s="6474" t="s">
        <v>3838</v>
      </c>
      <c r="P129" s="6475" t="s">
        <v>3701</v>
      </c>
      <c r="Q129" s="6652" t="s">
        <v>3838</v>
      </c>
      <c r="R129" s="6477" t="s">
        <v>3744</v>
      </c>
      <c r="S129" s="6475" t="s">
        <v>3701</v>
      </c>
      <c r="T129" s="6653" t="s">
        <v>3744</v>
      </c>
      <c r="U129" s="6479" t="s">
        <v>3839</v>
      </c>
      <c r="V129" s="6475" t="s">
        <v>3701</v>
      </c>
      <c r="W129" s="6652" t="s">
        <v>3839</v>
      </c>
      <c r="X129" s="6479" t="s">
        <v>3840</v>
      </c>
      <c r="Y129" s="6475" t="s">
        <v>3701</v>
      </c>
      <c r="Z129" s="6654" t="s">
        <v>3840</v>
      </c>
      <c r="AA129" s="5096"/>
      <c r="AB129" s="5096"/>
      <c r="AC129" s="5096"/>
    </row>
    <row r="130" spans="1:29" s="835" customFormat="1" ht="44.25">
      <c r="A130" s="5096"/>
      <c r="B130" s="6474"/>
      <c r="C130" s="6475" t="s">
        <v>3701</v>
      </c>
      <c r="D130" s="6649"/>
      <c r="E130" s="6477" t="s">
        <v>3734</v>
      </c>
      <c r="F130" s="6475" t="s">
        <v>3701</v>
      </c>
      <c r="G130" s="6650" t="s">
        <v>3734</v>
      </c>
      <c r="H130" s="6479" t="s">
        <v>3737</v>
      </c>
      <c r="I130" s="6475" t="s">
        <v>3701</v>
      </c>
      <c r="J130" s="6649" t="s">
        <v>3737</v>
      </c>
      <c r="K130" s="6479"/>
      <c r="L130" s="6475" t="s">
        <v>3701</v>
      </c>
      <c r="M130" s="6651"/>
      <c r="N130" s="5096"/>
      <c r="O130" s="6474"/>
      <c r="P130" s="6475" t="s">
        <v>3701</v>
      </c>
      <c r="Q130" s="6652"/>
      <c r="R130" s="6477" t="s">
        <v>3734</v>
      </c>
      <c r="S130" s="6475" t="s">
        <v>3701</v>
      </c>
      <c r="T130" s="6653" t="s">
        <v>3734</v>
      </c>
      <c r="U130" s="6479" t="s">
        <v>3737</v>
      </c>
      <c r="V130" s="6475" t="s">
        <v>3701</v>
      </c>
      <c r="W130" s="6652" t="s">
        <v>3737</v>
      </c>
      <c r="X130" s="6479"/>
      <c r="Y130" s="6475" t="s">
        <v>3701</v>
      </c>
      <c r="Z130" s="6654"/>
      <c r="AA130" s="5096"/>
      <c r="AB130" s="5096"/>
      <c r="AC130" s="5096"/>
    </row>
    <row r="131" spans="1:29" s="835" customFormat="1" ht="15">
      <c r="A131" s="801"/>
      <c r="B131" s="6655"/>
      <c r="C131" s="6656"/>
      <c r="D131" s="6656"/>
      <c r="E131" s="6656"/>
      <c r="F131" s="6656"/>
      <c r="G131" s="6656"/>
      <c r="H131" s="6656"/>
      <c r="I131" s="6656"/>
      <c r="J131" s="6656"/>
      <c r="K131" s="6656"/>
      <c r="L131" s="6656"/>
      <c r="M131" s="6657"/>
      <c r="N131" s="6658"/>
      <c r="O131" s="6655"/>
      <c r="P131" s="6656"/>
      <c r="Q131" s="6656"/>
      <c r="R131" s="6656"/>
      <c r="S131" s="6656"/>
      <c r="T131" s="6656"/>
      <c r="U131" s="6656"/>
      <c r="V131" s="6656"/>
      <c r="W131" s="6656"/>
      <c r="X131" s="6656"/>
      <c r="Y131" s="6656"/>
      <c r="Z131" s="6659"/>
      <c r="AA131" s="6633"/>
      <c r="AB131" s="801"/>
      <c r="AC131" s="801"/>
    </row>
    <row r="134" spans="1:29" s="835" customFormat="1" ht="30">
      <c r="A134" s="801"/>
      <c r="B134" s="6444" t="s">
        <v>3697</v>
      </c>
      <c r="C134" s="6445"/>
      <c r="D134" s="6446" t="s">
        <v>3698</v>
      </c>
      <c r="E134" s="6450" t="s">
        <v>3876</v>
      </c>
      <c r="F134" s="6451"/>
      <c r="G134" s="6451"/>
      <c r="H134" s="6451"/>
      <c r="I134" s="6451"/>
      <c r="J134" s="6451"/>
      <c r="K134" s="6451"/>
      <c r="L134" s="6451"/>
      <c r="M134" s="6452"/>
      <c r="N134" s="801"/>
      <c r="O134" s="6444" t="s">
        <v>3697</v>
      </c>
      <c r="P134" s="6445"/>
      <c r="Q134" s="6446" t="s">
        <v>3698</v>
      </c>
      <c r="R134" s="6660" t="s">
        <v>3877</v>
      </c>
      <c r="S134" s="6661"/>
      <c r="T134" s="6661"/>
      <c r="U134" s="6661"/>
      <c r="V134" s="6661"/>
      <c r="W134" s="6661"/>
      <c r="X134" s="6661"/>
      <c r="Y134" s="6661"/>
      <c r="Z134" s="6662"/>
      <c r="AA134" s="801"/>
      <c r="AB134" s="801"/>
      <c r="AC134" s="801"/>
    </row>
    <row r="135" spans="1:29" s="835" customFormat="1" ht="30">
      <c r="A135" s="801"/>
      <c r="B135" s="6453" t="s">
        <v>3703</v>
      </c>
      <c r="C135" s="6454" t="s">
        <v>3701</v>
      </c>
      <c r="D135" s="6663" t="str">
        <f>B135</f>
        <v>Aa</v>
      </c>
      <c r="E135" s="6560" t="s">
        <v>3702</v>
      </c>
      <c r="F135" s="6560"/>
      <c r="G135" s="6561"/>
      <c r="H135" s="6561"/>
      <c r="I135" s="6561"/>
      <c r="J135" s="6561"/>
      <c r="K135" s="6561"/>
      <c r="L135" s="6561"/>
      <c r="M135" s="6562"/>
      <c r="N135" s="801"/>
      <c r="O135" s="6453" t="s">
        <v>3703</v>
      </c>
      <c r="P135" s="6454" t="s">
        <v>3701</v>
      </c>
      <c r="Q135" s="6664" t="str">
        <f>O135</f>
        <v>Aa</v>
      </c>
      <c r="R135" s="6560" t="s">
        <v>3702</v>
      </c>
      <c r="S135" s="6560"/>
      <c r="T135" s="6561"/>
      <c r="U135" s="6561"/>
      <c r="V135" s="6561"/>
      <c r="W135" s="6561"/>
      <c r="X135" s="6561"/>
      <c r="Y135" s="6561"/>
      <c r="Z135" s="6562"/>
      <c r="AA135" s="801"/>
      <c r="AB135" s="801"/>
      <c r="AC135" s="801"/>
    </row>
    <row r="136" spans="1:29" s="835" customFormat="1">
      <c r="A136" s="801"/>
      <c r="B136" s="6462"/>
      <c r="C136" s="801"/>
      <c r="D136" s="801"/>
      <c r="E136" s="801"/>
      <c r="F136" s="801"/>
      <c r="G136" s="801"/>
      <c r="H136" s="801"/>
      <c r="I136" s="801"/>
      <c r="J136" s="801"/>
      <c r="K136" s="801"/>
      <c r="L136" s="801"/>
      <c r="M136" s="6463"/>
      <c r="N136" s="801"/>
      <c r="O136" s="6462"/>
      <c r="P136" s="801"/>
      <c r="Q136" s="801"/>
      <c r="R136" s="801"/>
      <c r="S136" s="801"/>
      <c r="T136" s="801"/>
      <c r="U136" s="801"/>
      <c r="V136" s="801"/>
      <c r="W136" s="801"/>
      <c r="X136" s="801"/>
      <c r="Y136" s="801"/>
      <c r="Z136" s="6463"/>
      <c r="AA136" s="801"/>
      <c r="AB136" s="801"/>
      <c r="AC136" s="801"/>
    </row>
    <row r="137" spans="1:29" s="835" customFormat="1">
      <c r="A137" s="801"/>
      <c r="B137" s="6466" t="s">
        <v>3705</v>
      </c>
      <c r="C137" s="6471" t="s">
        <v>3706</v>
      </c>
      <c r="D137" s="6472"/>
      <c r="E137" s="6469" t="s">
        <v>3707</v>
      </c>
      <c r="F137" s="6471" t="s">
        <v>3706</v>
      </c>
      <c r="G137" s="6472"/>
      <c r="H137" s="6469" t="s">
        <v>3708</v>
      </c>
      <c r="I137" s="6471" t="s">
        <v>3706</v>
      </c>
      <c r="J137" s="6472"/>
      <c r="K137" s="6469" t="s">
        <v>3709</v>
      </c>
      <c r="L137" s="6471" t="s">
        <v>3706</v>
      </c>
      <c r="M137" s="6473"/>
      <c r="N137" s="801"/>
      <c r="O137" s="6466" t="s">
        <v>3705</v>
      </c>
      <c r="P137" s="6665" t="s">
        <v>3706</v>
      </c>
      <c r="Q137" s="6666"/>
      <c r="R137" s="6469" t="s">
        <v>3707</v>
      </c>
      <c r="S137" s="6665" t="s">
        <v>3706</v>
      </c>
      <c r="T137" s="6666"/>
      <c r="U137" s="6469" t="s">
        <v>3708</v>
      </c>
      <c r="V137" s="6665" t="s">
        <v>3706</v>
      </c>
      <c r="W137" s="6666"/>
      <c r="X137" s="6469" t="s">
        <v>3709</v>
      </c>
      <c r="Y137" s="6665" t="s">
        <v>3706</v>
      </c>
      <c r="Z137" s="6667"/>
      <c r="AA137" s="801"/>
      <c r="AB137" s="801"/>
      <c r="AC137" s="801"/>
    </row>
    <row r="138" spans="1:29" s="835" customFormat="1" ht="45">
      <c r="A138" s="5096"/>
      <c r="B138" s="6474" t="s">
        <v>99</v>
      </c>
      <c r="C138" s="6475" t="s">
        <v>3701</v>
      </c>
      <c r="D138" s="6668" t="s">
        <v>99</v>
      </c>
      <c r="E138" s="6477" t="s">
        <v>3710</v>
      </c>
      <c r="F138" s="6475" t="s">
        <v>3701</v>
      </c>
      <c r="G138" s="6669" t="s">
        <v>3710</v>
      </c>
      <c r="H138" s="6479">
        <v>1</v>
      </c>
      <c r="I138" s="6475" t="s">
        <v>3701</v>
      </c>
      <c r="J138" s="6670">
        <v>1</v>
      </c>
      <c r="K138" s="6479">
        <v>27</v>
      </c>
      <c r="L138" s="6475" t="s">
        <v>3701</v>
      </c>
      <c r="M138" s="6671">
        <v>27</v>
      </c>
      <c r="N138" s="5096"/>
      <c r="O138" s="6474" t="s">
        <v>99</v>
      </c>
      <c r="P138" s="6475" t="s">
        <v>3701</v>
      </c>
      <c r="Q138" s="6672" t="s">
        <v>99</v>
      </c>
      <c r="R138" s="6477" t="s">
        <v>3710</v>
      </c>
      <c r="S138" s="6475" t="s">
        <v>3701</v>
      </c>
      <c r="T138" s="6673" t="s">
        <v>3710</v>
      </c>
      <c r="U138" s="6479">
        <v>1</v>
      </c>
      <c r="V138" s="6475" t="s">
        <v>3701</v>
      </c>
      <c r="W138" s="6672">
        <v>1</v>
      </c>
      <c r="X138" s="6479">
        <v>27</v>
      </c>
      <c r="Y138" s="6475" t="s">
        <v>3701</v>
      </c>
      <c r="Z138" s="6674">
        <v>27</v>
      </c>
      <c r="AA138" s="5096"/>
      <c r="AB138" s="5096"/>
      <c r="AC138" s="5096"/>
    </row>
    <row r="139" spans="1:29" s="835" customFormat="1" ht="45">
      <c r="A139" s="5096"/>
      <c r="B139" s="6474" t="s">
        <v>100</v>
      </c>
      <c r="C139" s="6475" t="s">
        <v>3701</v>
      </c>
      <c r="D139" s="6668" t="s">
        <v>100</v>
      </c>
      <c r="E139" s="6477" t="s">
        <v>3727</v>
      </c>
      <c r="F139" s="6475" t="s">
        <v>3701</v>
      </c>
      <c r="G139" s="6669" t="s">
        <v>3727</v>
      </c>
      <c r="H139" s="6479">
        <v>2</v>
      </c>
      <c r="I139" s="6475" t="s">
        <v>3701</v>
      </c>
      <c r="J139" s="6670">
        <v>2</v>
      </c>
      <c r="K139" s="6479">
        <v>28</v>
      </c>
      <c r="L139" s="6475" t="s">
        <v>3701</v>
      </c>
      <c r="M139" s="6671">
        <v>28</v>
      </c>
      <c r="N139" s="5096"/>
      <c r="O139" s="6474" t="s">
        <v>100</v>
      </c>
      <c r="P139" s="6475" t="s">
        <v>3701</v>
      </c>
      <c r="Q139" s="6672" t="s">
        <v>100</v>
      </c>
      <c r="R139" s="6477" t="s">
        <v>3727</v>
      </c>
      <c r="S139" s="6475" t="s">
        <v>3701</v>
      </c>
      <c r="T139" s="6673" t="s">
        <v>3727</v>
      </c>
      <c r="U139" s="6479">
        <v>2</v>
      </c>
      <c r="V139" s="6475" t="s">
        <v>3701</v>
      </c>
      <c r="W139" s="6672">
        <v>2</v>
      </c>
      <c r="X139" s="6479">
        <v>28</v>
      </c>
      <c r="Y139" s="6475" t="s">
        <v>3701</v>
      </c>
      <c r="Z139" s="6674">
        <v>28</v>
      </c>
      <c r="AA139" s="5096"/>
      <c r="AB139" s="5096"/>
      <c r="AC139" s="5096"/>
    </row>
    <row r="140" spans="1:29" s="835" customFormat="1" ht="45">
      <c r="A140" s="5096"/>
      <c r="B140" s="6474" t="s">
        <v>101</v>
      </c>
      <c r="C140" s="6475" t="s">
        <v>3701</v>
      </c>
      <c r="D140" s="6668" t="s">
        <v>101</v>
      </c>
      <c r="E140" s="6477" t="s">
        <v>3745</v>
      </c>
      <c r="F140" s="6475" t="s">
        <v>3701</v>
      </c>
      <c r="G140" s="6669" t="s">
        <v>3745</v>
      </c>
      <c r="H140" s="6479">
        <v>3</v>
      </c>
      <c r="I140" s="6475" t="s">
        <v>3701</v>
      </c>
      <c r="J140" s="6670">
        <v>3</v>
      </c>
      <c r="K140" s="6479">
        <v>29</v>
      </c>
      <c r="L140" s="6475" t="s">
        <v>3701</v>
      </c>
      <c r="M140" s="6671">
        <v>29</v>
      </c>
      <c r="N140" s="5096"/>
      <c r="O140" s="6474" t="s">
        <v>101</v>
      </c>
      <c r="P140" s="6475" t="s">
        <v>3701</v>
      </c>
      <c r="Q140" s="6672" t="s">
        <v>101</v>
      </c>
      <c r="R140" s="6477" t="s">
        <v>3745</v>
      </c>
      <c r="S140" s="6475" t="s">
        <v>3701</v>
      </c>
      <c r="T140" s="6673" t="s">
        <v>3745</v>
      </c>
      <c r="U140" s="6479">
        <v>3</v>
      </c>
      <c r="V140" s="6475" t="s">
        <v>3701</v>
      </c>
      <c r="W140" s="6672">
        <v>3</v>
      </c>
      <c r="X140" s="6479">
        <v>29</v>
      </c>
      <c r="Y140" s="6475" t="s">
        <v>3701</v>
      </c>
      <c r="Z140" s="6674">
        <v>29</v>
      </c>
      <c r="AA140" s="5096"/>
      <c r="AB140" s="5096"/>
      <c r="AC140" s="5096"/>
    </row>
    <row r="141" spans="1:29" s="835" customFormat="1" ht="45">
      <c r="A141" s="5096"/>
      <c r="B141" s="6474" t="s">
        <v>111</v>
      </c>
      <c r="C141" s="6475" t="s">
        <v>3701</v>
      </c>
      <c r="D141" s="6668" t="s">
        <v>111</v>
      </c>
      <c r="E141" s="6477" t="s">
        <v>3753</v>
      </c>
      <c r="F141" s="6475" t="s">
        <v>3701</v>
      </c>
      <c r="G141" s="6669" t="s">
        <v>3753</v>
      </c>
      <c r="H141" s="6479">
        <v>4</v>
      </c>
      <c r="I141" s="6475" t="s">
        <v>3701</v>
      </c>
      <c r="J141" s="6670">
        <v>4</v>
      </c>
      <c r="K141" s="6479">
        <v>30</v>
      </c>
      <c r="L141" s="6475" t="s">
        <v>3701</v>
      </c>
      <c r="M141" s="6671">
        <v>30</v>
      </c>
      <c r="N141" s="5096"/>
      <c r="O141" s="6474" t="s">
        <v>111</v>
      </c>
      <c r="P141" s="6475" t="s">
        <v>3701</v>
      </c>
      <c r="Q141" s="6672" t="s">
        <v>111</v>
      </c>
      <c r="R141" s="6477" t="s">
        <v>3753</v>
      </c>
      <c r="S141" s="6475" t="s">
        <v>3701</v>
      </c>
      <c r="T141" s="6673" t="s">
        <v>3753</v>
      </c>
      <c r="U141" s="6479">
        <v>4</v>
      </c>
      <c r="V141" s="6475" t="s">
        <v>3701</v>
      </c>
      <c r="W141" s="6672">
        <v>4</v>
      </c>
      <c r="X141" s="6479">
        <v>30</v>
      </c>
      <c r="Y141" s="6475" t="s">
        <v>3701</v>
      </c>
      <c r="Z141" s="6674">
        <v>30</v>
      </c>
      <c r="AA141" s="5096"/>
      <c r="AB141" s="5096"/>
      <c r="AC141" s="5096"/>
    </row>
    <row r="142" spans="1:29" s="835" customFormat="1" ht="45">
      <c r="A142" s="5096"/>
      <c r="B142" s="6474" t="s">
        <v>112</v>
      </c>
      <c r="C142" s="6475" t="s">
        <v>3701</v>
      </c>
      <c r="D142" s="6668" t="s">
        <v>112</v>
      </c>
      <c r="E142" s="6477" t="s">
        <v>3755</v>
      </c>
      <c r="F142" s="6475" t="s">
        <v>3701</v>
      </c>
      <c r="G142" s="6669" t="s">
        <v>3755</v>
      </c>
      <c r="H142" s="6479">
        <v>5</v>
      </c>
      <c r="I142" s="6475" t="s">
        <v>3701</v>
      </c>
      <c r="J142" s="6670">
        <v>5</v>
      </c>
      <c r="K142" s="6479">
        <v>31</v>
      </c>
      <c r="L142" s="6475" t="s">
        <v>3701</v>
      </c>
      <c r="M142" s="6671">
        <v>31</v>
      </c>
      <c r="N142" s="5096"/>
      <c r="O142" s="6474" t="s">
        <v>112</v>
      </c>
      <c r="P142" s="6475" t="s">
        <v>3701</v>
      </c>
      <c r="Q142" s="6672" t="s">
        <v>112</v>
      </c>
      <c r="R142" s="6477" t="s">
        <v>3755</v>
      </c>
      <c r="S142" s="6475" t="s">
        <v>3701</v>
      </c>
      <c r="T142" s="6673" t="s">
        <v>3755</v>
      </c>
      <c r="U142" s="6479">
        <v>5</v>
      </c>
      <c r="V142" s="6475" t="s">
        <v>3701</v>
      </c>
      <c r="W142" s="6672">
        <v>5</v>
      </c>
      <c r="X142" s="6479">
        <v>31</v>
      </c>
      <c r="Y142" s="6475" t="s">
        <v>3701</v>
      </c>
      <c r="Z142" s="6674">
        <v>31</v>
      </c>
      <c r="AA142" s="5096"/>
      <c r="AB142" s="5096"/>
      <c r="AC142" s="5096"/>
    </row>
    <row r="143" spans="1:29" s="835" customFormat="1" ht="45">
      <c r="A143" s="5096"/>
      <c r="B143" s="6474" t="s">
        <v>142</v>
      </c>
      <c r="C143" s="6475" t="s">
        <v>3701</v>
      </c>
      <c r="D143" s="6668" t="s">
        <v>142</v>
      </c>
      <c r="E143" s="6477" t="s">
        <v>3756</v>
      </c>
      <c r="F143" s="6475" t="s">
        <v>3701</v>
      </c>
      <c r="G143" s="6669" t="s">
        <v>3756</v>
      </c>
      <c r="H143" s="6479">
        <v>6</v>
      </c>
      <c r="I143" s="6475" t="s">
        <v>3701</v>
      </c>
      <c r="J143" s="6670">
        <v>6</v>
      </c>
      <c r="K143" s="6479">
        <v>32</v>
      </c>
      <c r="L143" s="6475" t="s">
        <v>3701</v>
      </c>
      <c r="M143" s="6671">
        <v>32</v>
      </c>
      <c r="N143" s="5096"/>
      <c r="O143" s="6474" t="s">
        <v>142</v>
      </c>
      <c r="P143" s="6475" t="s">
        <v>3701</v>
      </c>
      <c r="Q143" s="6672" t="s">
        <v>142</v>
      </c>
      <c r="R143" s="6477" t="s">
        <v>3756</v>
      </c>
      <c r="S143" s="6475" t="s">
        <v>3701</v>
      </c>
      <c r="T143" s="6673" t="s">
        <v>3756</v>
      </c>
      <c r="U143" s="6479">
        <v>6</v>
      </c>
      <c r="V143" s="6475" t="s">
        <v>3701</v>
      </c>
      <c r="W143" s="6672">
        <v>6</v>
      </c>
      <c r="X143" s="6479">
        <v>32</v>
      </c>
      <c r="Y143" s="6475" t="s">
        <v>3701</v>
      </c>
      <c r="Z143" s="6674">
        <v>32</v>
      </c>
      <c r="AA143" s="5096"/>
      <c r="AB143" s="5096"/>
      <c r="AC143" s="5096"/>
    </row>
    <row r="144" spans="1:29" s="835" customFormat="1" ht="45">
      <c r="A144" s="5096"/>
      <c r="B144" s="6474" t="s">
        <v>143</v>
      </c>
      <c r="C144" s="6475" t="s">
        <v>3701</v>
      </c>
      <c r="D144" s="6668" t="s">
        <v>143</v>
      </c>
      <c r="E144" s="6477" t="s">
        <v>2059</v>
      </c>
      <c r="F144" s="6475" t="s">
        <v>3701</v>
      </c>
      <c r="G144" s="6669" t="s">
        <v>2059</v>
      </c>
      <c r="H144" s="6479">
        <v>7</v>
      </c>
      <c r="I144" s="6475" t="s">
        <v>3701</v>
      </c>
      <c r="J144" s="6670">
        <v>7</v>
      </c>
      <c r="K144" s="6479">
        <v>33</v>
      </c>
      <c r="L144" s="6475" t="s">
        <v>3701</v>
      </c>
      <c r="M144" s="6671">
        <v>33</v>
      </c>
      <c r="N144" s="5096"/>
      <c r="O144" s="6474" t="s">
        <v>143</v>
      </c>
      <c r="P144" s="6475" t="s">
        <v>3701</v>
      </c>
      <c r="Q144" s="6672" t="s">
        <v>143</v>
      </c>
      <c r="R144" s="6477" t="s">
        <v>2059</v>
      </c>
      <c r="S144" s="6475" t="s">
        <v>3701</v>
      </c>
      <c r="T144" s="6673" t="s">
        <v>2059</v>
      </c>
      <c r="U144" s="6479">
        <v>7</v>
      </c>
      <c r="V144" s="6475" t="s">
        <v>3701</v>
      </c>
      <c r="W144" s="6672">
        <v>7</v>
      </c>
      <c r="X144" s="6479">
        <v>33</v>
      </c>
      <c r="Y144" s="6475" t="s">
        <v>3701</v>
      </c>
      <c r="Z144" s="6674">
        <v>33</v>
      </c>
      <c r="AA144" s="5096"/>
      <c r="AB144" s="5096"/>
      <c r="AC144" s="5096"/>
    </row>
    <row r="145" spans="1:29" s="835" customFormat="1" ht="45">
      <c r="A145" s="5096"/>
      <c r="B145" s="6474" t="s">
        <v>144</v>
      </c>
      <c r="C145" s="6475" t="s">
        <v>3701</v>
      </c>
      <c r="D145" s="6668" t="s">
        <v>144</v>
      </c>
      <c r="E145" s="6477" t="s">
        <v>3759</v>
      </c>
      <c r="F145" s="6475" t="s">
        <v>3701</v>
      </c>
      <c r="G145" s="6669" t="s">
        <v>3759</v>
      </c>
      <c r="H145" s="6479">
        <v>8</v>
      </c>
      <c r="I145" s="6475" t="s">
        <v>3701</v>
      </c>
      <c r="J145" s="6670">
        <v>8</v>
      </c>
      <c r="K145" s="6479">
        <v>34</v>
      </c>
      <c r="L145" s="6475" t="s">
        <v>3701</v>
      </c>
      <c r="M145" s="6671">
        <v>34</v>
      </c>
      <c r="N145" s="5096"/>
      <c r="O145" s="6474" t="s">
        <v>144</v>
      </c>
      <c r="P145" s="6475" t="s">
        <v>3701</v>
      </c>
      <c r="Q145" s="6672" t="s">
        <v>144</v>
      </c>
      <c r="R145" s="6477" t="s">
        <v>3759</v>
      </c>
      <c r="S145" s="6475" t="s">
        <v>3701</v>
      </c>
      <c r="T145" s="6673" t="s">
        <v>3759</v>
      </c>
      <c r="U145" s="6479">
        <v>8</v>
      </c>
      <c r="V145" s="6475" t="s">
        <v>3701</v>
      </c>
      <c r="W145" s="6672">
        <v>8</v>
      </c>
      <c r="X145" s="6479">
        <v>34</v>
      </c>
      <c r="Y145" s="6475" t="s">
        <v>3701</v>
      </c>
      <c r="Z145" s="6674">
        <v>34</v>
      </c>
      <c r="AA145" s="5096"/>
      <c r="AB145" s="5096"/>
      <c r="AC145" s="5096"/>
    </row>
    <row r="146" spans="1:29" s="835" customFormat="1" ht="45">
      <c r="A146" s="5096"/>
      <c r="B146" s="6474" t="s">
        <v>145</v>
      </c>
      <c r="C146" s="6475" t="s">
        <v>3701</v>
      </c>
      <c r="D146" s="6668" t="s">
        <v>145</v>
      </c>
      <c r="E146" s="6477" t="s">
        <v>3760</v>
      </c>
      <c r="F146" s="6475" t="s">
        <v>3701</v>
      </c>
      <c r="G146" s="6669" t="s">
        <v>3760</v>
      </c>
      <c r="H146" s="6479">
        <v>9</v>
      </c>
      <c r="I146" s="6475" t="s">
        <v>3701</v>
      </c>
      <c r="J146" s="6670">
        <v>9</v>
      </c>
      <c r="K146" s="6479">
        <v>35</v>
      </c>
      <c r="L146" s="6475" t="s">
        <v>3701</v>
      </c>
      <c r="M146" s="6671">
        <v>35</v>
      </c>
      <c r="N146" s="5096"/>
      <c r="O146" s="6474" t="s">
        <v>145</v>
      </c>
      <c r="P146" s="6475" t="s">
        <v>3701</v>
      </c>
      <c r="Q146" s="6672" t="s">
        <v>145</v>
      </c>
      <c r="R146" s="6477" t="s">
        <v>3760</v>
      </c>
      <c r="S146" s="6475" t="s">
        <v>3701</v>
      </c>
      <c r="T146" s="6673" t="s">
        <v>3760</v>
      </c>
      <c r="U146" s="6479">
        <v>9</v>
      </c>
      <c r="V146" s="6475" t="s">
        <v>3701</v>
      </c>
      <c r="W146" s="6672">
        <v>9</v>
      </c>
      <c r="X146" s="6479">
        <v>35</v>
      </c>
      <c r="Y146" s="6475" t="s">
        <v>3701</v>
      </c>
      <c r="Z146" s="6674">
        <v>35</v>
      </c>
      <c r="AA146" s="5096"/>
      <c r="AB146" s="5096"/>
      <c r="AC146" s="5096"/>
    </row>
    <row r="147" spans="1:29" s="835" customFormat="1" ht="45">
      <c r="A147" s="5096"/>
      <c r="B147" s="6474" t="s">
        <v>146</v>
      </c>
      <c r="C147" s="6475" t="s">
        <v>3701</v>
      </c>
      <c r="D147" s="6668" t="s">
        <v>146</v>
      </c>
      <c r="E147" s="6477" t="s">
        <v>3762</v>
      </c>
      <c r="F147" s="6475" t="s">
        <v>3701</v>
      </c>
      <c r="G147" s="6669" t="s">
        <v>3762</v>
      </c>
      <c r="H147" s="6479">
        <v>10</v>
      </c>
      <c r="I147" s="6475" t="s">
        <v>3701</v>
      </c>
      <c r="J147" s="6670">
        <v>10</v>
      </c>
      <c r="K147" s="6479">
        <v>36</v>
      </c>
      <c r="L147" s="6475" t="s">
        <v>3701</v>
      </c>
      <c r="M147" s="6671">
        <v>36</v>
      </c>
      <c r="N147" s="5096"/>
      <c r="O147" s="6474" t="s">
        <v>146</v>
      </c>
      <c r="P147" s="6475" t="s">
        <v>3701</v>
      </c>
      <c r="Q147" s="6672" t="s">
        <v>146</v>
      </c>
      <c r="R147" s="6477" t="s">
        <v>3762</v>
      </c>
      <c r="S147" s="6475" t="s">
        <v>3701</v>
      </c>
      <c r="T147" s="6673" t="s">
        <v>3762</v>
      </c>
      <c r="U147" s="6479">
        <v>10</v>
      </c>
      <c r="V147" s="6475" t="s">
        <v>3701</v>
      </c>
      <c r="W147" s="6672">
        <v>10</v>
      </c>
      <c r="X147" s="6479">
        <v>36</v>
      </c>
      <c r="Y147" s="6475" t="s">
        <v>3701</v>
      </c>
      <c r="Z147" s="6674">
        <v>36</v>
      </c>
      <c r="AA147" s="5096"/>
      <c r="AB147" s="5096"/>
      <c r="AC147" s="5096"/>
    </row>
    <row r="148" spans="1:29" s="835" customFormat="1" ht="45">
      <c r="A148" s="5096"/>
      <c r="B148" s="6474" t="s">
        <v>147</v>
      </c>
      <c r="C148" s="6475" t="s">
        <v>3701</v>
      </c>
      <c r="D148" s="6668" t="s">
        <v>147</v>
      </c>
      <c r="E148" s="6477" t="s">
        <v>3764</v>
      </c>
      <c r="F148" s="6475" t="s">
        <v>3701</v>
      </c>
      <c r="G148" s="6669" t="s">
        <v>3764</v>
      </c>
      <c r="H148" s="6479">
        <v>11</v>
      </c>
      <c r="I148" s="6475" t="s">
        <v>3701</v>
      </c>
      <c r="J148" s="6670">
        <v>11</v>
      </c>
      <c r="K148" s="6479">
        <v>37</v>
      </c>
      <c r="L148" s="6475" t="s">
        <v>3701</v>
      </c>
      <c r="M148" s="6671">
        <v>37</v>
      </c>
      <c r="N148" s="5096"/>
      <c r="O148" s="6474" t="s">
        <v>147</v>
      </c>
      <c r="P148" s="6475" t="s">
        <v>3701</v>
      </c>
      <c r="Q148" s="6672" t="s">
        <v>147</v>
      </c>
      <c r="R148" s="6477" t="s">
        <v>3764</v>
      </c>
      <c r="S148" s="6475" t="s">
        <v>3701</v>
      </c>
      <c r="T148" s="6673" t="s">
        <v>3764</v>
      </c>
      <c r="U148" s="6479">
        <v>11</v>
      </c>
      <c r="V148" s="6475" t="s">
        <v>3701</v>
      </c>
      <c r="W148" s="6672">
        <v>11</v>
      </c>
      <c r="X148" s="6479">
        <v>37</v>
      </c>
      <c r="Y148" s="6475" t="s">
        <v>3701</v>
      </c>
      <c r="Z148" s="6674">
        <v>37</v>
      </c>
      <c r="AA148" s="5096"/>
      <c r="AB148" s="5096"/>
      <c r="AC148" s="5096"/>
    </row>
    <row r="149" spans="1:29" s="835" customFormat="1" ht="45">
      <c r="A149" s="5096"/>
      <c r="B149" s="6474" t="s">
        <v>224</v>
      </c>
      <c r="C149" s="6475" t="s">
        <v>3701</v>
      </c>
      <c r="D149" s="6668" t="s">
        <v>224</v>
      </c>
      <c r="E149" s="6477" t="s">
        <v>212</v>
      </c>
      <c r="F149" s="6475" t="s">
        <v>3701</v>
      </c>
      <c r="G149" s="6669" t="s">
        <v>212</v>
      </c>
      <c r="H149" s="6479">
        <v>12</v>
      </c>
      <c r="I149" s="6475" t="s">
        <v>3701</v>
      </c>
      <c r="J149" s="6670">
        <v>12</v>
      </c>
      <c r="K149" s="6479">
        <v>38</v>
      </c>
      <c r="L149" s="6475" t="s">
        <v>3701</v>
      </c>
      <c r="M149" s="6671">
        <v>38</v>
      </c>
      <c r="N149" s="5096"/>
      <c r="O149" s="6474" t="s">
        <v>224</v>
      </c>
      <c r="P149" s="6475" t="s">
        <v>3701</v>
      </c>
      <c r="Q149" s="6672" t="s">
        <v>224</v>
      </c>
      <c r="R149" s="6477" t="s">
        <v>212</v>
      </c>
      <c r="S149" s="6475" t="s">
        <v>3701</v>
      </c>
      <c r="T149" s="6673" t="s">
        <v>212</v>
      </c>
      <c r="U149" s="6479">
        <v>12</v>
      </c>
      <c r="V149" s="6475" t="s">
        <v>3701</v>
      </c>
      <c r="W149" s="6672">
        <v>12</v>
      </c>
      <c r="X149" s="6479">
        <v>38</v>
      </c>
      <c r="Y149" s="6475" t="s">
        <v>3701</v>
      </c>
      <c r="Z149" s="6674">
        <v>38</v>
      </c>
      <c r="AA149" s="5096"/>
      <c r="AB149" s="5096"/>
      <c r="AC149" s="5096"/>
    </row>
    <row r="150" spans="1:29" s="835" customFormat="1" ht="45">
      <c r="A150" s="5096"/>
      <c r="B150" s="6474" t="s">
        <v>316</v>
      </c>
      <c r="C150" s="6475" t="s">
        <v>3701</v>
      </c>
      <c r="D150" s="6668" t="s">
        <v>316</v>
      </c>
      <c r="E150" s="6477" t="s">
        <v>3766</v>
      </c>
      <c r="F150" s="6475" t="s">
        <v>3701</v>
      </c>
      <c r="G150" s="6669" t="s">
        <v>3766</v>
      </c>
      <c r="H150" s="6479">
        <v>13</v>
      </c>
      <c r="I150" s="6475" t="s">
        <v>3701</v>
      </c>
      <c r="J150" s="6670">
        <v>13</v>
      </c>
      <c r="K150" s="6479">
        <v>39</v>
      </c>
      <c r="L150" s="6475" t="s">
        <v>3701</v>
      </c>
      <c r="M150" s="6671">
        <v>39</v>
      </c>
      <c r="N150" s="5096"/>
      <c r="O150" s="6474" t="s">
        <v>316</v>
      </c>
      <c r="P150" s="6475" t="s">
        <v>3701</v>
      </c>
      <c r="Q150" s="6672" t="s">
        <v>316</v>
      </c>
      <c r="R150" s="6477" t="s">
        <v>3766</v>
      </c>
      <c r="S150" s="6475" t="s">
        <v>3701</v>
      </c>
      <c r="T150" s="6673" t="s">
        <v>3766</v>
      </c>
      <c r="U150" s="6479">
        <v>13</v>
      </c>
      <c r="V150" s="6475" t="s">
        <v>3701</v>
      </c>
      <c r="W150" s="6672">
        <v>13</v>
      </c>
      <c r="X150" s="6479">
        <v>39</v>
      </c>
      <c r="Y150" s="6475" t="s">
        <v>3701</v>
      </c>
      <c r="Z150" s="6674">
        <v>39</v>
      </c>
      <c r="AA150" s="5096"/>
      <c r="AB150" s="5096"/>
      <c r="AC150" s="5096"/>
    </row>
    <row r="151" spans="1:29" s="835" customFormat="1" ht="45">
      <c r="A151" s="5096"/>
      <c r="B151" s="6474" t="s">
        <v>654</v>
      </c>
      <c r="C151" s="6475" t="s">
        <v>3701</v>
      </c>
      <c r="D151" s="6668" t="s">
        <v>654</v>
      </c>
      <c r="E151" s="6477" t="s">
        <v>3768</v>
      </c>
      <c r="F151" s="6475" t="s">
        <v>3701</v>
      </c>
      <c r="G151" s="6669" t="s">
        <v>3768</v>
      </c>
      <c r="H151" s="6479">
        <v>14</v>
      </c>
      <c r="I151" s="6475" t="s">
        <v>3701</v>
      </c>
      <c r="J151" s="6670">
        <v>14</v>
      </c>
      <c r="K151" s="6479">
        <v>40</v>
      </c>
      <c r="L151" s="6475" t="s">
        <v>3701</v>
      </c>
      <c r="M151" s="6671">
        <v>40</v>
      </c>
      <c r="N151" s="5096"/>
      <c r="O151" s="6474" t="s">
        <v>654</v>
      </c>
      <c r="P151" s="6475" t="s">
        <v>3701</v>
      </c>
      <c r="Q151" s="6672" t="s">
        <v>654</v>
      </c>
      <c r="R151" s="6477" t="s">
        <v>3768</v>
      </c>
      <c r="S151" s="6475" t="s">
        <v>3701</v>
      </c>
      <c r="T151" s="6673" t="s">
        <v>3768</v>
      </c>
      <c r="U151" s="6479">
        <v>14</v>
      </c>
      <c r="V151" s="6475" t="s">
        <v>3701</v>
      </c>
      <c r="W151" s="6672">
        <v>14</v>
      </c>
      <c r="X151" s="6479">
        <v>40</v>
      </c>
      <c r="Y151" s="6475" t="s">
        <v>3701</v>
      </c>
      <c r="Z151" s="6674">
        <v>40</v>
      </c>
      <c r="AA151" s="5096"/>
      <c r="AB151" s="5096"/>
      <c r="AC151" s="5096"/>
    </row>
    <row r="152" spans="1:29" s="835" customFormat="1" ht="45">
      <c r="A152" s="5096"/>
      <c r="B152" s="6474" t="s">
        <v>2997</v>
      </c>
      <c r="C152" s="6475" t="s">
        <v>3701</v>
      </c>
      <c r="D152" s="6668" t="s">
        <v>2997</v>
      </c>
      <c r="E152" s="6477" t="s">
        <v>3781</v>
      </c>
      <c r="F152" s="6475" t="s">
        <v>3701</v>
      </c>
      <c r="G152" s="6669" t="s">
        <v>3781</v>
      </c>
      <c r="H152" s="6479">
        <v>15</v>
      </c>
      <c r="I152" s="6475" t="s">
        <v>3701</v>
      </c>
      <c r="J152" s="6670">
        <v>15</v>
      </c>
      <c r="K152" s="6479">
        <v>41</v>
      </c>
      <c r="L152" s="6475" t="s">
        <v>3701</v>
      </c>
      <c r="M152" s="6671">
        <v>41</v>
      </c>
      <c r="N152" s="5096"/>
      <c r="O152" s="6474" t="s">
        <v>2997</v>
      </c>
      <c r="P152" s="6475" t="s">
        <v>3701</v>
      </c>
      <c r="Q152" s="6672" t="s">
        <v>2997</v>
      </c>
      <c r="R152" s="6477" t="s">
        <v>3781</v>
      </c>
      <c r="S152" s="6475" t="s">
        <v>3701</v>
      </c>
      <c r="T152" s="6673" t="s">
        <v>3781</v>
      </c>
      <c r="U152" s="6479">
        <v>15</v>
      </c>
      <c r="V152" s="6475" t="s">
        <v>3701</v>
      </c>
      <c r="W152" s="6672">
        <v>15</v>
      </c>
      <c r="X152" s="6479">
        <v>41</v>
      </c>
      <c r="Y152" s="6475" t="s">
        <v>3701</v>
      </c>
      <c r="Z152" s="6674">
        <v>41</v>
      </c>
      <c r="AA152" s="5096"/>
      <c r="AB152" s="5096"/>
      <c r="AC152" s="5096"/>
    </row>
    <row r="153" spans="1:29" s="835" customFormat="1" ht="45">
      <c r="A153" s="5096"/>
      <c r="B153" s="6474" t="s">
        <v>318</v>
      </c>
      <c r="C153" s="6475" t="s">
        <v>3701</v>
      </c>
      <c r="D153" s="6668" t="s">
        <v>318</v>
      </c>
      <c r="E153" s="6477" t="s">
        <v>788</v>
      </c>
      <c r="F153" s="6475" t="s">
        <v>3701</v>
      </c>
      <c r="G153" s="6669" t="s">
        <v>788</v>
      </c>
      <c r="H153" s="6479">
        <v>16</v>
      </c>
      <c r="I153" s="6475" t="s">
        <v>3701</v>
      </c>
      <c r="J153" s="6670">
        <v>16</v>
      </c>
      <c r="K153" s="6479">
        <v>42</v>
      </c>
      <c r="L153" s="6475" t="s">
        <v>3701</v>
      </c>
      <c r="M153" s="6671">
        <v>42</v>
      </c>
      <c r="N153" s="5096"/>
      <c r="O153" s="6474" t="s">
        <v>318</v>
      </c>
      <c r="P153" s="6475" t="s">
        <v>3701</v>
      </c>
      <c r="Q153" s="6672" t="s">
        <v>318</v>
      </c>
      <c r="R153" s="6477" t="s">
        <v>788</v>
      </c>
      <c r="S153" s="6475" t="s">
        <v>3701</v>
      </c>
      <c r="T153" s="6673" t="s">
        <v>788</v>
      </c>
      <c r="U153" s="6479">
        <v>16</v>
      </c>
      <c r="V153" s="6475" t="s">
        <v>3701</v>
      </c>
      <c r="W153" s="6672">
        <v>16</v>
      </c>
      <c r="X153" s="6479">
        <v>42</v>
      </c>
      <c r="Y153" s="6475" t="s">
        <v>3701</v>
      </c>
      <c r="Z153" s="6674">
        <v>42</v>
      </c>
      <c r="AA153" s="5096"/>
      <c r="AB153" s="5096"/>
      <c r="AC153" s="5096"/>
    </row>
    <row r="154" spans="1:29" s="835" customFormat="1" ht="45">
      <c r="A154" s="5096"/>
      <c r="B154" s="6474" t="s">
        <v>706</v>
      </c>
      <c r="C154" s="6475" t="s">
        <v>3701</v>
      </c>
      <c r="D154" s="6668" t="s">
        <v>706</v>
      </c>
      <c r="E154" s="6477" t="s">
        <v>785</v>
      </c>
      <c r="F154" s="6475" t="s">
        <v>3701</v>
      </c>
      <c r="G154" s="6669" t="s">
        <v>785</v>
      </c>
      <c r="H154" s="6479">
        <v>17</v>
      </c>
      <c r="I154" s="6475" t="s">
        <v>3701</v>
      </c>
      <c r="J154" s="6670">
        <v>17</v>
      </c>
      <c r="K154" s="6479">
        <v>43</v>
      </c>
      <c r="L154" s="6475" t="s">
        <v>3701</v>
      </c>
      <c r="M154" s="6671">
        <v>43</v>
      </c>
      <c r="N154" s="5096"/>
      <c r="O154" s="6474" t="s">
        <v>706</v>
      </c>
      <c r="P154" s="6475" t="s">
        <v>3701</v>
      </c>
      <c r="Q154" s="6672" t="s">
        <v>706</v>
      </c>
      <c r="R154" s="6477" t="s">
        <v>785</v>
      </c>
      <c r="S154" s="6475" t="s">
        <v>3701</v>
      </c>
      <c r="T154" s="6673" t="s">
        <v>785</v>
      </c>
      <c r="U154" s="6479">
        <v>17</v>
      </c>
      <c r="V154" s="6475" t="s">
        <v>3701</v>
      </c>
      <c r="W154" s="6672">
        <v>17</v>
      </c>
      <c r="X154" s="6479">
        <v>43</v>
      </c>
      <c r="Y154" s="6475" t="s">
        <v>3701</v>
      </c>
      <c r="Z154" s="6674">
        <v>43</v>
      </c>
      <c r="AA154" s="5096"/>
      <c r="AB154" s="5096"/>
      <c r="AC154" s="5096"/>
    </row>
    <row r="155" spans="1:29" s="835" customFormat="1" ht="45">
      <c r="A155" s="5096"/>
      <c r="B155" s="6474" t="s">
        <v>504</v>
      </c>
      <c r="C155" s="6475" t="s">
        <v>3701</v>
      </c>
      <c r="D155" s="6668" t="s">
        <v>504</v>
      </c>
      <c r="E155" s="6477" t="s">
        <v>3797</v>
      </c>
      <c r="F155" s="6475" t="s">
        <v>3701</v>
      </c>
      <c r="G155" s="6669" t="s">
        <v>3797</v>
      </c>
      <c r="H155" s="6479">
        <v>18</v>
      </c>
      <c r="I155" s="6475" t="s">
        <v>3701</v>
      </c>
      <c r="J155" s="6670">
        <v>18</v>
      </c>
      <c r="K155" s="6479">
        <v>44</v>
      </c>
      <c r="L155" s="6475" t="s">
        <v>3701</v>
      </c>
      <c r="M155" s="6671">
        <v>44</v>
      </c>
      <c r="N155" s="5096"/>
      <c r="O155" s="6474" t="s">
        <v>504</v>
      </c>
      <c r="P155" s="6475" t="s">
        <v>3701</v>
      </c>
      <c r="Q155" s="6672" t="s">
        <v>504</v>
      </c>
      <c r="R155" s="6477" t="s">
        <v>3797</v>
      </c>
      <c r="S155" s="6475" t="s">
        <v>3701</v>
      </c>
      <c r="T155" s="6673" t="s">
        <v>3797</v>
      </c>
      <c r="U155" s="6479">
        <v>18</v>
      </c>
      <c r="V155" s="6475" t="s">
        <v>3701</v>
      </c>
      <c r="W155" s="6672">
        <v>18</v>
      </c>
      <c r="X155" s="6479">
        <v>44</v>
      </c>
      <c r="Y155" s="6475" t="s">
        <v>3701</v>
      </c>
      <c r="Z155" s="6674">
        <v>44</v>
      </c>
      <c r="AA155" s="5096"/>
      <c r="AB155" s="5096"/>
      <c r="AC155" s="5096"/>
    </row>
    <row r="156" spans="1:29" s="835" customFormat="1" ht="45">
      <c r="A156" s="5096"/>
      <c r="B156" s="6474" t="s">
        <v>538</v>
      </c>
      <c r="C156" s="6475" t="s">
        <v>3701</v>
      </c>
      <c r="D156" s="6668" t="s">
        <v>538</v>
      </c>
      <c r="E156" s="6477" t="s">
        <v>3801</v>
      </c>
      <c r="F156" s="6475" t="s">
        <v>3701</v>
      </c>
      <c r="G156" s="6669" t="s">
        <v>3801</v>
      </c>
      <c r="H156" s="6479">
        <v>19</v>
      </c>
      <c r="I156" s="6475" t="s">
        <v>3701</v>
      </c>
      <c r="J156" s="6670">
        <v>19</v>
      </c>
      <c r="K156" s="6479">
        <v>45</v>
      </c>
      <c r="L156" s="6475" t="s">
        <v>3701</v>
      </c>
      <c r="M156" s="6671">
        <v>45</v>
      </c>
      <c r="N156" s="5096"/>
      <c r="O156" s="6474" t="s">
        <v>538</v>
      </c>
      <c r="P156" s="6475" t="s">
        <v>3701</v>
      </c>
      <c r="Q156" s="6672" t="s">
        <v>538</v>
      </c>
      <c r="R156" s="6477" t="s">
        <v>3801</v>
      </c>
      <c r="S156" s="6475" t="s">
        <v>3701</v>
      </c>
      <c r="T156" s="6673" t="s">
        <v>3801</v>
      </c>
      <c r="U156" s="6479">
        <v>19</v>
      </c>
      <c r="V156" s="6475" t="s">
        <v>3701</v>
      </c>
      <c r="W156" s="6672">
        <v>19</v>
      </c>
      <c r="X156" s="6479">
        <v>45</v>
      </c>
      <c r="Y156" s="6475" t="s">
        <v>3701</v>
      </c>
      <c r="Z156" s="6674">
        <v>45</v>
      </c>
      <c r="AA156" s="5096"/>
      <c r="AB156" s="5096"/>
      <c r="AC156" s="5096"/>
    </row>
    <row r="157" spans="1:29" s="835" customFormat="1" ht="45">
      <c r="A157" s="5096"/>
      <c r="B157" s="6474" t="s">
        <v>562</v>
      </c>
      <c r="C157" s="6475" t="s">
        <v>3701</v>
      </c>
      <c r="D157" s="6668" t="s">
        <v>562</v>
      </c>
      <c r="E157" s="6477" t="s">
        <v>784</v>
      </c>
      <c r="F157" s="6475" t="s">
        <v>3701</v>
      </c>
      <c r="G157" s="6669" t="s">
        <v>784</v>
      </c>
      <c r="H157" s="6479">
        <v>20</v>
      </c>
      <c r="I157" s="6475" t="s">
        <v>3701</v>
      </c>
      <c r="J157" s="6670">
        <v>20</v>
      </c>
      <c r="K157" s="6479">
        <v>46</v>
      </c>
      <c r="L157" s="6475" t="s">
        <v>3701</v>
      </c>
      <c r="M157" s="6671">
        <v>46</v>
      </c>
      <c r="N157" s="5096"/>
      <c r="O157" s="6474" t="s">
        <v>562</v>
      </c>
      <c r="P157" s="6475" t="s">
        <v>3701</v>
      </c>
      <c r="Q157" s="6672" t="s">
        <v>562</v>
      </c>
      <c r="R157" s="6477" t="s">
        <v>784</v>
      </c>
      <c r="S157" s="6475" t="s">
        <v>3701</v>
      </c>
      <c r="T157" s="6673" t="s">
        <v>784</v>
      </c>
      <c r="U157" s="6479">
        <v>20</v>
      </c>
      <c r="V157" s="6475" t="s">
        <v>3701</v>
      </c>
      <c r="W157" s="6672">
        <v>20</v>
      </c>
      <c r="X157" s="6479">
        <v>46</v>
      </c>
      <c r="Y157" s="6475" t="s">
        <v>3701</v>
      </c>
      <c r="Z157" s="6674">
        <v>46</v>
      </c>
      <c r="AA157" s="5096"/>
      <c r="AB157" s="5096"/>
      <c r="AC157" s="5096"/>
    </row>
    <row r="158" spans="1:29" s="835" customFormat="1" ht="45">
      <c r="A158" s="5096"/>
      <c r="B158" s="6474" t="s">
        <v>576</v>
      </c>
      <c r="C158" s="6475" t="s">
        <v>3701</v>
      </c>
      <c r="D158" s="6668" t="s">
        <v>576</v>
      </c>
      <c r="E158" s="6477" t="s">
        <v>22</v>
      </c>
      <c r="F158" s="6475" t="s">
        <v>3701</v>
      </c>
      <c r="G158" s="6669" t="s">
        <v>22</v>
      </c>
      <c r="H158" s="6479">
        <v>21</v>
      </c>
      <c r="I158" s="6475" t="s">
        <v>3701</v>
      </c>
      <c r="J158" s="6670">
        <v>21</v>
      </c>
      <c r="K158" s="6479">
        <v>47</v>
      </c>
      <c r="L158" s="6475" t="s">
        <v>3701</v>
      </c>
      <c r="M158" s="6671">
        <v>47</v>
      </c>
      <c r="N158" s="5096"/>
      <c r="O158" s="6474" t="s">
        <v>576</v>
      </c>
      <c r="P158" s="6475" t="s">
        <v>3701</v>
      </c>
      <c r="Q158" s="6672" t="s">
        <v>576</v>
      </c>
      <c r="R158" s="6477" t="s">
        <v>22</v>
      </c>
      <c r="S158" s="6475" t="s">
        <v>3701</v>
      </c>
      <c r="T158" s="6673" t="s">
        <v>22</v>
      </c>
      <c r="U158" s="6479">
        <v>21</v>
      </c>
      <c r="V158" s="6475" t="s">
        <v>3701</v>
      </c>
      <c r="W158" s="6672">
        <v>21</v>
      </c>
      <c r="X158" s="6479">
        <v>47</v>
      </c>
      <c r="Y158" s="6475" t="s">
        <v>3701</v>
      </c>
      <c r="Z158" s="6674">
        <v>47</v>
      </c>
      <c r="AA158" s="5096"/>
      <c r="AB158" s="5096"/>
      <c r="AC158" s="5096"/>
    </row>
    <row r="159" spans="1:29" s="835" customFormat="1" ht="45">
      <c r="A159" s="5096"/>
      <c r="B159" s="6474" t="s">
        <v>590</v>
      </c>
      <c r="C159" s="6475" t="s">
        <v>3701</v>
      </c>
      <c r="D159" s="6668" t="s">
        <v>590</v>
      </c>
      <c r="E159" s="6477" t="s">
        <v>3802</v>
      </c>
      <c r="F159" s="6475" t="s">
        <v>3701</v>
      </c>
      <c r="G159" s="6669" t="s">
        <v>3802</v>
      </c>
      <c r="H159" s="6479">
        <v>22</v>
      </c>
      <c r="I159" s="6475" t="s">
        <v>3701</v>
      </c>
      <c r="J159" s="6670">
        <v>22</v>
      </c>
      <c r="K159" s="6479">
        <v>48</v>
      </c>
      <c r="L159" s="6475" t="s">
        <v>3701</v>
      </c>
      <c r="M159" s="6671">
        <v>48</v>
      </c>
      <c r="N159" s="5096"/>
      <c r="O159" s="6474" t="s">
        <v>590</v>
      </c>
      <c r="P159" s="6475" t="s">
        <v>3701</v>
      </c>
      <c r="Q159" s="6672" t="s">
        <v>590</v>
      </c>
      <c r="R159" s="6477" t="s">
        <v>3802</v>
      </c>
      <c r="S159" s="6475" t="s">
        <v>3701</v>
      </c>
      <c r="T159" s="6673" t="s">
        <v>3802</v>
      </c>
      <c r="U159" s="6479">
        <v>22</v>
      </c>
      <c r="V159" s="6475" t="s">
        <v>3701</v>
      </c>
      <c r="W159" s="6672">
        <v>22</v>
      </c>
      <c r="X159" s="6479">
        <v>48</v>
      </c>
      <c r="Y159" s="6475" t="s">
        <v>3701</v>
      </c>
      <c r="Z159" s="6674">
        <v>48</v>
      </c>
      <c r="AA159" s="5096"/>
      <c r="AB159" s="5096"/>
      <c r="AC159" s="5096"/>
    </row>
    <row r="160" spans="1:29" s="835" customFormat="1" ht="45">
      <c r="A160" s="5096"/>
      <c r="B160" s="6474" t="s">
        <v>3803</v>
      </c>
      <c r="C160" s="6475" t="s">
        <v>3701</v>
      </c>
      <c r="D160" s="6668" t="s">
        <v>3803</v>
      </c>
      <c r="E160" s="6477" t="s">
        <v>3804</v>
      </c>
      <c r="F160" s="6475" t="s">
        <v>3701</v>
      </c>
      <c r="G160" s="6669" t="s">
        <v>3804</v>
      </c>
      <c r="H160" s="6479">
        <v>23</v>
      </c>
      <c r="I160" s="6475" t="s">
        <v>3701</v>
      </c>
      <c r="J160" s="6670">
        <v>23</v>
      </c>
      <c r="K160" s="6479">
        <v>49</v>
      </c>
      <c r="L160" s="6475" t="s">
        <v>3701</v>
      </c>
      <c r="M160" s="6671">
        <v>49</v>
      </c>
      <c r="N160" s="5096"/>
      <c r="O160" s="6474" t="s">
        <v>3803</v>
      </c>
      <c r="P160" s="6475" t="s">
        <v>3701</v>
      </c>
      <c r="Q160" s="6672" t="s">
        <v>3803</v>
      </c>
      <c r="R160" s="6477" t="s">
        <v>3804</v>
      </c>
      <c r="S160" s="6475" t="s">
        <v>3701</v>
      </c>
      <c r="T160" s="6673" t="s">
        <v>3804</v>
      </c>
      <c r="U160" s="6479">
        <v>23</v>
      </c>
      <c r="V160" s="6475" t="s">
        <v>3701</v>
      </c>
      <c r="W160" s="6672">
        <v>23</v>
      </c>
      <c r="X160" s="6479">
        <v>49</v>
      </c>
      <c r="Y160" s="6475" t="s">
        <v>3701</v>
      </c>
      <c r="Z160" s="6674">
        <v>49</v>
      </c>
      <c r="AA160" s="5096"/>
      <c r="AB160" s="5096"/>
      <c r="AC160" s="5096"/>
    </row>
    <row r="161" spans="1:29" s="835" customFormat="1" ht="45">
      <c r="A161" s="5096"/>
      <c r="B161" s="6474" t="s">
        <v>783</v>
      </c>
      <c r="C161" s="6475" t="s">
        <v>3701</v>
      </c>
      <c r="D161" s="6668" t="s">
        <v>783</v>
      </c>
      <c r="E161" s="6477" t="s">
        <v>3805</v>
      </c>
      <c r="F161" s="6475" t="s">
        <v>3701</v>
      </c>
      <c r="G161" s="6669" t="s">
        <v>3805</v>
      </c>
      <c r="H161" s="6479">
        <v>24</v>
      </c>
      <c r="I161" s="6475" t="s">
        <v>3701</v>
      </c>
      <c r="J161" s="6670">
        <v>24</v>
      </c>
      <c r="K161" s="6479">
        <v>50</v>
      </c>
      <c r="L161" s="6475" t="s">
        <v>3701</v>
      </c>
      <c r="M161" s="6671">
        <v>50</v>
      </c>
      <c r="N161" s="5096"/>
      <c r="O161" s="6474" t="s">
        <v>783</v>
      </c>
      <c r="P161" s="6475" t="s">
        <v>3701</v>
      </c>
      <c r="Q161" s="6672" t="s">
        <v>783</v>
      </c>
      <c r="R161" s="6477" t="s">
        <v>3805</v>
      </c>
      <c r="S161" s="6475" t="s">
        <v>3701</v>
      </c>
      <c r="T161" s="6673" t="s">
        <v>3805</v>
      </c>
      <c r="U161" s="6479">
        <v>24</v>
      </c>
      <c r="V161" s="6475" t="s">
        <v>3701</v>
      </c>
      <c r="W161" s="6672">
        <v>24</v>
      </c>
      <c r="X161" s="6479">
        <v>50</v>
      </c>
      <c r="Y161" s="6475" t="s">
        <v>3701</v>
      </c>
      <c r="Z161" s="6674">
        <v>50</v>
      </c>
      <c r="AA161" s="5096"/>
      <c r="AB161" s="5096"/>
      <c r="AC161" s="5096"/>
    </row>
    <row r="162" spans="1:29" s="835" customFormat="1" ht="45">
      <c r="A162" s="5096"/>
      <c r="B162" s="6474" t="s">
        <v>3794</v>
      </c>
      <c r="C162" s="6475" t="s">
        <v>3701</v>
      </c>
      <c r="D162" s="6668" t="s">
        <v>3794</v>
      </c>
      <c r="E162" s="6477" t="s">
        <v>3799</v>
      </c>
      <c r="F162" s="6475" t="s">
        <v>3701</v>
      </c>
      <c r="G162" s="6669" t="s">
        <v>3799</v>
      </c>
      <c r="H162" s="6479">
        <v>25</v>
      </c>
      <c r="I162" s="6475" t="s">
        <v>3701</v>
      </c>
      <c r="J162" s="6670">
        <v>25</v>
      </c>
      <c r="K162" s="6479">
        <v>51</v>
      </c>
      <c r="L162" s="6475" t="s">
        <v>3701</v>
      </c>
      <c r="M162" s="6671">
        <v>51</v>
      </c>
      <c r="N162" s="5096"/>
      <c r="O162" s="6474" t="s">
        <v>3794</v>
      </c>
      <c r="P162" s="6475" t="s">
        <v>3701</v>
      </c>
      <c r="Q162" s="6672" t="s">
        <v>3794</v>
      </c>
      <c r="R162" s="6477" t="s">
        <v>3799</v>
      </c>
      <c r="S162" s="6475" t="s">
        <v>3701</v>
      </c>
      <c r="T162" s="6673" t="s">
        <v>3799</v>
      </c>
      <c r="U162" s="6479">
        <v>25</v>
      </c>
      <c r="V162" s="6475" t="s">
        <v>3701</v>
      </c>
      <c r="W162" s="6672">
        <v>25</v>
      </c>
      <c r="X162" s="6479">
        <v>51</v>
      </c>
      <c r="Y162" s="6475" t="s">
        <v>3701</v>
      </c>
      <c r="Z162" s="6674">
        <v>51</v>
      </c>
      <c r="AA162" s="5096"/>
      <c r="AB162" s="5096"/>
      <c r="AC162" s="5096"/>
    </row>
    <row r="163" spans="1:29" s="835" customFormat="1" ht="45">
      <c r="A163" s="5096"/>
      <c r="B163" s="6474" t="s">
        <v>688</v>
      </c>
      <c r="C163" s="6475" t="s">
        <v>3701</v>
      </c>
      <c r="D163" s="6668" t="s">
        <v>688</v>
      </c>
      <c r="E163" s="6477" t="s">
        <v>3798</v>
      </c>
      <c r="F163" s="6475" t="s">
        <v>3701</v>
      </c>
      <c r="G163" s="6669" t="s">
        <v>3798</v>
      </c>
      <c r="H163" s="6479">
        <v>26</v>
      </c>
      <c r="I163" s="6475" t="s">
        <v>3701</v>
      </c>
      <c r="J163" s="6670">
        <v>26</v>
      </c>
      <c r="K163" s="6479">
        <v>52</v>
      </c>
      <c r="L163" s="6475" t="s">
        <v>3701</v>
      </c>
      <c r="M163" s="6671">
        <v>52</v>
      </c>
      <c r="N163" s="5096"/>
      <c r="O163" s="6474" t="s">
        <v>688</v>
      </c>
      <c r="P163" s="6475" t="s">
        <v>3701</v>
      </c>
      <c r="Q163" s="6672" t="s">
        <v>688</v>
      </c>
      <c r="R163" s="6477" t="s">
        <v>3798</v>
      </c>
      <c r="S163" s="6475" t="s">
        <v>3701</v>
      </c>
      <c r="T163" s="6673" t="s">
        <v>3798</v>
      </c>
      <c r="U163" s="6479">
        <v>26</v>
      </c>
      <c r="V163" s="6475" t="s">
        <v>3701</v>
      </c>
      <c r="W163" s="6672">
        <v>26</v>
      </c>
      <c r="X163" s="6479">
        <v>52</v>
      </c>
      <c r="Y163" s="6475" t="s">
        <v>3701</v>
      </c>
      <c r="Z163" s="6674">
        <v>52</v>
      </c>
      <c r="AA163" s="5096"/>
      <c r="AB163" s="5096"/>
      <c r="AC163" s="5096"/>
    </row>
    <row r="164" spans="1:29" s="835" customFormat="1" ht="45">
      <c r="A164" s="5096"/>
      <c r="B164" s="6474" t="s">
        <v>2806</v>
      </c>
      <c r="C164" s="6475" t="s">
        <v>3701</v>
      </c>
      <c r="D164" s="6668" t="s">
        <v>2806</v>
      </c>
      <c r="E164" s="6477" t="s">
        <v>58</v>
      </c>
      <c r="F164" s="6475" t="s">
        <v>3701</v>
      </c>
      <c r="G164" s="6669" t="s">
        <v>58</v>
      </c>
      <c r="H164" s="6479" t="s">
        <v>3796</v>
      </c>
      <c r="I164" s="6475" t="s">
        <v>3701</v>
      </c>
      <c r="J164" s="6670" t="s">
        <v>3796</v>
      </c>
      <c r="K164" s="6479" t="s">
        <v>3806</v>
      </c>
      <c r="L164" s="6475" t="s">
        <v>3701</v>
      </c>
      <c r="M164" s="6671" t="s">
        <v>3806</v>
      </c>
      <c r="N164" s="5096"/>
      <c r="O164" s="6474" t="s">
        <v>2806</v>
      </c>
      <c r="P164" s="6475" t="s">
        <v>3701</v>
      </c>
      <c r="Q164" s="6672" t="s">
        <v>2806</v>
      </c>
      <c r="R164" s="6477" t="s">
        <v>58</v>
      </c>
      <c r="S164" s="6475" t="s">
        <v>3701</v>
      </c>
      <c r="T164" s="6673" t="s">
        <v>58</v>
      </c>
      <c r="U164" s="6479" t="s">
        <v>3796</v>
      </c>
      <c r="V164" s="6475" t="s">
        <v>3701</v>
      </c>
      <c r="W164" s="6672" t="s">
        <v>3796</v>
      </c>
      <c r="X164" s="6479" t="s">
        <v>3806</v>
      </c>
      <c r="Y164" s="6475" t="s">
        <v>3701</v>
      </c>
      <c r="Z164" s="6674" t="s">
        <v>3806</v>
      </c>
      <c r="AA164" s="5096"/>
      <c r="AB164" s="5096"/>
      <c r="AC164" s="5096"/>
    </row>
    <row r="165" spans="1:29" s="835" customFormat="1" ht="45">
      <c r="A165" s="5096"/>
      <c r="B165" s="6474" t="s">
        <v>3728</v>
      </c>
      <c r="C165" s="6475" t="s">
        <v>3701</v>
      </c>
      <c r="D165" s="6668" t="s">
        <v>3728</v>
      </c>
      <c r="E165" s="6477" t="s">
        <v>2804</v>
      </c>
      <c r="F165" s="6475" t="s">
        <v>3701</v>
      </c>
      <c r="G165" s="6669" t="s">
        <v>2804</v>
      </c>
      <c r="H165" s="6479" t="s">
        <v>1379</v>
      </c>
      <c r="I165" s="6475" t="s">
        <v>3701</v>
      </c>
      <c r="J165" s="6670" t="s">
        <v>1379</v>
      </c>
      <c r="K165" s="6479" t="s">
        <v>3819</v>
      </c>
      <c r="L165" s="6475" t="s">
        <v>3701</v>
      </c>
      <c r="M165" s="6671" t="s">
        <v>3819</v>
      </c>
      <c r="N165" s="5096"/>
      <c r="O165" s="6474" t="s">
        <v>3728</v>
      </c>
      <c r="P165" s="6475" t="s">
        <v>3701</v>
      </c>
      <c r="Q165" s="6672" t="s">
        <v>3728</v>
      </c>
      <c r="R165" s="6477" t="s">
        <v>2804</v>
      </c>
      <c r="S165" s="6475" t="s">
        <v>3701</v>
      </c>
      <c r="T165" s="6673" t="s">
        <v>2804</v>
      </c>
      <c r="U165" s="6479" t="s">
        <v>1379</v>
      </c>
      <c r="V165" s="6475" t="s">
        <v>3701</v>
      </c>
      <c r="W165" s="6672" t="s">
        <v>1379</v>
      </c>
      <c r="X165" s="6479" t="s">
        <v>3819</v>
      </c>
      <c r="Y165" s="6475" t="s">
        <v>3701</v>
      </c>
      <c r="Z165" s="6674" t="s">
        <v>3819</v>
      </c>
      <c r="AA165" s="5096"/>
      <c r="AB165" s="5096"/>
      <c r="AC165" s="5096"/>
    </row>
    <row r="166" spans="1:29" s="835" customFormat="1" ht="45">
      <c r="A166" s="5096"/>
      <c r="B166" s="6474" t="s">
        <v>3735</v>
      </c>
      <c r="C166" s="6475" t="s">
        <v>3701</v>
      </c>
      <c r="D166" s="6668" t="s">
        <v>3735</v>
      </c>
      <c r="E166" s="6477" t="s">
        <v>3732</v>
      </c>
      <c r="F166" s="6475" t="s">
        <v>3701</v>
      </c>
      <c r="G166" s="6669" t="s">
        <v>3732</v>
      </c>
      <c r="H166" s="6479" t="s">
        <v>2756</v>
      </c>
      <c r="I166" s="6475" t="s">
        <v>3701</v>
      </c>
      <c r="J166" s="6670" t="s">
        <v>2756</v>
      </c>
      <c r="K166" s="6479" t="s">
        <v>2177</v>
      </c>
      <c r="L166" s="6475" t="s">
        <v>3701</v>
      </c>
      <c r="M166" s="6671" t="s">
        <v>2177</v>
      </c>
      <c r="N166" s="5096"/>
      <c r="O166" s="6474" t="s">
        <v>3735</v>
      </c>
      <c r="P166" s="6475" t="s">
        <v>3701</v>
      </c>
      <c r="Q166" s="6672" t="s">
        <v>3735</v>
      </c>
      <c r="R166" s="6477" t="s">
        <v>3732</v>
      </c>
      <c r="S166" s="6475" t="s">
        <v>3701</v>
      </c>
      <c r="T166" s="6673" t="s">
        <v>3732</v>
      </c>
      <c r="U166" s="6479" t="s">
        <v>2756</v>
      </c>
      <c r="V166" s="6475" t="s">
        <v>3701</v>
      </c>
      <c r="W166" s="6672" t="s">
        <v>2756</v>
      </c>
      <c r="X166" s="6479" t="s">
        <v>2177</v>
      </c>
      <c r="Y166" s="6475" t="s">
        <v>3701</v>
      </c>
      <c r="Z166" s="6674" t="s">
        <v>2177</v>
      </c>
      <c r="AA166" s="5096"/>
      <c r="AB166" s="5096"/>
      <c r="AC166" s="5096"/>
    </row>
    <row r="167" spans="1:29" s="835" customFormat="1" ht="45">
      <c r="A167" s="5096"/>
      <c r="B167" s="6474" t="s">
        <v>3832</v>
      </c>
      <c r="C167" s="6475" t="s">
        <v>3701</v>
      </c>
      <c r="D167" s="6668" t="s">
        <v>3832</v>
      </c>
      <c r="E167" s="6477" t="s">
        <v>3742</v>
      </c>
      <c r="F167" s="6475" t="s">
        <v>3701</v>
      </c>
      <c r="G167" s="6669" t="s">
        <v>3742</v>
      </c>
      <c r="H167" s="6479" t="s">
        <v>32</v>
      </c>
      <c r="I167" s="6475" t="s">
        <v>3701</v>
      </c>
      <c r="J167" s="6670" t="s">
        <v>32</v>
      </c>
      <c r="K167" s="6479" t="s">
        <v>1239</v>
      </c>
      <c r="L167" s="6475" t="s">
        <v>3701</v>
      </c>
      <c r="M167" s="6671" t="s">
        <v>1239</v>
      </c>
      <c r="N167" s="5096"/>
      <c r="O167" s="6474" t="s">
        <v>3832</v>
      </c>
      <c r="P167" s="6475" t="s">
        <v>3701</v>
      </c>
      <c r="Q167" s="6672" t="s">
        <v>3832</v>
      </c>
      <c r="R167" s="6477" t="s">
        <v>3742</v>
      </c>
      <c r="S167" s="6475" t="s">
        <v>3701</v>
      </c>
      <c r="T167" s="6673" t="s">
        <v>3742</v>
      </c>
      <c r="U167" s="6479" t="s">
        <v>32</v>
      </c>
      <c r="V167" s="6475" t="s">
        <v>3701</v>
      </c>
      <c r="W167" s="6672" t="s">
        <v>32</v>
      </c>
      <c r="X167" s="6479" t="s">
        <v>1239</v>
      </c>
      <c r="Y167" s="6475" t="s">
        <v>3701</v>
      </c>
      <c r="Z167" s="6674" t="s">
        <v>1239</v>
      </c>
      <c r="AA167" s="5096"/>
      <c r="AB167" s="5096"/>
      <c r="AC167" s="5096"/>
    </row>
    <row r="168" spans="1:29" s="835" customFormat="1" ht="45">
      <c r="A168" s="5096"/>
      <c r="B168" s="6474" t="s">
        <v>3739</v>
      </c>
      <c r="C168" s="6475" t="s">
        <v>3701</v>
      </c>
      <c r="D168" s="6668" t="s">
        <v>3739</v>
      </c>
      <c r="E168" s="6477" t="s">
        <v>3733</v>
      </c>
      <c r="F168" s="6475" t="s">
        <v>3701</v>
      </c>
      <c r="G168" s="6669" t="s">
        <v>3733</v>
      </c>
      <c r="H168" s="6479" t="s">
        <v>3833</v>
      </c>
      <c r="I168" s="6475" t="s">
        <v>3701</v>
      </c>
      <c r="J168" s="6670" t="s">
        <v>3833</v>
      </c>
      <c r="K168" s="6479" t="s">
        <v>3729</v>
      </c>
      <c r="L168" s="6475" t="s">
        <v>3701</v>
      </c>
      <c r="M168" s="6671" t="s">
        <v>3729</v>
      </c>
      <c r="N168" s="5096"/>
      <c r="O168" s="6474" t="s">
        <v>3739</v>
      </c>
      <c r="P168" s="6475" t="s">
        <v>3701</v>
      </c>
      <c r="Q168" s="6672" t="s">
        <v>3739</v>
      </c>
      <c r="R168" s="6477" t="s">
        <v>3733</v>
      </c>
      <c r="S168" s="6475" t="s">
        <v>3701</v>
      </c>
      <c r="T168" s="6673" t="s">
        <v>3733</v>
      </c>
      <c r="U168" s="6479" t="s">
        <v>3833</v>
      </c>
      <c r="V168" s="6475" t="s">
        <v>3701</v>
      </c>
      <c r="W168" s="6672" t="s">
        <v>3833</v>
      </c>
      <c r="X168" s="6479" t="s">
        <v>3729</v>
      </c>
      <c r="Y168" s="6475" t="s">
        <v>3701</v>
      </c>
      <c r="Z168" s="6674" t="s">
        <v>3729</v>
      </c>
      <c r="AA168" s="5096"/>
      <c r="AB168" s="5096"/>
      <c r="AC168" s="5096"/>
    </row>
    <row r="169" spans="1:29" s="835" customFormat="1" ht="45">
      <c r="A169" s="5096"/>
      <c r="B169" s="6474" t="s">
        <v>3741</v>
      </c>
      <c r="C169" s="6475" t="s">
        <v>3701</v>
      </c>
      <c r="D169" s="6668" t="s">
        <v>3741</v>
      </c>
      <c r="E169" s="6477" t="s">
        <v>3743</v>
      </c>
      <c r="F169" s="6475" t="s">
        <v>3701</v>
      </c>
      <c r="G169" s="6669" t="s">
        <v>3743</v>
      </c>
      <c r="H169" s="6479" t="s">
        <v>3834</v>
      </c>
      <c r="I169" s="6475" t="s">
        <v>3701</v>
      </c>
      <c r="J169" s="6670" t="s">
        <v>3834</v>
      </c>
      <c r="K169" s="6479" t="s">
        <v>2803</v>
      </c>
      <c r="L169" s="6475" t="s">
        <v>3701</v>
      </c>
      <c r="M169" s="6671" t="s">
        <v>2803</v>
      </c>
      <c r="N169" s="5096"/>
      <c r="O169" s="6474" t="s">
        <v>3741</v>
      </c>
      <c r="P169" s="6475" t="s">
        <v>3701</v>
      </c>
      <c r="Q169" s="6672" t="s">
        <v>3741</v>
      </c>
      <c r="R169" s="6477" t="s">
        <v>3743</v>
      </c>
      <c r="S169" s="6475" t="s">
        <v>3701</v>
      </c>
      <c r="T169" s="6673" t="s">
        <v>3743</v>
      </c>
      <c r="U169" s="6479" t="s">
        <v>3834</v>
      </c>
      <c r="V169" s="6475" t="s">
        <v>3701</v>
      </c>
      <c r="W169" s="6672" t="s">
        <v>3834</v>
      </c>
      <c r="X169" s="6479" t="s">
        <v>2803</v>
      </c>
      <c r="Y169" s="6475" t="s">
        <v>3701</v>
      </c>
      <c r="Z169" s="6674" t="s">
        <v>2803</v>
      </c>
      <c r="AA169" s="5096"/>
      <c r="AB169" s="5096"/>
      <c r="AC169" s="5096"/>
    </row>
    <row r="170" spans="1:29" s="835" customFormat="1" ht="45">
      <c r="A170" s="5096"/>
      <c r="B170" s="6474" t="s">
        <v>3836</v>
      </c>
      <c r="C170" s="6475" t="s">
        <v>3701</v>
      </c>
      <c r="D170" s="6668" t="s">
        <v>3836</v>
      </c>
      <c r="E170" s="6477" t="s">
        <v>3731</v>
      </c>
      <c r="F170" s="6475" t="s">
        <v>3701</v>
      </c>
      <c r="G170" s="6669" t="s">
        <v>3731</v>
      </c>
      <c r="H170" s="6479" t="s">
        <v>3738</v>
      </c>
      <c r="I170" s="6475" t="s">
        <v>3701</v>
      </c>
      <c r="J170" s="6670" t="s">
        <v>3738</v>
      </c>
      <c r="K170" s="6479" t="s">
        <v>3837</v>
      </c>
      <c r="L170" s="6475" t="s">
        <v>3701</v>
      </c>
      <c r="M170" s="6671" t="s">
        <v>3837</v>
      </c>
      <c r="N170" s="5096"/>
      <c r="O170" s="6474" t="s">
        <v>3836</v>
      </c>
      <c r="P170" s="6475" t="s">
        <v>3701</v>
      </c>
      <c r="Q170" s="6672" t="s">
        <v>3836</v>
      </c>
      <c r="R170" s="6477" t="s">
        <v>3731</v>
      </c>
      <c r="S170" s="6475" t="s">
        <v>3701</v>
      </c>
      <c r="T170" s="6673" t="s">
        <v>3731</v>
      </c>
      <c r="U170" s="6479" t="s">
        <v>3738</v>
      </c>
      <c r="V170" s="6475" t="s">
        <v>3701</v>
      </c>
      <c r="W170" s="6672" t="s">
        <v>3738</v>
      </c>
      <c r="X170" s="6479" t="s">
        <v>3837</v>
      </c>
      <c r="Y170" s="6475" t="s">
        <v>3701</v>
      </c>
      <c r="Z170" s="6674" t="s">
        <v>3837</v>
      </c>
      <c r="AA170" s="5096"/>
      <c r="AB170" s="5096"/>
      <c r="AC170" s="5096"/>
    </row>
    <row r="171" spans="1:29" s="835" customFormat="1" ht="45">
      <c r="A171" s="5096"/>
      <c r="B171" s="6474" t="s">
        <v>3838</v>
      </c>
      <c r="C171" s="6475" t="s">
        <v>3701</v>
      </c>
      <c r="D171" s="6668" t="s">
        <v>3838</v>
      </c>
      <c r="E171" s="6477" t="s">
        <v>3744</v>
      </c>
      <c r="F171" s="6475" t="s">
        <v>3701</v>
      </c>
      <c r="G171" s="6669" t="s">
        <v>3744</v>
      </c>
      <c r="H171" s="6479" t="s">
        <v>3839</v>
      </c>
      <c r="I171" s="6475" t="s">
        <v>3701</v>
      </c>
      <c r="J171" s="6670" t="s">
        <v>3839</v>
      </c>
      <c r="K171" s="6479" t="s">
        <v>3840</v>
      </c>
      <c r="L171" s="6475" t="s">
        <v>3701</v>
      </c>
      <c r="M171" s="6671" t="s">
        <v>3840</v>
      </c>
      <c r="N171" s="5096"/>
      <c r="O171" s="6474" t="s">
        <v>3838</v>
      </c>
      <c r="P171" s="6475" t="s">
        <v>3701</v>
      </c>
      <c r="Q171" s="6672" t="s">
        <v>3838</v>
      </c>
      <c r="R171" s="6477" t="s">
        <v>3744</v>
      </c>
      <c r="S171" s="6475" t="s">
        <v>3701</v>
      </c>
      <c r="T171" s="6673" t="s">
        <v>3744</v>
      </c>
      <c r="U171" s="6479" t="s">
        <v>3839</v>
      </c>
      <c r="V171" s="6475" t="s">
        <v>3701</v>
      </c>
      <c r="W171" s="6672" t="s">
        <v>3839</v>
      </c>
      <c r="X171" s="6479" t="s">
        <v>3840</v>
      </c>
      <c r="Y171" s="6475" t="s">
        <v>3701</v>
      </c>
      <c r="Z171" s="6674" t="s">
        <v>3840</v>
      </c>
      <c r="AA171" s="5096"/>
      <c r="AB171" s="5096"/>
      <c r="AC171" s="5096"/>
    </row>
    <row r="172" spans="1:29" s="835" customFormat="1" ht="45">
      <c r="A172" s="5096"/>
      <c r="B172" s="6474"/>
      <c r="C172" s="6475" t="s">
        <v>3701</v>
      </c>
      <c r="D172" s="6668"/>
      <c r="E172" s="6477" t="s">
        <v>3734</v>
      </c>
      <c r="F172" s="6475" t="s">
        <v>3701</v>
      </c>
      <c r="G172" s="6669" t="s">
        <v>3734</v>
      </c>
      <c r="H172" s="6479" t="s">
        <v>3737</v>
      </c>
      <c r="I172" s="6475" t="s">
        <v>3701</v>
      </c>
      <c r="J172" s="6670" t="s">
        <v>3737</v>
      </c>
      <c r="K172" s="6479"/>
      <c r="L172" s="6475" t="s">
        <v>3701</v>
      </c>
      <c r="M172" s="6671"/>
      <c r="N172" s="5096"/>
      <c r="O172" s="6474"/>
      <c r="P172" s="6475" t="s">
        <v>3701</v>
      </c>
      <c r="Q172" s="6672"/>
      <c r="R172" s="6477" t="s">
        <v>3734</v>
      </c>
      <c r="S172" s="6475" t="s">
        <v>3701</v>
      </c>
      <c r="T172" s="6673" t="s">
        <v>3734</v>
      </c>
      <c r="U172" s="6479" t="s">
        <v>3737</v>
      </c>
      <c r="V172" s="6475" t="s">
        <v>3701</v>
      </c>
      <c r="W172" s="6672" t="s">
        <v>3737</v>
      </c>
      <c r="X172" s="6479"/>
      <c r="Y172" s="6475" t="s">
        <v>3701</v>
      </c>
      <c r="Z172" s="6674"/>
      <c r="AA172" s="5096"/>
      <c r="AB172" s="5096"/>
      <c r="AC172" s="5096"/>
    </row>
    <row r="173" spans="1:29" s="835" customFormat="1" ht="15">
      <c r="A173" s="6629"/>
      <c r="B173" s="6630"/>
      <c r="C173" s="6631"/>
      <c r="D173" s="6631"/>
      <c r="E173" s="6631"/>
      <c r="F173" s="6631"/>
      <c r="G173" s="6631"/>
      <c r="H173" s="6631"/>
      <c r="I173" s="6631"/>
      <c r="J173" s="6631"/>
      <c r="K173" s="6631"/>
      <c r="L173" s="6631"/>
      <c r="M173" s="6632"/>
      <c r="N173" s="6629"/>
      <c r="O173" s="6655"/>
      <c r="P173" s="6656"/>
      <c r="Q173" s="6656"/>
      <c r="R173" s="6656"/>
      <c r="S173" s="6656"/>
      <c r="T173" s="6656"/>
      <c r="U173" s="6656"/>
      <c r="V173" s="6656"/>
      <c r="W173" s="6656"/>
      <c r="X173" s="6656"/>
      <c r="Y173" s="6656"/>
      <c r="Z173" s="6659"/>
      <c r="AA173" s="6629"/>
      <c r="AB173" s="6629"/>
      <c r="AC173" s="6629"/>
    </row>
    <row r="174" spans="1:29" s="835" customFormat="1" ht="15">
      <c r="A174" s="801"/>
      <c r="B174" s="801"/>
      <c r="C174" s="801"/>
      <c r="D174" s="801"/>
      <c r="E174" s="801"/>
      <c r="F174" s="801"/>
      <c r="G174" s="801"/>
      <c r="H174" s="801"/>
      <c r="I174" s="801"/>
      <c r="J174" s="801"/>
      <c r="K174" s="801"/>
      <c r="L174" s="801"/>
      <c r="M174" s="801"/>
      <c r="N174" s="6629"/>
      <c r="O174" s="801"/>
      <c r="P174" s="801"/>
      <c r="Q174" s="801"/>
      <c r="R174" s="801"/>
      <c r="S174" s="801"/>
      <c r="T174" s="801"/>
      <c r="U174" s="801"/>
      <c r="V174" s="801"/>
      <c r="W174" s="801"/>
      <c r="X174" s="801"/>
      <c r="Y174" s="801"/>
      <c r="Z174" s="801"/>
      <c r="AA174" s="6658"/>
      <c r="AB174" s="801"/>
      <c r="AC174" s="801"/>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99A0-668D-4555-BE1E-D8D5E4381C11}">
  <dimension ref="A1:AI339"/>
  <sheetViews>
    <sheetView zoomScaleNormal="100" workbookViewId="0">
      <selection activeCell="L13" sqref="L13"/>
    </sheetView>
  </sheetViews>
  <sheetFormatPr baseColWidth="10" defaultRowHeight="46.5"/>
  <cols>
    <col min="1" max="1" width="4.85546875" style="2934" customWidth="1"/>
    <col min="2" max="2" width="6" style="6701" customWidth="1"/>
    <col min="3" max="3" width="16.140625" style="6706" customWidth="1"/>
    <col min="4" max="4" width="18.140625" style="6707" customWidth="1"/>
    <col min="5" max="5" width="6.140625" style="2934" customWidth="1"/>
    <col min="6" max="6" width="4.85546875" style="2934" customWidth="1"/>
    <col min="7" max="7" width="6" style="6701" customWidth="1"/>
    <col min="8" max="8" width="11.42578125" style="2934"/>
    <col min="9" max="9" width="18.140625" style="6707" customWidth="1"/>
    <col min="10" max="10" width="6.140625" style="2934" customWidth="1"/>
    <col min="11" max="11" width="4.85546875" style="2934" customWidth="1"/>
    <col min="12" max="12" width="7.42578125" style="6701" customWidth="1"/>
    <col min="13" max="13" width="11.42578125" style="2934"/>
    <col min="14" max="14" width="18.140625" style="6707" customWidth="1"/>
    <col min="15" max="15" width="6.140625" style="2934" customWidth="1"/>
    <col min="16" max="16" width="8.5703125" style="2934" customWidth="1"/>
    <col min="17" max="17" width="6" style="6701" customWidth="1"/>
    <col min="18" max="18" width="11.42578125" style="2934"/>
    <col min="19" max="19" width="18.140625" style="6707" customWidth="1"/>
    <col min="20" max="20" width="11.42578125" style="2934"/>
    <col min="21" max="21" width="8.42578125" style="2934" customWidth="1"/>
    <col min="22" max="16384" width="11.42578125" style="2934"/>
  </cols>
  <sheetData>
    <row r="1" spans="1:30" ht="44.25" customHeight="1">
      <c r="A1" s="6675" t="s">
        <v>3878</v>
      </c>
      <c r="B1" s="6675"/>
      <c r="C1" s="6675"/>
      <c r="D1" s="6675"/>
      <c r="E1" s="6675"/>
      <c r="F1" s="6675"/>
      <c r="G1" s="6675"/>
      <c r="H1" s="6675"/>
      <c r="I1" s="6675"/>
      <c r="J1" s="6675"/>
      <c r="K1" s="6675"/>
      <c r="L1" s="6675"/>
      <c r="M1" s="6675"/>
      <c r="N1" s="6675"/>
      <c r="O1" s="6675"/>
      <c r="P1" s="6675"/>
      <c r="Q1" s="6675"/>
      <c r="R1" s="6675"/>
      <c r="S1" s="6675"/>
      <c r="T1" s="6675"/>
      <c r="U1" s="6675"/>
      <c r="V1" s="6676" t="s">
        <v>3259</v>
      </c>
      <c r="W1" s="6677"/>
      <c r="X1" s="6677"/>
      <c r="Y1" s="6677"/>
      <c r="Z1" s="6677"/>
      <c r="AA1" s="6677"/>
      <c r="AB1" s="6678" t="str">
        <f ca="1">"Page "&amp;_xlfn.SHEET()&amp;" sur "&amp;_xlfn.SHEETS()</f>
        <v>Page 36 sur 38</v>
      </c>
      <c r="AC1" s="6679"/>
      <c r="AD1" s="6679"/>
    </row>
    <row r="2" spans="1:30" ht="15.75" customHeight="1">
      <c r="A2" s="2939"/>
      <c r="B2" s="6680"/>
      <c r="C2" s="6681"/>
      <c r="D2" s="6682"/>
      <c r="E2" s="2939"/>
      <c r="F2" s="2939"/>
      <c r="G2" s="6680"/>
      <c r="H2" s="2939"/>
      <c r="I2" s="6682"/>
      <c r="J2" s="2939"/>
      <c r="K2" s="2939"/>
      <c r="L2" s="6680"/>
      <c r="M2" s="2939"/>
      <c r="N2" s="6682"/>
      <c r="O2" s="2939"/>
      <c r="P2" s="2939"/>
      <c r="Q2" s="6680"/>
      <c r="R2" s="2939"/>
      <c r="S2" s="6682"/>
      <c r="T2" s="2939"/>
      <c r="U2" s="2939"/>
      <c r="V2" s="2939"/>
      <c r="W2" s="2939"/>
      <c r="X2" s="2939"/>
      <c r="Y2" s="2939"/>
      <c r="Z2" s="2939"/>
      <c r="AA2" s="2939"/>
      <c r="AB2" s="2939"/>
      <c r="AC2" s="2939"/>
      <c r="AD2" s="2939"/>
    </row>
    <row r="3" spans="1:30" ht="33.75">
      <c r="A3" s="2939"/>
      <c r="B3" s="6680"/>
      <c r="C3" s="6683" t="s">
        <v>3879</v>
      </c>
      <c r="D3" s="6682"/>
      <c r="E3" s="2939"/>
      <c r="F3" s="2939"/>
      <c r="G3" s="6680"/>
      <c r="H3" s="2939"/>
      <c r="I3" s="6682"/>
      <c r="J3" s="2939"/>
      <c r="K3" s="2939"/>
      <c r="L3" s="6680"/>
      <c r="M3" s="2939"/>
      <c r="N3" s="6682"/>
      <c r="O3" s="6684"/>
      <c r="P3" s="2939"/>
      <c r="Q3" s="6680"/>
      <c r="R3" s="2939"/>
      <c r="S3" s="6682"/>
      <c r="T3" s="2939"/>
      <c r="U3" s="2939"/>
      <c r="V3" s="2939"/>
      <c r="W3" s="2939"/>
      <c r="X3" s="2939"/>
      <c r="Y3" s="2939"/>
      <c r="Z3" s="2939"/>
      <c r="AA3" s="2939"/>
      <c r="AB3" s="2939"/>
      <c r="AC3" s="2939"/>
      <c r="AD3" s="2939"/>
    </row>
    <row r="4" spans="1:30" ht="21">
      <c r="A4" s="2939"/>
      <c r="B4" s="6680"/>
      <c r="C4" s="6685" t="s">
        <v>3880</v>
      </c>
      <c r="D4" s="6686" t="s">
        <v>3881</v>
      </c>
      <c r="E4" s="2939"/>
      <c r="F4" s="2939"/>
      <c r="G4" s="6680"/>
      <c r="H4" s="2939"/>
      <c r="I4" s="6682"/>
      <c r="J4" s="2939"/>
      <c r="K4" s="2939"/>
      <c r="L4" s="6680"/>
      <c r="M4" s="2939"/>
      <c r="N4" s="6685" t="s">
        <v>3880</v>
      </c>
      <c r="O4" s="6687" t="s">
        <v>3882</v>
      </c>
      <c r="P4" s="6688"/>
      <c r="Q4" s="6680"/>
      <c r="R4" s="2939"/>
      <c r="S4" s="6689"/>
      <c r="T4" s="6685" t="s">
        <v>3880</v>
      </c>
      <c r="U4" s="6687" t="s">
        <v>3883</v>
      </c>
      <c r="V4" s="6688"/>
      <c r="W4" s="2939"/>
      <c r="X4" s="2939"/>
      <c r="Y4" s="2939"/>
      <c r="Z4" s="6685" t="s">
        <v>3880</v>
      </c>
      <c r="AA4" s="6687" t="s">
        <v>3884</v>
      </c>
      <c r="AB4" s="6688"/>
      <c r="AC4" s="2939"/>
      <c r="AD4" s="2939"/>
    </row>
    <row r="5" spans="1:30" ht="23.25">
      <c r="A5" s="2939"/>
      <c r="B5" s="6680"/>
      <c r="C5" s="6690"/>
      <c r="D5" s="6686"/>
      <c r="E5" s="2939"/>
      <c r="F5" s="2939"/>
      <c r="G5" s="6680"/>
      <c r="H5" s="2939"/>
      <c r="I5" s="6682"/>
      <c r="J5" s="2939"/>
      <c r="K5" s="2939"/>
      <c r="L5" s="6680"/>
      <c r="M5" s="2939"/>
      <c r="N5" s="6691"/>
      <c r="O5" s="6684"/>
      <c r="P5" s="2939"/>
      <c r="Q5" s="6680"/>
      <c r="R5" s="2939"/>
      <c r="S5" s="6689"/>
      <c r="T5" s="6692"/>
      <c r="U5" s="2939"/>
      <c r="V5" s="2939"/>
      <c r="W5" s="2939"/>
      <c r="X5" s="2939"/>
      <c r="Y5" s="2939"/>
      <c r="Z5" s="2939"/>
      <c r="AA5" s="2939"/>
      <c r="AB5" s="2939"/>
      <c r="AC5" s="2939"/>
      <c r="AD5" s="2939"/>
    </row>
    <row r="6" spans="1:30" ht="21">
      <c r="A6" s="2939"/>
      <c r="B6" s="6680"/>
      <c r="C6" s="6685" t="s">
        <v>3880</v>
      </c>
      <c r="D6" s="6693" t="s">
        <v>3885</v>
      </c>
      <c r="E6" s="2939"/>
      <c r="F6" s="2939"/>
      <c r="G6" s="6680"/>
      <c r="H6" s="2939"/>
      <c r="I6" s="6682"/>
      <c r="J6" s="2939"/>
      <c r="K6" s="2939"/>
      <c r="L6" s="6680"/>
      <c r="M6" s="2939"/>
      <c r="N6" s="6685" t="s">
        <v>3880</v>
      </c>
      <c r="O6" s="6687" t="s">
        <v>3886</v>
      </c>
      <c r="P6" s="6688"/>
      <c r="Q6" s="6680"/>
      <c r="R6" s="2939"/>
      <c r="S6" s="6689"/>
      <c r="T6" s="6685" t="s">
        <v>3880</v>
      </c>
      <c r="U6" s="6687" t="s">
        <v>3887</v>
      </c>
      <c r="V6" s="6688"/>
      <c r="W6" s="2939"/>
      <c r="X6" s="2939"/>
      <c r="Y6" s="2939"/>
      <c r="Z6" s="6685" t="s">
        <v>3880</v>
      </c>
      <c r="AA6" s="6687" t="s">
        <v>3888</v>
      </c>
      <c r="AB6" s="6688"/>
      <c r="AC6" s="2939"/>
      <c r="AD6" s="2939"/>
    </row>
    <row r="7" spans="1:30" ht="23.25">
      <c r="A7" s="2939"/>
      <c r="B7" s="6680"/>
      <c r="C7" s="6690"/>
      <c r="D7" s="6686"/>
      <c r="E7" s="2939"/>
      <c r="F7" s="2939"/>
      <c r="G7" s="6680"/>
      <c r="H7" s="2939"/>
      <c r="I7" s="6682"/>
      <c r="J7" s="2939"/>
      <c r="K7" s="2939"/>
      <c r="L7" s="6680"/>
      <c r="M7" s="2939"/>
      <c r="N7" s="6691"/>
      <c r="O7" s="2939"/>
      <c r="P7" s="2939"/>
      <c r="Q7" s="6680"/>
      <c r="R7" s="2939"/>
      <c r="S7" s="6689"/>
      <c r="T7" s="2939"/>
      <c r="U7" s="2939"/>
      <c r="V7" s="2939"/>
      <c r="W7" s="2939"/>
      <c r="X7" s="2939"/>
      <c r="Y7" s="2939"/>
      <c r="Z7" s="2939"/>
      <c r="AA7" s="2939"/>
      <c r="AB7" s="2939"/>
      <c r="AC7" s="2939"/>
      <c r="AD7" s="2939"/>
    </row>
    <row r="8" spans="1:30" ht="21">
      <c r="A8" s="2939"/>
      <c r="B8" s="6680"/>
      <c r="C8" s="6685" t="s">
        <v>3880</v>
      </c>
      <c r="D8" s="6687" t="s">
        <v>3889</v>
      </c>
      <c r="E8" s="2939"/>
      <c r="F8" s="2939"/>
      <c r="G8" s="6680"/>
      <c r="H8" s="2939"/>
      <c r="I8" s="6682"/>
      <c r="J8" s="2939"/>
      <c r="K8" s="2939"/>
      <c r="L8" s="6680"/>
      <c r="M8" s="2939"/>
      <c r="N8" s="6685" t="s">
        <v>3880</v>
      </c>
      <c r="O8" s="6687" t="s">
        <v>3890</v>
      </c>
      <c r="P8" s="6688"/>
      <c r="Q8" s="6680"/>
      <c r="R8" s="2939"/>
      <c r="S8" s="6689"/>
      <c r="T8" s="6685" t="s">
        <v>3880</v>
      </c>
      <c r="U8" s="6687" t="s">
        <v>3891</v>
      </c>
      <c r="V8" s="6688"/>
      <c r="W8" s="2939"/>
      <c r="X8" s="2939"/>
      <c r="Y8" s="2939"/>
      <c r="Z8" s="6685" t="s">
        <v>3880</v>
      </c>
      <c r="AA8" s="6687" t="s">
        <v>3892</v>
      </c>
      <c r="AB8" s="6688"/>
      <c r="AC8" s="2939"/>
      <c r="AD8" s="2939"/>
    </row>
    <row r="9" spans="1:30" ht="19.5" customHeight="1">
      <c r="A9" s="2939"/>
      <c r="B9" s="6680"/>
      <c r="C9" s="6681"/>
      <c r="D9" s="6682"/>
      <c r="E9" s="2939"/>
      <c r="F9" s="2939"/>
      <c r="G9" s="6680"/>
      <c r="H9" s="2939"/>
      <c r="I9" s="6682"/>
      <c r="J9" s="2939"/>
      <c r="K9" s="2939"/>
      <c r="L9" s="6680"/>
      <c r="M9" s="2939"/>
      <c r="N9" s="6682"/>
      <c r="O9" s="2939"/>
      <c r="P9" s="2939"/>
      <c r="Q9" s="6680"/>
      <c r="R9" s="2939"/>
      <c r="S9" s="6682"/>
      <c r="T9" s="2939"/>
      <c r="U9" s="2939"/>
      <c r="V9" s="2939"/>
      <c r="W9" s="2939"/>
      <c r="X9" s="2939"/>
      <c r="Y9" s="2939"/>
      <c r="Z9" s="2939"/>
      <c r="AA9" s="2939"/>
      <c r="AB9" s="2939"/>
      <c r="AC9" s="2939"/>
      <c r="AD9" s="2939"/>
    </row>
    <row r="10" spans="1:30" ht="39" customHeight="1">
      <c r="A10" s="2939"/>
      <c r="B10" s="6680"/>
      <c r="C10" s="6694" t="s">
        <v>3893</v>
      </c>
      <c r="D10" s="6695" t="s">
        <v>3894</v>
      </c>
      <c r="E10" s="6696"/>
      <c r="F10" s="6696"/>
      <c r="G10" s="6697"/>
      <c r="H10" s="6696"/>
      <c r="I10" s="6698"/>
      <c r="J10" s="6696"/>
      <c r="K10" s="6696"/>
      <c r="L10" s="6697"/>
      <c r="M10" s="6696"/>
      <c r="N10" s="6698"/>
      <c r="O10" s="6696"/>
      <c r="P10" s="6696"/>
      <c r="Q10" s="6697"/>
      <c r="R10" s="6696"/>
      <c r="S10" s="6698"/>
      <c r="T10" s="6696"/>
      <c r="U10" s="6696"/>
      <c r="V10" s="6696"/>
      <c r="W10" s="6696"/>
      <c r="X10" s="6696"/>
      <c r="Y10" s="6696"/>
      <c r="Z10" s="6696"/>
      <c r="AA10" s="2939"/>
      <c r="AB10" s="2939"/>
      <c r="AC10" s="2939"/>
      <c r="AD10" s="2939"/>
    </row>
    <row r="11" spans="1:30" ht="19.5" customHeight="1">
      <c r="A11" s="2939"/>
      <c r="B11" s="6680"/>
      <c r="C11" s="6681"/>
      <c r="D11" s="6682"/>
      <c r="E11" s="2939"/>
      <c r="F11" s="2939"/>
      <c r="G11" s="6680"/>
      <c r="H11" s="2939"/>
      <c r="I11" s="6682"/>
      <c r="J11" s="2939"/>
      <c r="K11" s="2939"/>
      <c r="L11" s="6680"/>
      <c r="M11" s="2939"/>
      <c r="N11" s="6682"/>
      <c r="O11" s="2939"/>
      <c r="P11" s="2939"/>
      <c r="Q11" s="6680"/>
      <c r="R11" s="2939"/>
      <c r="S11" s="6682"/>
      <c r="T11" s="2939"/>
      <c r="U11" s="2939"/>
      <c r="V11" s="2939"/>
      <c r="W11" s="2939"/>
      <c r="X11" s="2939"/>
      <c r="Y11" s="2939"/>
      <c r="Z11" s="2939"/>
      <c r="AA11" s="2939"/>
      <c r="AB11" s="2939"/>
      <c r="AC11" s="2939"/>
      <c r="AD11" s="2939"/>
    </row>
    <row r="12" spans="1:30" ht="38.25" customHeight="1">
      <c r="A12" s="2939"/>
      <c r="B12" s="6680"/>
      <c r="C12" s="6694" t="s">
        <v>3893</v>
      </c>
      <c r="D12" s="6695" t="s">
        <v>3895</v>
      </c>
      <c r="E12" s="6696"/>
      <c r="F12" s="6696"/>
      <c r="G12" s="6697"/>
      <c r="H12" s="6696"/>
      <c r="I12" s="6698"/>
      <c r="J12" s="6696"/>
      <c r="K12" s="6696"/>
      <c r="L12" s="6697"/>
      <c r="M12" s="6696"/>
      <c r="N12" s="6698"/>
      <c r="O12" s="6696"/>
      <c r="P12" s="6696"/>
      <c r="Q12" s="6697"/>
      <c r="R12" s="6696"/>
      <c r="S12" s="6698"/>
      <c r="T12" s="6696"/>
      <c r="U12" s="6696"/>
      <c r="V12" s="6696"/>
      <c r="W12" s="6696"/>
      <c r="X12" s="6696"/>
      <c r="Y12" s="6696"/>
      <c r="Z12" s="6696"/>
      <c r="AA12" s="6696"/>
      <c r="AB12" s="6696"/>
      <c r="AC12" s="6696"/>
      <c r="AD12" s="6696"/>
    </row>
    <row r="13" spans="1:30" ht="19.5" customHeight="1">
      <c r="A13" s="2939"/>
      <c r="B13" s="6680"/>
      <c r="C13" s="6681"/>
      <c r="D13" s="6682"/>
      <c r="E13" s="2939"/>
      <c r="F13" s="2939"/>
      <c r="G13" s="6680"/>
      <c r="H13" s="2939"/>
      <c r="I13" s="6682"/>
      <c r="J13" s="2939"/>
      <c r="K13" s="2939"/>
      <c r="L13" s="6680"/>
      <c r="M13" s="2939"/>
      <c r="N13" s="6682"/>
      <c r="O13" s="2939"/>
      <c r="P13" s="2939"/>
      <c r="Q13" s="6680"/>
      <c r="R13" s="2939"/>
      <c r="S13" s="6682"/>
      <c r="T13" s="2939"/>
      <c r="U13" s="2939"/>
      <c r="V13" s="2939"/>
      <c r="W13" s="2939"/>
      <c r="X13" s="2939"/>
      <c r="Y13" s="2939"/>
      <c r="Z13" s="2939"/>
      <c r="AA13" s="2939"/>
      <c r="AB13" s="2939"/>
      <c r="AC13" s="2939"/>
      <c r="AD13" s="2939"/>
    </row>
    <row r="14" spans="1:30" ht="47.25">
      <c r="A14" s="2939"/>
      <c r="B14" s="2939"/>
      <c r="C14" s="2934"/>
      <c r="D14" s="6699" t="s">
        <v>3896</v>
      </c>
      <c r="E14" s="6700" t="s">
        <v>3897</v>
      </c>
      <c r="F14" s="3275"/>
      <c r="G14" s="2934"/>
      <c r="H14" s="6700" t="s">
        <v>3898</v>
      </c>
      <c r="I14" s="6700" t="s">
        <v>3899</v>
      </c>
      <c r="J14" s="6700" t="s">
        <v>3900</v>
      </c>
      <c r="M14" s="6702" t="s">
        <v>3901</v>
      </c>
      <c r="N14" s="6702" t="s">
        <v>3902</v>
      </c>
      <c r="O14" s="3275"/>
      <c r="P14" s="6702" t="s">
        <v>3903</v>
      </c>
      <c r="Q14" s="3275"/>
      <c r="S14" s="3275"/>
      <c r="T14" s="3275"/>
      <c r="U14" s="3275"/>
      <c r="V14" s="3275"/>
      <c r="W14" s="3275"/>
      <c r="X14" s="6703" t="s">
        <v>3904</v>
      </c>
      <c r="Y14" s="3275"/>
      <c r="AB14" s="6704" t="s">
        <v>3905</v>
      </c>
    </row>
    <row r="15" spans="1:30" ht="19.5" customHeight="1">
      <c r="A15" s="2939"/>
      <c r="B15" s="6680"/>
      <c r="C15" s="6681"/>
      <c r="D15" s="6682"/>
      <c r="E15" s="2939"/>
      <c r="F15" s="2939"/>
      <c r="G15" s="6680"/>
      <c r="H15" s="2939"/>
      <c r="I15" s="6682"/>
      <c r="J15" s="2939"/>
      <c r="K15" s="2939"/>
      <c r="L15" s="6680"/>
      <c r="M15" s="2939"/>
      <c r="N15" s="6682"/>
      <c r="O15" s="2939"/>
      <c r="P15" s="2939"/>
      <c r="Q15" s="6680"/>
      <c r="R15" s="2939"/>
      <c r="S15" s="6682"/>
      <c r="T15" s="2939"/>
      <c r="U15" s="2939"/>
      <c r="V15" s="2939"/>
      <c r="W15" s="2939"/>
      <c r="X15" s="2939"/>
      <c r="Y15" s="2939"/>
      <c r="Z15" s="2939"/>
      <c r="AA15" s="2939"/>
      <c r="AB15" s="2939"/>
      <c r="AC15" s="2939"/>
      <c r="AD15" s="2939"/>
    </row>
    <row r="16" spans="1:30">
      <c r="A16" s="6705">
        <v>1</v>
      </c>
      <c r="B16" s="6701" t="s">
        <v>3906</v>
      </c>
      <c r="C16" s="6706" t="s">
        <v>3907</v>
      </c>
      <c r="D16" s="6707" t="s">
        <v>3908</v>
      </c>
      <c r="E16" s="6708"/>
      <c r="F16" s="6705">
        <v>325</v>
      </c>
      <c r="G16" s="6701" t="s">
        <v>3909</v>
      </c>
      <c r="H16" s="6706" t="s">
        <v>3910</v>
      </c>
      <c r="I16" s="6707" t="s">
        <v>3911</v>
      </c>
      <c r="J16" s="6708"/>
      <c r="K16" s="6705">
        <v>649</v>
      </c>
      <c r="L16" s="6701" t="s">
        <v>3912</v>
      </c>
      <c r="M16" s="6706" t="s">
        <v>3913</v>
      </c>
      <c r="N16" s="6707" t="s">
        <v>3914</v>
      </c>
      <c r="O16" s="6708"/>
      <c r="P16" s="6705">
        <v>973</v>
      </c>
      <c r="Q16" s="6701" t="s">
        <v>3915</v>
      </c>
      <c r="R16" s="6706" t="s">
        <v>3916</v>
      </c>
      <c r="S16" s="6707" t="s">
        <v>3917</v>
      </c>
      <c r="T16" s="2939"/>
      <c r="U16" s="6709" t="s">
        <v>3918</v>
      </c>
      <c r="W16" s="6708"/>
      <c r="X16" s="6710"/>
      <c r="Y16" s="6710"/>
      <c r="Z16" s="6710"/>
      <c r="AA16" s="6710"/>
      <c r="AB16" s="6710"/>
      <c r="AC16" s="6710"/>
      <c r="AD16" s="6710"/>
    </row>
    <row r="17" spans="1:35">
      <c r="A17" s="6705">
        <v>2</v>
      </c>
      <c r="B17" s="6701" t="s">
        <v>3919</v>
      </c>
      <c r="C17" s="6706" t="s">
        <v>3920</v>
      </c>
      <c r="D17" s="6707" t="s">
        <v>3921</v>
      </c>
      <c r="E17" s="6708"/>
      <c r="F17" s="6705">
        <v>326</v>
      </c>
      <c r="G17" s="6701" t="s">
        <v>3922</v>
      </c>
      <c r="H17" s="6706" t="s">
        <v>3923</v>
      </c>
      <c r="I17" s="6707" t="s">
        <v>3924</v>
      </c>
      <c r="J17" s="6708"/>
      <c r="K17" s="6705">
        <v>650</v>
      </c>
      <c r="L17" s="6701" t="s">
        <v>3925</v>
      </c>
      <c r="M17" s="6706" t="s">
        <v>3926</v>
      </c>
      <c r="N17" s="6707" t="s">
        <v>3927</v>
      </c>
      <c r="O17" s="6708"/>
      <c r="P17" s="6705">
        <v>974</v>
      </c>
      <c r="Q17" s="6701" t="s">
        <v>3928</v>
      </c>
      <c r="R17" s="6706" t="s">
        <v>3929</v>
      </c>
      <c r="S17" s="6707" t="s">
        <v>3930</v>
      </c>
      <c r="T17" s="2939"/>
      <c r="U17" s="6685" t="s">
        <v>3880</v>
      </c>
      <c r="V17" s="6711" t="s">
        <v>3931</v>
      </c>
      <c r="W17" s="6712"/>
      <c r="X17" s="6713"/>
      <c r="Y17" s="6710"/>
      <c r="Z17" s="6710"/>
      <c r="AA17" s="6710"/>
      <c r="AB17" s="6710"/>
      <c r="AC17" s="6710"/>
      <c r="AD17" s="6710"/>
      <c r="AH17" s="6714"/>
    </row>
    <row r="18" spans="1:35">
      <c r="A18" s="6705">
        <v>3</v>
      </c>
      <c r="B18" s="6701" t="s">
        <v>3932</v>
      </c>
      <c r="C18" s="6706" t="s">
        <v>3933</v>
      </c>
      <c r="D18" s="6707" t="s">
        <v>3934</v>
      </c>
      <c r="E18" s="6708"/>
      <c r="F18" s="6705">
        <v>327</v>
      </c>
      <c r="G18" s="6701" t="s">
        <v>3935</v>
      </c>
      <c r="H18" s="6706" t="s">
        <v>3936</v>
      </c>
      <c r="I18" s="6707" t="s">
        <v>3937</v>
      </c>
      <c r="J18" s="6708"/>
      <c r="K18" s="6705">
        <v>651</v>
      </c>
      <c r="L18" s="6701" t="s">
        <v>3938</v>
      </c>
      <c r="M18" s="6706" t="s">
        <v>3939</v>
      </c>
      <c r="N18" s="6707" t="s">
        <v>3940</v>
      </c>
      <c r="O18" s="6708"/>
      <c r="P18" s="6705">
        <v>975</v>
      </c>
      <c r="Q18" s="6701" t="s">
        <v>3941</v>
      </c>
      <c r="R18" s="6706" t="s">
        <v>3942</v>
      </c>
      <c r="S18" s="6707" t="s">
        <v>3943</v>
      </c>
      <c r="T18" s="2939"/>
      <c r="U18" s="6709" t="s">
        <v>3879</v>
      </c>
      <c r="V18" s="6709"/>
      <c r="W18" s="6708"/>
      <c r="X18" s="6713"/>
      <c r="Y18" s="6710"/>
      <c r="Z18" s="6710"/>
      <c r="AA18" s="6710"/>
      <c r="AB18" s="6710"/>
      <c r="AC18" s="6710"/>
      <c r="AD18" s="6710"/>
      <c r="AH18" s="6714"/>
    </row>
    <row r="19" spans="1:35">
      <c r="A19" s="6705">
        <v>4</v>
      </c>
      <c r="B19" s="6701" t="s">
        <v>3944</v>
      </c>
      <c r="C19" s="6706" t="s">
        <v>3945</v>
      </c>
      <c r="D19" s="6707" t="s">
        <v>3946</v>
      </c>
      <c r="E19" s="6708"/>
      <c r="F19" s="6705">
        <v>328</v>
      </c>
      <c r="G19" s="6701" t="s">
        <v>3947</v>
      </c>
      <c r="H19" s="6706" t="s">
        <v>3948</v>
      </c>
      <c r="I19" s="6707" t="s">
        <v>3949</v>
      </c>
      <c r="J19" s="6708"/>
      <c r="K19" s="6705">
        <v>652</v>
      </c>
      <c r="L19" s="6701" t="s">
        <v>3950</v>
      </c>
      <c r="M19" s="6706" t="s">
        <v>3951</v>
      </c>
      <c r="N19" s="6707" t="s">
        <v>3952</v>
      </c>
      <c r="O19" s="6708"/>
      <c r="P19" s="6705">
        <v>976</v>
      </c>
      <c r="Q19" s="6701" t="s">
        <v>3953</v>
      </c>
      <c r="R19" s="6706" t="s">
        <v>3954</v>
      </c>
      <c r="S19" s="6707" t="s">
        <v>3955</v>
      </c>
      <c r="T19" s="2939"/>
      <c r="U19" s="6685" t="s">
        <v>3880</v>
      </c>
      <c r="V19" s="6711" t="s">
        <v>3881</v>
      </c>
      <c r="W19" s="6712"/>
      <c r="X19" s="6713"/>
      <c r="Y19" s="6710"/>
      <c r="Z19" s="6710"/>
      <c r="AA19" s="6710"/>
      <c r="AB19" s="6710"/>
      <c r="AC19" s="6710"/>
      <c r="AD19" s="6710"/>
      <c r="AH19" s="6714"/>
      <c r="AI19" s="6714"/>
    </row>
    <row r="20" spans="1:35">
      <c r="A20" s="6705">
        <v>5</v>
      </c>
      <c r="B20" s="6701" t="s">
        <v>3956</v>
      </c>
      <c r="C20" s="6706" t="s">
        <v>3957</v>
      </c>
      <c r="D20" s="6707" t="s">
        <v>3958</v>
      </c>
      <c r="E20" s="6708"/>
      <c r="F20" s="6705">
        <v>329</v>
      </c>
      <c r="G20" s="6701" t="s">
        <v>3959</v>
      </c>
      <c r="H20" s="6706" t="s">
        <v>3960</v>
      </c>
      <c r="I20" s="6707" t="s">
        <v>3961</v>
      </c>
      <c r="J20" s="6708"/>
      <c r="K20" s="6705">
        <v>653</v>
      </c>
      <c r="L20" s="6701" t="s">
        <v>3962</v>
      </c>
      <c r="M20" s="6706" t="s">
        <v>3963</v>
      </c>
      <c r="N20" s="6707" t="s">
        <v>3964</v>
      </c>
      <c r="O20" s="6708"/>
      <c r="P20" s="6705">
        <v>977</v>
      </c>
      <c r="Q20" s="6701" t="s">
        <v>3965</v>
      </c>
      <c r="R20" s="6706" t="s">
        <v>3966</v>
      </c>
      <c r="S20" s="6707" t="s">
        <v>3967</v>
      </c>
      <c r="T20" s="2939"/>
      <c r="U20" s="6715"/>
      <c r="V20" s="6709" t="s">
        <v>3968</v>
      </c>
      <c r="W20" s="6708"/>
      <c r="X20" s="6713"/>
      <c r="Y20" s="6710"/>
      <c r="Z20" s="6710"/>
      <c r="AA20" s="6710"/>
      <c r="AB20" s="6710"/>
      <c r="AC20" s="6710"/>
      <c r="AD20" s="6710"/>
    </row>
    <row r="21" spans="1:35">
      <c r="A21" s="6705">
        <v>6</v>
      </c>
      <c r="B21" s="6701">
        <v>2795</v>
      </c>
      <c r="C21" s="6706" t="s">
        <v>3969</v>
      </c>
      <c r="D21" s="6707" t="s">
        <v>3970</v>
      </c>
      <c r="E21" s="6708"/>
      <c r="F21" s="6705">
        <v>330</v>
      </c>
      <c r="G21" s="6701" t="s">
        <v>3971</v>
      </c>
      <c r="H21" s="6706" t="s">
        <v>3972</v>
      </c>
      <c r="I21" s="6707" t="s">
        <v>3973</v>
      </c>
      <c r="J21" s="6708"/>
      <c r="K21" s="6705">
        <v>654</v>
      </c>
      <c r="L21" s="6701" t="s">
        <v>3974</v>
      </c>
      <c r="M21" s="6706" t="s">
        <v>3975</v>
      </c>
      <c r="N21" s="6707" t="s">
        <v>3976</v>
      </c>
      <c r="O21" s="6708"/>
      <c r="P21" s="6705">
        <v>978</v>
      </c>
      <c r="Q21" s="6701" t="s">
        <v>3977</v>
      </c>
      <c r="R21" s="6706" t="s">
        <v>3978</v>
      </c>
      <c r="S21" s="6707" t="s">
        <v>3979</v>
      </c>
      <c r="T21" s="2939"/>
      <c r="U21" s="6708"/>
      <c r="V21" s="6708"/>
      <c r="W21" s="6708"/>
      <c r="X21" s="6708"/>
      <c r="Y21" s="6708"/>
      <c r="Z21" s="6708"/>
      <c r="AA21" s="6708"/>
      <c r="AB21" s="6708"/>
      <c r="AC21" s="6708"/>
      <c r="AD21" s="6708"/>
    </row>
    <row r="22" spans="1:35">
      <c r="A22" s="6705">
        <v>7</v>
      </c>
      <c r="B22" s="6701">
        <v>2796</v>
      </c>
      <c r="C22" s="6706" t="s">
        <v>3980</v>
      </c>
      <c r="D22" s="6707" t="s">
        <v>3981</v>
      </c>
      <c r="E22" s="6708"/>
      <c r="F22" s="6705">
        <v>331</v>
      </c>
      <c r="G22" s="6701" t="s">
        <v>3982</v>
      </c>
      <c r="H22" s="6706" t="s">
        <v>3983</v>
      </c>
      <c r="I22" s="6707" t="s">
        <v>3984</v>
      </c>
      <c r="J22" s="6708"/>
      <c r="K22" s="6705">
        <v>655</v>
      </c>
      <c r="L22" s="6701" t="s">
        <v>3985</v>
      </c>
      <c r="M22" s="6706" t="s">
        <v>3986</v>
      </c>
      <c r="N22" s="6707" t="s">
        <v>3987</v>
      </c>
      <c r="O22" s="6708"/>
      <c r="P22" s="6705">
        <v>979</v>
      </c>
      <c r="Q22" s="6701" t="s">
        <v>3988</v>
      </c>
      <c r="R22" s="6706" t="s">
        <v>3989</v>
      </c>
      <c r="S22" s="6707" t="s">
        <v>3990</v>
      </c>
      <c r="T22" s="2939"/>
      <c r="U22" s="6708"/>
      <c r="V22" s="6708"/>
      <c r="W22" s="6708"/>
      <c r="X22" s="6712"/>
      <c r="Y22" s="6712"/>
      <c r="Z22" s="6712"/>
      <c r="AA22" s="6712"/>
      <c r="AB22" s="6712"/>
      <c r="AC22" s="6712"/>
      <c r="AD22" s="6708"/>
    </row>
    <row r="23" spans="1:35">
      <c r="A23" s="6705">
        <v>8</v>
      </c>
      <c r="B23" s="6701">
        <v>2797</v>
      </c>
      <c r="C23" s="6706" t="s">
        <v>3991</v>
      </c>
      <c r="D23" s="6707" t="s">
        <v>3992</v>
      </c>
      <c r="E23" s="6708"/>
      <c r="F23" s="6705">
        <v>332</v>
      </c>
      <c r="G23" s="6701" t="s">
        <v>3993</v>
      </c>
      <c r="H23" s="6706" t="s">
        <v>3994</v>
      </c>
      <c r="I23" s="6707" t="s">
        <v>3995</v>
      </c>
      <c r="J23" s="6708"/>
      <c r="K23" s="6705">
        <v>656</v>
      </c>
      <c r="L23" s="6701" t="s">
        <v>3996</v>
      </c>
      <c r="M23" s="6706" t="s">
        <v>3997</v>
      </c>
      <c r="N23" s="6707" t="s">
        <v>3998</v>
      </c>
      <c r="O23" s="6708"/>
      <c r="P23" s="6705">
        <v>980</v>
      </c>
      <c r="Q23" s="6701" t="s">
        <v>3999</v>
      </c>
      <c r="R23" s="6706" t="s">
        <v>4000</v>
      </c>
      <c r="S23" s="6707" t="s">
        <v>4001</v>
      </c>
      <c r="T23" s="2939"/>
      <c r="U23" s="6712" t="s">
        <v>4002</v>
      </c>
      <c r="V23" s="6712"/>
      <c r="W23" s="6712"/>
      <c r="X23" s="6712"/>
      <c r="Y23" s="6708"/>
      <c r="Z23" s="6708"/>
      <c r="AA23" s="6708"/>
      <c r="AB23" s="6708"/>
      <c r="AC23" s="6708"/>
      <c r="AD23" s="6708"/>
      <c r="AE23" s="2939"/>
    </row>
    <row r="24" spans="1:35">
      <c r="A24" s="6705">
        <v>9</v>
      </c>
      <c r="B24" s="6701" t="s">
        <v>4003</v>
      </c>
      <c r="C24" s="6706" t="s">
        <v>4004</v>
      </c>
      <c r="D24" s="6707" t="s">
        <v>4005</v>
      </c>
      <c r="E24" s="6708"/>
      <c r="F24" s="6705">
        <v>333</v>
      </c>
      <c r="G24" s="6701" t="s">
        <v>4006</v>
      </c>
      <c r="H24" s="6706" t="s">
        <v>4007</v>
      </c>
      <c r="I24" s="6707" t="s">
        <v>4008</v>
      </c>
      <c r="J24" s="6708"/>
      <c r="K24" s="6705">
        <v>657</v>
      </c>
      <c r="L24" s="6701" t="s">
        <v>4009</v>
      </c>
      <c r="M24" s="6706" t="s">
        <v>4010</v>
      </c>
      <c r="N24" s="6707" t="s">
        <v>4011</v>
      </c>
      <c r="O24" s="6708"/>
      <c r="P24" s="6705">
        <v>981</v>
      </c>
      <c r="Q24" s="6701" t="s">
        <v>4012</v>
      </c>
      <c r="R24" s="6706" t="s">
        <v>4013</v>
      </c>
      <c r="S24" s="6707" t="s">
        <v>4014</v>
      </c>
      <c r="T24" s="2939"/>
      <c r="U24" s="6712" t="s">
        <v>4015</v>
      </c>
      <c r="V24" s="6712"/>
      <c r="W24" s="6712"/>
      <c r="X24" s="6712"/>
      <c r="Y24" s="6708"/>
      <c r="Z24" s="6708"/>
      <c r="AA24" s="6708"/>
      <c r="AB24" s="6708"/>
      <c r="AC24" s="6708"/>
      <c r="AD24" s="6708"/>
    </row>
    <row r="25" spans="1:35">
      <c r="A25" s="6705">
        <v>10</v>
      </c>
      <c r="B25" s="6701" t="s">
        <v>4016</v>
      </c>
      <c r="C25" s="6706" t="s">
        <v>4017</v>
      </c>
      <c r="E25" s="6708"/>
      <c r="F25" s="6705">
        <v>334</v>
      </c>
      <c r="G25" s="6701" t="s">
        <v>4018</v>
      </c>
      <c r="H25" s="6706" t="s">
        <v>4019</v>
      </c>
      <c r="I25" s="6707" t="s">
        <v>4020</v>
      </c>
      <c r="J25" s="6708"/>
      <c r="K25" s="6705">
        <v>658</v>
      </c>
      <c r="L25" s="6701" t="s">
        <v>4021</v>
      </c>
      <c r="M25" s="6706" t="s">
        <v>4022</v>
      </c>
      <c r="N25" s="6707" t="s">
        <v>4023</v>
      </c>
      <c r="O25" s="6708"/>
      <c r="P25" s="6705">
        <v>982</v>
      </c>
      <c r="Q25" s="6701" t="s">
        <v>4024</v>
      </c>
      <c r="R25" s="6706" t="s">
        <v>4025</v>
      </c>
      <c r="S25" s="6707" t="s">
        <v>4026</v>
      </c>
      <c r="T25" s="2939"/>
      <c r="U25" s="6712"/>
      <c r="V25" s="6712" t="s">
        <v>4027</v>
      </c>
      <c r="W25" s="6712"/>
      <c r="X25" s="6712"/>
      <c r="Y25" s="6708"/>
      <c r="Z25" s="6708"/>
      <c r="AA25" s="6708"/>
      <c r="AB25" s="6708"/>
      <c r="AC25" s="6708"/>
      <c r="AD25" s="6708"/>
    </row>
    <row r="26" spans="1:35">
      <c r="A26" s="6705">
        <v>11</v>
      </c>
      <c r="B26" s="6701" t="s">
        <v>4028</v>
      </c>
      <c r="C26" s="6706" t="s">
        <v>4029</v>
      </c>
      <c r="E26" s="6708"/>
      <c r="F26" s="6705">
        <v>335</v>
      </c>
      <c r="G26" s="6701" t="s">
        <v>4030</v>
      </c>
      <c r="H26" s="6706" t="s">
        <v>4031</v>
      </c>
      <c r="I26" s="6707" t="s">
        <v>4032</v>
      </c>
      <c r="J26" s="6708"/>
      <c r="K26" s="6705">
        <v>659</v>
      </c>
      <c r="L26" s="6701" t="s">
        <v>4033</v>
      </c>
      <c r="M26" s="6706" t="s">
        <v>4034</v>
      </c>
      <c r="N26" s="6707" t="s">
        <v>4035</v>
      </c>
      <c r="O26" s="6708"/>
      <c r="P26" s="6705">
        <v>983</v>
      </c>
      <c r="Q26" s="6701" t="s">
        <v>4036</v>
      </c>
      <c r="R26" s="6706" t="s">
        <v>4037</v>
      </c>
      <c r="S26" s="6707" t="s">
        <v>4038</v>
      </c>
      <c r="T26" s="2939"/>
      <c r="U26" s="6712"/>
      <c r="V26" s="6712" t="s">
        <v>4039</v>
      </c>
      <c r="W26" s="6712"/>
      <c r="X26" s="6712"/>
      <c r="Y26" s="6708"/>
      <c r="Z26" s="6708"/>
      <c r="AA26" s="6708"/>
      <c r="AB26" s="6708"/>
      <c r="AC26" s="6708"/>
      <c r="AD26" s="6708"/>
    </row>
    <row r="27" spans="1:35">
      <c r="A27" s="6705">
        <v>12</v>
      </c>
      <c r="B27" s="6701">
        <v>3030</v>
      </c>
      <c r="C27" s="6706" t="s">
        <v>4040</v>
      </c>
      <c r="E27" s="6708"/>
      <c r="F27" s="6705">
        <v>336</v>
      </c>
      <c r="G27" s="6701" t="s">
        <v>4041</v>
      </c>
      <c r="H27" s="6706" t="s">
        <v>4042</v>
      </c>
      <c r="I27" s="6707" t="s">
        <v>4043</v>
      </c>
      <c r="J27" s="6708"/>
      <c r="K27" s="6705">
        <v>660</v>
      </c>
      <c r="L27" s="6701" t="s">
        <v>4044</v>
      </c>
      <c r="M27" s="6706" t="s">
        <v>4045</v>
      </c>
      <c r="N27" s="6707" t="s">
        <v>4046</v>
      </c>
      <c r="O27" s="6708"/>
      <c r="P27" s="6705">
        <v>984</v>
      </c>
      <c r="Q27" s="6701" t="s">
        <v>4047</v>
      </c>
      <c r="R27" s="6706" t="s">
        <v>4048</v>
      </c>
      <c r="S27" s="6707" t="s">
        <v>4049</v>
      </c>
      <c r="T27" s="2939"/>
      <c r="U27" s="6715"/>
      <c r="V27" s="6708"/>
      <c r="W27" s="6708"/>
      <c r="X27" s="6708"/>
      <c r="Y27" s="6708"/>
      <c r="Z27" s="6708"/>
      <c r="AA27" s="6708"/>
      <c r="AB27" s="6708"/>
      <c r="AC27" s="6708"/>
      <c r="AD27" s="6708"/>
    </row>
    <row r="28" spans="1:35">
      <c r="A28" s="6705">
        <v>13</v>
      </c>
      <c r="B28" s="6701" t="s">
        <v>4050</v>
      </c>
      <c r="C28" s="6706" t="s">
        <v>4051</v>
      </c>
      <c r="E28" s="6708"/>
      <c r="F28" s="6705">
        <v>337</v>
      </c>
      <c r="G28" s="6701" t="s">
        <v>4052</v>
      </c>
      <c r="H28" s="6706" t="s">
        <v>4053</v>
      </c>
      <c r="I28" s="6707" t="s">
        <v>4054</v>
      </c>
      <c r="J28" s="6708"/>
      <c r="K28" s="6705">
        <v>661</v>
      </c>
      <c r="L28" s="6701" t="s">
        <v>4055</v>
      </c>
      <c r="M28" s="6706" t="s">
        <v>4056</v>
      </c>
      <c r="N28" s="6707" t="s">
        <v>4057</v>
      </c>
      <c r="O28" s="6708"/>
      <c r="P28" s="6705">
        <v>985</v>
      </c>
      <c r="Q28" s="6701" t="s">
        <v>4058</v>
      </c>
      <c r="R28" s="6706" t="s">
        <v>4059</v>
      </c>
      <c r="S28" s="6707" t="s">
        <v>4060</v>
      </c>
      <c r="T28" s="2939"/>
      <c r="U28" s="2939"/>
      <c r="V28" s="2939"/>
      <c r="W28" s="2939"/>
      <c r="X28" s="2939"/>
      <c r="Y28" s="2939"/>
      <c r="Z28" s="2939"/>
      <c r="AA28" s="2939"/>
      <c r="AB28" s="2939"/>
      <c r="AC28" s="2939"/>
      <c r="AD28" s="2939"/>
      <c r="AE28" s="2939"/>
      <c r="AF28" s="2939"/>
      <c r="AG28" s="2939"/>
    </row>
    <row r="29" spans="1:35">
      <c r="A29" s="6705">
        <v>14</v>
      </c>
      <c r="B29" s="6701" t="s">
        <v>4061</v>
      </c>
      <c r="C29" s="6706" t="s">
        <v>4062</v>
      </c>
      <c r="E29" s="6708"/>
      <c r="F29" s="6705">
        <v>338</v>
      </c>
      <c r="G29" s="6701" t="s">
        <v>4063</v>
      </c>
      <c r="H29" s="6706" t="s">
        <v>4064</v>
      </c>
      <c r="I29" s="6707" t="s">
        <v>4065</v>
      </c>
      <c r="J29" s="6708"/>
      <c r="K29" s="6705">
        <v>662</v>
      </c>
      <c r="L29" s="6701" t="s">
        <v>4066</v>
      </c>
      <c r="M29" s="6706" t="s">
        <v>4067</v>
      </c>
      <c r="N29" s="6707" t="s">
        <v>4068</v>
      </c>
      <c r="O29" s="6708"/>
      <c r="P29" s="6705">
        <v>986</v>
      </c>
      <c r="Q29" s="6701" t="s">
        <v>4069</v>
      </c>
      <c r="R29" s="6706" t="s">
        <v>4070</v>
      </c>
      <c r="S29" s="6707" t="s">
        <v>4071</v>
      </c>
      <c r="T29" s="2939"/>
      <c r="U29" s="2939"/>
      <c r="V29" s="2939"/>
      <c r="W29" s="2939"/>
      <c r="X29" s="2939"/>
      <c r="Y29" s="2939"/>
      <c r="Z29" s="2939"/>
      <c r="AA29" s="2939"/>
      <c r="AB29" s="2939"/>
      <c r="AC29" s="2939"/>
      <c r="AD29" s="2939"/>
    </row>
    <row r="30" spans="1:35">
      <c r="A30" s="6705">
        <v>15</v>
      </c>
      <c r="B30" s="6701">
        <v>2049</v>
      </c>
      <c r="C30" s="6706" t="s">
        <v>4072</v>
      </c>
      <c r="E30" s="6708"/>
      <c r="F30" s="6705">
        <v>339</v>
      </c>
      <c r="G30" s="6701" t="s">
        <v>4073</v>
      </c>
      <c r="H30" s="6706" t="s">
        <v>4074</v>
      </c>
      <c r="I30" s="6707" t="s">
        <v>4075</v>
      </c>
      <c r="J30" s="6708"/>
      <c r="K30" s="6705">
        <v>663</v>
      </c>
      <c r="L30" s="6701" t="s">
        <v>4076</v>
      </c>
      <c r="M30" s="6706" t="s">
        <v>4077</v>
      </c>
      <c r="N30" s="6707" t="s">
        <v>4078</v>
      </c>
      <c r="O30" s="6708"/>
      <c r="P30" s="6705">
        <v>987</v>
      </c>
      <c r="Q30" s="6701" t="s">
        <v>4079</v>
      </c>
      <c r="R30" s="6706" t="s">
        <v>4080</v>
      </c>
      <c r="S30" s="6707" t="s">
        <v>4081</v>
      </c>
      <c r="T30" s="2939"/>
      <c r="U30" s="2939"/>
      <c r="V30" s="2939"/>
      <c r="W30" s="2939"/>
      <c r="X30" s="2939"/>
      <c r="Y30" s="2939"/>
      <c r="Z30" s="2939"/>
      <c r="AA30" s="2939"/>
      <c r="AB30" s="2939"/>
      <c r="AC30" s="2939"/>
      <c r="AD30" s="2939"/>
    </row>
    <row r="31" spans="1:35">
      <c r="A31" s="6705">
        <v>16</v>
      </c>
      <c r="B31" s="6701" t="s">
        <v>4082</v>
      </c>
      <c r="C31" s="6706" t="s">
        <v>4083</v>
      </c>
      <c r="E31" s="6708"/>
      <c r="F31" s="6705">
        <v>340</v>
      </c>
      <c r="G31" s="6701" t="s">
        <v>4084</v>
      </c>
      <c r="H31" s="6706" t="s">
        <v>4085</v>
      </c>
      <c r="I31" s="6707" t="s">
        <v>4086</v>
      </c>
      <c r="J31" s="6708"/>
      <c r="K31" s="6705">
        <v>664</v>
      </c>
      <c r="L31" s="6701" t="s">
        <v>4087</v>
      </c>
      <c r="M31" s="6706" t="s">
        <v>4088</v>
      </c>
      <c r="N31" s="6707" t="s">
        <v>4089</v>
      </c>
      <c r="O31" s="6708"/>
      <c r="P31" s="6705">
        <v>988</v>
      </c>
      <c r="Q31" s="6701" t="s">
        <v>4090</v>
      </c>
      <c r="R31" s="6706" t="s">
        <v>4091</v>
      </c>
      <c r="S31" s="6707" t="s">
        <v>4092</v>
      </c>
      <c r="T31" s="2939"/>
      <c r="U31" s="2939"/>
      <c r="V31" s="2939"/>
      <c r="W31" s="2939"/>
      <c r="X31" s="2939"/>
      <c r="Y31" s="2939"/>
      <c r="Z31" s="2939"/>
      <c r="AA31" s="2939"/>
      <c r="AB31" s="2939"/>
      <c r="AC31" s="2939"/>
      <c r="AD31" s="2939"/>
    </row>
    <row r="32" spans="1:35">
      <c r="A32" s="6705">
        <v>17</v>
      </c>
      <c r="B32" s="6701" t="s">
        <v>4093</v>
      </c>
      <c r="C32" s="6706" t="s">
        <v>4094</v>
      </c>
      <c r="E32" s="6708"/>
      <c r="F32" s="6705">
        <v>341</v>
      </c>
      <c r="G32" s="6701" t="s">
        <v>4095</v>
      </c>
      <c r="H32" s="6706" t="s">
        <v>4096</v>
      </c>
      <c r="I32" s="6707" t="s">
        <v>4097</v>
      </c>
      <c r="J32" s="6708"/>
      <c r="K32" s="6705">
        <v>665</v>
      </c>
      <c r="L32" s="6701" t="s">
        <v>4098</v>
      </c>
      <c r="M32" s="6706" t="s">
        <v>4099</v>
      </c>
      <c r="N32" s="6707" t="s">
        <v>4100</v>
      </c>
      <c r="O32" s="6708"/>
      <c r="P32" s="6705">
        <v>989</v>
      </c>
      <c r="Q32" s="6701" t="s">
        <v>4101</v>
      </c>
      <c r="R32" s="6706" t="s">
        <v>4102</v>
      </c>
      <c r="S32" s="6707" t="s">
        <v>4103</v>
      </c>
      <c r="T32" s="2939"/>
      <c r="U32" s="2939"/>
      <c r="V32" s="2939"/>
      <c r="W32" s="2939"/>
      <c r="X32" s="2939"/>
      <c r="Y32" s="2939"/>
      <c r="Z32" s="2939"/>
      <c r="AA32" s="2939"/>
      <c r="AB32" s="2939"/>
      <c r="AC32" s="2939"/>
      <c r="AD32" s="2939"/>
    </row>
    <row r="33" spans="1:30">
      <c r="A33" s="6705">
        <v>18</v>
      </c>
      <c r="B33" s="6701" t="s">
        <v>4104</v>
      </c>
      <c r="C33" s="6706" t="s">
        <v>4105</v>
      </c>
      <c r="E33" s="6708"/>
      <c r="F33" s="6705">
        <v>342</v>
      </c>
      <c r="G33" s="6701" t="s">
        <v>4106</v>
      </c>
      <c r="H33" s="6706" t="s">
        <v>4107</v>
      </c>
      <c r="I33" s="6707" t="s">
        <v>4108</v>
      </c>
      <c r="J33" s="6708"/>
      <c r="K33" s="6705">
        <v>666</v>
      </c>
      <c r="L33" s="6701" t="s">
        <v>4109</v>
      </c>
      <c r="M33" s="6706" t="s">
        <v>4110</v>
      </c>
      <c r="N33" s="6707" t="s">
        <v>4111</v>
      </c>
      <c r="O33" s="6708"/>
      <c r="P33" s="6705">
        <v>990</v>
      </c>
      <c r="Q33" s="6701" t="s">
        <v>4112</v>
      </c>
      <c r="R33" s="6706" t="s">
        <v>4113</v>
      </c>
      <c r="S33" s="6707" t="s">
        <v>4114</v>
      </c>
      <c r="T33" s="2939"/>
      <c r="U33" s="2939"/>
      <c r="V33" s="2939"/>
      <c r="W33" s="2939"/>
      <c r="X33" s="2939"/>
      <c r="Y33" s="2939"/>
      <c r="Z33" s="2939"/>
      <c r="AA33" s="2939"/>
      <c r="AB33" s="2939"/>
      <c r="AC33" s="2939"/>
      <c r="AD33" s="2939"/>
    </row>
    <row r="34" spans="1:30">
      <c r="A34" s="6705">
        <v>19</v>
      </c>
      <c r="B34" s="6701" t="s">
        <v>4115</v>
      </c>
      <c r="C34" s="6706" t="s">
        <v>4116</v>
      </c>
      <c r="E34" s="6708"/>
      <c r="F34" s="6705">
        <v>343</v>
      </c>
      <c r="G34" s="6701" t="s">
        <v>4117</v>
      </c>
      <c r="H34" s="6706" t="s">
        <v>4118</v>
      </c>
      <c r="I34" s="6707" t="s">
        <v>4119</v>
      </c>
      <c r="J34" s="6708"/>
      <c r="K34" s="6705">
        <v>667</v>
      </c>
      <c r="L34" s="6701" t="s">
        <v>4120</v>
      </c>
      <c r="M34" s="6706" t="s">
        <v>4121</v>
      </c>
      <c r="N34" s="6707" t="s">
        <v>4122</v>
      </c>
      <c r="O34" s="6708"/>
      <c r="P34" s="6705">
        <v>991</v>
      </c>
      <c r="Q34" s="6701" t="s">
        <v>4123</v>
      </c>
      <c r="R34" s="6706" t="s">
        <v>4124</v>
      </c>
      <c r="S34" s="6707" t="s">
        <v>4125</v>
      </c>
      <c r="T34" s="2939"/>
      <c r="U34" s="2939"/>
      <c r="V34" s="2939"/>
      <c r="W34" s="2939"/>
      <c r="X34" s="2939"/>
      <c r="Y34" s="2939"/>
      <c r="Z34" s="2939"/>
      <c r="AA34" s="2939"/>
      <c r="AB34" s="2939"/>
      <c r="AC34" s="2939"/>
      <c r="AD34" s="2939"/>
    </row>
    <row r="35" spans="1:30">
      <c r="A35" s="6705">
        <v>20</v>
      </c>
      <c r="B35" s="6701" t="s">
        <v>4126</v>
      </c>
      <c r="C35" s="6706" t="s">
        <v>4127</v>
      </c>
      <c r="E35" s="6708"/>
      <c r="F35" s="6705">
        <v>344</v>
      </c>
      <c r="G35" s="6701" t="s">
        <v>4128</v>
      </c>
      <c r="H35" s="6706" t="s">
        <v>4129</v>
      </c>
      <c r="I35" s="6707" t="s">
        <v>4130</v>
      </c>
      <c r="J35" s="6708"/>
      <c r="K35" s="6705">
        <v>668</v>
      </c>
      <c r="L35" s="6701" t="s">
        <v>4131</v>
      </c>
      <c r="M35" s="6706" t="s">
        <v>4132</v>
      </c>
      <c r="N35" s="6707" t="s">
        <v>4133</v>
      </c>
      <c r="O35" s="6708"/>
      <c r="P35" s="6705">
        <v>992</v>
      </c>
      <c r="Q35" s="6701" t="s">
        <v>4134</v>
      </c>
      <c r="R35" s="6706" t="s">
        <v>4135</v>
      </c>
      <c r="S35" s="6707" t="s">
        <v>4136</v>
      </c>
      <c r="T35" s="2939"/>
      <c r="U35" s="2939"/>
      <c r="V35" s="2939"/>
      <c r="W35" s="2939"/>
      <c r="X35" s="2939"/>
      <c r="Y35" s="2939"/>
      <c r="Z35" s="2939"/>
      <c r="AA35" s="2939"/>
      <c r="AB35" s="2939"/>
      <c r="AC35" s="2939"/>
      <c r="AD35" s="2939"/>
    </row>
    <row r="36" spans="1:30">
      <c r="A36" s="6705">
        <v>21</v>
      </c>
      <c r="B36" s="6701" t="s">
        <v>4137</v>
      </c>
      <c r="C36" s="6706" t="s">
        <v>4138</v>
      </c>
      <c r="E36" s="6708"/>
      <c r="F36" s="6705">
        <v>345</v>
      </c>
      <c r="G36" s="6701" t="s">
        <v>4139</v>
      </c>
      <c r="H36" s="6706" t="s">
        <v>4140</v>
      </c>
      <c r="I36" s="6707" t="s">
        <v>4141</v>
      </c>
      <c r="J36" s="6708"/>
      <c r="K36" s="6705">
        <v>669</v>
      </c>
      <c r="L36" s="6701" t="s">
        <v>4142</v>
      </c>
      <c r="M36" s="6706" t="s">
        <v>4143</v>
      </c>
      <c r="N36" s="6707" t="s">
        <v>4144</v>
      </c>
      <c r="O36" s="6708"/>
      <c r="P36" s="6705">
        <v>993</v>
      </c>
      <c r="Q36" s="6701" t="s">
        <v>4145</v>
      </c>
      <c r="R36" s="6706" t="s">
        <v>4146</v>
      </c>
      <c r="S36" s="6707" t="s">
        <v>4147</v>
      </c>
      <c r="T36" s="2939"/>
      <c r="U36" s="2939"/>
      <c r="V36" s="2939"/>
      <c r="W36" s="2939"/>
      <c r="X36" s="2939"/>
      <c r="Y36" s="2939"/>
      <c r="Z36" s="2939"/>
      <c r="AA36" s="2939"/>
      <c r="AB36" s="2939"/>
      <c r="AC36" s="2939"/>
      <c r="AD36" s="2939"/>
    </row>
    <row r="37" spans="1:30">
      <c r="A37" s="6705">
        <v>22</v>
      </c>
      <c r="B37" s="6701" t="s">
        <v>4148</v>
      </c>
      <c r="C37" s="6706" t="s">
        <v>4149</v>
      </c>
      <c r="E37" s="6708"/>
      <c r="F37" s="6705">
        <v>346</v>
      </c>
      <c r="G37" s="6701" t="s">
        <v>4150</v>
      </c>
      <c r="H37" s="6706" t="s">
        <v>4151</v>
      </c>
      <c r="I37" s="6707" t="s">
        <v>4152</v>
      </c>
      <c r="J37" s="6708"/>
      <c r="K37" s="6705">
        <v>670</v>
      </c>
      <c r="L37" s="6701" t="s">
        <v>4153</v>
      </c>
      <c r="M37" s="6706" t="s">
        <v>4154</v>
      </c>
      <c r="N37" s="6707" t="s">
        <v>4155</v>
      </c>
      <c r="O37" s="6708"/>
      <c r="P37" s="6705">
        <v>994</v>
      </c>
      <c r="Q37" s="6701" t="s">
        <v>4156</v>
      </c>
      <c r="R37" s="6706" t="s">
        <v>4157</v>
      </c>
      <c r="S37" s="6707" t="s">
        <v>4158</v>
      </c>
      <c r="T37" s="2939"/>
      <c r="U37" s="2939"/>
      <c r="V37" s="2939"/>
      <c r="W37" s="2939"/>
      <c r="X37" s="2939"/>
      <c r="Y37" s="2939"/>
      <c r="Z37" s="2939"/>
      <c r="AA37" s="2939"/>
      <c r="AB37" s="2939"/>
      <c r="AC37" s="2939"/>
      <c r="AD37" s="2939"/>
    </row>
    <row r="38" spans="1:30">
      <c r="A38" s="6705">
        <v>23</v>
      </c>
      <c r="B38" s="6701" t="s">
        <v>4159</v>
      </c>
      <c r="C38" s="6706" t="s">
        <v>4160</v>
      </c>
      <c r="E38" s="6708"/>
      <c r="F38" s="6705">
        <v>347</v>
      </c>
      <c r="G38" s="6701" t="s">
        <v>4161</v>
      </c>
      <c r="H38" s="6706" t="s">
        <v>4162</v>
      </c>
      <c r="I38" s="6707" t="s">
        <v>4163</v>
      </c>
      <c r="J38" s="6708"/>
      <c r="K38" s="6705">
        <v>671</v>
      </c>
      <c r="L38" s="6701" t="s">
        <v>4164</v>
      </c>
      <c r="M38" s="6706" t="s">
        <v>4165</v>
      </c>
      <c r="N38" s="6707" t="s">
        <v>4166</v>
      </c>
      <c r="O38" s="6708"/>
      <c r="P38" s="6705">
        <v>995</v>
      </c>
      <c r="Q38" s="6701" t="s">
        <v>4167</v>
      </c>
      <c r="R38" s="6706" t="s">
        <v>4168</v>
      </c>
      <c r="S38" s="6707" t="s">
        <v>4169</v>
      </c>
      <c r="T38" s="2939"/>
      <c r="U38" s="2939"/>
      <c r="V38" s="2939"/>
      <c r="W38" s="2939"/>
      <c r="X38" s="2939"/>
      <c r="Y38" s="2939"/>
      <c r="Z38" s="2939"/>
      <c r="AA38" s="2939"/>
      <c r="AB38" s="2939"/>
      <c r="AC38" s="2939"/>
      <c r="AD38" s="2939"/>
    </row>
    <row r="39" spans="1:30">
      <c r="A39" s="6705">
        <v>24</v>
      </c>
      <c r="B39" s="6701" t="s">
        <v>4170</v>
      </c>
      <c r="C39" s="6706" t="s">
        <v>4171</v>
      </c>
      <c r="D39" s="6707" t="s">
        <v>4172</v>
      </c>
      <c r="E39" s="6708"/>
      <c r="F39" s="6705">
        <v>348</v>
      </c>
      <c r="G39" s="6701" t="s">
        <v>4173</v>
      </c>
      <c r="H39" s="6706" t="s">
        <v>4174</v>
      </c>
      <c r="I39" s="6707" t="s">
        <v>4175</v>
      </c>
      <c r="J39" s="6708"/>
      <c r="K39" s="6705">
        <v>672</v>
      </c>
      <c r="L39" s="6701" t="s">
        <v>4176</v>
      </c>
      <c r="M39" s="6706" t="s">
        <v>4177</v>
      </c>
      <c r="N39" s="6707" t="s">
        <v>4178</v>
      </c>
      <c r="O39" s="6708"/>
      <c r="P39" s="6705">
        <v>996</v>
      </c>
      <c r="Q39" s="6701" t="s">
        <v>4179</v>
      </c>
      <c r="R39" s="6706" t="s">
        <v>4180</v>
      </c>
      <c r="T39" s="2939"/>
      <c r="U39" s="2939"/>
      <c r="V39" s="2939"/>
      <c r="W39" s="2939"/>
      <c r="X39" s="2939"/>
      <c r="Y39" s="2939"/>
      <c r="Z39" s="2939"/>
      <c r="AA39" s="2939"/>
      <c r="AB39" s="2939"/>
      <c r="AC39" s="2939"/>
      <c r="AD39" s="2939"/>
    </row>
    <row r="40" spans="1:30">
      <c r="A40" s="6705">
        <v>25</v>
      </c>
      <c r="B40" s="6701" t="s">
        <v>4181</v>
      </c>
      <c r="C40" s="6706" t="s">
        <v>4182</v>
      </c>
      <c r="D40" s="6707" t="s">
        <v>4183</v>
      </c>
      <c r="E40" s="6708"/>
      <c r="F40" s="6705">
        <v>349</v>
      </c>
      <c r="G40" s="6701" t="s">
        <v>4184</v>
      </c>
      <c r="H40" s="6706" t="s">
        <v>4185</v>
      </c>
      <c r="I40" s="6707" t="s">
        <v>4186</v>
      </c>
      <c r="J40" s="6708"/>
      <c r="K40" s="6705">
        <v>673</v>
      </c>
      <c r="L40" s="6701" t="s">
        <v>4187</v>
      </c>
      <c r="M40" s="6706" t="s">
        <v>4188</v>
      </c>
      <c r="N40" s="6707" t="s">
        <v>4189</v>
      </c>
      <c r="O40" s="6708"/>
      <c r="P40" s="6705">
        <v>997</v>
      </c>
      <c r="Q40" s="6701" t="s">
        <v>4190</v>
      </c>
      <c r="R40" s="6706" t="s">
        <v>4191</v>
      </c>
      <c r="T40" s="2939"/>
      <c r="U40" s="2939"/>
      <c r="V40" s="2939"/>
      <c r="W40" s="2939"/>
      <c r="X40" s="2939"/>
      <c r="Y40" s="2939"/>
      <c r="Z40" s="2939"/>
      <c r="AA40" s="2939"/>
      <c r="AB40" s="2939"/>
      <c r="AC40" s="2939"/>
      <c r="AD40" s="2939"/>
    </row>
    <row r="41" spans="1:30">
      <c r="A41" s="6705">
        <v>26</v>
      </c>
      <c r="B41" s="6701" t="s">
        <v>4192</v>
      </c>
      <c r="C41" s="6706" t="s">
        <v>4193</v>
      </c>
      <c r="D41" s="6707" t="s">
        <v>4183</v>
      </c>
      <c r="E41" s="6708"/>
      <c r="F41" s="6705">
        <v>350</v>
      </c>
      <c r="G41" s="6701" t="s">
        <v>4194</v>
      </c>
      <c r="H41" s="6706" t="s">
        <v>4195</v>
      </c>
      <c r="I41" s="6707" t="s">
        <v>4196</v>
      </c>
      <c r="J41" s="6708"/>
      <c r="K41" s="6705">
        <v>674</v>
      </c>
      <c r="L41" s="6701" t="s">
        <v>4197</v>
      </c>
      <c r="M41" s="6706" t="s">
        <v>4198</v>
      </c>
      <c r="N41" s="6707" t="s">
        <v>4199</v>
      </c>
      <c r="O41" s="6708"/>
      <c r="P41" s="6705">
        <v>998</v>
      </c>
      <c r="Q41" s="6701" t="s">
        <v>4200</v>
      </c>
      <c r="R41" s="6706" t="s">
        <v>4201</v>
      </c>
      <c r="T41" s="2939"/>
      <c r="U41" s="2939"/>
      <c r="V41" s="2939"/>
      <c r="W41" s="2939"/>
      <c r="X41" s="2939"/>
      <c r="Y41" s="2939"/>
      <c r="Z41" s="2939"/>
      <c r="AA41" s="2939"/>
      <c r="AB41" s="2939"/>
      <c r="AC41" s="2939"/>
      <c r="AD41" s="2939"/>
    </row>
    <row r="42" spans="1:30">
      <c r="A42" s="6705">
        <v>27</v>
      </c>
      <c r="B42" s="6701" t="s">
        <v>4202</v>
      </c>
      <c r="C42" s="6706" t="s">
        <v>4203</v>
      </c>
      <c r="D42" s="6707" t="s">
        <v>4204</v>
      </c>
      <c r="E42" s="6708"/>
      <c r="F42" s="6705">
        <v>351</v>
      </c>
      <c r="G42" s="6701" t="s">
        <v>4205</v>
      </c>
      <c r="H42" s="6706" t="s">
        <v>4206</v>
      </c>
      <c r="I42" s="6707" t="s">
        <v>4207</v>
      </c>
      <c r="J42" s="6708"/>
      <c r="K42" s="6705">
        <v>675</v>
      </c>
      <c r="L42" s="6701" t="s">
        <v>4208</v>
      </c>
      <c r="M42" s="6706" t="s">
        <v>4209</v>
      </c>
      <c r="N42" s="6707" t="s">
        <v>4210</v>
      </c>
      <c r="O42" s="6708"/>
      <c r="P42" s="6705">
        <v>999</v>
      </c>
      <c r="Q42" s="6701" t="s">
        <v>4211</v>
      </c>
      <c r="R42" s="6706" t="s">
        <v>4212</v>
      </c>
      <c r="S42" s="6707" t="s">
        <v>4213</v>
      </c>
      <c r="T42" s="2939"/>
      <c r="U42" s="2939"/>
      <c r="V42" s="2939"/>
      <c r="W42" s="2939"/>
      <c r="X42" s="2939"/>
      <c r="Y42" s="2939"/>
      <c r="Z42" s="2939"/>
      <c r="AA42" s="2939"/>
      <c r="AB42" s="2939"/>
      <c r="AC42" s="2939"/>
      <c r="AD42" s="2939"/>
    </row>
    <row r="43" spans="1:30">
      <c r="A43" s="6705">
        <v>28</v>
      </c>
      <c r="B43" s="6701" t="s">
        <v>4214</v>
      </c>
      <c r="C43" s="6706" t="s">
        <v>4215</v>
      </c>
      <c r="D43" s="6707" t="s">
        <v>4216</v>
      </c>
      <c r="E43" s="6708"/>
      <c r="F43" s="6705">
        <v>352</v>
      </c>
      <c r="G43" s="6701" t="s">
        <v>4217</v>
      </c>
      <c r="H43" s="6706" t="s">
        <v>4218</v>
      </c>
      <c r="I43" s="6707" t="s">
        <v>4219</v>
      </c>
      <c r="J43" s="6708"/>
      <c r="K43" s="6705">
        <v>676</v>
      </c>
      <c r="L43" s="6701" t="s">
        <v>4220</v>
      </c>
      <c r="M43" s="6706" t="s">
        <v>4221</v>
      </c>
      <c r="N43" s="6707" t="s">
        <v>4222</v>
      </c>
      <c r="O43" s="6708"/>
      <c r="P43" s="6705">
        <v>1000</v>
      </c>
      <c r="Q43" s="6701" t="s">
        <v>4223</v>
      </c>
      <c r="R43" s="6706" t="s">
        <v>4224</v>
      </c>
      <c r="S43" s="6707" t="s">
        <v>4225</v>
      </c>
      <c r="T43" s="2939"/>
      <c r="U43" s="2939"/>
      <c r="V43" s="2939"/>
      <c r="W43" s="2939"/>
      <c r="X43" s="2939"/>
      <c r="Y43" s="2939"/>
      <c r="Z43" s="2939"/>
      <c r="AA43" s="2939"/>
      <c r="AB43" s="2939"/>
      <c r="AC43" s="2939"/>
      <c r="AD43" s="2939"/>
    </row>
    <row r="44" spans="1:30">
      <c r="A44" s="6705">
        <v>29</v>
      </c>
      <c r="B44" s="6701" t="s">
        <v>4226</v>
      </c>
      <c r="C44" s="6706" t="s">
        <v>4227</v>
      </c>
      <c r="D44" s="6707" t="s">
        <v>4228</v>
      </c>
      <c r="E44" s="6708"/>
      <c r="F44" s="6705">
        <v>353</v>
      </c>
      <c r="G44" s="6701" t="s">
        <v>4229</v>
      </c>
      <c r="H44" s="6706" t="s">
        <v>4230</v>
      </c>
      <c r="I44" s="6707" t="s">
        <v>4231</v>
      </c>
      <c r="J44" s="6708"/>
      <c r="K44" s="6705">
        <v>677</v>
      </c>
      <c r="L44" s="6701" t="s">
        <v>4232</v>
      </c>
      <c r="M44" s="6706" t="s">
        <v>4233</v>
      </c>
      <c r="N44" s="6707" t="s">
        <v>4234</v>
      </c>
      <c r="O44" s="6708"/>
      <c r="P44" s="6705">
        <v>1001</v>
      </c>
      <c r="Q44" s="6701" t="s">
        <v>4235</v>
      </c>
      <c r="R44" s="6706" t="s">
        <v>4236</v>
      </c>
      <c r="S44" s="6707" t="s">
        <v>4237</v>
      </c>
      <c r="T44" s="2939"/>
      <c r="U44" s="2939"/>
      <c r="V44" s="2939"/>
      <c r="W44" s="2939"/>
      <c r="X44" s="2939"/>
      <c r="Y44" s="2939"/>
      <c r="Z44" s="2939"/>
      <c r="AA44" s="2939"/>
      <c r="AB44" s="2939"/>
      <c r="AC44" s="2939"/>
      <c r="AD44" s="2939"/>
    </row>
    <row r="45" spans="1:30">
      <c r="A45" s="6705">
        <v>30</v>
      </c>
      <c r="B45" s="6701">
        <v>2328</v>
      </c>
      <c r="C45" s="6706" t="s">
        <v>4238</v>
      </c>
      <c r="D45" s="6707" t="s">
        <v>4239</v>
      </c>
      <c r="E45" s="6708"/>
      <c r="F45" s="6705">
        <v>354</v>
      </c>
      <c r="G45" s="6701" t="s">
        <v>4240</v>
      </c>
      <c r="H45" s="6706" t="s">
        <v>4241</v>
      </c>
      <c r="I45" s="6707" t="s">
        <v>4242</v>
      </c>
      <c r="J45" s="6708"/>
      <c r="K45" s="6705">
        <v>678</v>
      </c>
      <c r="L45" s="6701" t="s">
        <v>4243</v>
      </c>
      <c r="M45" s="6706" t="s">
        <v>4244</v>
      </c>
      <c r="N45" s="6707" t="s">
        <v>4245</v>
      </c>
      <c r="O45" s="6708"/>
      <c r="P45" s="6705">
        <v>1002</v>
      </c>
      <c r="Q45" s="6701" t="s">
        <v>4246</v>
      </c>
      <c r="R45" s="6706" t="s">
        <v>4247</v>
      </c>
      <c r="S45" s="6707" t="s">
        <v>4248</v>
      </c>
      <c r="T45" s="2939"/>
      <c r="U45" s="2939"/>
      <c r="V45" s="2939"/>
      <c r="W45" s="2939"/>
      <c r="X45" s="2939"/>
      <c r="Y45" s="2939"/>
      <c r="Z45" s="2939"/>
      <c r="AA45" s="2939"/>
      <c r="AB45" s="2939"/>
      <c r="AC45" s="2939"/>
      <c r="AD45" s="2939"/>
    </row>
    <row r="46" spans="1:30">
      <c r="A46" s="6705">
        <v>31</v>
      </c>
      <c r="B46" s="6701">
        <v>2935</v>
      </c>
      <c r="C46" s="6706" t="s">
        <v>4249</v>
      </c>
      <c r="D46" s="6707" t="s">
        <v>4250</v>
      </c>
      <c r="E46" s="6708"/>
      <c r="F46" s="6705">
        <v>355</v>
      </c>
      <c r="G46" s="6701" t="s">
        <v>4251</v>
      </c>
      <c r="H46" s="6706" t="s">
        <v>4252</v>
      </c>
      <c r="I46" s="6707" t="s">
        <v>4253</v>
      </c>
      <c r="J46" s="6708"/>
      <c r="K46" s="6705">
        <v>679</v>
      </c>
      <c r="L46" s="6701" t="s">
        <v>4254</v>
      </c>
      <c r="M46" s="6706" t="s">
        <v>4255</v>
      </c>
      <c r="N46" s="6707" t="s">
        <v>4256</v>
      </c>
      <c r="O46" s="6708"/>
      <c r="P46" s="6705">
        <v>1003</v>
      </c>
      <c r="Q46" s="6701" t="s">
        <v>4257</v>
      </c>
      <c r="R46" s="6706" t="s">
        <v>4258</v>
      </c>
      <c r="S46" s="6707" t="s">
        <v>4259</v>
      </c>
      <c r="T46" s="2939"/>
      <c r="U46" s="2939"/>
      <c r="V46" s="2939"/>
      <c r="W46" s="2939"/>
      <c r="X46" s="2939"/>
      <c r="Y46" s="2939"/>
      <c r="Z46" s="2939"/>
      <c r="AA46" s="2939"/>
      <c r="AB46" s="2939"/>
      <c r="AC46" s="2939"/>
      <c r="AD46" s="2939"/>
    </row>
    <row r="47" spans="1:30">
      <c r="A47" s="6705">
        <v>32</v>
      </c>
      <c r="B47" s="6701">
        <v>2934</v>
      </c>
      <c r="C47" s="6706" t="s">
        <v>4260</v>
      </c>
      <c r="D47" s="6707" t="s">
        <v>4261</v>
      </c>
      <c r="E47" s="6708"/>
      <c r="F47" s="6705">
        <v>356</v>
      </c>
      <c r="G47" s="6701" t="s">
        <v>4262</v>
      </c>
      <c r="H47" s="6706" t="s">
        <v>4263</v>
      </c>
      <c r="I47" s="6707" t="s">
        <v>4264</v>
      </c>
      <c r="J47" s="6708"/>
      <c r="K47" s="6705">
        <v>680</v>
      </c>
      <c r="L47" s="6701" t="s">
        <v>4265</v>
      </c>
      <c r="M47" s="6706" t="s">
        <v>4266</v>
      </c>
      <c r="N47" s="6707" t="s">
        <v>4267</v>
      </c>
      <c r="O47" s="6708"/>
      <c r="P47" s="6705">
        <v>1004</v>
      </c>
      <c r="Q47" s="6701" t="s">
        <v>4268</v>
      </c>
      <c r="R47" s="6706" t="s">
        <v>4269</v>
      </c>
      <c r="S47" s="6707" t="s">
        <v>4270</v>
      </c>
      <c r="T47" s="2939"/>
      <c r="U47" s="2939"/>
      <c r="V47" s="2939"/>
      <c r="W47" s="2939"/>
      <c r="X47" s="2939"/>
      <c r="Y47" s="2939"/>
      <c r="Z47" s="2939"/>
      <c r="AA47" s="2939"/>
      <c r="AB47" s="2939"/>
      <c r="AC47" s="2939"/>
      <c r="AD47" s="2939"/>
    </row>
    <row r="48" spans="1:30">
      <c r="A48" s="6705">
        <v>33</v>
      </c>
      <c r="B48" s="6701" t="s">
        <v>4271</v>
      </c>
      <c r="C48" s="6706" t="s">
        <v>4272</v>
      </c>
      <c r="D48" s="6707" t="s">
        <v>4273</v>
      </c>
      <c r="E48" s="6708"/>
      <c r="F48" s="6705">
        <v>357</v>
      </c>
      <c r="G48" s="6701" t="s">
        <v>4274</v>
      </c>
      <c r="H48" s="6706" t="s">
        <v>4275</v>
      </c>
      <c r="I48" s="6707" t="s">
        <v>4276</v>
      </c>
      <c r="J48" s="6708"/>
      <c r="K48" s="6705">
        <v>681</v>
      </c>
      <c r="L48" s="6701" t="s">
        <v>4277</v>
      </c>
      <c r="M48" s="6706" t="s">
        <v>4278</v>
      </c>
      <c r="N48" s="6707" t="s">
        <v>4279</v>
      </c>
      <c r="O48" s="6708"/>
      <c r="P48" s="6705">
        <v>1005</v>
      </c>
      <c r="Q48" s="6701" t="s">
        <v>4280</v>
      </c>
      <c r="R48" s="6706" t="s">
        <v>4281</v>
      </c>
      <c r="S48" s="6707" t="s">
        <v>4282</v>
      </c>
      <c r="T48" s="2939"/>
      <c r="U48" s="2939"/>
      <c r="V48" s="2939"/>
      <c r="W48" s="2939"/>
      <c r="X48" s="2939"/>
      <c r="Y48" s="2939"/>
      <c r="Z48" s="2939"/>
      <c r="AA48" s="2939"/>
      <c r="AB48" s="2939"/>
      <c r="AC48" s="2939"/>
      <c r="AD48" s="2939"/>
    </row>
    <row r="49" spans="1:30">
      <c r="A49" s="6705">
        <v>34</v>
      </c>
      <c r="B49" s="6701" t="s">
        <v>4283</v>
      </c>
      <c r="C49" s="6706" t="s">
        <v>4284</v>
      </c>
      <c r="D49" s="6707" t="s">
        <v>4285</v>
      </c>
      <c r="E49" s="6708"/>
      <c r="F49" s="6705">
        <v>358</v>
      </c>
      <c r="G49" s="6701" t="s">
        <v>4286</v>
      </c>
      <c r="H49" s="6706" t="s">
        <v>4287</v>
      </c>
      <c r="I49" s="6707" t="s">
        <v>4288</v>
      </c>
      <c r="J49" s="6708"/>
      <c r="K49" s="6705">
        <v>682</v>
      </c>
      <c r="L49" s="6701" t="s">
        <v>4289</v>
      </c>
      <c r="M49" s="6706" t="s">
        <v>4290</v>
      </c>
      <c r="N49" s="6707" t="s">
        <v>4291</v>
      </c>
      <c r="O49" s="6708"/>
      <c r="P49" s="6705">
        <v>1006</v>
      </c>
      <c r="Q49" s="6701" t="s">
        <v>4292</v>
      </c>
      <c r="R49" s="6706" t="s">
        <v>4293</v>
      </c>
      <c r="S49" s="6707" t="s">
        <v>4294</v>
      </c>
      <c r="T49" s="2939"/>
      <c r="U49" s="2939"/>
      <c r="V49" s="2939"/>
      <c r="W49" s="2939"/>
      <c r="X49" s="2939"/>
      <c r="Y49" s="2939"/>
      <c r="Z49" s="2939"/>
      <c r="AA49" s="2939"/>
      <c r="AB49" s="2939"/>
      <c r="AC49" s="2939"/>
      <c r="AD49" s="2939"/>
    </row>
    <row r="50" spans="1:30">
      <c r="A50" s="6705">
        <v>35</v>
      </c>
      <c r="B50" s="6701" t="s">
        <v>4295</v>
      </c>
      <c r="C50" s="6706" t="s">
        <v>4296</v>
      </c>
      <c r="D50" s="6707" t="s">
        <v>4297</v>
      </c>
      <c r="E50" s="6708"/>
      <c r="F50" s="6705">
        <v>359</v>
      </c>
      <c r="G50" s="6701" t="s">
        <v>4298</v>
      </c>
      <c r="H50" s="6706" t="s">
        <v>4299</v>
      </c>
      <c r="I50" s="6707" t="s">
        <v>4300</v>
      </c>
      <c r="J50" s="6708"/>
      <c r="K50" s="6705">
        <v>683</v>
      </c>
      <c r="L50" s="6701" t="s">
        <v>4301</v>
      </c>
      <c r="M50" s="6706" t="s">
        <v>4302</v>
      </c>
      <c r="N50" s="6707" t="s">
        <v>4303</v>
      </c>
      <c r="O50" s="6708"/>
      <c r="P50" s="6705">
        <v>1007</v>
      </c>
      <c r="Q50" s="6701" t="s">
        <v>4304</v>
      </c>
      <c r="R50" s="6706" t="s">
        <v>4305</v>
      </c>
      <c r="S50" s="6707" t="s">
        <v>4306</v>
      </c>
      <c r="T50" s="2939"/>
      <c r="U50" s="2939"/>
      <c r="V50" s="2939"/>
      <c r="W50" s="2939"/>
      <c r="X50" s="2939"/>
      <c r="Y50" s="2939"/>
      <c r="Z50" s="2939"/>
      <c r="AA50" s="2939"/>
      <c r="AB50" s="2939"/>
      <c r="AC50" s="2939"/>
      <c r="AD50" s="2939"/>
    </row>
    <row r="51" spans="1:30">
      <c r="A51" s="6705">
        <v>36</v>
      </c>
      <c r="B51" s="6701" t="s">
        <v>4307</v>
      </c>
      <c r="C51" s="6706" t="s">
        <v>4308</v>
      </c>
      <c r="D51" s="6707" t="s">
        <v>4309</v>
      </c>
      <c r="E51" s="6708"/>
      <c r="F51" s="6705">
        <v>360</v>
      </c>
      <c r="G51" s="6701" t="s">
        <v>4310</v>
      </c>
      <c r="H51" s="6706" t="s">
        <v>4311</v>
      </c>
      <c r="I51" s="6707" t="s">
        <v>4312</v>
      </c>
      <c r="J51" s="6708"/>
      <c r="K51" s="6705">
        <v>684</v>
      </c>
      <c r="L51" s="6701" t="s">
        <v>4313</v>
      </c>
      <c r="M51" s="6706" t="s">
        <v>4314</v>
      </c>
      <c r="N51" s="6707" t="s">
        <v>4315</v>
      </c>
      <c r="O51" s="6708"/>
      <c r="P51" s="6705">
        <v>1008</v>
      </c>
      <c r="Q51" s="6701" t="s">
        <v>4316</v>
      </c>
      <c r="R51" s="6706" t="s">
        <v>4317</v>
      </c>
      <c r="S51" s="6707" t="s">
        <v>4318</v>
      </c>
      <c r="T51" s="2939"/>
      <c r="U51" s="2939"/>
      <c r="V51" s="2939"/>
      <c r="W51" s="2939"/>
      <c r="X51" s="2939"/>
      <c r="Y51" s="2939"/>
      <c r="Z51" s="2939"/>
      <c r="AA51" s="2939"/>
      <c r="AB51" s="2939"/>
      <c r="AC51" s="2939"/>
      <c r="AD51" s="2939"/>
    </row>
    <row r="52" spans="1:30">
      <c r="A52" s="6705">
        <v>37</v>
      </c>
      <c r="B52" s="6701" t="s">
        <v>4319</v>
      </c>
      <c r="C52" s="6706" t="s">
        <v>4320</v>
      </c>
      <c r="D52" s="6707" t="s">
        <v>4321</v>
      </c>
      <c r="E52" s="6708"/>
      <c r="F52" s="6705">
        <v>361</v>
      </c>
      <c r="G52" s="6701" t="s">
        <v>4322</v>
      </c>
      <c r="H52" s="6706" t="s">
        <v>4323</v>
      </c>
      <c r="I52" s="6707" t="s">
        <v>4324</v>
      </c>
      <c r="J52" s="6708"/>
      <c r="K52" s="6705">
        <v>685</v>
      </c>
      <c r="L52" s="6701" t="s">
        <v>4325</v>
      </c>
      <c r="M52" s="6706" t="s">
        <v>4326</v>
      </c>
      <c r="N52" s="6707" t="s">
        <v>4327</v>
      </c>
      <c r="O52" s="6708"/>
      <c r="P52" s="6705">
        <v>1009</v>
      </c>
      <c r="Q52" s="6701" t="s">
        <v>4328</v>
      </c>
      <c r="R52" s="6706" t="s">
        <v>4329</v>
      </c>
      <c r="S52" s="6707" t="s">
        <v>4330</v>
      </c>
      <c r="T52" s="2939"/>
      <c r="U52" s="2939"/>
      <c r="V52" s="2939"/>
      <c r="W52" s="2939"/>
      <c r="X52" s="2939"/>
      <c r="Y52" s="2939"/>
      <c r="Z52" s="2939"/>
      <c r="AA52" s="2939"/>
      <c r="AB52" s="2939"/>
      <c r="AC52" s="2939"/>
      <c r="AD52" s="2939"/>
    </row>
    <row r="53" spans="1:30">
      <c r="A53" s="6705">
        <v>38</v>
      </c>
      <c r="B53" s="6701" t="s">
        <v>4331</v>
      </c>
      <c r="C53" s="6706" t="s">
        <v>4332</v>
      </c>
      <c r="D53" s="6707" t="s">
        <v>4333</v>
      </c>
      <c r="E53" s="6708"/>
      <c r="F53" s="6705">
        <v>362</v>
      </c>
      <c r="G53" s="6701" t="s">
        <v>4334</v>
      </c>
      <c r="H53" s="6706" t="s">
        <v>4335</v>
      </c>
      <c r="I53" s="6707" t="s">
        <v>4336</v>
      </c>
      <c r="J53" s="6708"/>
      <c r="K53" s="6705">
        <v>686</v>
      </c>
      <c r="L53" s="6701" t="s">
        <v>4337</v>
      </c>
      <c r="M53" s="6706" t="s">
        <v>4338</v>
      </c>
      <c r="N53" s="6707" t="s">
        <v>4339</v>
      </c>
      <c r="O53" s="6708"/>
      <c r="P53" s="6705">
        <v>1010</v>
      </c>
      <c r="Q53" s="6701" t="s">
        <v>4340</v>
      </c>
      <c r="R53" s="6706" t="s">
        <v>4341</v>
      </c>
      <c r="S53" s="6707" t="s">
        <v>4342</v>
      </c>
      <c r="T53" s="2939"/>
      <c r="U53" s="2939"/>
      <c r="V53" s="2939"/>
      <c r="W53" s="2939"/>
      <c r="X53" s="2939"/>
      <c r="Y53" s="2939"/>
      <c r="Z53" s="2939"/>
      <c r="AA53" s="2939"/>
      <c r="AB53" s="2939"/>
      <c r="AC53" s="2939"/>
      <c r="AD53" s="2939"/>
    </row>
    <row r="54" spans="1:30">
      <c r="A54" s="6705">
        <v>39</v>
      </c>
      <c r="B54" s="6701" t="s">
        <v>4343</v>
      </c>
      <c r="C54" s="6706" t="s">
        <v>4344</v>
      </c>
      <c r="D54" s="6707" t="s">
        <v>4345</v>
      </c>
      <c r="E54" s="6708"/>
      <c r="F54" s="6705">
        <v>363</v>
      </c>
      <c r="G54" s="6701" t="s">
        <v>4346</v>
      </c>
      <c r="H54" s="6706" t="s">
        <v>4347</v>
      </c>
      <c r="I54" s="6707" t="s">
        <v>4348</v>
      </c>
      <c r="J54" s="6708"/>
      <c r="K54" s="6705">
        <v>687</v>
      </c>
      <c r="L54" s="6701" t="s">
        <v>4349</v>
      </c>
      <c r="M54" s="6706" t="s">
        <v>4350</v>
      </c>
      <c r="N54" s="6707" t="s">
        <v>4351</v>
      </c>
      <c r="O54" s="6708"/>
      <c r="P54" s="6705">
        <v>1011</v>
      </c>
      <c r="Q54" s="6701" t="s">
        <v>4352</v>
      </c>
      <c r="R54" s="6706" t="s">
        <v>4353</v>
      </c>
      <c r="S54" s="6707" t="s">
        <v>4354</v>
      </c>
      <c r="T54" s="2939"/>
      <c r="U54" s="2939"/>
      <c r="V54" s="2939"/>
      <c r="W54" s="2939"/>
      <c r="X54" s="2939"/>
      <c r="Y54" s="2939"/>
      <c r="Z54" s="2939"/>
      <c r="AA54" s="2939"/>
      <c r="AB54" s="2939"/>
      <c r="AC54" s="2939"/>
      <c r="AD54" s="2939"/>
    </row>
    <row r="55" spans="1:30">
      <c r="A55" s="6705">
        <v>40</v>
      </c>
      <c r="B55" s="6701" t="s">
        <v>4355</v>
      </c>
      <c r="C55" s="6706" t="s">
        <v>4356</v>
      </c>
      <c r="D55" s="6707" t="s">
        <v>4357</v>
      </c>
      <c r="E55" s="6708"/>
      <c r="F55" s="6705">
        <v>364</v>
      </c>
      <c r="G55" s="6701" t="s">
        <v>4358</v>
      </c>
      <c r="H55" s="6706" t="s">
        <v>4359</v>
      </c>
      <c r="I55" s="6707" t="s">
        <v>4360</v>
      </c>
      <c r="J55" s="6708"/>
      <c r="K55" s="6705">
        <v>688</v>
      </c>
      <c r="L55" s="6701" t="s">
        <v>4361</v>
      </c>
      <c r="M55" s="6706" t="s">
        <v>4362</v>
      </c>
      <c r="N55" s="6707" t="s">
        <v>4363</v>
      </c>
      <c r="O55" s="6708"/>
      <c r="P55" s="6705">
        <v>1012</v>
      </c>
      <c r="Q55" s="6701" t="s">
        <v>4364</v>
      </c>
      <c r="R55" s="6706" t="s">
        <v>4365</v>
      </c>
      <c r="S55" s="6707" t="s">
        <v>4366</v>
      </c>
      <c r="T55" s="2939"/>
      <c r="U55" s="2939"/>
      <c r="V55" s="2939"/>
      <c r="W55" s="2939"/>
      <c r="X55" s="2939"/>
      <c r="Y55" s="2939"/>
      <c r="Z55" s="2939"/>
      <c r="AA55" s="2939"/>
      <c r="AB55" s="2939"/>
      <c r="AC55" s="2939"/>
      <c r="AD55" s="2939"/>
    </row>
    <row r="56" spans="1:30">
      <c r="A56" s="6705">
        <v>41</v>
      </c>
      <c r="B56" s="6701">
        <v>2197</v>
      </c>
      <c r="C56" s="6706" t="s">
        <v>4367</v>
      </c>
      <c r="D56" s="6707" t="s">
        <v>4368</v>
      </c>
      <c r="E56" s="6708"/>
      <c r="F56" s="6705">
        <v>365</v>
      </c>
      <c r="G56" s="6701" t="s">
        <v>4369</v>
      </c>
      <c r="H56" s="6706" t="s">
        <v>4370</v>
      </c>
      <c r="I56" s="6707" t="s">
        <v>4371</v>
      </c>
      <c r="J56" s="6708"/>
      <c r="K56" s="6705">
        <v>689</v>
      </c>
      <c r="L56" s="6701" t="s">
        <v>4372</v>
      </c>
      <c r="M56" s="6706" t="s">
        <v>4373</v>
      </c>
      <c r="N56" s="6707" t="s">
        <v>4300</v>
      </c>
      <c r="O56" s="6708"/>
      <c r="P56" s="6705">
        <v>1013</v>
      </c>
      <c r="Q56" s="6701" t="s">
        <v>4374</v>
      </c>
      <c r="R56" s="6706" t="s">
        <v>4375</v>
      </c>
      <c r="S56" s="6707" t="s">
        <v>4376</v>
      </c>
      <c r="T56" s="2939"/>
      <c r="U56" s="2939"/>
      <c r="V56" s="2939"/>
      <c r="W56" s="2939"/>
      <c r="X56" s="2939"/>
      <c r="Y56" s="2939"/>
      <c r="Z56" s="2939"/>
      <c r="AA56" s="2939"/>
      <c r="AB56" s="2939"/>
      <c r="AC56" s="2939"/>
      <c r="AD56" s="2939"/>
    </row>
    <row r="57" spans="1:30">
      <c r="A57" s="6705">
        <v>42</v>
      </c>
      <c r="B57" s="6701" t="s">
        <v>4377</v>
      </c>
      <c r="C57" s="6706" t="s">
        <v>4378</v>
      </c>
      <c r="D57" s="6707" t="s">
        <v>4379</v>
      </c>
      <c r="E57" s="6708"/>
      <c r="F57" s="6705">
        <v>366</v>
      </c>
      <c r="G57" s="6701" t="s">
        <v>4380</v>
      </c>
      <c r="H57" s="6706" t="s">
        <v>4381</v>
      </c>
      <c r="I57" s="6707" t="s">
        <v>4382</v>
      </c>
      <c r="J57" s="6708"/>
      <c r="K57" s="6705">
        <v>690</v>
      </c>
      <c r="L57" s="6701" t="s">
        <v>4383</v>
      </c>
      <c r="M57" s="6706" t="s">
        <v>4384</v>
      </c>
      <c r="N57" s="6707" t="s">
        <v>4385</v>
      </c>
      <c r="O57" s="6708"/>
      <c r="P57" s="6705">
        <v>1014</v>
      </c>
      <c r="Q57" s="6701" t="s">
        <v>4386</v>
      </c>
      <c r="R57" s="6706" t="s">
        <v>4387</v>
      </c>
      <c r="S57" s="6707" t="s">
        <v>4388</v>
      </c>
      <c r="T57" s="2939"/>
      <c r="U57" s="2939"/>
      <c r="V57" s="2939"/>
      <c r="W57" s="2939"/>
      <c r="X57" s="2939"/>
      <c r="Y57" s="2939"/>
      <c r="Z57" s="2939"/>
      <c r="AA57" s="2939"/>
      <c r="AB57" s="2939"/>
      <c r="AC57" s="2939"/>
      <c r="AD57" s="2939"/>
    </row>
    <row r="58" spans="1:30">
      <c r="A58" s="6705">
        <v>43</v>
      </c>
      <c r="B58" s="6701" t="s">
        <v>4389</v>
      </c>
      <c r="C58" s="6706" t="s">
        <v>4390</v>
      </c>
      <c r="D58" s="6707" t="s">
        <v>4391</v>
      </c>
      <c r="E58" s="6708"/>
      <c r="F58" s="6705">
        <v>367</v>
      </c>
      <c r="G58" s="6701" t="s">
        <v>4392</v>
      </c>
      <c r="H58" s="6706" t="s">
        <v>4393</v>
      </c>
      <c r="I58" s="6707" t="s">
        <v>4394</v>
      </c>
      <c r="J58" s="6708"/>
      <c r="K58" s="6705">
        <v>691</v>
      </c>
      <c r="L58" s="6701" t="s">
        <v>4395</v>
      </c>
      <c r="M58" s="6706" t="s">
        <v>4396</v>
      </c>
      <c r="N58" s="6707" t="s">
        <v>4397</v>
      </c>
      <c r="O58" s="6708"/>
      <c r="P58" s="6705">
        <v>1015</v>
      </c>
      <c r="Q58" s="6701" t="s">
        <v>4398</v>
      </c>
      <c r="R58" s="6706" t="s">
        <v>4399</v>
      </c>
      <c r="S58" s="6707" t="s">
        <v>4400</v>
      </c>
      <c r="T58" s="2939"/>
      <c r="U58" s="2939"/>
      <c r="V58" s="2939"/>
      <c r="W58" s="2939"/>
      <c r="X58" s="2939"/>
      <c r="Y58" s="2939"/>
      <c r="Z58" s="2939"/>
      <c r="AA58" s="2939"/>
      <c r="AB58" s="2939"/>
      <c r="AC58" s="2939"/>
      <c r="AD58" s="2939"/>
    </row>
    <row r="59" spans="1:30">
      <c r="A59" s="6705">
        <v>44</v>
      </c>
      <c r="B59" s="6701">
        <v>2198</v>
      </c>
      <c r="C59" s="6706" t="s">
        <v>4401</v>
      </c>
      <c r="D59" s="6707" t="s">
        <v>4402</v>
      </c>
      <c r="E59" s="6708"/>
      <c r="F59" s="6705">
        <v>368</v>
      </c>
      <c r="G59" s="6701" t="s">
        <v>4403</v>
      </c>
      <c r="H59" s="6706" t="s">
        <v>4404</v>
      </c>
      <c r="I59" s="6707" t="s">
        <v>4405</v>
      </c>
      <c r="J59" s="6708"/>
      <c r="K59" s="6705">
        <v>692</v>
      </c>
      <c r="L59" s="6701" t="s">
        <v>4406</v>
      </c>
      <c r="M59" s="6706" t="s">
        <v>4407</v>
      </c>
      <c r="N59" s="6707" t="s">
        <v>4408</v>
      </c>
      <c r="O59" s="6708"/>
      <c r="P59" s="6705">
        <v>1016</v>
      </c>
      <c r="Q59" s="6701" t="s">
        <v>4409</v>
      </c>
      <c r="R59" s="6706" t="s">
        <v>4410</v>
      </c>
      <c r="S59" s="6707" t="s">
        <v>4411</v>
      </c>
      <c r="T59" s="2939"/>
      <c r="U59" s="2939"/>
      <c r="V59" s="2939"/>
      <c r="W59" s="2939"/>
      <c r="X59" s="2939"/>
      <c r="Y59" s="2939"/>
      <c r="Z59" s="2939"/>
      <c r="AA59" s="2939"/>
      <c r="AB59" s="2939"/>
      <c r="AC59" s="2939"/>
      <c r="AD59" s="2939"/>
    </row>
    <row r="60" spans="1:30">
      <c r="A60" s="6705">
        <v>45</v>
      </c>
      <c r="B60" s="6701">
        <v>2199</v>
      </c>
      <c r="C60" s="6706" t="s">
        <v>4412</v>
      </c>
      <c r="D60" s="6707" t="s">
        <v>4413</v>
      </c>
      <c r="E60" s="6708"/>
      <c r="F60" s="6705">
        <v>369</v>
      </c>
      <c r="G60" s="6701" t="s">
        <v>4414</v>
      </c>
      <c r="H60" s="6706" t="s">
        <v>4415</v>
      </c>
      <c r="I60" s="6707" t="s">
        <v>4416</v>
      </c>
      <c r="J60" s="6708"/>
      <c r="K60" s="6705">
        <v>693</v>
      </c>
      <c r="L60" s="6701" t="s">
        <v>4417</v>
      </c>
      <c r="M60" s="6706" t="s">
        <v>4418</v>
      </c>
      <c r="N60" s="6707" t="s">
        <v>4419</v>
      </c>
      <c r="O60" s="6708"/>
      <c r="P60" s="6705">
        <v>1017</v>
      </c>
      <c r="Q60" s="6701" t="s">
        <v>4420</v>
      </c>
      <c r="R60" s="6706" t="s">
        <v>4421</v>
      </c>
      <c r="S60" s="6707" t="s">
        <v>4422</v>
      </c>
      <c r="T60" s="2939"/>
      <c r="U60" s="2939"/>
      <c r="V60" s="2939"/>
      <c r="W60" s="2939"/>
      <c r="X60" s="2939"/>
      <c r="Y60" s="2939"/>
      <c r="Z60" s="2939"/>
      <c r="AA60" s="2939"/>
      <c r="AB60" s="2939"/>
      <c r="AC60" s="2939"/>
      <c r="AD60" s="2939"/>
    </row>
    <row r="61" spans="1:30">
      <c r="A61" s="6705">
        <v>46</v>
      </c>
      <c r="B61" s="6701" t="s">
        <v>4423</v>
      </c>
      <c r="C61" s="6706" t="s">
        <v>4424</v>
      </c>
      <c r="D61" s="6707" t="s">
        <v>4425</v>
      </c>
      <c r="E61" s="6708"/>
      <c r="F61" s="6705">
        <v>370</v>
      </c>
      <c r="G61" s="6701" t="s">
        <v>4426</v>
      </c>
      <c r="H61" s="6706" t="s">
        <v>4427</v>
      </c>
      <c r="I61" s="6707" t="s">
        <v>4428</v>
      </c>
      <c r="J61" s="6708"/>
      <c r="K61" s="6705">
        <v>694</v>
      </c>
      <c r="L61" s="6701" t="s">
        <v>4429</v>
      </c>
      <c r="M61" s="6706" t="s">
        <v>4430</v>
      </c>
      <c r="N61" s="6707" t="s">
        <v>4431</v>
      </c>
      <c r="O61" s="6708"/>
      <c r="P61" s="6705">
        <v>1018</v>
      </c>
      <c r="Q61" s="6701" t="s">
        <v>4432</v>
      </c>
      <c r="R61" s="6706" t="s">
        <v>4433</v>
      </c>
      <c r="S61" s="6707" t="s">
        <v>4434</v>
      </c>
      <c r="T61" s="2939"/>
      <c r="U61" s="2939"/>
      <c r="V61" s="2939"/>
      <c r="W61" s="2939"/>
      <c r="X61" s="2939"/>
      <c r="Y61" s="2939"/>
      <c r="Z61" s="2939"/>
      <c r="AA61" s="2939"/>
      <c r="AB61" s="2939"/>
      <c r="AC61" s="2939"/>
      <c r="AD61" s="2939"/>
    </row>
    <row r="62" spans="1:30">
      <c r="A62" s="6705">
        <v>47</v>
      </c>
      <c r="B62" s="6701">
        <v>2196</v>
      </c>
      <c r="C62" s="6706" t="s">
        <v>4435</v>
      </c>
      <c r="D62" s="6707" t="s">
        <v>4436</v>
      </c>
      <c r="E62" s="6708"/>
      <c r="F62" s="6705">
        <v>371</v>
      </c>
      <c r="G62" s="6701" t="s">
        <v>4437</v>
      </c>
      <c r="H62" s="6706" t="s">
        <v>4438</v>
      </c>
      <c r="I62" s="6707" t="s">
        <v>4439</v>
      </c>
      <c r="J62" s="6708"/>
      <c r="K62" s="6705">
        <v>695</v>
      </c>
      <c r="L62" s="6701" t="s">
        <v>4440</v>
      </c>
      <c r="M62" s="6706" t="s">
        <v>4441</v>
      </c>
      <c r="N62" s="6707" t="s">
        <v>4442</v>
      </c>
      <c r="O62" s="6708"/>
      <c r="P62" s="6705">
        <v>1019</v>
      </c>
      <c r="Q62" s="6701" t="s">
        <v>4443</v>
      </c>
      <c r="R62" s="6706" t="s">
        <v>4444</v>
      </c>
      <c r="S62" s="6707" t="s">
        <v>4445</v>
      </c>
      <c r="T62" s="2939"/>
      <c r="U62" s="2939"/>
      <c r="V62" s="2939"/>
      <c r="W62" s="2939"/>
      <c r="X62" s="2939"/>
      <c r="Y62" s="2939"/>
      <c r="Z62" s="2939"/>
      <c r="AA62" s="2939"/>
      <c r="AB62" s="2939"/>
      <c r="AC62" s="2939"/>
      <c r="AD62" s="2939"/>
    </row>
    <row r="63" spans="1:30">
      <c r="A63" s="6705">
        <v>48</v>
      </c>
      <c r="B63" s="6701">
        <v>2194</v>
      </c>
      <c r="C63" s="6706" t="s">
        <v>4446</v>
      </c>
      <c r="D63" s="6707" t="s">
        <v>4447</v>
      </c>
      <c r="E63" s="6708"/>
      <c r="F63" s="6705">
        <v>372</v>
      </c>
      <c r="G63" s="6701" t="s">
        <v>4448</v>
      </c>
      <c r="H63" s="6706" t="s">
        <v>4449</v>
      </c>
      <c r="I63" s="6707" t="s">
        <v>4450</v>
      </c>
      <c r="J63" s="6708"/>
      <c r="K63" s="6705">
        <v>696</v>
      </c>
      <c r="L63" s="6701" t="s">
        <v>4451</v>
      </c>
      <c r="M63" s="6706" t="s">
        <v>4452</v>
      </c>
      <c r="N63" s="6707" t="s">
        <v>4453</v>
      </c>
      <c r="O63" s="6708"/>
      <c r="P63" s="6705">
        <v>1020</v>
      </c>
      <c r="Q63" s="6701" t="s">
        <v>4454</v>
      </c>
      <c r="R63" s="6706" t="s">
        <v>4455</v>
      </c>
      <c r="S63" s="6707" t="s">
        <v>4456</v>
      </c>
      <c r="T63" s="2939"/>
      <c r="U63" s="2939"/>
      <c r="V63" s="2939"/>
      <c r="W63" s="2939"/>
      <c r="X63" s="2939"/>
      <c r="Y63" s="2939"/>
      <c r="Z63" s="2939"/>
      <c r="AA63" s="2939"/>
      <c r="AB63" s="2939"/>
      <c r="AC63" s="2939"/>
      <c r="AD63" s="2939"/>
    </row>
    <row r="64" spans="1:30">
      <c r="A64" s="6705">
        <v>49</v>
      </c>
      <c r="B64" s="6701">
        <v>2195</v>
      </c>
      <c r="C64" s="6706" t="s">
        <v>4457</v>
      </c>
      <c r="D64" s="6707" t="s">
        <v>4458</v>
      </c>
      <c r="E64" s="6708"/>
      <c r="F64" s="6705">
        <v>373</v>
      </c>
      <c r="G64" s="6701" t="s">
        <v>4459</v>
      </c>
      <c r="H64" s="6706" t="s">
        <v>4460</v>
      </c>
      <c r="I64" s="6707" t="s">
        <v>4461</v>
      </c>
      <c r="J64" s="6708"/>
      <c r="K64" s="6705">
        <v>697</v>
      </c>
      <c r="L64" s="6701" t="s">
        <v>4462</v>
      </c>
      <c r="M64" s="6706" t="s">
        <v>4463</v>
      </c>
      <c r="N64" s="6707" t="s">
        <v>4464</v>
      </c>
      <c r="O64" s="6708"/>
      <c r="P64" s="6705">
        <v>1021</v>
      </c>
      <c r="Q64" s="6701" t="s">
        <v>4465</v>
      </c>
      <c r="R64" s="6706" t="s">
        <v>4466</v>
      </c>
      <c r="S64" s="6707" t="s">
        <v>4467</v>
      </c>
      <c r="T64" s="2939"/>
      <c r="U64" s="2939"/>
      <c r="V64" s="2939"/>
      <c r="W64" s="2939"/>
      <c r="X64" s="2939"/>
      <c r="Y64" s="2939"/>
      <c r="Z64" s="2939"/>
      <c r="AA64" s="2939"/>
      <c r="AB64" s="2939"/>
      <c r="AC64" s="2939"/>
      <c r="AD64" s="2939"/>
    </row>
    <row r="65" spans="1:30">
      <c r="A65" s="6705">
        <v>50</v>
      </c>
      <c r="B65" s="6701" t="s">
        <v>4468</v>
      </c>
      <c r="C65" s="6706" t="s">
        <v>3746</v>
      </c>
      <c r="D65" s="6707" t="s">
        <v>4469</v>
      </c>
      <c r="E65" s="6708"/>
      <c r="F65" s="6705">
        <v>374</v>
      </c>
      <c r="G65" s="6701" t="s">
        <v>4470</v>
      </c>
      <c r="H65" s="6706" t="s">
        <v>4471</v>
      </c>
      <c r="I65" s="6707" t="s">
        <v>4472</v>
      </c>
      <c r="J65" s="6708"/>
      <c r="K65" s="6705">
        <v>698</v>
      </c>
      <c r="L65" s="6701" t="s">
        <v>4473</v>
      </c>
      <c r="M65" s="6706" t="s">
        <v>4474</v>
      </c>
      <c r="N65" s="6707" t="s">
        <v>4475</v>
      </c>
      <c r="O65" s="6708"/>
      <c r="P65" s="6705">
        <v>1022</v>
      </c>
      <c r="Q65" s="6701" t="s">
        <v>4476</v>
      </c>
      <c r="R65" s="6706" t="s">
        <v>4477</v>
      </c>
      <c r="S65" s="6707" t="s">
        <v>4478</v>
      </c>
      <c r="T65" s="2939"/>
      <c r="U65" s="2939"/>
      <c r="V65" s="2939"/>
      <c r="W65" s="2939"/>
      <c r="X65" s="2939"/>
      <c r="Y65" s="2939"/>
      <c r="Z65" s="2939"/>
      <c r="AA65" s="2939"/>
      <c r="AB65" s="2939"/>
      <c r="AC65" s="2939"/>
      <c r="AD65" s="2939"/>
    </row>
    <row r="66" spans="1:30">
      <c r="A66" s="6705">
        <v>51</v>
      </c>
      <c r="B66" s="6701" t="s">
        <v>4479</v>
      </c>
      <c r="C66" s="6706" t="s">
        <v>3749</v>
      </c>
      <c r="D66" s="6707" t="s">
        <v>4480</v>
      </c>
      <c r="E66" s="6708"/>
      <c r="F66" s="6705">
        <v>375</v>
      </c>
      <c r="G66" s="6701" t="s">
        <v>4481</v>
      </c>
      <c r="H66" s="6706" t="s">
        <v>4482</v>
      </c>
      <c r="I66" s="6707" t="s">
        <v>4483</v>
      </c>
      <c r="J66" s="6708"/>
      <c r="K66" s="6705">
        <v>699</v>
      </c>
      <c r="L66" s="6701" t="s">
        <v>4484</v>
      </c>
      <c r="M66" s="6706" t="s">
        <v>4485</v>
      </c>
      <c r="N66" s="6707" t="s">
        <v>4486</v>
      </c>
      <c r="O66" s="6708"/>
      <c r="P66" s="6705">
        <v>1023</v>
      </c>
      <c r="Q66" s="6701" t="s">
        <v>4487</v>
      </c>
      <c r="R66" s="6706" t="s">
        <v>4488</v>
      </c>
      <c r="S66" s="6707" t="s">
        <v>4489</v>
      </c>
      <c r="T66" s="2939"/>
      <c r="U66" s="2939"/>
      <c r="V66" s="2939"/>
      <c r="W66" s="2939"/>
      <c r="X66" s="2939"/>
      <c r="Y66" s="2939"/>
      <c r="Z66" s="2939"/>
      <c r="AA66" s="2939"/>
      <c r="AB66" s="2939"/>
      <c r="AC66" s="2939"/>
      <c r="AD66" s="2939"/>
    </row>
    <row r="67" spans="1:30" ht="51">
      <c r="A67" s="6705">
        <v>52</v>
      </c>
      <c r="B67" s="6701">
        <v>2600</v>
      </c>
      <c r="C67" s="6706" t="s">
        <v>4490</v>
      </c>
      <c r="D67" s="6707" t="s">
        <v>4491</v>
      </c>
      <c r="E67" s="6708"/>
      <c r="F67" s="6705">
        <v>376</v>
      </c>
      <c r="G67" s="6701" t="s">
        <v>4492</v>
      </c>
      <c r="H67" s="6706" t="s">
        <v>4493</v>
      </c>
      <c r="I67" s="6707" t="s">
        <v>4494</v>
      </c>
      <c r="J67" s="6708"/>
      <c r="K67" s="6705">
        <v>700</v>
      </c>
      <c r="L67" s="6701" t="s">
        <v>4495</v>
      </c>
      <c r="M67" s="6706" t="s">
        <v>4496</v>
      </c>
      <c r="N67" s="6707" t="s">
        <v>4497</v>
      </c>
      <c r="O67" s="6708"/>
      <c r="P67" s="6705">
        <v>1024</v>
      </c>
      <c r="Q67" s="6701" t="s">
        <v>4498</v>
      </c>
      <c r="R67" s="6706" t="s">
        <v>4499</v>
      </c>
      <c r="S67" s="6707" t="s">
        <v>4500</v>
      </c>
      <c r="T67" s="2939"/>
      <c r="U67" s="2939"/>
      <c r="V67" s="2939"/>
      <c r="W67" s="2939"/>
      <c r="X67" s="2939"/>
      <c r="Y67" s="2939"/>
      <c r="Z67" s="2939"/>
      <c r="AA67" s="2939"/>
      <c r="AB67" s="2939"/>
      <c r="AC67" s="2939"/>
      <c r="AD67" s="2939"/>
    </row>
    <row r="68" spans="1:30" ht="51">
      <c r="A68" s="6705">
        <v>53</v>
      </c>
      <c r="B68" s="6701">
        <v>2601</v>
      </c>
      <c r="C68" s="6706" t="s">
        <v>4501</v>
      </c>
      <c r="D68" s="6707" t="s">
        <v>4502</v>
      </c>
      <c r="E68" s="6708"/>
      <c r="F68" s="6705">
        <v>377</v>
      </c>
      <c r="G68" s="6701" t="s">
        <v>4503</v>
      </c>
      <c r="H68" s="6706" t="s">
        <v>4504</v>
      </c>
      <c r="I68" s="6707" t="s">
        <v>4505</v>
      </c>
      <c r="J68" s="6708"/>
      <c r="K68" s="6705">
        <v>701</v>
      </c>
      <c r="L68" s="6701" t="s">
        <v>4506</v>
      </c>
      <c r="M68" s="6706" t="s">
        <v>4507</v>
      </c>
      <c r="N68" s="6707" t="s">
        <v>4508</v>
      </c>
      <c r="O68" s="6708"/>
      <c r="P68" s="6705">
        <v>1025</v>
      </c>
      <c r="Q68" s="6701" t="s">
        <v>4509</v>
      </c>
      <c r="R68" s="6706" t="s">
        <v>4510</v>
      </c>
      <c r="S68" s="6707" t="s">
        <v>4511</v>
      </c>
      <c r="T68" s="2939"/>
      <c r="U68" s="2939"/>
      <c r="V68" s="2939"/>
      <c r="W68" s="2939"/>
      <c r="X68" s="2939"/>
      <c r="Y68" s="2939"/>
      <c r="Z68" s="2939"/>
      <c r="AA68" s="2939"/>
      <c r="AB68" s="2939"/>
      <c r="AC68" s="2939"/>
      <c r="AD68" s="2939"/>
    </row>
    <row r="69" spans="1:30">
      <c r="A69" s="6705">
        <v>54</v>
      </c>
      <c r="B69" s="6701">
        <v>2602</v>
      </c>
      <c r="C69" s="6706" t="s">
        <v>4512</v>
      </c>
      <c r="D69" s="6707" t="s">
        <v>4513</v>
      </c>
      <c r="E69" s="6708"/>
      <c r="F69" s="6705">
        <v>378</v>
      </c>
      <c r="G69" s="6701" t="s">
        <v>4514</v>
      </c>
      <c r="H69" s="6706" t="s">
        <v>4515</v>
      </c>
      <c r="I69" s="6707" t="s">
        <v>4516</v>
      </c>
      <c r="J69" s="6708"/>
      <c r="K69" s="6705">
        <v>702</v>
      </c>
      <c r="L69" s="6701" t="s">
        <v>4517</v>
      </c>
      <c r="M69" s="6706" t="s">
        <v>4518</v>
      </c>
      <c r="N69" s="6707" t="s">
        <v>4519</v>
      </c>
      <c r="O69" s="6708"/>
      <c r="P69" s="6705">
        <v>1026</v>
      </c>
      <c r="Q69" s="6701" t="s">
        <v>4520</v>
      </c>
      <c r="R69" s="6706" t="s">
        <v>4521</v>
      </c>
      <c r="S69" s="6707" t="s">
        <v>4522</v>
      </c>
      <c r="T69" s="2939"/>
      <c r="U69" s="2939"/>
      <c r="V69" s="2939"/>
      <c r="W69" s="2939"/>
      <c r="X69" s="2939"/>
      <c r="Y69" s="2939"/>
      <c r="Z69" s="2939"/>
      <c r="AA69" s="2939"/>
      <c r="AB69" s="2939"/>
      <c r="AC69" s="2939"/>
      <c r="AD69" s="2939"/>
    </row>
    <row r="70" spans="1:30">
      <c r="A70" s="6705">
        <v>55</v>
      </c>
      <c r="B70" s="6701">
        <v>2603</v>
      </c>
      <c r="C70" s="6706" t="s">
        <v>4523</v>
      </c>
      <c r="D70" s="6707" t="s">
        <v>4524</v>
      </c>
      <c r="E70" s="6708"/>
      <c r="F70" s="6705">
        <v>379</v>
      </c>
      <c r="G70" s="6701" t="s">
        <v>4525</v>
      </c>
      <c r="H70" s="6706" t="s">
        <v>4526</v>
      </c>
      <c r="I70" s="6707" t="s">
        <v>4527</v>
      </c>
      <c r="J70" s="6708"/>
      <c r="K70" s="6705">
        <v>703</v>
      </c>
      <c r="L70" s="6701" t="s">
        <v>4528</v>
      </c>
      <c r="M70" s="6706" t="s">
        <v>4529</v>
      </c>
      <c r="N70" s="6707" t="s">
        <v>4530</v>
      </c>
      <c r="O70" s="6708"/>
      <c r="P70" s="6705">
        <v>1027</v>
      </c>
      <c r="Q70" s="6701" t="s">
        <v>4531</v>
      </c>
      <c r="R70" s="6706" t="s">
        <v>4532</v>
      </c>
      <c r="S70" s="6707" t="s">
        <v>4533</v>
      </c>
      <c r="T70" s="2939"/>
      <c r="U70" s="2939"/>
      <c r="V70" s="2939"/>
      <c r="W70" s="2939"/>
      <c r="X70" s="2939"/>
      <c r="Y70" s="2939"/>
      <c r="Z70" s="2939"/>
      <c r="AA70" s="2939"/>
      <c r="AB70" s="2939"/>
      <c r="AC70" s="2939"/>
      <c r="AD70" s="2939"/>
    </row>
    <row r="71" spans="1:30">
      <c r="A71" s="6705">
        <v>56</v>
      </c>
      <c r="B71" s="6701">
        <v>2604</v>
      </c>
      <c r="C71" s="6706" t="s">
        <v>4534</v>
      </c>
      <c r="D71" s="6707" t="s">
        <v>4535</v>
      </c>
      <c r="E71" s="6708"/>
      <c r="F71" s="6705">
        <v>380</v>
      </c>
      <c r="G71" s="6701" t="s">
        <v>4536</v>
      </c>
      <c r="H71" s="6706" t="s">
        <v>4537</v>
      </c>
      <c r="I71" s="6707" t="s">
        <v>4538</v>
      </c>
      <c r="J71" s="6708"/>
      <c r="K71" s="6705">
        <v>704</v>
      </c>
      <c r="L71" s="6701" t="s">
        <v>4539</v>
      </c>
      <c r="M71" s="6706" t="s">
        <v>4540</v>
      </c>
      <c r="N71" s="6707" t="s">
        <v>4541</v>
      </c>
      <c r="O71" s="6708"/>
      <c r="P71" s="6705">
        <v>1028</v>
      </c>
      <c r="Q71" s="6701" t="s">
        <v>4542</v>
      </c>
      <c r="R71" s="6706" t="s">
        <v>4543</v>
      </c>
      <c r="S71" s="6707" t="s">
        <v>4544</v>
      </c>
      <c r="T71" s="2939"/>
      <c r="U71" s="2939"/>
      <c r="V71" s="2939"/>
      <c r="W71" s="2939"/>
      <c r="X71" s="2939"/>
      <c r="Y71" s="2939"/>
      <c r="Z71" s="2939"/>
      <c r="AA71" s="2939"/>
      <c r="AB71" s="2939"/>
      <c r="AC71" s="2939"/>
      <c r="AD71" s="2939"/>
    </row>
    <row r="72" spans="1:30">
      <c r="A72" s="6705">
        <v>57</v>
      </c>
      <c r="B72" s="6701" t="s">
        <v>4545</v>
      </c>
      <c r="C72" s="6706" t="s">
        <v>4546</v>
      </c>
      <c r="D72" s="6707" t="s">
        <v>4547</v>
      </c>
      <c r="E72" s="6708"/>
      <c r="F72" s="6705">
        <v>381</v>
      </c>
      <c r="G72" s="6701" t="s">
        <v>4548</v>
      </c>
      <c r="H72" s="6706" t="s">
        <v>4549</v>
      </c>
      <c r="I72" s="6707" t="s">
        <v>4550</v>
      </c>
      <c r="J72" s="6708"/>
      <c r="K72" s="6705">
        <v>705</v>
      </c>
      <c r="L72" s="6701" t="s">
        <v>4551</v>
      </c>
      <c r="M72" s="6706" t="s">
        <v>4552</v>
      </c>
      <c r="N72" s="6707" t="s">
        <v>4553</v>
      </c>
      <c r="O72" s="6708"/>
      <c r="P72" s="6705">
        <v>1029</v>
      </c>
      <c r="Q72" s="6701" t="s">
        <v>4554</v>
      </c>
      <c r="R72" s="6706" t="s">
        <v>4555</v>
      </c>
      <c r="S72" s="6707" t="s">
        <v>4556</v>
      </c>
      <c r="T72" s="2939"/>
      <c r="U72" s="2939"/>
      <c r="V72" s="2939"/>
      <c r="W72" s="2939"/>
      <c r="X72" s="2939"/>
      <c r="Y72" s="2939"/>
      <c r="Z72" s="2939"/>
      <c r="AA72" s="2939"/>
      <c r="AB72" s="2939"/>
      <c r="AC72" s="2939"/>
      <c r="AD72" s="2939"/>
    </row>
    <row r="73" spans="1:30">
      <c r="A73" s="6705">
        <v>58</v>
      </c>
      <c r="B73" s="6701">
        <v>2611</v>
      </c>
      <c r="C73" s="6706" t="s">
        <v>4557</v>
      </c>
      <c r="D73" s="6707" t="s">
        <v>4558</v>
      </c>
      <c r="E73" s="6708"/>
      <c r="F73" s="6705">
        <v>382</v>
      </c>
      <c r="G73" s="6701" t="s">
        <v>4559</v>
      </c>
      <c r="H73" s="6706" t="s">
        <v>4560</v>
      </c>
      <c r="I73" s="6707" t="s">
        <v>4561</v>
      </c>
      <c r="J73" s="6708"/>
      <c r="K73" s="6705">
        <v>706</v>
      </c>
      <c r="L73" s="6701" t="s">
        <v>4562</v>
      </c>
      <c r="M73" s="6706" t="s">
        <v>4563</v>
      </c>
      <c r="N73" s="6707" t="s">
        <v>4564</v>
      </c>
      <c r="O73" s="6708"/>
      <c r="P73" s="6705">
        <v>1030</v>
      </c>
      <c r="Q73" s="6701" t="s">
        <v>4565</v>
      </c>
      <c r="R73" s="6706" t="s">
        <v>4566</v>
      </c>
      <c r="S73" s="6707" t="s">
        <v>4567</v>
      </c>
      <c r="T73" s="2939"/>
      <c r="U73" s="2939"/>
      <c r="V73" s="2939"/>
      <c r="W73" s="2939"/>
      <c r="X73" s="2939"/>
      <c r="Y73" s="2939"/>
      <c r="Z73" s="2939"/>
      <c r="AA73" s="2939"/>
      <c r="AB73" s="2939"/>
      <c r="AC73" s="2939"/>
      <c r="AD73" s="2939"/>
    </row>
    <row r="74" spans="1:30">
      <c r="A74" s="6705">
        <v>59</v>
      </c>
      <c r="B74" s="6701">
        <v>2620</v>
      </c>
      <c r="C74" s="6706" t="s">
        <v>4568</v>
      </c>
      <c r="D74" s="6707" t="s">
        <v>4569</v>
      </c>
      <c r="E74" s="6708"/>
      <c r="F74" s="6705">
        <v>383</v>
      </c>
      <c r="G74" s="6701" t="s">
        <v>4570</v>
      </c>
      <c r="H74" s="6706" t="s">
        <v>4571</v>
      </c>
      <c r="I74" s="6707" t="s">
        <v>4572</v>
      </c>
      <c r="J74" s="6708"/>
      <c r="K74" s="6705">
        <v>707</v>
      </c>
      <c r="L74" s="6701" t="s">
        <v>4573</v>
      </c>
      <c r="M74" s="6706" t="s">
        <v>4574</v>
      </c>
      <c r="N74" s="6707" t="s">
        <v>4575</v>
      </c>
      <c r="O74" s="6708"/>
      <c r="P74" s="6705">
        <v>1031</v>
      </c>
      <c r="Q74" s="6701" t="s">
        <v>4576</v>
      </c>
      <c r="R74" s="6706" t="s">
        <v>4577</v>
      </c>
      <c r="T74" s="2939"/>
      <c r="U74" s="2939"/>
      <c r="V74" s="2939"/>
      <c r="W74" s="2939"/>
      <c r="X74" s="2939"/>
      <c r="Y74" s="2939"/>
      <c r="Z74" s="2939"/>
      <c r="AA74" s="2939"/>
      <c r="AB74" s="2939"/>
      <c r="AC74" s="2939"/>
      <c r="AD74" s="2939"/>
    </row>
    <row r="75" spans="1:30">
      <c r="A75" s="6705">
        <v>60</v>
      </c>
      <c r="B75" s="6701">
        <v>2622</v>
      </c>
      <c r="C75" s="6706" t="s">
        <v>4578</v>
      </c>
      <c r="D75" s="6707" t="s">
        <v>4579</v>
      </c>
      <c r="E75" s="6708"/>
      <c r="F75" s="6705">
        <v>384</v>
      </c>
      <c r="G75" s="6701" t="s">
        <v>4580</v>
      </c>
      <c r="H75" s="6706" t="s">
        <v>4581</v>
      </c>
      <c r="I75" s="6707" t="s">
        <v>4582</v>
      </c>
      <c r="J75" s="6708"/>
      <c r="K75" s="6705">
        <v>708</v>
      </c>
      <c r="L75" s="6701" t="s">
        <v>4583</v>
      </c>
      <c r="M75" s="6706" t="s">
        <v>4584</v>
      </c>
      <c r="N75" s="6707" t="s">
        <v>4585</v>
      </c>
      <c r="O75" s="6708"/>
      <c r="P75" s="6705">
        <v>1032</v>
      </c>
      <c r="Q75" s="6701" t="s">
        <v>4586</v>
      </c>
      <c r="R75" s="6706" t="s">
        <v>4587</v>
      </c>
      <c r="S75" s="6707" t="s">
        <v>4588</v>
      </c>
      <c r="T75" s="2939"/>
      <c r="U75" s="2939"/>
      <c r="V75" s="2939"/>
      <c r="W75" s="2939"/>
      <c r="X75" s="2939"/>
      <c r="Y75" s="2939"/>
      <c r="Z75" s="2939"/>
      <c r="AA75" s="2939"/>
      <c r="AB75" s="2939"/>
      <c r="AC75" s="2939"/>
      <c r="AD75" s="2939"/>
    </row>
    <row r="76" spans="1:30">
      <c r="A76" s="6705">
        <v>61</v>
      </c>
      <c r="B76" s="6701">
        <v>2623</v>
      </c>
      <c r="C76" s="6706" t="s">
        <v>4589</v>
      </c>
      <c r="D76" s="6707" t="s">
        <v>4590</v>
      </c>
      <c r="E76" s="6708"/>
      <c r="F76" s="6705">
        <v>385</v>
      </c>
      <c r="G76" s="6701" t="s">
        <v>4591</v>
      </c>
      <c r="H76" s="6706" t="s">
        <v>4592</v>
      </c>
      <c r="I76" s="6707" t="s">
        <v>4593</v>
      </c>
      <c r="J76" s="6708"/>
      <c r="K76" s="6705">
        <v>709</v>
      </c>
      <c r="L76" s="6701" t="s">
        <v>4594</v>
      </c>
      <c r="M76" s="6706" t="s">
        <v>4595</v>
      </c>
      <c r="N76" s="6707" t="s">
        <v>4596</v>
      </c>
      <c r="O76" s="6708"/>
      <c r="P76" s="6705">
        <v>1033</v>
      </c>
      <c r="Q76" s="6701" t="s">
        <v>4597</v>
      </c>
      <c r="R76" s="6706" t="s">
        <v>4598</v>
      </c>
      <c r="S76" s="6707" t="s">
        <v>4599</v>
      </c>
      <c r="T76" s="2939"/>
      <c r="U76" s="2939"/>
      <c r="V76" s="2939"/>
      <c r="W76" s="2939"/>
      <c r="X76" s="2939"/>
      <c r="Y76" s="2939"/>
      <c r="Z76" s="2939"/>
      <c r="AA76" s="2939"/>
      <c r="AB76" s="2939"/>
      <c r="AC76" s="2939"/>
      <c r="AD76" s="2939"/>
    </row>
    <row r="77" spans="1:30">
      <c r="A77" s="6705">
        <v>62</v>
      </c>
      <c r="B77" s="6701">
        <v>2626</v>
      </c>
      <c r="C77" s="6706" t="s">
        <v>4600</v>
      </c>
      <c r="D77" s="6707" t="s">
        <v>4601</v>
      </c>
      <c r="E77" s="6708"/>
      <c r="F77" s="6705">
        <v>386</v>
      </c>
      <c r="G77" s="6701" t="s">
        <v>4602</v>
      </c>
      <c r="H77" s="6706" t="s">
        <v>4603</v>
      </c>
      <c r="I77" s="6707" t="s">
        <v>4604</v>
      </c>
      <c r="J77" s="6708"/>
      <c r="K77" s="6705">
        <v>710</v>
      </c>
      <c r="L77" s="6701" t="s">
        <v>4605</v>
      </c>
      <c r="M77" s="6706" t="s">
        <v>4606</v>
      </c>
      <c r="N77" s="6707" t="s">
        <v>4607</v>
      </c>
      <c r="O77" s="6708"/>
      <c r="P77" s="6705">
        <v>1034</v>
      </c>
      <c r="Q77" s="6701" t="s">
        <v>4608</v>
      </c>
      <c r="R77" s="6706" t="s">
        <v>4609</v>
      </c>
      <c r="S77" s="6707" t="s">
        <v>4610</v>
      </c>
      <c r="T77" s="2939"/>
      <c r="U77" s="2939"/>
      <c r="V77" s="2939"/>
      <c r="W77" s="2939"/>
      <c r="X77" s="2939"/>
      <c r="Y77" s="2939"/>
      <c r="Z77" s="2939"/>
      <c r="AA77" s="2939"/>
      <c r="AB77" s="2939"/>
      <c r="AC77" s="2939"/>
      <c r="AD77" s="2939"/>
    </row>
    <row r="78" spans="1:30">
      <c r="A78" s="6705">
        <v>63</v>
      </c>
      <c r="B78" s="6701" t="s">
        <v>4611</v>
      </c>
      <c r="C78" s="6706" t="s">
        <v>4612</v>
      </c>
      <c r="D78" s="6707" t="s">
        <v>4613</v>
      </c>
      <c r="E78" s="6708"/>
      <c r="F78" s="6705">
        <v>387</v>
      </c>
      <c r="G78" s="6701" t="s">
        <v>4614</v>
      </c>
      <c r="H78" s="6706" t="s">
        <v>4615</v>
      </c>
      <c r="I78" s="6707" t="s">
        <v>4616</v>
      </c>
      <c r="J78" s="6708"/>
      <c r="K78" s="6705">
        <v>711</v>
      </c>
      <c r="L78" s="6701" t="s">
        <v>4617</v>
      </c>
      <c r="M78" s="6706" t="s">
        <v>4618</v>
      </c>
      <c r="N78" s="6707" t="s">
        <v>4619</v>
      </c>
      <c r="O78" s="6708"/>
      <c r="P78" s="6705">
        <v>1035</v>
      </c>
      <c r="Q78" s="6701" t="s">
        <v>4620</v>
      </c>
      <c r="R78" s="6706" t="s">
        <v>4621</v>
      </c>
      <c r="S78" s="6707" t="s">
        <v>4622</v>
      </c>
      <c r="T78" s="2939"/>
      <c r="U78" s="2939"/>
      <c r="V78" s="2939"/>
      <c r="W78" s="2939"/>
      <c r="X78" s="2939"/>
      <c r="Y78" s="2939"/>
      <c r="Z78" s="2939"/>
      <c r="AA78" s="2939"/>
      <c r="AB78" s="2939"/>
      <c r="AC78" s="2939"/>
      <c r="AD78" s="2939"/>
    </row>
    <row r="79" spans="1:30">
      <c r="A79" s="6705">
        <v>64</v>
      </c>
      <c r="B79" s="6701" t="s">
        <v>4623</v>
      </c>
      <c r="C79" s="6706" t="s">
        <v>4624</v>
      </c>
      <c r="D79" s="6707" t="s">
        <v>4625</v>
      </c>
      <c r="E79" s="6708"/>
      <c r="F79" s="6705">
        <v>388</v>
      </c>
      <c r="G79" s="6701" t="s">
        <v>4626</v>
      </c>
      <c r="H79" s="6706" t="s">
        <v>4627</v>
      </c>
      <c r="I79" s="6707" t="s">
        <v>4628</v>
      </c>
      <c r="J79" s="6708"/>
      <c r="K79" s="6705">
        <v>712</v>
      </c>
      <c r="L79" s="6701" t="s">
        <v>4629</v>
      </c>
      <c r="M79" s="6706" t="s">
        <v>4630</v>
      </c>
      <c r="N79" s="6707" t="s">
        <v>4631</v>
      </c>
      <c r="O79" s="6708"/>
      <c r="P79" s="6705">
        <v>1036</v>
      </c>
      <c r="Q79" s="6701" t="s">
        <v>4632</v>
      </c>
      <c r="R79" s="6706" t="s">
        <v>4633</v>
      </c>
      <c r="S79" s="6707" t="s">
        <v>4634</v>
      </c>
      <c r="T79" s="2939"/>
      <c r="U79" s="2939"/>
      <c r="V79" s="2939"/>
      <c r="W79" s="2939"/>
      <c r="X79" s="2939"/>
      <c r="Y79" s="2939"/>
      <c r="Z79" s="2939"/>
      <c r="AA79" s="2939"/>
      <c r="AB79" s="2939"/>
      <c r="AC79" s="2939"/>
      <c r="AD79" s="2939"/>
    </row>
    <row r="80" spans="1:30">
      <c r="A80" s="6705">
        <v>65</v>
      </c>
      <c r="B80" s="6701" t="s">
        <v>4635</v>
      </c>
      <c r="C80" s="6706" t="s">
        <v>4636</v>
      </c>
      <c r="D80" s="6707" t="s">
        <v>4637</v>
      </c>
      <c r="E80" s="6708"/>
      <c r="F80" s="6705">
        <v>389</v>
      </c>
      <c r="G80" s="6701" t="s">
        <v>4638</v>
      </c>
      <c r="H80" s="6706" t="s">
        <v>4639</v>
      </c>
      <c r="I80" s="6707" t="s">
        <v>4640</v>
      </c>
      <c r="J80" s="6708"/>
      <c r="K80" s="6705">
        <v>713</v>
      </c>
      <c r="L80" s="6701" t="s">
        <v>4641</v>
      </c>
      <c r="M80" s="6706" t="s">
        <v>4642</v>
      </c>
      <c r="N80" s="6707" t="s">
        <v>4643</v>
      </c>
      <c r="O80" s="6708"/>
      <c r="P80" s="6705">
        <v>1037</v>
      </c>
      <c r="Q80" s="6701" t="s">
        <v>4644</v>
      </c>
      <c r="R80" s="6706" t="s">
        <v>4645</v>
      </c>
      <c r="S80" s="6707" t="s">
        <v>4646</v>
      </c>
      <c r="T80" s="2939"/>
      <c r="U80" s="2939"/>
      <c r="V80" s="2939"/>
      <c r="W80" s="2939"/>
      <c r="X80" s="2939"/>
      <c r="Y80" s="2939"/>
      <c r="Z80" s="2939"/>
      <c r="AA80" s="2939"/>
      <c r="AB80" s="2939"/>
      <c r="AC80" s="2939"/>
      <c r="AD80" s="2939"/>
    </row>
    <row r="81" spans="1:30">
      <c r="A81" s="6705">
        <v>66</v>
      </c>
      <c r="B81" s="6701">
        <v>2638</v>
      </c>
      <c r="C81" s="6706" t="s">
        <v>4647</v>
      </c>
      <c r="D81" s="6707" t="s">
        <v>4648</v>
      </c>
      <c r="E81" s="6708"/>
      <c r="F81" s="6705">
        <v>390</v>
      </c>
      <c r="G81" s="6701" t="s">
        <v>4649</v>
      </c>
      <c r="H81" s="6706" t="s">
        <v>4650</v>
      </c>
      <c r="I81" s="6707" t="s">
        <v>4651</v>
      </c>
      <c r="J81" s="6708"/>
      <c r="K81" s="6705">
        <v>714</v>
      </c>
      <c r="L81" s="6701" t="s">
        <v>4652</v>
      </c>
      <c r="M81" s="6706" t="s">
        <v>4653</v>
      </c>
      <c r="N81" s="6707" t="s">
        <v>4654</v>
      </c>
      <c r="O81" s="6708"/>
      <c r="P81" s="6705">
        <v>1038</v>
      </c>
      <c r="Q81" s="6701" t="s">
        <v>4655</v>
      </c>
      <c r="R81" s="6706" t="s">
        <v>4656</v>
      </c>
      <c r="S81" s="6707" t="s">
        <v>4657</v>
      </c>
      <c r="T81" s="2939"/>
      <c r="U81" s="2939"/>
      <c r="V81" s="2939"/>
      <c r="W81" s="2939"/>
      <c r="X81" s="2939"/>
      <c r="Y81" s="2939"/>
      <c r="Z81" s="2939"/>
      <c r="AA81" s="2939"/>
      <c r="AB81" s="2939"/>
      <c r="AC81" s="2939"/>
      <c r="AD81" s="2939"/>
    </row>
    <row r="82" spans="1:30">
      <c r="A82" s="6705">
        <v>67</v>
      </c>
      <c r="B82" s="6701">
        <v>2639</v>
      </c>
      <c r="C82" s="6706" t="s">
        <v>4658</v>
      </c>
      <c r="D82" s="6707" t="s">
        <v>4659</v>
      </c>
      <c r="E82" s="6708"/>
      <c r="F82" s="6705">
        <v>391</v>
      </c>
      <c r="G82" s="6701" t="s">
        <v>4660</v>
      </c>
      <c r="H82" s="6706" t="s">
        <v>4661</v>
      </c>
      <c r="I82" s="6707" t="s">
        <v>4662</v>
      </c>
      <c r="J82" s="6708"/>
      <c r="K82" s="6705">
        <v>715</v>
      </c>
      <c r="L82" s="6701" t="s">
        <v>4663</v>
      </c>
      <c r="M82" s="6706" t="s">
        <v>4664</v>
      </c>
      <c r="N82" s="6707" t="s">
        <v>4665</v>
      </c>
      <c r="O82" s="6708"/>
      <c r="P82" s="6705">
        <v>1039</v>
      </c>
      <c r="Q82" s="6701" t="s">
        <v>4666</v>
      </c>
      <c r="R82" s="6706" t="s">
        <v>3902</v>
      </c>
      <c r="S82" s="6707" t="s">
        <v>4667</v>
      </c>
      <c r="T82" s="2939"/>
      <c r="U82" s="2939"/>
      <c r="V82" s="2939"/>
      <c r="W82" s="2939"/>
      <c r="X82" s="2939"/>
      <c r="Y82" s="2939"/>
      <c r="Z82" s="2939"/>
      <c r="AA82" s="2939"/>
      <c r="AB82" s="2939"/>
      <c r="AC82" s="2939"/>
      <c r="AD82" s="2939"/>
    </row>
    <row r="83" spans="1:30">
      <c r="A83" s="6705">
        <v>68</v>
      </c>
      <c r="B83" s="6701" t="s">
        <v>4668</v>
      </c>
      <c r="C83" s="6706" t="s">
        <v>4669</v>
      </c>
      <c r="D83" s="6707" t="s">
        <v>4670</v>
      </c>
      <c r="E83" s="6708"/>
      <c r="F83" s="6705">
        <v>392</v>
      </c>
      <c r="G83" s="6701" t="s">
        <v>4671</v>
      </c>
      <c r="H83" s="6706" t="s">
        <v>4672</v>
      </c>
      <c r="I83" s="6707" t="s">
        <v>4673</v>
      </c>
      <c r="J83" s="6708"/>
      <c r="K83" s="6705">
        <v>716</v>
      </c>
      <c r="L83" s="6701" t="s">
        <v>4674</v>
      </c>
      <c r="M83" s="6706" t="s">
        <v>4675</v>
      </c>
      <c r="N83" s="6707" t="s">
        <v>4676</v>
      </c>
      <c r="O83" s="6708"/>
      <c r="P83" s="6705">
        <v>1040</v>
      </c>
      <c r="Q83" s="6701" t="s">
        <v>4677</v>
      </c>
      <c r="R83" s="6706" t="s">
        <v>4678</v>
      </c>
      <c r="S83" s="6707" t="s">
        <v>4679</v>
      </c>
      <c r="T83" s="2939"/>
      <c r="U83" s="2939"/>
      <c r="V83" s="2939"/>
      <c r="W83" s="2939"/>
      <c r="X83" s="2939"/>
      <c r="Y83" s="2939"/>
      <c r="Z83" s="2939"/>
      <c r="AA83" s="2939"/>
      <c r="AB83" s="2939"/>
      <c r="AC83" s="2939"/>
      <c r="AD83" s="2939"/>
    </row>
    <row r="84" spans="1:30">
      <c r="A84" s="6705">
        <v>69</v>
      </c>
      <c r="B84" s="6701">
        <v>2640</v>
      </c>
      <c r="C84" s="6706" t="s">
        <v>3863</v>
      </c>
      <c r="D84" s="6707" t="s">
        <v>4680</v>
      </c>
      <c r="E84" s="6708"/>
      <c r="F84" s="6705">
        <v>393</v>
      </c>
      <c r="G84" s="6701" t="s">
        <v>4681</v>
      </c>
      <c r="H84" s="6706" t="s">
        <v>4682</v>
      </c>
      <c r="I84" s="6707" t="s">
        <v>4683</v>
      </c>
      <c r="J84" s="6708"/>
      <c r="K84" s="6705">
        <v>717</v>
      </c>
      <c r="L84" s="6701" t="s">
        <v>4684</v>
      </c>
      <c r="M84" s="6706" t="s">
        <v>4685</v>
      </c>
      <c r="N84" s="6707" t="s">
        <v>4092</v>
      </c>
      <c r="O84" s="6708"/>
      <c r="P84" s="6705">
        <v>1041</v>
      </c>
      <c r="Q84" s="6701" t="s">
        <v>4686</v>
      </c>
      <c r="R84" s="6706" t="s">
        <v>4687</v>
      </c>
      <c r="S84" s="6707" t="s">
        <v>4688</v>
      </c>
      <c r="T84" s="2939"/>
      <c r="U84" s="2939"/>
      <c r="V84" s="2939"/>
      <c r="W84" s="2939"/>
      <c r="X84" s="2939"/>
      <c r="Y84" s="2939"/>
      <c r="Z84" s="2939"/>
      <c r="AA84" s="2939"/>
      <c r="AB84" s="2939"/>
      <c r="AC84" s="2939"/>
      <c r="AD84" s="2939"/>
    </row>
    <row r="85" spans="1:30">
      <c r="A85" s="6705">
        <v>70</v>
      </c>
      <c r="B85" s="6701">
        <v>2642</v>
      </c>
      <c r="C85" s="6706" t="s">
        <v>3862</v>
      </c>
      <c r="D85" s="6707" t="s">
        <v>4689</v>
      </c>
      <c r="E85" s="6708"/>
      <c r="F85" s="6705">
        <v>394</v>
      </c>
      <c r="G85" s="6701" t="s">
        <v>4690</v>
      </c>
      <c r="H85" s="6706" t="s">
        <v>4691</v>
      </c>
      <c r="I85" s="6707" t="s">
        <v>4692</v>
      </c>
      <c r="J85" s="6708"/>
      <c r="K85" s="6705">
        <v>718</v>
      </c>
      <c r="L85" s="6701" t="s">
        <v>4693</v>
      </c>
      <c r="M85" s="6706" t="s">
        <v>4694</v>
      </c>
      <c r="N85" s="6707" t="s">
        <v>4695</v>
      </c>
      <c r="O85" s="6708"/>
      <c r="P85" s="6705">
        <v>1042</v>
      </c>
      <c r="Q85" s="6701" t="s">
        <v>4696</v>
      </c>
      <c r="R85" s="6706" t="s">
        <v>4697</v>
      </c>
      <c r="S85" s="6707" t="s">
        <v>4698</v>
      </c>
      <c r="T85" s="2939"/>
      <c r="U85" s="2939"/>
      <c r="V85" s="2939"/>
      <c r="W85" s="2939"/>
      <c r="X85" s="2939"/>
      <c r="Y85" s="2939"/>
      <c r="Z85" s="2939"/>
      <c r="AA85" s="2939"/>
      <c r="AB85" s="2939"/>
      <c r="AC85" s="2939"/>
      <c r="AD85" s="2939"/>
    </row>
    <row r="86" spans="1:30">
      <c r="A86" s="6705">
        <v>71</v>
      </c>
      <c r="B86" s="6701">
        <v>2648</v>
      </c>
      <c r="C86" s="6706" t="s">
        <v>4699</v>
      </c>
      <c r="D86" s="6707" t="s">
        <v>4700</v>
      </c>
      <c r="E86" s="6708"/>
      <c r="F86" s="6705">
        <v>395</v>
      </c>
      <c r="G86" s="6701" t="s">
        <v>4701</v>
      </c>
      <c r="H86" s="6706" t="s">
        <v>4702</v>
      </c>
      <c r="I86" s="6707" t="s">
        <v>4703</v>
      </c>
      <c r="J86" s="6708"/>
      <c r="K86" s="6705">
        <v>719</v>
      </c>
      <c r="L86" s="6701" t="s">
        <v>4704</v>
      </c>
      <c r="M86" s="6706" t="s">
        <v>4705</v>
      </c>
      <c r="N86" s="6707" t="s">
        <v>4706</v>
      </c>
      <c r="O86" s="6708"/>
      <c r="P86" s="6705">
        <v>1043</v>
      </c>
      <c r="Q86" s="6701" t="s">
        <v>4707</v>
      </c>
      <c r="R86" s="6706" t="s">
        <v>4708</v>
      </c>
      <c r="S86" s="6707" t="s">
        <v>4709</v>
      </c>
      <c r="T86" s="2939"/>
      <c r="U86" s="2939"/>
      <c r="V86" s="2939"/>
      <c r="W86" s="2939"/>
      <c r="X86" s="2939"/>
      <c r="Y86" s="2939"/>
      <c r="Z86" s="2939"/>
      <c r="AA86" s="2939"/>
      <c r="AB86" s="2939"/>
      <c r="AC86" s="2939"/>
      <c r="AD86" s="2939"/>
    </row>
    <row r="87" spans="1:30">
      <c r="A87" s="6705">
        <v>72</v>
      </c>
      <c r="B87" s="6701">
        <v>2649</v>
      </c>
      <c r="C87" s="6706" t="s">
        <v>4710</v>
      </c>
      <c r="D87" s="6707" t="s">
        <v>4711</v>
      </c>
      <c r="E87" s="6708"/>
      <c r="F87" s="6705">
        <v>396</v>
      </c>
      <c r="G87" s="6701" t="s">
        <v>4712</v>
      </c>
      <c r="H87" s="6706" t="s">
        <v>4713</v>
      </c>
      <c r="I87" s="6707" t="s">
        <v>4714</v>
      </c>
      <c r="J87" s="6708"/>
      <c r="K87" s="6705">
        <v>720</v>
      </c>
      <c r="L87" s="6701" t="s">
        <v>4715</v>
      </c>
      <c r="M87" s="6706" t="s">
        <v>4716</v>
      </c>
      <c r="N87" s="6707" t="s">
        <v>4717</v>
      </c>
      <c r="O87" s="6708"/>
      <c r="P87" s="6705">
        <v>1044</v>
      </c>
      <c r="Q87" s="6701" t="s">
        <v>4718</v>
      </c>
      <c r="R87" s="6706" t="s">
        <v>4719</v>
      </c>
      <c r="S87" s="6707" t="s">
        <v>4720</v>
      </c>
      <c r="T87" s="2939"/>
      <c r="U87" s="2939"/>
      <c r="V87" s="2939"/>
      <c r="W87" s="2939"/>
      <c r="X87" s="2939"/>
      <c r="Y87" s="2939"/>
      <c r="Z87" s="2939"/>
      <c r="AA87" s="2939"/>
      <c r="AB87" s="2939"/>
      <c r="AC87" s="2939"/>
      <c r="AD87" s="2939"/>
    </row>
    <row r="88" spans="1:30">
      <c r="A88" s="6705">
        <v>73</v>
      </c>
      <c r="B88" s="6701" t="s">
        <v>4721</v>
      </c>
      <c r="C88" s="6706" t="s">
        <v>4722</v>
      </c>
      <c r="D88" s="6707" t="s">
        <v>4723</v>
      </c>
      <c r="E88" s="6708"/>
      <c r="F88" s="6705">
        <v>397</v>
      </c>
      <c r="G88" s="6701" t="s">
        <v>4724</v>
      </c>
      <c r="H88" s="6706" t="s">
        <v>4725</v>
      </c>
      <c r="I88" s="6707" t="s">
        <v>4726</v>
      </c>
      <c r="J88" s="6708"/>
      <c r="K88" s="6705">
        <v>721</v>
      </c>
      <c r="L88" s="6701" t="s">
        <v>4727</v>
      </c>
      <c r="M88" s="6706" t="s">
        <v>4728</v>
      </c>
      <c r="N88" s="6707" t="s">
        <v>4729</v>
      </c>
      <c r="O88" s="6708"/>
      <c r="P88" s="6705">
        <v>1045</v>
      </c>
      <c r="Q88" s="6701" t="s">
        <v>4730</v>
      </c>
      <c r="R88" s="6706" t="s">
        <v>4731</v>
      </c>
      <c r="S88" s="6707" t="s">
        <v>4732</v>
      </c>
      <c r="T88" s="2939"/>
      <c r="U88" s="2939"/>
      <c r="V88" s="2939"/>
      <c r="W88" s="2939"/>
      <c r="X88" s="2939"/>
      <c r="Y88" s="2939"/>
      <c r="Z88" s="2939"/>
      <c r="AA88" s="2939"/>
      <c r="AB88" s="2939"/>
      <c r="AC88" s="2939"/>
      <c r="AD88" s="2939"/>
    </row>
    <row r="89" spans="1:30">
      <c r="A89" s="6705">
        <v>74</v>
      </c>
      <c r="B89" s="6701" t="s">
        <v>4733</v>
      </c>
      <c r="C89" s="6706" t="s">
        <v>4734</v>
      </c>
      <c r="D89" s="6707" t="s">
        <v>4735</v>
      </c>
      <c r="E89" s="6708"/>
      <c r="F89" s="6705">
        <v>398</v>
      </c>
      <c r="G89" s="6701" t="s">
        <v>4736</v>
      </c>
      <c r="H89" s="6706" t="s">
        <v>4737</v>
      </c>
      <c r="I89" s="6707" t="s">
        <v>4738</v>
      </c>
      <c r="J89" s="6708"/>
      <c r="K89" s="6705">
        <v>722</v>
      </c>
      <c r="L89" s="6701" t="s">
        <v>4739</v>
      </c>
      <c r="M89" s="6706" t="s">
        <v>4740</v>
      </c>
      <c r="N89" s="6707" t="s">
        <v>4741</v>
      </c>
      <c r="O89" s="6708"/>
      <c r="P89" s="6705">
        <v>1046</v>
      </c>
      <c r="Q89" s="6701" t="s">
        <v>4742</v>
      </c>
      <c r="R89" s="6706" t="s">
        <v>4743</v>
      </c>
      <c r="S89" s="6707" t="s">
        <v>4744</v>
      </c>
      <c r="T89" s="2939"/>
      <c r="U89" s="2939"/>
      <c r="V89" s="2939"/>
      <c r="W89" s="2939"/>
      <c r="X89" s="2939"/>
      <c r="Y89" s="2939"/>
      <c r="Z89" s="2939"/>
      <c r="AA89" s="2939"/>
      <c r="AB89" s="2939"/>
      <c r="AC89" s="2939"/>
      <c r="AD89" s="2939"/>
    </row>
    <row r="90" spans="1:30">
      <c r="A90" s="6705">
        <v>75</v>
      </c>
      <c r="B90" s="6701" t="s">
        <v>4745</v>
      </c>
      <c r="C90" s="6706" t="s">
        <v>4746</v>
      </c>
      <c r="D90" s="6707" t="s">
        <v>4747</v>
      </c>
      <c r="E90" s="6708"/>
      <c r="F90" s="6705">
        <v>399</v>
      </c>
      <c r="G90" s="6701" t="s">
        <v>4748</v>
      </c>
      <c r="H90" s="6706" t="s">
        <v>4749</v>
      </c>
      <c r="I90" s="6707" t="s">
        <v>4750</v>
      </c>
      <c r="J90" s="6708"/>
      <c r="K90" s="6705">
        <v>723</v>
      </c>
      <c r="L90" s="6701" t="s">
        <v>4751</v>
      </c>
      <c r="M90" s="6706" t="s">
        <v>4752</v>
      </c>
      <c r="N90" s="6707" t="s">
        <v>4753</v>
      </c>
      <c r="O90" s="6708"/>
      <c r="P90" s="6705">
        <v>1047</v>
      </c>
      <c r="Q90" s="6701" t="s">
        <v>4754</v>
      </c>
      <c r="R90" s="6706" t="s">
        <v>4755</v>
      </c>
      <c r="S90" s="6707" t="s">
        <v>4756</v>
      </c>
      <c r="T90" s="2939"/>
      <c r="U90" s="2939"/>
      <c r="V90" s="2939"/>
      <c r="W90" s="2939"/>
      <c r="X90" s="2939"/>
      <c r="Y90" s="2939"/>
      <c r="Z90" s="2939"/>
      <c r="AA90" s="2939"/>
      <c r="AB90" s="2939"/>
      <c r="AC90" s="2939"/>
      <c r="AD90" s="2939"/>
    </row>
    <row r="91" spans="1:30">
      <c r="A91" s="6705">
        <v>76</v>
      </c>
      <c r="B91" s="6701" t="s">
        <v>4757</v>
      </c>
      <c r="C91" s="6706" t="s">
        <v>4758</v>
      </c>
      <c r="D91" s="6707" t="s">
        <v>4759</v>
      </c>
      <c r="E91" s="6708"/>
      <c r="F91" s="6705">
        <v>400</v>
      </c>
      <c r="G91" s="6701" t="s">
        <v>4760</v>
      </c>
      <c r="H91" s="6706" t="s">
        <v>4761</v>
      </c>
      <c r="I91" s="6707" t="s">
        <v>4762</v>
      </c>
      <c r="J91" s="6708"/>
      <c r="K91" s="6705">
        <v>724</v>
      </c>
      <c r="L91" s="6701" t="s">
        <v>4763</v>
      </c>
      <c r="M91" s="6706" t="s">
        <v>4764</v>
      </c>
      <c r="N91" s="6707" t="s">
        <v>4765</v>
      </c>
      <c r="O91" s="6708"/>
      <c r="P91" s="6705">
        <v>1048</v>
      </c>
      <c r="Q91" s="6701" t="s">
        <v>4766</v>
      </c>
      <c r="R91" s="6706" t="s">
        <v>4767</v>
      </c>
      <c r="S91" s="6707" t="s">
        <v>4768</v>
      </c>
      <c r="T91" s="2939"/>
      <c r="U91" s="2939"/>
      <c r="V91" s="2939"/>
      <c r="W91" s="2939"/>
      <c r="X91" s="2939"/>
      <c r="Y91" s="2939"/>
      <c r="Z91" s="2939"/>
      <c r="AA91" s="2939"/>
      <c r="AB91" s="2939"/>
      <c r="AC91" s="2939"/>
      <c r="AD91" s="2939"/>
    </row>
    <row r="92" spans="1:30">
      <c r="A92" s="6705">
        <v>77</v>
      </c>
      <c r="B92" s="6701" t="s">
        <v>4769</v>
      </c>
      <c r="C92" s="6706" t="s">
        <v>4770</v>
      </c>
      <c r="D92" s="6707" t="s">
        <v>684</v>
      </c>
      <c r="E92" s="6708"/>
      <c r="F92" s="6705">
        <v>401</v>
      </c>
      <c r="G92" s="6701" t="s">
        <v>4771</v>
      </c>
      <c r="H92" s="6706" t="s">
        <v>4772</v>
      </c>
      <c r="I92" s="6707" t="s">
        <v>4773</v>
      </c>
      <c r="J92" s="6708"/>
      <c r="K92" s="6705">
        <v>725</v>
      </c>
      <c r="L92" s="6701" t="s">
        <v>4774</v>
      </c>
      <c r="M92" s="6706" t="s">
        <v>4775</v>
      </c>
      <c r="N92" s="6707" t="s">
        <v>4776</v>
      </c>
      <c r="O92" s="6708"/>
      <c r="P92" s="6705">
        <v>1049</v>
      </c>
      <c r="Q92" s="6701" t="s">
        <v>4777</v>
      </c>
      <c r="R92" s="6706" t="s">
        <v>4778</v>
      </c>
      <c r="S92" s="6707" t="s">
        <v>4779</v>
      </c>
      <c r="T92" s="2939"/>
      <c r="U92" s="2939"/>
      <c r="V92" s="2939"/>
      <c r="W92" s="2939"/>
      <c r="X92" s="2939"/>
      <c r="Y92" s="2939"/>
      <c r="Z92" s="2939"/>
      <c r="AA92" s="2939"/>
      <c r="AB92" s="2939"/>
      <c r="AC92" s="2939"/>
      <c r="AD92" s="2939"/>
    </row>
    <row r="93" spans="1:30">
      <c r="A93" s="6705">
        <v>78</v>
      </c>
      <c r="B93" s="6701" t="s">
        <v>4780</v>
      </c>
      <c r="C93" s="6706" t="s">
        <v>4781</v>
      </c>
      <c r="D93" s="6707" t="s">
        <v>4782</v>
      </c>
      <c r="E93" s="6708"/>
      <c r="F93" s="6705">
        <v>402</v>
      </c>
      <c r="G93" s="6701" t="s">
        <v>4783</v>
      </c>
      <c r="H93" s="6706" t="s">
        <v>4784</v>
      </c>
      <c r="I93" s="6707" t="s">
        <v>4785</v>
      </c>
      <c r="J93" s="6708"/>
      <c r="K93" s="6705">
        <v>726</v>
      </c>
      <c r="L93" s="6701" t="s">
        <v>4786</v>
      </c>
      <c r="M93" s="6706" t="s">
        <v>4787</v>
      </c>
      <c r="N93" s="6707" t="s">
        <v>4788</v>
      </c>
      <c r="O93" s="6708"/>
      <c r="P93" s="6705">
        <v>1050</v>
      </c>
      <c r="Q93" s="6701" t="s">
        <v>4789</v>
      </c>
      <c r="R93" s="6706" t="s">
        <v>4790</v>
      </c>
      <c r="S93" s="6707" t="s">
        <v>4791</v>
      </c>
      <c r="T93" s="2939"/>
      <c r="U93" s="2939"/>
      <c r="V93" s="2939"/>
      <c r="W93" s="2939"/>
      <c r="X93" s="2939"/>
      <c r="Y93" s="2939"/>
      <c r="Z93" s="2939"/>
      <c r="AA93" s="2939"/>
      <c r="AB93" s="2939"/>
      <c r="AC93" s="2939"/>
      <c r="AD93" s="2939"/>
    </row>
    <row r="94" spans="1:30">
      <c r="A94" s="6705">
        <v>79</v>
      </c>
      <c r="B94" s="6701">
        <v>2650</v>
      </c>
      <c r="C94" s="6706" t="s">
        <v>4792</v>
      </c>
      <c r="D94" s="6707" t="s">
        <v>4793</v>
      </c>
      <c r="E94" s="6708"/>
      <c r="F94" s="6705">
        <v>403</v>
      </c>
      <c r="G94" s="6701" t="s">
        <v>4794</v>
      </c>
      <c r="H94" s="6706" t="s">
        <v>4795</v>
      </c>
      <c r="I94" s="6707" t="s">
        <v>4796</v>
      </c>
      <c r="J94" s="6708"/>
      <c r="K94" s="6705">
        <v>727</v>
      </c>
      <c r="L94" s="6701" t="s">
        <v>4797</v>
      </c>
      <c r="M94" s="6706" t="s">
        <v>4798</v>
      </c>
      <c r="N94" s="6707" t="s">
        <v>4799</v>
      </c>
      <c r="O94" s="6708"/>
      <c r="P94" s="6705">
        <v>1051</v>
      </c>
      <c r="Q94" s="6701" t="s">
        <v>4800</v>
      </c>
      <c r="R94" s="6706" t="s">
        <v>4801</v>
      </c>
      <c r="S94" s="6707" t="s">
        <v>4802</v>
      </c>
      <c r="T94" s="2939"/>
      <c r="U94" s="2939"/>
      <c r="V94" s="2939"/>
      <c r="W94" s="2939"/>
      <c r="X94" s="2939"/>
      <c r="Y94" s="2939"/>
      <c r="Z94" s="2939"/>
      <c r="AA94" s="2939"/>
      <c r="AB94" s="2939"/>
      <c r="AC94" s="2939"/>
      <c r="AD94" s="2939"/>
    </row>
    <row r="95" spans="1:30">
      <c r="A95" s="6705">
        <v>80</v>
      </c>
      <c r="B95" s="6701">
        <v>2651</v>
      </c>
      <c r="C95" s="6706" t="s">
        <v>4803</v>
      </c>
      <c r="D95" s="6707" t="s">
        <v>4804</v>
      </c>
      <c r="E95" s="6708"/>
      <c r="F95" s="6705">
        <v>404</v>
      </c>
      <c r="G95" s="6701" t="s">
        <v>4805</v>
      </c>
      <c r="H95" s="6706" t="s">
        <v>4806</v>
      </c>
      <c r="I95" s="6707" t="s">
        <v>4807</v>
      </c>
      <c r="J95" s="6708"/>
      <c r="K95" s="6705">
        <v>728</v>
      </c>
      <c r="L95" s="6701" t="s">
        <v>4808</v>
      </c>
      <c r="M95" s="6706" t="s">
        <v>4809</v>
      </c>
      <c r="N95" s="6707" t="s">
        <v>4810</v>
      </c>
      <c r="O95" s="6708"/>
      <c r="P95" s="6705">
        <v>1052</v>
      </c>
      <c r="Q95" s="6701" t="s">
        <v>4811</v>
      </c>
      <c r="R95" s="6706" t="s">
        <v>4812</v>
      </c>
      <c r="S95" s="6707" t="s">
        <v>4813</v>
      </c>
      <c r="T95" s="2939"/>
      <c r="U95" s="2939"/>
      <c r="V95" s="2939"/>
      <c r="W95" s="2939"/>
      <c r="X95" s="2939"/>
      <c r="Y95" s="2939"/>
      <c r="Z95" s="2939"/>
      <c r="AA95" s="2939"/>
      <c r="AB95" s="2939"/>
      <c r="AC95" s="2939"/>
      <c r="AD95" s="2939"/>
    </row>
    <row r="96" spans="1:30">
      <c r="A96" s="6705">
        <v>81</v>
      </c>
      <c r="B96" s="6701">
        <v>2652</v>
      </c>
      <c r="C96" s="6706" t="s">
        <v>4814</v>
      </c>
      <c r="D96" s="6707" t="s">
        <v>4815</v>
      </c>
      <c r="E96" s="6708"/>
      <c r="F96" s="6705">
        <v>405</v>
      </c>
      <c r="G96" s="6701" t="s">
        <v>4816</v>
      </c>
      <c r="H96" s="6706" t="s">
        <v>4817</v>
      </c>
      <c r="I96" s="6707" t="s">
        <v>4818</v>
      </c>
      <c r="J96" s="6708"/>
      <c r="K96" s="6705">
        <v>729</v>
      </c>
      <c r="L96" s="6701" t="s">
        <v>4819</v>
      </c>
      <c r="M96" s="6706" t="s">
        <v>4820</v>
      </c>
      <c r="N96" s="6707" t="s">
        <v>4821</v>
      </c>
      <c r="O96" s="6708"/>
      <c r="P96" s="6705">
        <v>1053</v>
      </c>
      <c r="Q96" s="6701" t="s">
        <v>4822</v>
      </c>
      <c r="R96" s="6706" t="s">
        <v>4823</v>
      </c>
      <c r="S96" s="6707" t="s">
        <v>4824</v>
      </c>
      <c r="T96" s="2939"/>
      <c r="U96" s="2939"/>
      <c r="V96" s="2939"/>
      <c r="W96" s="2939"/>
      <c r="X96" s="2939"/>
      <c r="Y96" s="2939"/>
      <c r="Z96" s="2939"/>
      <c r="AA96" s="2939"/>
      <c r="AB96" s="2939"/>
      <c r="AC96" s="2939"/>
      <c r="AD96" s="2939"/>
    </row>
    <row r="97" spans="1:30">
      <c r="A97" s="6705">
        <v>82</v>
      </c>
      <c r="B97" s="6701">
        <v>2653</v>
      </c>
      <c r="C97" s="6706" t="s">
        <v>4825</v>
      </c>
      <c r="D97" s="6707" t="s">
        <v>4826</v>
      </c>
      <c r="E97" s="6708"/>
      <c r="F97" s="6705">
        <v>406</v>
      </c>
      <c r="G97" s="6701" t="s">
        <v>4827</v>
      </c>
      <c r="H97" s="6706" t="s">
        <v>4828</v>
      </c>
      <c r="I97" s="6707" t="s">
        <v>4829</v>
      </c>
      <c r="J97" s="6708"/>
      <c r="K97" s="6705">
        <v>730</v>
      </c>
      <c r="L97" s="6701" t="s">
        <v>4830</v>
      </c>
      <c r="M97" s="6706" t="s">
        <v>4831</v>
      </c>
      <c r="N97" s="6707" t="s">
        <v>4832</v>
      </c>
      <c r="O97" s="6708"/>
      <c r="P97" s="6705">
        <v>1054</v>
      </c>
      <c r="Q97" s="6701" t="s">
        <v>4833</v>
      </c>
      <c r="R97" s="6706" t="s">
        <v>3896</v>
      </c>
      <c r="S97" s="6707" t="s">
        <v>4834</v>
      </c>
      <c r="T97" s="2939"/>
      <c r="U97" s="2939"/>
      <c r="V97" s="2939"/>
      <c r="W97" s="2939"/>
      <c r="X97" s="2939"/>
      <c r="Y97" s="2939"/>
      <c r="Z97" s="2939"/>
      <c r="AA97" s="2939"/>
      <c r="AB97" s="2939"/>
      <c r="AC97" s="2939"/>
      <c r="AD97" s="2939"/>
    </row>
    <row r="98" spans="1:30">
      <c r="A98" s="6705">
        <v>83</v>
      </c>
      <c r="B98" s="6701" t="s">
        <v>4835</v>
      </c>
      <c r="C98" s="6706" t="s">
        <v>4836</v>
      </c>
      <c r="D98" s="6707" t="s">
        <v>4837</v>
      </c>
      <c r="E98" s="6708"/>
      <c r="F98" s="6705">
        <v>407</v>
      </c>
      <c r="G98" s="6701" t="s">
        <v>4838</v>
      </c>
      <c r="H98" s="6706" t="s">
        <v>4839</v>
      </c>
      <c r="I98" s="6707" t="s">
        <v>4840</v>
      </c>
      <c r="J98" s="6708"/>
      <c r="K98" s="6705">
        <v>731</v>
      </c>
      <c r="L98" s="6701" t="s">
        <v>4841</v>
      </c>
      <c r="M98" s="6706" t="s">
        <v>4842</v>
      </c>
      <c r="N98" s="6707" t="s">
        <v>4843</v>
      </c>
      <c r="O98" s="6708"/>
      <c r="P98" s="6705">
        <v>1055</v>
      </c>
      <c r="Q98" s="6701" t="s">
        <v>4844</v>
      </c>
      <c r="R98" s="6706" t="s">
        <v>4845</v>
      </c>
      <c r="S98" s="6707" t="s">
        <v>4846</v>
      </c>
      <c r="T98" s="2939"/>
      <c r="U98" s="2939"/>
      <c r="V98" s="2939"/>
      <c r="W98" s="2939"/>
      <c r="X98" s="2939"/>
      <c r="Y98" s="2939"/>
      <c r="Z98" s="2939"/>
      <c r="AA98" s="2939"/>
      <c r="AB98" s="2939"/>
      <c r="AC98" s="2939"/>
      <c r="AD98" s="2939"/>
    </row>
    <row r="99" spans="1:30">
      <c r="A99" s="6705">
        <v>84</v>
      </c>
      <c r="B99" s="6701">
        <v>2660</v>
      </c>
      <c r="C99" s="6706" t="s">
        <v>3866</v>
      </c>
      <c r="D99" s="6707" t="s">
        <v>4847</v>
      </c>
      <c r="E99" s="6708"/>
      <c r="F99" s="6705">
        <v>408</v>
      </c>
      <c r="G99" s="6701" t="s">
        <v>4848</v>
      </c>
      <c r="H99" s="6706" t="s">
        <v>4849</v>
      </c>
      <c r="I99" s="6707" t="s">
        <v>4850</v>
      </c>
      <c r="J99" s="6708"/>
      <c r="K99" s="6705">
        <v>732</v>
      </c>
      <c r="L99" s="6701" t="s">
        <v>4851</v>
      </c>
      <c r="M99" s="6706" t="s">
        <v>4852</v>
      </c>
      <c r="N99" s="6707" t="s">
        <v>4853</v>
      </c>
      <c r="O99" s="6708"/>
      <c r="P99" s="6705">
        <v>1056</v>
      </c>
      <c r="Q99" s="6701" t="s">
        <v>4854</v>
      </c>
      <c r="R99" s="6706" t="s">
        <v>4855</v>
      </c>
      <c r="S99" s="6707" t="s">
        <v>4856</v>
      </c>
      <c r="T99" s="2939"/>
      <c r="U99" s="2939"/>
      <c r="V99" s="2939"/>
      <c r="W99" s="2939"/>
      <c r="X99" s="2939"/>
      <c r="Y99" s="2939"/>
      <c r="Z99" s="2939"/>
      <c r="AA99" s="2939"/>
      <c r="AB99" s="2939"/>
      <c r="AC99" s="2939"/>
      <c r="AD99" s="2939"/>
    </row>
    <row r="100" spans="1:30">
      <c r="A100" s="6705">
        <v>85</v>
      </c>
      <c r="B100" s="6701">
        <v>2663</v>
      </c>
      <c r="C100" s="6706" t="s">
        <v>4857</v>
      </c>
      <c r="D100" s="6707" t="s">
        <v>4858</v>
      </c>
      <c r="E100" s="6708"/>
      <c r="F100" s="6705">
        <v>409</v>
      </c>
      <c r="G100" s="6701" t="s">
        <v>4859</v>
      </c>
      <c r="H100" s="6706" t="s">
        <v>4860</v>
      </c>
      <c r="I100" s="6707" t="s">
        <v>4861</v>
      </c>
      <c r="J100" s="6708"/>
      <c r="K100" s="6705">
        <v>733</v>
      </c>
      <c r="L100" s="6701" t="s">
        <v>4862</v>
      </c>
      <c r="M100" s="6706" t="s">
        <v>4863</v>
      </c>
      <c r="N100" s="6707" t="s">
        <v>4864</v>
      </c>
      <c r="O100" s="6708"/>
      <c r="P100" s="6705">
        <v>1057</v>
      </c>
      <c r="Q100" s="6701" t="s">
        <v>4865</v>
      </c>
      <c r="R100" s="6706" t="s">
        <v>4866</v>
      </c>
      <c r="S100" s="6707" t="s">
        <v>4867</v>
      </c>
      <c r="T100" s="2939"/>
      <c r="U100" s="2939"/>
      <c r="V100" s="2939"/>
      <c r="W100" s="2939"/>
      <c r="X100" s="2939"/>
      <c r="Y100" s="2939"/>
      <c r="Z100" s="2939"/>
      <c r="AA100" s="2939"/>
      <c r="AB100" s="2939"/>
      <c r="AC100" s="2939"/>
      <c r="AD100" s="2939"/>
    </row>
    <row r="101" spans="1:30">
      <c r="A101" s="6705">
        <v>86</v>
      </c>
      <c r="B101" s="6701">
        <v>2665</v>
      </c>
      <c r="C101" s="6706" t="s">
        <v>4868</v>
      </c>
      <c r="D101" s="6707" t="s">
        <v>4869</v>
      </c>
      <c r="E101" s="6708"/>
      <c r="F101" s="6705">
        <v>410</v>
      </c>
      <c r="G101" s="6701" t="s">
        <v>4870</v>
      </c>
      <c r="H101" s="6706" t="s">
        <v>4871</v>
      </c>
      <c r="I101" s="6707" t="s">
        <v>4872</v>
      </c>
      <c r="J101" s="6708"/>
      <c r="K101" s="6705">
        <v>734</v>
      </c>
      <c r="L101" s="6701" t="s">
        <v>4873</v>
      </c>
      <c r="M101" s="6706" t="s">
        <v>4874</v>
      </c>
      <c r="N101" s="6707" t="s">
        <v>4875</v>
      </c>
      <c r="O101" s="6708"/>
      <c r="P101" s="6705">
        <v>1058</v>
      </c>
      <c r="Q101" s="6701" t="s">
        <v>4876</v>
      </c>
      <c r="R101" s="6706" t="s">
        <v>4877</v>
      </c>
      <c r="S101" s="6707" t="s">
        <v>4878</v>
      </c>
      <c r="T101" s="2939"/>
      <c r="U101" s="2939"/>
      <c r="V101" s="2939"/>
      <c r="W101" s="2939"/>
      <c r="X101" s="2939"/>
      <c r="Y101" s="2939"/>
      <c r="Z101" s="2939"/>
      <c r="AA101" s="2939"/>
      <c r="AB101" s="2939"/>
      <c r="AC101" s="2939"/>
      <c r="AD101" s="2939"/>
    </row>
    <row r="102" spans="1:30">
      <c r="A102" s="6705">
        <v>87</v>
      </c>
      <c r="B102" s="6701">
        <v>2666</v>
      </c>
      <c r="C102" s="6706" t="s">
        <v>4879</v>
      </c>
      <c r="D102" s="6707" t="s">
        <v>4880</v>
      </c>
      <c r="E102" s="6708"/>
      <c r="F102" s="6705">
        <v>411</v>
      </c>
      <c r="G102" s="6701" t="s">
        <v>4881</v>
      </c>
      <c r="H102" s="6706" t="s">
        <v>4882</v>
      </c>
      <c r="I102" s="6707" t="s">
        <v>4883</v>
      </c>
      <c r="J102" s="6708"/>
      <c r="K102" s="6705">
        <v>735</v>
      </c>
      <c r="L102" s="6701" t="s">
        <v>4884</v>
      </c>
      <c r="M102" s="6706" t="s">
        <v>4885</v>
      </c>
      <c r="N102" s="6707" t="s">
        <v>4886</v>
      </c>
      <c r="O102" s="6708"/>
      <c r="P102" s="6705">
        <v>1059</v>
      </c>
      <c r="Q102" s="6701" t="s">
        <v>4887</v>
      </c>
      <c r="R102" s="6706" t="s">
        <v>4888</v>
      </c>
      <c r="S102" s="6707" t="s">
        <v>4889</v>
      </c>
      <c r="T102" s="2939"/>
      <c r="U102" s="2939"/>
      <c r="V102" s="2939"/>
      <c r="W102" s="2939"/>
      <c r="X102" s="2939"/>
      <c r="Y102" s="2939"/>
      <c r="Z102" s="2939"/>
      <c r="AA102" s="2939"/>
      <c r="AB102" s="2939"/>
      <c r="AC102" s="2939"/>
      <c r="AD102" s="2939"/>
    </row>
    <row r="103" spans="1:30">
      <c r="A103" s="6705">
        <v>88</v>
      </c>
      <c r="B103" s="6701">
        <v>2668</v>
      </c>
      <c r="C103" s="6706" t="s">
        <v>4890</v>
      </c>
      <c r="D103" s="6707" t="s">
        <v>4891</v>
      </c>
      <c r="E103" s="6708"/>
      <c r="F103" s="6705">
        <v>412</v>
      </c>
      <c r="G103" s="6701" t="s">
        <v>4892</v>
      </c>
      <c r="H103" s="6706" t="s">
        <v>4893</v>
      </c>
      <c r="I103" s="6707" t="s">
        <v>4894</v>
      </c>
      <c r="J103" s="6708"/>
      <c r="K103" s="6705">
        <v>736</v>
      </c>
      <c r="L103" s="6701" t="s">
        <v>4895</v>
      </c>
      <c r="M103" s="6706" t="s">
        <v>4896</v>
      </c>
      <c r="N103" s="6707" t="s">
        <v>4654</v>
      </c>
      <c r="O103" s="6708"/>
      <c r="P103" s="6705">
        <v>1060</v>
      </c>
      <c r="Q103" s="6701" t="s">
        <v>4897</v>
      </c>
      <c r="R103" s="6706" t="s">
        <v>4898</v>
      </c>
      <c r="S103" s="6707" t="s">
        <v>4899</v>
      </c>
      <c r="T103" s="2939"/>
      <c r="U103" s="2939"/>
      <c r="V103" s="2939"/>
      <c r="W103" s="2939"/>
      <c r="X103" s="2939"/>
      <c r="Y103" s="2939"/>
      <c r="Z103" s="2939"/>
      <c r="AA103" s="2939"/>
      <c r="AB103" s="2939"/>
      <c r="AC103" s="2939"/>
      <c r="AD103" s="2939"/>
    </row>
    <row r="104" spans="1:30">
      <c r="A104" s="6705">
        <v>89</v>
      </c>
      <c r="B104" s="6701">
        <v>2702</v>
      </c>
      <c r="C104" s="6706" t="s">
        <v>4900</v>
      </c>
      <c r="D104" s="6707" t="s">
        <v>4901</v>
      </c>
      <c r="E104" s="6708"/>
      <c r="F104" s="6705">
        <v>413</v>
      </c>
      <c r="G104" s="6701" t="s">
        <v>4902</v>
      </c>
      <c r="H104" s="6706" t="s">
        <v>4903</v>
      </c>
      <c r="I104" s="6707" t="s">
        <v>4904</v>
      </c>
      <c r="J104" s="6708"/>
      <c r="K104" s="6705">
        <v>737</v>
      </c>
      <c r="L104" s="6701" t="s">
        <v>4905</v>
      </c>
      <c r="M104" s="6706" t="s">
        <v>4906</v>
      </c>
      <c r="N104" s="6707" t="s">
        <v>4907</v>
      </c>
      <c r="O104" s="6708"/>
      <c r="P104" s="6705">
        <v>1061</v>
      </c>
      <c r="Q104" s="6701" t="s">
        <v>4908</v>
      </c>
      <c r="R104" s="6706" t="s">
        <v>4909</v>
      </c>
      <c r="S104" s="6707" t="s">
        <v>4910</v>
      </c>
      <c r="T104" s="2939"/>
      <c r="U104" s="2939"/>
      <c r="V104" s="2939"/>
      <c r="W104" s="2939"/>
      <c r="X104" s="2939"/>
      <c r="Y104" s="2939"/>
      <c r="Z104" s="2939"/>
      <c r="AA104" s="2939"/>
      <c r="AB104" s="2939"/>
      <c r="AC104" s="2939"/>
      <c r="AD104" s="2939"/>
    </row>
    <row r="105" spans="1:30">
      <c r="A105" s="6705">
        <v>90</v>
      </c>
      <c r="B105" s="6701">
        <v>2708</v>
      </c>
      <c r="C105" s="6706" t="s">
        <v>4911</v>
      </c>
      <c r="D105" s="6707" t="s">
        <v>4912</v>
      </c>
      <c r="E105" s="6708"/>
      <c r="F105" s="6705">
        <v>414</v>
      </c>
      <c r="G105" s="6701" t="s">
        <v>4913</v>
      </c>
      <c r="H105" s="6706" t="s">
        <v>4914</v>
      </c>
      <c r="I105" s="6707" t="s">
        <v>4915</v>
      </c>
      <c r="J105" s="6708"/>
      <c r="K105" s="6705">
        <v>738</v>
      </c>
      <c r="L105" s="6701" t="s">
        <v>4916</v>
      </c>
      <c r="M105" s="6706" t="s">
        <v>4917</v>
      </c>
      <c r="N105" s="6707" t="s">
        <v>4918</v>
      </c>
      <c r="O105" s="6708"/>
      <c r="P105" s="6705">
        <v>1062</v>
      </c>
      <c r="Q105" s="6701" t="s">
        <v>4919</v>
      </c>
      <c r="R105" s="6706" t="s">
        <v>4920</v>
      </c>
      <c r="S105" s="6707" t="s">
        <v>4921</v>
      </c>
      <c r="T105" s="2939"/>
      <c r="U105" s="2939"/>
      <c r="V105" s="2939"/>
      <c r="W105" s="2939"/>
      <c r="X105" s="2939"/>
      <c r="Y105" s="2939"/>
      <c r="Z105" s="2939"/>
      <c r="AA105" s="2939"/>
      <c r="AB105" s="2939"/>
      <c r="AC105" s="2939"/>
      <c r="AD105" s="2939"/>
    </row>
    <row r="106" spans="1:30">
      <c r="A106" s="6705">
        <v>91</v>
      </c>
      <c r="B106" s="6701">
        <v>2709</v>
      </c>
      <c r="C106" s="6706" t="s">
        <v>4922</v>
      </c>
      <c r="D106" s="6707" t="s">
        <v>4923</v>
      </c>
      <c r="E106" s="6708"/>
      <c r="F106" s="6705">
        <v>415</v>
      </c>
      <c r="G106" s="6701" t="s">
        <v>4924</v>
      </c>
      <c r="H106" s="6706" t="s">
        <v>4925</v>
      </c>
      <c r="I106" s="6707" t="s">
        <v>4926</v>
      </c>
      <c r="J106" s="6708"/>
      <c r="K106" s="6705">
        <v>739</v>
      </c>
      <c r="L106" s="6701" t="s">
        <v>4927</v>
      </c>
      <c r="M106" s="6706" t="s">
        <v>4928</v>
      </c>
      <c r="N106" s="6707" t="s">
        <v>4929</v>
      </c>
      <c r="O106" s="6708"/>
      <c r="P106" s="6705">
        <v>1063</v>
      </c>
      <c r="Q106" s="6701" t="s">
        <v>4930</v>
      </c>
      <c r="R106" s="6706" t="s">
        <v>4931</v>
      </c>
      <c r="S106" s="6707" t="s">
        <v>4932</v>
      </c>
      <c r="T106" s="2939"/>
      <c r="U106" s="2939"/>
      <c r="V106" s="2939"/>
      <c r="W106" s="2939"/>
      <c r="X106" s="2939"/>
      <c r="Y106" s="2939"/>
      <c r="Z106" s="2939"/>
      <c r="AA106" s="2939"/>
      <c r="AB106" s="2939"/>
      <c r="AC106" s="2939"/>
      <c r="AD106" s="2939"/>
    </row>
    <row r="107" spans="1:30">
      <c r="A107" s="6705">
        <v>92</v>
      </c>
      <c r="B107" s="6701" t="s">
        <v>4933</v>
      </c>
      <c r="C107" s="6706" t="s">
        <v>4934</v>
      </c>
      <c r="D107" s="6707" t="s">
        <v>4935</v>
      </c>
      <c r="E107" s="6708"/>
      <c r="F107" s="6705">
        <v>416</v>
      </c>
      <c r="G107" s="6701" t="s">
        <v>4936</v>
      </c>
      <c r="H107" s="6706" t="s">
        <v>4937</v>
      </c>
      <c r="I107" s="6707" t="s">
        <v>4938</v>
      </c>
      <c r="J107" s="6708"/>
      <c r="K107" s="6705">
        <v>740</v>
      </c>
      <c r="L107" s="6701" t="s">
        <v>4939</v>
      </c>
      <c r="M107" s="6706" t="s">
        <v>4940</v>
      </c>
      <c r="N107" s="6707" t="s">
        <v>4941</v>
      </c>
      <c r="O107" s="6708"/>
      <c r="P107" s="6705">
        <v>1064</v>
      </c>
      <c r="Q107" s="6701" t="s">
        <v>4942</v>
      </c>
      <c r="R107" s="6706" t="s">
        <v>4943</v>
      </c>
      <c r="S107" s="6707" t="s">
        <v>4944</v>
      </c>
      <c r="T107" s="2939"/>
      <c r="U107" s="2939"/>
      <c r="V107" s="2939"/>
      <c r="W107" s="2939"/>
      <c r="X107" s="2939"/>
      <c r="Y107" s="2939"/>
      <c r="Z107" s="2939"/>
      <c r="AA107" s="2939"/>
      <c r="AB107" s="2939"/>
      <c r="AC107" s="2939"/>
      <c r="AD107" s="2939"/>
    </row>
    <row r="108" spans="1:30">
      <c r="A108" s="6705">
        <v>93</v>
      </c>
      <c r="B108" s="6701" t="s">
        <v>4945</v>
      </c>
      <c r="C108" s="6706" t="s">
        <v>4946</v>
      </c>
      <c r="D108" s="6707" t="s">
        <v>4947</v>
      </c>
      <c r="E108" s="6708"/>
      <c r="F108" s="6705">
        <v>417</v>
      </c>
      <c r="G108" s="6701" t="s">
        <v>4948</v>
      </c>
      <c r="H108" s="6706" t="s">
        <v>4949</v>
      </c>
      <c r="I108" s="6707" t="s">
        <v>4950</v>
      </c>
      <c r="J108" s="6708"/>
      <c r="K108" s="6705">
        <v>741</v>
      </c>
      <c r="L108" s="6701" t="s">
        <v>4951</v>
      </c>
      <c r="M108" s="6706" t="s">
        <v>4952</v>
      </c>
      <c r="N108" s="6707" t="s">
        <v>4953</v>
      </c>
      <c r="O108" s="6708"/>
      <c r="P108" s="6705">
        <v>1065</v>
      </c>
      <c r="Q108" s="6701" t="s">
        <v>4954</v>
      </c>
      <c r="R108" s="6706" t="s">
        <v>4955</v>
      </c>
      <c r="S108" s="6707" t="s">
        <v>4956</v>
      </c>
      <c r="T108" s="2939"/>
      <c r="U108" s="2939"/>
      <c r="V108" s="2939"/>
      <c r="W108" s="2939"/>
      <c r="X108" s="2939"/>
      <c r="Y108" s="2939"/>
      <c r="Z108" s="2939"/>
      <c r="AA108" s="2939"/>
      <c r="AB108" s="2939"/>
      <c r="AC108" s="2939"/>
      <c r="AD108" s="2939"/>
    </row>
    <row r="109" spans="1:30">
      <c r="A109" s="6705">
        <v>94</v>
      </c>
      <c r="B109" s="6701" t="s">
        <v>4957</v>
      </c>
      <c r="C109" s="6706" t="s">
        <v>4958</v>
      </c>
      <c r="D109" s="6707" t="s">
        <v>4959</v>
      </c>
      <c r="E109" s="6708"/>
      <c r="F109" s="6705">
        <v>418</v>
      </c>
      <c r="G109" s="6701" t="s">
        <v>4960</v>
      </c>
      <c r="H109" s="6706" t="s">
        <v>4961</v>
      </c>
      <c r="I109" s="6707" t="s">
        <v>4962</v>
      </c>
      <c r="J109" s="6708"/>
      <c r="K109" s="6705">
        <v>742</v>
      </c>
      <c r="L109" s="6701" t="s">
        <v>4963</v>
      </c>
      <c r="M109" s="6706" t="s">
        <v>4964</v>
      </c>
      <c r="N109" s="6707" t="s">
        <v>4965</v>
      </c>
      <c r="O109" s="6708"/>
      <c r="P109" s="6705">
        <v>1066</v>
      </c>
      <c r="Q109" s="6701" t="s">
        <v>4966</v>
      </c>
      <c r="R109" s="6706" t="s">
        <v>4967</v>
      </c>
      <c r="S109" s="6707" t="s">
        <v>4968</v>
      </c>
      <c r="T109" s="2939"/>
      <c r="U109" s="2939"/>
      <c r="V109" s="2939"/>
      <c r="W109" s="2939"/>
      <c r="X109" s="2939"/>
      <c r="Y109" s="2939"/>
      <c r="Z109" s="2939"/>
      <c r="AA109" s="2939"/>
      <c r="AB109" s="2939"/>
      <c r="AC109" s="2939"/>
      <c r="AD109" s="2939"/>
    </row>
    <row r="110" spans="1:30">
      <c r="A110" s="6705">
        <v>95</v>
      </c>
      <c r="B110" s="6701">
        <v>2712</v>
      </c>
      <c r="C110" s="6706" t="s">
        <v>4969</v>
      </c>
      <c r="D110" s="6707" t="s">
        <v>4970</v>
      </c>
      <c r="E110" s="6708"/>
      <c r="F110" s="6705">
        <v>419</v>
      </c>
      <c r="G110" s="6701" t="s">
        <v>4971</v>
      </c>
      <c r="H110" s="6706" t="s">
        <v>4972</v>
      </c>
      <c r="I110" s="6707" t="s">
        <v>4973</v>
      </c>
      <c r="J110" s="6708"/>
      <c r="K110" s="6705">
        <v>743</v>
      </c>
      <c r="L110" s="6701" t="s">
        <v>4974</v>
      </c>
      <c r="M110" s="6706" t="s">
        <v>4975</v>
      </c>
      <c r="N110" s="6707" t="s">
        <v>4976</v>
      </c>
      <c r="O110" s="6708"/>
      <c r="P110" s="6705">
        <v>1067</v>
      </c>
      <c r="Q110" s="6701" t="s">
        <v>4977</v>
      </c>
      <c r="R110" s="6706" t="s">
        <v>4978</v>
      </c>
      <c r="S110" s="6707" t="s">
        <v>4979</v>
      </c>
      <c r="T110" s="2939"/>
      <c r="U110" s="2939"/>
      <c r="V110" s="2939"/>
      <c r="W110" s="2939"/>
      <c r="X110" s="2939"/>
      <c r="Y110" s="2939"/>
      <c r="Z110" s="2939"/>
      <c r="AA110" s="2939"/>
      <c r="AB110" s="2939"/>
      <c r="AC110" s="2939"/>
      <c r="AD110" s="2939"/>
    </row>
    <row r="111" spans="1:30">
      <c r="A111" s="6705">
        <v>96</v>
      </c>
      <c r="B111" s="6701">
        <v>2714</v>
      </c>
      <c r="C111" s="6706" t="s">
        <v>4980</v>
      </c>
      <c r="D111" s="6707" t="s">
        <v>4981</v>
      </c>
      <c r="E111" s="6708"/>
      <c r="F111" s="6705">
        <v>420</v>
      </c>
      <c r="G111" s="6701" t="s">
        <v>4982</v>
      </c>
      <c r="H111" s="6706" t="s">
        <v>4983</v>
      </c>
      <c r="I111" s="6707" t="s">
        <v>4984</v>
      </c>
      <c r="J111" s="6708"/>
      <c r="K111" s="6705">
        <v>744</v>
      </c>
      <c r="L111" s="6701" t="s">
        <v>4985</v>
      </c>
      <c r="M111" s="6706" t="s">
        <v>4986</v>
      </c>
      <c r="N111" s="6707" t="s">
        <v>4987</v>
      </c>
      <c r="O111" s="6708"/>
      <c r="P111" s="6705">
        <v>1068</v>
      </c>
      <c r="Q111" s="6701" t="s">
        <v>4988</v>
      </c>
      <c r="R111" s="6706" t="s">
        <v>4989</v>
      </c>
      <c r="S111" s="6707" t="s">
        <v>4990</v>
      </c>
      <c r="T111" s="2939"/>
      <c r="U111" s="2939"/>
      <c r="V111" s="2939"/>
      <c r="W111" s="2939"/>
      <c r="X111" s="2939"/>
      <c r="Y111" s="2939"/>
      <c r="Z111" s="2939"/>
      <c r="AA111" s="2939"/>
      <c r="AB111" s="2939"/>
      <c r="AC111" s="2939"/>
      <c r="AD111" s="2939"/>
    </row>
    <row r="112" spans="1:30">
      <c r="A112" s="6705">
        <v>97</v>
      </c>
      <c r="B112" s="6701">
        <v>2716</v>
      </c>
      <c r="C112" s="6706" t="s">
        <v>4991</v>
      </c>
      <c r="D112" s="6707" t="s">
        <v>4992</v>
      </c>
      <c r="E112" s="6708"/>
      <c r="F112" s="6705">
        <v>421</v>
      </c>
      <c r="G112" s="6701" t="s">
        <v>4993</v>
      </c>
      <c r="H112" s="6706" t="s">
        <v>4994</v>
      </c>
      <c r="I112" s="6707" t="s">
        <v>4995</v>
      </c>
      <c r="J112" s="6708"/>
      <c r="K112" s="6705">
        <v>745</v>
      </c>
      <c r="L112" s="6701" t="s">
        <v>4996</v>
      </c>
      <c r="M112" s="6706" t="s">
        <v>4997</v>
      </c>
      <c r="N112" s="6707" t="s">
        <v>4998</v>
      </c>
      <c r="O112" s="6708"/>
      <c r="P112" s="6705">
        <v>1069</v>
      </c>
      <c r="Q112" s="6701" t="s">
        <v>4999</v>
      </c>
      <c r="R112" s="6706" t="s">
        <v>5000</v>
      </c>
      <c r="S112" s="6707" t="s">
        <v>5001</v>
      </c>
      <c r="T112" s="2939"/>
      <c r="U112" s="2939"/>
      <c r="V112" s="2939"/>
      <c r="W112" s="2939"/>
      <c r="X112" s="2939"/>
      <c r="Y112" s="2939"/>
      <c r="Z112" s="2939"/>
      <c r="AA112" s="2939"/>
      <c r="AB112" s="2939"/>
      <c r="AC112" s="2939"/>
      <c r="AD112" s="2939"/>
    </row>
    <row r="113" spans="1:30">
      <c r="A113" s="6705">
        <v>98</v>
      </c>
      <c r="B113" s="6701" t="s">
        <v>5002</v>
      </c>
      <c r="C113" s="6706" t="s">
        <v>5003</v>
      </c>
      <c r="D113" s="6707" t="s">
        <v>5004</v>
      </c>
      <c r="E113" s="6708"/>
      <c r="F113" s="6705">
        <v>422</v>
      </c>
      <c r="G113" s="6701" t="s">
        <v>5005</v>
      </c>
      <c r="H113" s="6706" t="s">
        <v>5006</v>
      </c>
      <c r="I113" s="6707" t="s">
        <v>5007</v>
      </c>
      <c r="J113" s="6708"/>
      <c r="K113" s="6705">
        <v>746</v>
      </c>
      <c r="L113" s="6701" t="s">
        <v>5008</v>
      </c>
      <c r="M113" s="6706" t="s">
        <v>5009</v>
      </c>
      <c r="N113" s="6707" t="s">
        <v>5010</v>
      </c>
      <c r="O113" s="6708"/>
      <c r="P113" s="6705">
        <v>1070</v>
      </c>
      <c r="Q113" s="6701" t="s">
        <v>5011</v>
      </c>
      <c r="R113" s="6706" t="s">
        <v>5012</v>
      </c>
      <c r="S113" s="6707" t="s">
        <v>5013</v>
      </c>
      <c r="T113" s="2939"/>
      <c r="U113" s="2939"/>
      <c r="V113" s="2939"/>
      <c r="W113" s="2939"/>
      <c r="X113" s="2939"/>
      <c r="Y113" s="2939"/>
      <c r="Z113" s="2939"/>
      <c r="AA113" s="2939"/>
      <c r="AB113" s="2939"/>
      <c r="AC113" s="2939"/>
      <c r="AD113" s="2939"/>
    </row>
    <row r="114" spans="1:30">
      <c r="A114" s="6705">
        <v>99</v>
      </c>
      <c r="B114" s="6701">
        <v>2721</v>
      </c>
      <c r="C114" s="6706" t="s">
        <v>5014</v>
      </c>
      <c r="D114" s="6707" t="s">
        <v>5015</v>
      </c>
      <c r="E114" s="6708"/>
      <c r="F114" s="6705">
        <v>423</v>
      </c>
      <c r="G114" s="6701" t="s">
        <v>5016</v>
      </c>
      <c r="H114" s="6706" t="s">
        <v>5017</v>
      </c>
      <c r="I114" s="6707" t="s">
        <v>5018</v>
      </c>
      <c r="J114" s="6708"/>
      <c r="K114" s="6705">
        <v>747</v>
      </c>
      <c r="L114" s="6701" t="s">
        <v>5019</v>
      </c>
      <c r="M114" s="6706" t="s">
        <v>5020</v>
      </c>
      <c r="N114" s="6707" t="s">
        <v>5021</v>
      </c>
      <c r="O114" s="6708"/>
      <c r="P114" s="6705">
        <v>1071</v>
      </c>
      <c r="Q114" s="6701" t="s">
        <v>5022</v>
      </c>
      <c r="R114" s="6706" t="s">
        <v>5023</v>
      </c>
      <c r="S114" s="6707" t="s">
        <v>5024</v>
      </c>
      <c r="T114" s="2939"/>
      <c r="U114" s="2939"/>
      <c r="V114" s="2939"/>
      <c r="W114" s="2939"/>
      <c r="X114" s="2939"/>
      <c r="Y114" s="2939"/>
      <c r="Z114" s="2939"/>
      <c r="AA114" s="2939"/>
      <c r="AB114" s="2939"/>
      <c r="AC114" s="2939"/>
      <c r="AD114" s="2939"/>
    </row>
    <row r="115" spans="1:30">
      <c r="A115" s="6705">
        <v>100</v>
      </c>
      <c r="B115" s="6701">
        <v>2733</v>
      </c>
      <c r="C115" s="6706" t="s">
        <v>5025</v>
      </c>
      <c r="D115" s="6707" t="s">
        <v>5026</v>
      </c>
      <c r="E115" s="6708"/>
      <c r="F115" s="6705">
        <v>424</v>
      </c>
      <c r="G115" s="6701" t="s">
        <v>5027</v>
      </c>
      <c r="H115" s="6706" t="s">
        <v>5028</v>
      </c>
      <c r="I115" s="6707" t="s">
        <v>5029</v>
      </c>
      <c r="J115" s="6708"/>
      <c r="K115" s="6705">
        <v>748</v>
      </c>
      <c r="L115" s="6701" t="s">
        <v>5030</v>
      </c>
      <c r="M115" s="6706" t="s">
        <v>5031</v>
      </c>
      <c r="N115" s="6707" t="s">
        <v>5032</v>
      </c>
      <c r="O115" s="6708"/>
      <c r="P115" s="6705">
        <v>1072</v>
      </c>
      <c r="Q115" s="6701" t="s">
        <v>5033</v>
      </c>
      <c r="R115" s="6706" t="s">
        <v>5034</v>
      </c>
      <c r="S115" s="6707" t="s">
        <v>5035</v>
      </c>
      <c r="T115" s="2939"/>
      <c r="U115" s="2939"/>
      <c r="V115" s="2939"/>
      <c r="W115" s="2939"/>
      <c r="X115" s="2939"/>
      <c r="Y115" s="2939"/>
      <c r="Z115" s="2939"/>
      <c r="AA115" s="2939"/>
      <c r="AB115" s="2939"/>
      <c r="AC115" s="2939"/>
      <c r="AD115" s="2939"/>
    </row>
    <row r="116" spans="1:30">
      <c r="A116" s="6705">
        <v>101</v>
      </c>
      <c r="B116" s="6701">
        <v>2734</v>
      </c>
      <c r="C116" s="6706" t="s">
        <v>5036</v>
      </c>
      <c r="D116" s="6707" t="s">
        <v>5037</v>
      </c>
      <c r="E116" s="6708"/>
      <c r="F116" s="6705">
        <v>425</v>
      </c>
      <c r="G116" s="6701" t="s">
        <v>5038</v>
      </c>
      <c r="H116" s="6706" t="s">
        <v>5039</v>
      </c>
      <c r="I116" s="6707" t="s">
        <v>5040</v>
      </c>
      <c r="J116" s="6708"/>
      <c r="K116" s="6705">
        <v>749</v>
      </c>
      <c r="L116" s="6701" t="s">
        <v>5041</v>
      </c>
      <c r="M116" s="6706" t="s">
        <v>5042</v>
      </c>
      <c r="N116" s="6707" t="s">
        <v>5043</v>
      </c>
      <c r="O116" s="6708"/>
      <c r="P116" s="6705">
        <v>1073</v>
      </c>
      <c r="Q116" s="6701" t="s">
        <v>5044</v>
      </c>
      <c r="R116" s="6706" t="s">
        <v>5045</v>
      </c>
      <c r="S116" s="6707" t="s">
        <v>5046</v>
      </c>
      <c r="T116" s="2939"/>
      <c r="U116" s="2939"/>
      <c r="V116" s="2939"/>
      <c r="W116" s="2939"/>
      <c r="X116" s="2939"/>
      <c r="Y116" s="2939"/>
      <c r="Z116" s="2939"/>
      <c r="AA116" s="2939"/>
      <c r="AB116" s="2939"/>
      <c r="AC116" s="2939"/>
      <c r="AD116" s="2939"/>
    </row>
    <row r="117" spans="1:30">
      <c r="A117" s="6705">
        <v>102</v>
      </c>
      <c r="B117" s="6701">
        <v>2744</v>
      </c>
      <c r="C117" s="6706" t="s">
        <v>5047</v>
      </c>
      <c r="D117" s="6707" t="s">
        <v>5048</v>
      </c>
      <c r="E117" s="6708"/>
      <c r="F117" s="6705">
        <v>426</v>
      </c>
      <c r="G117" s="6701" t="s">
        <v>5049</v>
      </c>
      <c r="H117" s="6706" t="s">
        <v>5050</v>
      </c>
      <c r="I117" s="6707" t="s">
        <v>5051</v>
      </c>
      <c r="J117" s="6708"/>
      <c r="K117" s="6705">
        <v>750</v>
      </c>
      <c r="L117" s="6701" t="s">
        <v>5052</v>
      </c>
      <c r="M117" s="6706" t="s">
        <v>5053</v>
      </c>
      <c r="N117" s="6707" t="s">
        <v>5054</v>
      </c>
      <c r="O117" s="6708"/>
      <c r="P117" s="6705">
        <v>1074</v>
      </c>
      <c r="Q117" s="6701" t="s">
        <v>5055</v>
      </c>
      <c r="R117" s="6706" t="s">
        <v>5056</v>
      </c>
      <c r="S117" s="6707" t="s">
        <v>5057</v>
      </c>
      <c r="T117" s="2939"/>
      <c r="U117" s="2939"/>
      <c r="V117" s="2939"/>
      <c r="W117" s="2939"/>
      <c r="X117" s="2939"/>
      <c r="Y117" s="2939"/>
      <c r="Z117" s="2939"/>
      <c r="AA117" s="2939"/>
      <c r="AB117" s="2939"/>
      <c r="AC117" s="2939"/>
      <c r="AD117" s="2939"/>
    </row>
    <row r="118" spans="1:30">
      <c r="A118" s="6705">
        <v>103</v>
      </c>
      <c r="B118" s="6701">
        <v>2747</v>
      </c>
      <c r="C118" s="6706" t="s">
        <v>5058</v>
      </c>
      <c r="D118" s="6707" t="s">
        <v>5059</v>
      </c>
      <c r="E118" s="6708"/>
      <c r="F118" s="6705">
        <v>427</v>
      </c>
      <c r="G118" s="6701" t="s">
        <v>5060</v>
      </c>
      <c r="H118" s="6706" t="s">
        <v>5061</v>
      </c>
      <c r="I118" s="6707" t="s">
        <v>5062</v>
      </c>
      <c r="J118" s="6708"/>
      <c r="K118" s="6705">
        <v>751</v>
      </c>
      <c r="L118" s="6701" t="s">
        <v>5063</v>
      </c>
      <c r="M118" s="6706" t="s">
        <v>5064</v>
      </c>
      <c r="N118" s="6707" t="s">
        <v>5065</v>
      </c>
      <c r="O118" s="6708"/>
      <c r="P118" s="6705">
        <v>1075</v>
      </c>
      <c r="Q118" s="6701" t="s">
        <v>5066</v>
      </c>
      <c r="R118" s="6706" t="s">
        <v>5067</v>
      </c>
      <c r="S118" s="6707" t="s">
        <v>5068</v>
      </c>
      <c r="T118" s="2939"/>
      <c r="U118" s="2939"/>
      <c r="V118" s="2939"/>
      <c r="W118" s="2939"/>
      <c r="X118" s="2939"/>
      <c r="Y118" s="2939"/>
      <c r="Z118" s="2939"/>
      <c r="AA118" s="2939"/>
      <c r="AB118" s="2939"/>
      <c r="AC118" s="2939"/>
      <c r="AD118" s="2939"/>
    </row>
    <row r="119" spans="1:30">
      <c r="A119" s="6705">
        <v>104</v>
      </c>
      <c r="B119" s="6701" t="s">
        <v>5069</v>
      </c>
      <c r="C119" s="6706" t="s">
        <v>5070</v>
      </c>
      <c r="D119" s="6707" t="s">
        <v>5071</v>
      </c>
      <c r="E119" s="6708"/>
      <c r="F119" s="6705">
        <v>428</v>
      </c>
      <c r="G119" s="6701" t="s">
        <v>5072</v>
      </c>
      <c r="H119" s="6706" t="s">
        <v>5073</v>
      </c>
      <c r="I119" s="6707" t="s">
        <v>5074</v>
      </c>
      <c r="J119" s="6708"/>
      <c r="K119" s="6705">
        <v>752</v>
      </c>
      <c r="L119" s="6701" t="s">
        <v>5075</v>
      </c>
      <c r="M119" s="6706" t="s">
        <v>5076</v>
      </c>
      <c r="N119" s="6707" t="s">
        <v>5077</v>
      </c>
      <c r="O119" s="6708"/>
      <c r="P119" s="6705">
        <v>1076</v>
      </c>
      <c r="Q119" s="6701" t="s">
        <v>5078</v>
      </c>
      <c r="R119" s="6706" t="s">
        <v>5079</v>
      </c>
      <c r="S119" s="6707" t="s">
        <v>5080</v>
      </c>
      <c r="T119" s="2939"/>
      <c r="U119" s="2939"/>
      <c r="V119" s="2939"/>
      <c r="W119" s="2939"/>
      <c r="X119" s="2939"/>
      <c r="Y119" s="2939"/>
      <c r="Z119" s="2939"/>
      <c r="AA119" s="2939"/>
      <c r="AB119" s="2939"/>
      <c r="AC119" s="2939"/>
      <c r="AD119" s="2939"/>
    </row>
    <row r="120" spans="1:30">
      <c r="A120" s="6705">
        <v>105</v>
      </c>
      <c r="B120" s="6701">
        <v>2753</v>
      </c>
      <c r="C120" s="6706" t="s">
        <v>5081</v>
      </c>
      <c r="D120" s="6707" t="s">
        <v>5082</v>
      </c>
      <c r="E120" s="6708"/>
      <c r="F120" s="6705">
        <v>429</v>
      </c>
      <c r="G120" s="6701" t="s">
        <v>5083</v>
      </c>
      <c r="H120" s="6706" t="s">
        <v>5084</v>
      </c>
      <c r="I120" s="6707" t="s">
        <v>5085</v>
      </c>
      <c r="J120" s="6708"/>
      <c r="K120" s="6705">
        <v>753</v>
      </c>
      <c r="L120" s="6701" t="s">
        <v>5086</v>
      </c>
      <c r="M120" s="6706" t="s">
        <v>5087</v>
      </c>
      <c r="N120" s="6707" t="s">
        <v>5088</v>
      </c>
      <c r="O120" s="6708"/>
      <c r="P120" s="6705">
        <v>1077</v>
      </c>
      <c r="Q120" s="6701" t="s">
        <v>5089</v>
      </c>
      <c r="R120" s="6706" t="s">
        <v>5090</v>
      </c>
      <c r="S120" s="6707" t="s">
        <v>5091</v>
      </c>
      <c r="T120" s="2939"/>
      <c r="U120" s="2939"/>
      <c r="V120" s="2939"/>
      <c r="W120" s="2939"/>
      <c r="X120" s="2939"/>
      <c r="Y120" s="2939"/>
      <c r="Z120" s="2939"/>
      <c r="AA120" s="2939"/>
      <c r="AB120" s="2939"/>
      <c r="AC120" s="2939"/>
      <c r="AD120" s="2939"/>
    </row>
    <row r="121" spans="1:30">
      <c r="A121" s="6705">
        <v>106</v>
      </c>
      <c r="B121" s="6701">
        <v>2754</v>
      </c>
      <c r="C121" s="6706" t="s">
        <v>5092</v>
      </c>
      <c r="D121" s="6707" t="s">
        <v>5093</v>
      </c>
      <c r="E121" s="6708"/>
      <c r="F121" s="6705">
        <v>430</v>
      </c>
      <c r="G121" s="6701" t="s">
        <v>5094</v>
      </c>
      <c r="H121" s="6706" t="s">
        <v>5095</v>
      </c>
      <c r="I121" s="6707" t="s">
        <v>5096</v>
      </c>
      <c r="J121" s="6708"/>
      <c r="K121" s="6705">
        <v>754</v>
      </c>
      <c r="L121" s="6701" t="s">
        <v>5097</v>
      </c>
      <c r="M121" s="6706" t="s">
        <v>5098</v>
      </c>
      <c r="N121" s="6707" t="s">
        <v>5099</v>
      </c>
      <c r="O121" s="6708"/>
      <c r="P121" s="6705">
        <v>1078</v>
      </c>
      <c r="Q121" s="6701" t="s">
        <v>5100</v>
      </c>
      <c r="R121" s="6706" t="s">
        <v>5101</v>
      </c>
      <c r="S121" s="6707" t="s">
        <v>5102</v>
      </c>
      <c r="T121" s="2939"/>
      <c r="U121" s="2939"/>
      <c r="V121" s="2939"/>
      <c r="W121" s="2939"/>
      <c r="X121" s="2939"/>
      <c r="Y121" s="2939"/>
      <c r="Z121" s="2939"/>
      <c r="AA121" s="2939"/>
      <c r="AB121" s="2939"/>
      <c r="AC121" s="2939"/>
      <c r="AD121" s="2939"/>
    </row>
    <row r="122" spans="1:30">
      <c r="A122" s="6705">
        <v>107</v>
      </c>
      <c r="B122" s="6701">
        <v>2755</v>
      </c>
      <c r="C122" s="6706" t="s">
        <v>5103</v>
      </c>
      <c r="D122" s="6707" t="s">
        <v>5104</v>
      </c>
      <c r="E122" s="6708"/>
      <c r="F122" s="6705">
        <v>431</v>
      </c>
      <c r="G122" s="6701" t="s">
        <v>5105</v>
      </c>
      <c r="H122" s="6706" t="s">
        <v>5106</v>
      </c>
      <c r="I122" s="6707" t="s">
        <v>5107</v>
      </c>
      <c r="J122" s="6708"/>
      <c r="K122" s="6705">
        <v>755</v>
      </c>
      <c r="L122" s="6701" t="s">
        <v>5108</v>
      </c>
      <c r="M122" s="6706" t="s">
        <v>5109</v>
      </c>
      <c r="N122" s="6707" t="s">
        <v>5110</v>
      </c>
      <c r="O122" s="6708"/>
      <c r="P122" s="6705">
        <v>1079</v>
      </c>
      <c r="Q122" s="6701" t="s">
        <v>5111</v>
      </c>
      <c r="R122" s="6706" t="s">
        <v>5112</v>
      </c>
      <c r="S122" s="6707" t="s">
        <v>5113</v>
      </c>
      <c r="T122" s="2939"/>
      <c r="U122" s="2939"/>
      <c r="V122" s="2939"/>
      <c r="W122" s="2939"/>
      <c r="X122" s="2939"/>
      <c r="Y122" s="2939"/>
      <c r="Z122" s="2939"/>
      <c r="AA122" s="2939"/>
      <c r="AB122" s="2939"/>
      <c r="AC122" s="2939"/>
      <c r="AD122" s="2939"/>
    </row>
    <row r="123" spans="1:30">
      <c r="A123" s="6705">
        <v>108</v>
      </c>
      <c r="B123" s="6701">
        <v>2757</v>
      </c>
      <c r="C123" s="6706" t="s">
        <v>5114</v>
      </c>
      <c r="D123" s="6707" t="s">
        <v>5115</v>
      </c>
      <c r="E123" s="6708"/>
      <c r="F123" s="6705">
        <v>432</v>
      </c>
      <c r="G123" s="6701" t="s">
        <v>5116</v>
      </c>
      <c r="H123" s="6706" t="s">
        <v>5117</v>
      </c>
      <c r="I123" s="6707" t="s">
        <v>5118</v>
      </c>
      <c r="J123" s="6708"/>
      <c r="K123" s="6705">
        <v>756</v>
      </c>
      <c r="L123" s="6701" t="s">
        <v>5119</v>
      </c>
      <c r="M123" s="6706" t="s">
        <v>5120</v>
      </c>
      <c r="N123" s="6707" t="s">
        <v>5121</v>
      </c>
      <c r="O123" s="6708"/>
      <c r="P123" s="6705">
        <v>1080</v>
      </c>
      <c r="Q123" s="6701" t="s">
        <v>5122</v>
      </c>
      <c r="R123" s="6706" t="s">
        <v>5123</v>
      </c>
      <c r="S123" s="6707" t="s">
        <v>5124</v>
      </c>
      <c r="T123" s="2939"/>
      <c r="U123" s="2939"/>
      <c r="V123" s="2939"/>
      <c r="W123" s="2939"/>
      <c r="X123" s="2939"/>
      <c r="Y123" s="2939"/>
      <c r="Z123" s="2939"/>
      <c r="AA123" s="2939"/>
      <c r="AB123" s="2939"/>
      <c r="AC123" s="2939"/>
      <c r="AD123" s="2939"/>
    </row>
    <row r="124" spans="1:30">
      <c r="A124" s="6705">
        <v>109</v>
      </c>
      <c r="B124" s="6701">
        <v>2763</v>
      </c>
      <c r="C124" s="6706" t="s">
        <v>5125</v>
      </c>
      <c r="D124" s="6707" t="s">
        <v>5126</v>
      </c>
      <c r="E124" s="6708"/>
      <c r="F124" s="6705">
        <v>433</v>
      </c>
      <c r="G124" s="6701" t="s">
        <v>5127</v>
      </c>
      <c r="H124" s="6706" t="s">
        <v>5128</v>
      </c>
      <c r="I124" s="6707" t="s">
        <v>5129</v>
      </c>
      <c r="J124" s="6708"/>
      <c r="K124" s="6705">
        <v>757</v>
      </c>
      <c r="L124" s="6701" t="s">
        <v>5130</v>
      </c>
      <c r="M124" s="6706" t="s">
        <v>5131</v>
      </c>
      <c r="N124" s="6707" t="s">
        <v>5132</v>
      </c>
      <c r="O124" s="6708"/>
      <c r="P124" s="6705">
        <v>1081</v>
      </c>
      <c r="Q124" s="6701" t="s">
        <v>5133</v>
      </c>
      <c r="R124" s="6706" t="s">
        <v>5134</v>
      </c>
      <c r="S124" s="6707" t="s">
        <v>5135</v>
      </c>
      <c r="T124" s="2939"/>
      <c r="U124" s="2939"/>
      <c r="V124" s="2939"/>
      <c r="W124" s="2939"/>
      <c r="X124" s="2939"/>
      <c r="Y124" s="2939"/>
      <c r="Z124" s="2939"/>
      <c r="AA124" s="2939"/>
      <c r="AB124" s="2939"/>
      <c r="AC124" s="2939"/>
      <c r="AD124" s="2939"/>
    </row>
    <row r="125" spans="1:30">
      <c r="A125" s="6705">
        <v>110</v>
      </c>
      <c r="B125" s="6701">
        <v>2764</v>
      </c>
      <c r="C125" s="6706" t="s">
        <v>5136</v>
      </c>
      <c r="D125" s="6707" t="s">
        <v>5137</v>
      </c>
      <c r="E125" s="6708"/>
      <c r="F125" s="6705">
        <v>434</v>
      </c>
      <c r="G125" s="6701" t="s">
        <v>5138</v>
      </c>
      <c r="H125" s="6706" t="s">
        <v>5139</v>
      </c>
      <c r="I125" s="6707" t="s">
        <v>5140</v>
      </c>
      <c r="J125" s="6708"/>
      <c r="K125" s="6705">
        <v>758</v>
      </c>
      <c r="L125" s="6701" t="s">
        <v>5141</v>
      </c>
      <c r="M125" s="6706" t="s">
        <v>5142</v>
      </c>
      <c r="N125" s="6707" t="s">
        <v>5143</v>
      </c>
      <c r="O125" s="6708"/>
      <c r="P125" s="6705">
        <v>1082</v>
      </c>
      <c r="Q125" s="6701" t="s">
        <v>5144</v>
      </c>
      <c r="R125" s="6706" t="s">
        <v>5145</v>
      </c>
      <c r="S125" s="6707" t="s">
        <v>5146</v>
      </c>
      <c r="T125" s="2939"/>
      <c r="U125" s="2939"/>
      <c r="V125" s="2939"/>
      <c r="W125" s="2939"/>
      <c r="X125" s="2939"/>
      <c r="Y125" s="2939"/>
      <c r="Z125" s="2939"/>
      <c r="AA125" s="2939"/>
      <c r="AB125" s="2939"/>
      <c r="AC125" s="2939"/>
      <c r="AD125" s="2939"/>
    </row>
    <row r="126" spans="1:30">
      <c r="A126" s="6705">
        <v>111</v>
      </c>
      <c r="B126" s="6701">
        <v>2705</v>
      </c>
      <c r="C126" s="6706" t="s">
        <v>5147</v>
      </c>
      <c r="D126" s="6707" t="s">
        <v>5148</v>
      </c>
      <c r="E126" s="6708"/>
      <c r="F126" s="6705">
        <v>435</v>
      </c>
      <c r="G126" s="6701" t="s">
        <v>5149</v>
      </c>
      <c r="H126" s="6706" t="s">
        <v>5150</v>
      </c>
      <c r="I126" s="6707" t="s">
        <v>5151</v>
      </c>
      <c r="J126" s="6708"/>
      <c r="K126" s="6705">
        <v>759</v>
      </c>
      <c r="L126" s="6701" t="s">
        <v>5152</v>
      </c>
      <c r="M126" s="6706" t="s">
        <v>5153</v>
      </c>
      <c r="N126" s="6707" t="s">
        <v>3783</v>
      </c>
      <c r="O126" s="6708"/>
      <c r="P126" s="6705">
        <v>1083</v>
      </c>
      <c r="Q126" s="6701" t="s">
        <v>5154</v>
      </c>
      <c r="R126" s="6706" t="s">
        <v>5155</v>
      </c>
      <c r="S126" s="6707" t="s">
        <v>5156</v>
      </c>
      <c r="T126" s="2939"/>
      <c r="U126" s="2939"/>
      <c r="V126" s="2939"/>
      <c r="W126" s="2939"/>
      <c r="X126" s="2939"/>
      <c r="Y126" s="2939"/>
      <c r="Z126" s="2939"/>
      <c r="AA126" s="2939"/>
      <c r="AB126" s="2939"/>
      <c r="AC126" s="2939"/>
      <c r="AD126" s="2939"/>
    </row>
    <row r="127" spans="1:30">
      <c r="A127" s="6705">
        <v>112</v>
      </c>
      <c r="B127" s="6701" t="s">
        <v>5157</v>
      </c>
      <c r="C127" s="6706" t="s">
        <v>5158</v>
      </c>
      <c r="D127" s="6707" t="s">
        <v>5159</v>
      </c>
      <c r="E127" s="6708"/>
      <c r="F127" s="6705">
        <v>436</v>
      </c>
      <c r="G127" s="6701" t="s">
        <v>5160</v>
      </c>
      <c r="H127" s="6706" t="s">
        <v>5161</v>
      </c>
      <c r="I127" s="6707" t="s">
        <v>5162</v>
      </c>
      <c r="J127" s="6708"/>
      <c r="K127" s="6705">
        <v>760</v>
      </c>
      <c r="L127" s="6701" t="s">
        <v>5163</v>
      </c>
      <c r="M127" s="6706" t="s">
        <v>5164</v>
      </c>
      <c r="N127" s="6707" t="s">
        <v>5165</v>
      </c>
      <c r="O127" s="6708"/>
      <c r="P127" s="6705">
        <v>1084</v>
      </c>
      <c r="Q127" s="6701" t="s">
        <v>5166</v>
      </c>
      <c r="R127" s="6706" t="s">
        <v>5167</v>
      </c>
      <c r="S127" s="6707" t="s">
        <v>5168</v>
      </c>
      <c r="T127" s="2939"/>
      <c r="U127" s="2939"/>
      <c r="V127" s="2939"/>
      <c r="W127" s="2939"/>
      <c r="X127" s="2939"/>
      <c r="Y127" s="2939"/>
      <c r="Z127" s="2939"/>
      <c r="AA127" s="2939"/>
      <c r="AB127" s="2939"/>
      <c r="AC127" s="2939"/>
      <c r="AD127" s="2939"/>
    </row>
    <row r="128" spans="1:30">
      <c r="A128" s="6705">
        <v>113</v>
      </c>
      <c r="B128" s="6701" t="s">
        <v>5169</v>
      </c>
      <c r="C128" s="6706" t="s">
        <v>5170</v>
      </c>
      <c r="D128" s="6707" t="s">
        <v>5171</v>
      </c>
      <c r="E128" s="6708"/>
      <c r="F128" s="6705">
        <v>437</v>
      </c>
      <c r="G128" s="6701" t="s">
        <v>5172</v>
      </c>
      <c r="H128" s="6706" t="s">
        <v>5173</v>
      </c>
      <c r="I128" s="6707" t="s">
        <v>5174</v>
      </c>
      <c r="J128" s="6708"/>
      <c r="K128" s="6705">
        <v>761</v>
      </c>
      <c r="L128" s="6701" t="s">
        <v>5175</v>
      </c>
      <c r="M128" s="6706" t="s">
        <v>5176</v>
      </c>
      <c r="N128" s="6707" t="s">
        <v>5177</v>
      </c>
      <c r="O128" s="6708"/>
      <c r="P128" s="6705">
        <v>1085</v>
      </c>
      <c r="Q128" s="6701" t="s">
        <v>5178</v>
      </c>
      <c r="R128" s="6706" t="s">
        <v>5179</v>
      </c>
      <c r="S128" s="6707" t="s">
        <v>5180</v>
      </c>
      <c r="T128" s="2939"/>
      <c r="U128" s="2939"/>
      <c r="V128" s="2939"/>
      <c r="W128" s="2939"/>
      <c r="X128" s="2939"/>
      <c r="Y128" s="2939"/>
      <c r="Z128" s="2939"/>
      <c r="AA128" s="2939"/>
      <c r="AB128" s="2939"/>
      <c r="AC128" s="2939"/>
      <c r="AD128" s="2939"/>
    </row>
    <row r="129" spans="1:30">
      <c r="A129" s="6705">
        <v>114</v>
      </c>
      <c r="B129" s="6701">
        <v>2728</v>
      </c>
      <c r="C129" s="6706" t="s">
        <v>5181</v>
      </c>
      <c r="D129" s="6707" t="s">
        <v>5182</v>
      </c>
      <c r="E129" s="6708"/>
      <c r="F129" s="6705">
        <v>438</v>
      </c>
      <c r="G129" s="6701" t="s">
        <v>5183</v>
      </c>
      <c r="H129" s="6706" t="s">
        <v>5184</v>
      </c>
      <c r="I129" s="6707" t="s">
        <v>5185</v>
      </c>
      <c r="J129" s="6708"/>
      <c r="K129" s="6705">
        <v>762</v>
      </c>
      <c r="L129" s="6701" t="s">
        <v>5186</v>
      </c>
      <c r="M129" s="6706" t="s">
        <v>5187</v>
      </c>
      <c r="N129" s="6707" t="s">
        <v>5188</v>
      </c>
      <c r="O129" s="6708"/>
      <c r="P129" s="6705">
        <v>1086</v>
      </c>
      <c r="Q129" s="6701" t="s">
        <v>5189</v>
      </c>
      <c r="R129" s="6706" t="s">
        <v>5190</v>
      </c>
      <c r="S129" s="6707" t="s">
        <v>5191</v>
      </c>
      <c r="T129" s="2939"/>
      <c r="U129" s="2939"/>
      <c r="V129" s="2939"/>
      <c r="W129" s="2939"/>
      <c r="X129" s="2939"/>
      <c r="Y129" s="2939"/>
      <c r="Z129" s="2939"/>
      <c r="AA129" s="2939"/>
      <c r="AB129" s="2939"/>
      <c r="AC129" s="2939"/>
      <c r="AD129" s="2939"/>
    </row>
    <row r="130" spans="1:30">
      <c r="A130" s="6705">
        <v>115</v>
      </c>
      <c r="B130" s="6701" t="s">
        <v>5192</v>
      </c>
      <c r="C130" s="6706" t="s">
        <v>5193</v>
      </c>
      <c r="D130" s="6707" t="s">
        <v>5194</v>
      </c>
      <c r="E130" s="6708"/>
      <c r="F130" s="6705">
        <v>439</v>
      </c>
      <c r="G130" s="6701" t="s">
        <v>5195</v>
      </c>
      <c r="H130" s="6706" t="s">
        <v>5196</v>
      </c>
      <c r="I130" s="6707" t="s">
        <v>5197</v>
      </c>
      <c r="J130" s="6708"/>
      <c r="K130" s="6705">
        <v>763</v>
      </c>
      <c r="L130" s="6701" t="s">
        <v>5198</v>
      </c>
      <c r="M130" s="6706" t="s">
        <v>5199</v>
      </c>
      <c r="N130" s="6707" t="s">
        <v>5200</v>
      </c>
      <c r="O130" s="6708"/>
      <c r="P130" s="6705">
        <v>1087</v>
      </c>
      <c r="Q130" s="6701" t="s">
        <v>5201</v>
      </c>
      <c r="R130" s="6706" t="s">
        <v>5202</v>
      </c>
      <c r="S130" s="6707" t="s">
        <v>5203</v>
      </c>
      <c r="T130" s="2939"/>
      <c r="U130" s="2939"/>
      <c r="V130" s="2939"/>
      <c r="W130" s="2939"/>
      <c r="X130" s="2939"/>
      <c r="Y130" s="2939"/>
      <c r="Z130" s="2939"/>
      <c r="AA130" s="2939"/>
      <c r="AB130" s="2939"/>
      <c r="AC130" s="2939"/>
      <c r="AD130" s="2939"/>
    </row>
    <row r="131" spans="1:30">
      <c r="A131" s="6705">
        <v>116</v>
      </c>
      <c r="B131" s="6701">
        <v>2614</v>
      </c>
      <c r="C131" s="6706" t="s">
        <v>5204</v>
      </c>
      <c r="D131" s="6707" t="s">
        <v>5205</v>
      </c>
      <c r="E131" s="6708"/>
      <c r="F131" s="6705">
        <v>440</v>
      </c>
      <c r="G131" s="6701" t="s">
        <v>5206</v>
      </c>
      <c r="H131" s="6706" t="s">
        <v>5207</v>
      </c>
      <c r="I131" s="6707" t="s">
        <v>5208</v>
      </c>
      <c r="J131" s="6708"/>
      <c r="K131" s="6705">
        <v>764</v>
      </c>
      <c r="L131" s="6701" t="s">
        <v>5209</v>
      </c>
      <c r="M131" s="6706" t="s">
        <v>5210</v>
      </c>
      <c r="N131" s="6707" t="s">
        <v>5211</v>
      </c>
      <c r="O131" s="6708"/>
      <c r="P131" s="6705">
        <v>1088</v>
      </c>
      <c r="Q131" s="6701" t="s">
        <v>5212</v>
      </c>
      <c r="R131" s="6706" t="s">
        <v>5213</v>
      </c>
      <c r="S131" s="6707" t="s">
        <v>5214</v>
      </c>
      <c r="T131" s="2939"/>
      <c r="U131" s="2939"/>
      <c r="V131" s="2939"/>
      <c r="W131" s="2939"/>
      <c r="X131" s="2939"/>
      <c r="Y131" s="2939"/>
      <c r="Z131" s="2939"/>
      <c r="AA131" s="2939"/>
      <c r="AB131" s="2939"/>
      <c r="AC131" s="2939"/>
      <c r="AD131" s="2939"/>
    </row>
    <row r="132" spans="1:30">
      <c r="A132" s="6705">
        <v>117</v>
      </c>
      <c r="B132" s="6701">
        <v>2615</v>
      </c>
      <c r="C132" s="6706" t="s">
        <v>5215</v>
      </c>
      <c r="D132" s="6707" t="s">
        <v>5216</v>
      </c>
      <c r="E132" s="6708"/>
      <c r="F132" s="6705">
        <v>441</v>
      </c>
      <c r="G132" s="6701" t="s">
        <v>5217</v>
      </c>
      <c r="H132" s="6706" t="s">
        <v>5218</v>
      </c>
      <c r="I132" s="6707" t="s">
        <v>5219</v>
      </c>
      <c r="J132" s="6708"/>
      <c r="K132" s="6705">
        <v>765</v>
      </c>
      <c r="L132" s="6701" t="s">
        <v>5220</v>
      </c>
      <c r="M132" s="6706" t="s">
        <v>5221</v>
      </c>
      <c r="N132" s="6707" t="s">
        <v>5222</v>
      </c>
      <c r="O132" s="6708"/>
      <c r="P132" s="6705">
        <v>1089</v>
      </c>
      <c r="Q132" s="6701" t="s">
        <v>5223</v>
      </c>
      <c r="R132" s="6706" t="s">
        <v>5224</v>
      </c>
      <c r="S132" s="6707" t="s">
        <v>5225</v>
      </c>
      <c r="T132" s="2939"/>
      <c r="U132" s="2939"/>
      <c r="V132" s="2939"/>
      <c r="W132" s="2939"/>
      <c r="X132" s="2939"/>
      <c r="Y132" s="2939"/>
      <c r="Z132" s="2939"/>
      <c r="AA132" s="2939"/>
      <c r="AB132" s="2939"/>
      <c r="AC132" s="2939"/>
      <c r="AD132" s="2939"/>
    </row>
    <row r="133" spans="1:30">
      <c r="A133" s="6705">
        <v>118</v>
      </c>
      <c r="B133" s="6701" t="s">
        <v>5226</v>
      </c>
      <c r="C133" s="6706" t="s">
        <v>5227</v>
      </c>
      <c r="D133" s="6707" t="s">
        <v>5228</v>
      </c>
      <c r="E133" s="6708"/>
      <c r="F133" s="6705">
        <v>442</v>
      </c>
      <c r="G133" s="6701" t="s">
        <v>5229</v>
      </c>
      <c r="H133" s="6706" t="s">
        <v>5230</v>
      </c>
      <c r="I133" s="6707" t="s">
        <v>5231</v>
      </c>
      <c r="J133" s="6708"/>
      <c r="K133" s="6705">
        <v>766</v>
      </c>
      <c r="L133" s="6701" t="s">
        <v>5232</v>
      </c>
      <c r="M133" s="6706" t="s">
        <v>5233</v>
      </c>
      <c r="N133" s="6707" t="s">
        <v>5234</v>
      </c>
      <c r="O133" s="6708"/>
      <c r="P133" s="6705">
        <v>1090</v>
      </c>
      <c r="Q133" s="6701" t="s">
        <v>5235</v>
      </c>
      <c r="R133" s="6706" t="s">
        <v>5236</v>
      </c>
      <c r="S133" s="6707" t="s">
        <v>5237</v>
      </c>
      <c r="T133" s="2939"/>
      <c r="U133" s="2939"/>
      <c r="V133" s="2939"/>
      <c r="W133" s="2939"/>
      <c r="X133" s="2939"/>
      <c r="Y133" s="2939"/>
      <c r="Z133" s="2939"/>
      <c r="AA133" s="2939"/>
      <c r="AB133" s="2939"/>
      <c r="AC133" s="2939"/>
      <c r="AD133" s="2939"/>
    </row>
    <row r="134" spans="1:30">
      <c r="A134" s="6705">
        <v>119</v>
      </c>
      <c r="B134" s="6701" t="s">
        <v>5238</v>
      </c>
      <c r="C134" s="6706" t="s">
        <v>5239</v>
      </c>
      <c r="D134" s="6707" t="s">
        <v>5240</v>
      </c>
      <c r="E134" s="6708"/>
      <c r="F134" s="6705">
        <v>443</v>
      </c>
      <c r="G134" s="6701" t="s">
        <v>5241</v>
      </c>
      <c r="H134" s="6706" t="s">
        <v>5242</v>
      </c>
      <c r="I134" s="6707" t="s">
        <v>5243</v>
      </c>
      <c r="J134" s="6708"/>
      <c r="K134" s="6705">
        <v>767</v>
      </c>
      <c r="L134" s="6701" t="s">
        <v>5244</v>
      </c>
      <c r="M134" s="6706" t="s">
        <v>5245</v>
      </c>
      <c r="N134" s="6707" t="s">
        <v>5246</v>
      </c>
      <c r="O134" s="6708"/>
      <c r="P134" s="6705">
        <v>1091</v>
      </c>
      <c r="Q134" s="6701" t="s">
        <v>5247</v>
      </c>
      <c r="R134" s="6706" t="s">
        <v>5248</v>
      </c>
      <c r="S134" s="6707" t="s">
        <v>5249</v>
      </c>
      <c r="T134" s="2939"/>
      <c r="U134" s="2939"/>
      <c r="V134" s="2939"/>
      <c r="W134" s="2939"/>
      <c r="X134" s="2939"/>
      <c r="Y134" s="2939"/>
      <c r="Z134" s="2939"/>
      <c r="AA134" s="2939"/>
      <c r="AB134" s="2939"/>
      <c r="AC134" s="2939"/>
      <c r="AD134" s="2939"/>
    </row>
    <row r="135" spans="1:30">
      <c r="A135" s="6705">
        <v>120</v>
      </c>
      <c r="B135" s="6701" t="s">
        <v>5250</v>
      </c>
      <c r="C135" s="6706" t="s">
        <v>5251</v>
      </c>
      <c r="D135" s="6707" t="s">
        <v>5252</v>
      </c>
      <c r="E135" s="6708"/>
      <c r="F135" s="6705">
        <v>444</v>
      </c>
      <c r="G135" s="6701" t="s">
        <v>5253</v>
      </c>
      <c r="H135" s="6706" t="s">
        <v>5254</v>
      </c>
      <c r="I135" s="6707" t="s">
        <v>3280</v>
      </c>
      <c r="J135" s="6708"/>
      <c r="K135" s="6705">
        <v>768</v>
      </c>
      <c r="L135" s="6701" t="s">
        <v>5255</v>
      </c>
      <c r="M135" s="6706" t="s">
        <v>5256</v>
      </c>
      <c r="N135" s="6707" t="s">
        <v>5257</v>
      </c>
      <c r="O135" s="6708"/>
      <c r="P135" s="6705">
        <v>1092</v>
      </c>
      <c r="Q135" s="6701" t="s">
        <v>5258</v>
      </c>
      <c r="R135" s="6706" t="s">
        <v>5259</v>
      </c>
      <c r="S135" s="6707" t="s">
        <v>5260</v>
      </c>
      <c r="T135" s="2939"/>
      <c r="U135" s="2939"/>
      <c r="V135" s="2939"/>
      <c r="W135" s="2939"/>
      <c r="X135" s="2939"/>
      <c r="Y135" s="2939"/>
      <c r="Z135" s="2939"/>
      <c r="AA135" s="2939"/>
      <c r="AB135" s="2939"/>
      <c r="AC135" s="2939"/>
      <c r="AD135" s="2939"/>
    </row>
    <row r="136" spans="1:30">
      <c r="A136" s="6705">
        <v>121</v>
      </c>
      <c r="B136" s="6701" t="s">
        <v>5261</v>
      </c>
      <c r="C136" s="6706" t="s">
        <v>5262</v>
      </c>
      <c r="D136" s="6707" t="s">
        <v>5263</v>
      </c>
      <c r="E136" s="6708"/>
      <c r="F136" s="6705">
        <v>445</v>
      </c>
      <c r="G136" s="6701" t="s">
        <v>5264</v>
      </c>
      <c r="H136" s="6706" t="s">
        <v>5265</v>
      </c>
      <c r="I136" s="6707" t="s">
        <v>5266</v>
      </c>
      <c r="J136" s="6708"/>
      <c r="K136" s="6705">
        <v>769</v>
      </c>
      <c r="L136" s="6701" t="s">
        <v>5267</v>
      </c>
      <c r="M136" s="6706" t="s">
        <v>5268</v>
      </c>
      <c r="N136" s="6707" t="s">
        <v>5269</v>
      </c>
      <c r="O136" s="6708"/>
      <c r="P136" s="6705">
        <v>1093</v>
      </c>
      <c r="Q136" s="6701" t="s">
        <v>5270</v>
      </c>
      <c r="R136" s="6706" t="s">
        <v>5271</v>
      </c>
      <c r="S136" s="6707" t="s">
        <v>5272</v>
      </c>
      <c r="T136" s="2939"/>
      <c r="U136" s="2939"/>
      <c r="V136" s="2939"/>
      <c r="W136" s="2939"/>
      <c r="X136" s="2939"/>
      <c r="Y136" s="2939"/>
      <c r="Z136" s="2939"/>
      <c r="AA136" s="2939"/>
      <c r="AB136" s="2939"/>
      <c r="AC136" s="2939"/>
      <c r="AD136" s="2939"/>
    </row>
    <row r="137" spans="1:30">
      <c r="A137" s="6705">
        <v>122</v>
      </c>
      <c r="B137" s="6701" t="s">
        <v>5273</v>
      </c>
      <c r="C137" s="6706" t="s">
        <v>5274</v>
      </c>
      <c r="D137" s="6707" t="s">
        <v>5275</v>
      </c>
      <c r="E137" s="6708"/>
      <c r="F137" s="6705">
        <v>446</v>
      </c>
      <c r="G137" s="6701" t="s">
        <v>5276</v>
      </c>
      <c r="H137" s="6706" t="s">
        <v>5277</v>
      </c>
      <c r="I137" s="6707" t="s">
        <v>5278</v>
      </c>
      <c r="J137" s="6708"/>
      <c r="K137" s="6705">
        <v>770</v>
      </c>
      <c r="L137" s="6701" t="s">
        <v>5279</v>
      </c>
      <c r="M137" s="6706" t="s">
        <v>5280</v>
      </c>
      <c r="N137" s="6707" t="s">
        <v>5281</v>
      </c>
      <c r="O137" s="6708"/>
      <c r="P137" s="6705">
        <v>1094</v>
      </c>
      <c r="Q137" s="6701" t="s">
        <v>5282</v>
      </c>
      <c r="R137" s="6706" t="s">
        <v>5283</v>
      </c>
      <c r="S137" s="6707" t="s">
        <v>5284</v>
      </c>
      <c r="T137" s="2939"/>
      <c r="U137" s="2939"/>
      <c r="V137" s="2939"/>
      <c r="W137" s="2939"/>
      <c r="X137" s="2939"/>
      <c r="Y137" s="2939"/>
      <c r="Z137" s="2939"/>
      <c r="AA137" s="2939"/>
      <c r="AB137" s="2939"/>
      <c r="AC137" s="2939"/>
      <c r="AD137" s="2939"/>
    </row>
    <row r="138" spans="1:30">
      <c r="A138" s="6705">
        <v>123</v>
      </c>
      <c r="B138" s="6701" t="s">
        <v>5285</v>
      </c>
      <c r="C138" s="6706" t="s">
        <v>5286</v>
      </c>
      <c r="D138" s="6707" t="s">
        <v>5287</v>
      </c>
      <c r="E138" s="6708"/>
      <c r="F138" s="6705">
        <v>447</v>
      </c>
      <c r="G138" s="6701" t="s">
        <v>5288</v>
      </c>
      <c r="H138" s="6706" t="s">
        <v>5289</v>
      </c>
      <c r="I138" s="6707" t="s">
        <v>5290</v>
      </c>
      <c r="J138" s="6708"/>
      <c r="K138" s="6705">
        <v>771</v>
      </c>
      <c r="L138" s="6701" t="s">
        <v>5291</v>
      </c>
      <c r="M138" s="6706" t="s">
        <v>5292</v>
      </c>
      <c r="N138" s="6707" t="s">
        <v>5293</v>
      </c>
      <c r="O138" s="6708"/>
      <c r="P138" s="6705">
        <v>1095</v>
      </c>
      <c r="Q138" s="6701" t="s">
        <v>5294</v>
      </c>
      <c r="R138" s="6706" t="s">
        <v>5295</v>
      </c>
      <c r="S138" s="6707" t="s">
        <v>5296</v>
      </c>
      <c r="T138" s="2939"/>
      <c r="U138" s="2939"/>
      <c r="V138" s="2939"/>
      <c r="W138" s="2939"/>
      <c r="X138" s="2939"/>
      <c r="Y138" s="2939"/>
      <c r="Z138" s="2939"/>
      <c r="AA138" s="2939"/>
      <c r="AB138" s="2939"/>
      <c r="AC138" s="2939"/>
      <c r="AD138" s="2939"/>
    </row>
    <row r="139" spans="1:30">
      <c r="A139" s="6705">
        <v>124</v>
      </c>
      <c r="B139" s="6701" t="s">
        <v>5297</v>
      </c>
      <c r="C139" s="6706" t="s">
        <v>5298</v>
      </c>
      <c r="D139" s="6707" t="s">
        <v>5299</v>
      </c>
      <c r="E139" s="6708"/>
      <c r="F139" s="6705">
        <v>448</v>
      </c>
      <c r="G139" s="6701" t="s">
        <v>5300</v>
      </c>
      <c r="H139" s="6706" t="s">
        <v>5301</v>
      </c>
      <c r="I139" s="6707" t="s">
        <v>5302</v>
      </c>
      <c r="J139" s="6708"/>
      <c r="K139" s="6705">
        <v>772</v>
      </c>
      <c r="L139" s="6701" t="s">
        <v>5303</v>
      </c>
      <c r="M139" s="6706" t="s">
        <v>5304</v>
      </c>
      <c r="N139" s="6707" t="s">
        <v>5305</v>
      </c>
      <c r="O139" s="6708"/>
      <c r="P139" s="6705">
        <v>1096</v>
      </c>
      <c r="Q139" s="6701" t="s">
        <v>5306</v>
      </c>
      <c r="R139" s="6706" t="s">
        <v>5307</v>
      </c>
      <c r="S139" s="6707" t="s">
        <v>5308</v>
      </c>
      <c r="T139" s="2939"/>
      <c r="U139" s="2939"/>
      <c r="V139" s="2939"/>
      <c r="W139" s="2939"/>
      <c r="X139" s="2939"/>
      <c r="Y139" s="2939"/>
      <c r="Z139" s="2939"/>
      <c r="AA139" s="2939"/>
      <c r="AB139" s="2939"/>
      <c r="AC139" s="2939"/>
      <c r="AD139" s="2939"/>
    </row>
    <row r="140" spans="1:30">
      <c r="A140" s="6705">
        <v>125</v>
      </c>
      <c r="B140" s="6701" t="s">
        <v>5309</v>
      </c>
      <c r="C140" s="6706" t="s">
        <v>5310</v>
      </c>
      <c r="D140" s="6707" t="s">
        <v>5311</v>
      </c>
      <c r="E140" s="6708"/>
      <c r="F140" s="6705">
        <v>449</v>
      </c>
      <c r="G140" s="6701" t="s">
        <v>5312</v>
      </c>
      <c r="H140" s="6706" t="s">
        <v>5313</v>
      </c>
      <c r="I140" s="6707" t="s">
        <v>1818</v>
      </c>
      <c r="J140" s="6708"/>
      <c r="K140" s="6705">
        <v>773</v>
      </c>
      <c r="L140" s="6701" t="s">
        <v>5314</v>
      </c>
      <c r="M140" s="6706" t="s">
        <v>5315</v>
      </c>
      <c r="N140" s="6707" t="s">
        <v>5316</v>
      </c>
      <c r="O140" s="6708"/>
      <c r="P140" s="6705">
        <v>1097</v>
      </c>
      <c r="Q140" s="6701" t="s">
        <v>5317</v>
      </c>
      <c r="R140" s="6706" t="s">
        <v>5318</v>
      </c>
      <c r="S140" s="6707" t="s">
        <v>5319</v>
      </c>
      <c r="T140" s="2939"/>
      <c r="U140" s="2939"/>
      <c r="V140" s="2939"/>
      <c r="W140" s="2939"/>
      <c r="X140" s="2939"/>
      <c r="Y140" s="2939"/>
      <c r="Z140" s="2939"/>
      <c r="AA140" s="2939"/>
      <c r="AB140" s="2939"/>
      <c r="AC140" s="2939"/>
      <c r="AD140" s="2939"/>
    </row>
    <row r="141" spans="1:30">
      <c r="A141" s="6705">
        <v>126</v>
      </c>
      <c r="B141" s="6701">
        <v>2618</v>
      </c>
      <c r="C141" s="6706" t="s">
        <v>5320</v>
      </c>
      <c r="D141" s="6707" t="s">
        <v>5321</v>
      </c>
      <c r="E141" s="6708"/>
      <c r="F141" s="6705">
        <v>450</v>
      </c>
      <c r="G141" s="6701" t="s">
        <v>5322</v>
      </c>
      <c r="H141" s="6706" t="s">
        <v>5323</v>
      </c>
      <c r="I141" s="6707" t="s">
        <v>5324</v>
      </c>
      <c r="J141" s="6708"/>
      <c r="K141" s="6705">
        <v>774</v>
      </c>
      <c r="L141" s="6701" t="s">
        <v>5325</v>
      </c>
      <c r="M141" s="6706" t="s">
        <v>5326</v>
      </c>
      <c r="N141" s="6707" t="s">
        <v>5327</v>
      </c>
      <c r="O141" s="6708"/>
      <c r="P141" s="6705">
        <v>1098</v>
      </c>
      <c r="Q141" s="6701" t="s">
        <v>5328</v>
      </c>
      <c r="R141" s="6706" t="s">
        <v>5329</v>
      </c>
      <c r="S141" s="6707" t="s">
        <v>5330</v>
      </c>
      <c r="T141" s="2939"/>
      <c r="U141" s="2939"/>
      <c r="V141" s="2939"/>
      <c r="W141" s="2939"/>
      <c r="X141" s="2939"/>
      <c r="Y141" s="2939"/>
      <c r="Z141" s="2939"/>
      <c r="AA141" s="2939"/>
      <c r="AB141" s="2939"/>
      <c r="AC141" s="2939"/>
      <c r="AD141" s="2939"/>
    </row>
    <row r="142" spans="1:30">
      <c r="A142" s="6705">
        <v>127</v>
      </c>
      <c r="B142" s="6701" t="s">
        <v>5331</v>
      </c>
      <c r="C142" s="6706" t="s">
        <v>5332</v>
      </c>
      <c r="D142" s="6707" t="s">
        <v>5333</v>
      </c>
      <c r="E142" s="6708"/>
      <c r="F142" s="6705">
        <v>451</v>
      </c>
      <c r="G142" s="6701" t="s">
        <v>5334</v>
      </c>
      <c r="H142" s="6706" t="s">
        <v>5335</v>
      </c>
      <c r="I142" s="6707" t="s">
        <v>5336</v>
      </c>
      <c r="J142" s="6708"/>
      <c r="K142" s="6705">
        <v>775</v>
      </c>
      <c r="L142" s="6701" t="s">
        <v>5337</v>
      </c>
      <c r="M142" s="6706" t="s">
        <v>5338</v>
      </c>
      <c r="N142" s="6707" t="s">
        <v>5339</v>
      </c>
      <c r="O142" s="6708"/>
      <c r="P142" s="6705">
        <v>1099</v>
      </c>
      <c r="Q142" s="6701" t="s">
        <v>5340</v>
      </c>
      <c r="R142" s="6706" t="s">
        <v>5341</v>
      </c>
      <c r="S142" s="6707" t="s">
        <v>2476</v>
      </c>
      <c r="T142" s="2939"/>
      <c r="U142" s="2939"/>
      <c r="V142" s="2939"/>
      <c r="W142" s="2939"/>
      <c r="X142" s="2939"/>
      <c r="Y142" s="2939"/>
      <c r="Z142" s="2939"/>
      <c r="AA142" s="2939"/>
      <c r="AB142" s="2939"/>
      <c r="AC142" s="2939"/>
      <c r="AD142" s="2939"/>
    </row>
    <row r="143" spans="1:30">
      <c r="A143" s="6705">
        <v>128</v>
      </c>
      <c r="B143" s="6701" t="s">
        <v>5342</v>
      </c>
      <c r="C143" s="6706" t="s">
        <v>5343</v>
      </c>
      <c r="D143" s="6707" t="s">
        <v>5344</v>
      </c>
      <c r="E143" s="6708"/>
      <c r="F143" s="6705">
        <v>452</v>
      </c>
      <c r="G143" s="6701" t="s">
        <v>5345</v>
      </c>
      <c r="H143" s="6706" t="s">
        <v>5346</v>
      </c>
      <c r="I143" s="6707" t="s">
        <v>5347</v>
      </c>
      <c r="J143" s="6708"/>
      <c r="K143" s="6705">
        <v>776</v>
      </c>
      <c r="L143" s="6701" t="s">
        <v>5348</v>
      </c>
      <c r="M143" s="6706" t="s">
        <v>5349</v>
      </c>
      <c r="N143" s="6707" t="s">
        <v>5350</v>
      </c>
      <c r="O143" s="6708"/>
      <c r="P143" s="6705">
        <v>1100</v>
      </c>
      <c r="Q143" s="6701" t="s">
        <v>5351</v>
      </c>
      <c r="R143" s="6706" t="s">
        <v>5352</v>
      </c>
      <c r="S143" s="6707" t="s">
        <v>1464</v>
      </c>
      <c r="T143" s="2939"/>
      <c r="U143" s="2939"/>
      <c r="V143" s="2939"/>
      <c r="W143" s="2939"/>
      <c r="X143" s="2939"/>
      <c r="Y143" s="2939"/>
      <c r="Z143" s="2939"/>
      <c r="AA143" s="2939"/>
      <c r="AB143" s="2939"/>
      <c r="AC143" s="2939"/>
      <c r="AD143" s="2939"/>
    </row>
    <row r="144" spans="1:30">
      <c r="A144" s="6705">
        <v>129</v>
      </c>
      <c r="B144" s="6701">
        <v>2692</v>
      </c>
      <c r="C144" s="6706" t="s">
        <v>5353</v>
      </c>
      <c r="D144" s="6707" t="s">
        <v>5354</v>
      </c>
      <c r="E144" s="6708"/>
      <c r="F144" s="6705">
        <v>453</v>
      </c>
      <c r="G144" s="6701" t="s">
        <v>5355</v>
      </c>
      <c r="H144" s="6706" t="s">
        <v>5356</v>
      </c>
      <c r="I144" s="6707" t="s">
        <v>5357</v>
      </c>
      <c r="J144" s="6708"/>
      <c r="K144" s="6705">
        <v>777</v>
      </c>
      <c r="L144" s="6701" t="s">
        <v>5358</v>
      </c>
      <c r="M144" s="6706" t="s">
        <v>5359</v>
      </c>
      <c r="N144" s="6707" t="s">
        <v>5360</v>
      </c>
      <c r="O144" s="6708"/>
      <c r="P144" s="6705">
        <v>1101</v>
      </c>
      <c r="Q144" s="6701" t="s">
        <v>5361</v>
      </c>
      <c r="R144" s="6706" t="s">
        <v>5362</v>
      </c>
      <c r="S144" s="6707" t="s">
        <v>5363</v>
      </c>
      <c r="T144" s="2939"/>
      <c r="U144" s="2939"/>
      <c r="V144" s="2939"/>
      <c r="W144" s="2939"/>
      <c r="X144" s="2939"/>
      <c r="Y144" s="2939"/>
      <c r="Z144" s="2939"/>
      <c r="AA144" s="2939"/>
      <c r="AB144" s="2939"/>
      <c r="AC144" s="2939"/>
      <c r="AD144" s="2939"/>
    </row>
    <row r="145" spans="1:30">
      <c r="A145" s="6705">
        <v>130</v>
      </c>
      <c r="B145" s="6701">
        <v>2693</v>
      </c>
      <c r="C145" s="6706" t="s">
        <v>5364</v>
      </c>
      <c r="D145" s="6707" t="s">
        <v>5365</v>
      </c>
      <c r="E145" s="6708"/>
      <c r="F145" s="6705">
        <v>454</v>
      </c>
      <c r="G145" s="6701" t="s">
        <v>5366</v>
      </c>
      <c r="H145" s="6706" t="s">
        <v>5367</v>
      </c>
      <c r="I145" s="6707" t="s">
        <v>5368</v>
      </c>
      <c r="J145" s="6708"/>
      <c r="K145" s="6705">
        <v>778</v>
      </c>
      <c r="L145" s="6701" t="s">
        <v>5369</v>
      </c>
      <c r="M145" s="6706" t="s">
        <v>5370</v>
      </c>
      <c r="N145" s="6707" t="s">
        <v>5371</v>
      </c>
      <c r="O145" s="6708"/>
      <c r="P145" s="6705">
        <v>1102</v>
      </c>
      <c r="Q145" s="6701" t="s">
        <v>5372</v>
      </c>
      <c r="R145" s="6706" t="s">
        <v>5373</v>
      </c>
      <c r="S145" s="6707" t="s">
        <v>5374</v>
      </c>
      <c r="T145" s="2939"/>
      <c r="U145" s="2939"/>
      <c r="V145" s="2939"/>
      <c r="W145" s="2939"/>
      <c r="X145" s="2939"/>
      <c r="Y145" s="2939"/>
      <c r="Z145" s="2939"/>
      <c r="AA145" s="2939"/>
      <c r="AB145" s="2939"/>
      <c r="AC145" s="2939"/>
      <c r="AD145" s="2939"/>
    </row>
    <row r="146" spans="1:30">
      <c r="A146" s="6705">
        <v>131</v>
      </c>
      <c r="B146" s="6701">
        <v>2694</v>
      </c>
      <c r="C146" s="6706" t="s">
        <v>5375</v>
      </c>
      <c r="E146" s="6708"/>
      <c r="F146" s="6705">
        <v>455</v>
      </c>
      <c r="G146" s="6701" t="s">
        <v>5376</v>
      </c>
      <c r="H146" s="6706" t="s">
        <v>5377</v>
      </c>
      <c r="I146" s="6707" t="s">
        <v>5378</v>
      </c>
      <c r="J146" s="6708"/>
      <c r="K146" s="6705">
        <v>779</v>
      </c>
      <c r="L146" s="6701" t="s">
        <v>5379</v>
      </c>
      <c r="M146" s="6706" t="s">
        <v>5380</v>
      </c>
      <c r="N146" s="6707" t="s">
        <v>5381</v>
      </c>
      <c r="O146" s="6708"/>
      <c r="P146" s="6705">
        <v>1103</v>
      </c>
      <c r="Q146" s="6701" t="s">
        <v>5382</v>
      </c>
      <c r="R146" s="6706" t="s">
        <v>5383</v>
      </c>
      <c r="S146" s="6707" t="s">
        <v>5384</v>
      </c>
      <c r="T146" s="2939"/>
      <c r="U146" s="2939"/>
      <c r="V146" s="2939"/>
      <c r="W146" s="2939"/>
      <c r="X146" s="2939"/>
      <c r="Y146" s="2939"/>
      <c r="Z146" s="2939"/>
      <c r="AA146" s="2939"/>
      <c r="AB146" s="2939"/>
      <c r="AC146" s="2939"/>
      <c r="AD146" s="2939"/>
    </row>
    <row r="147" spans="1:30">
      <c r="A147" s="6705">
        <v>132</v>
      </c>
      <c r="B147" s="6701">
        <v>2695</v>
      </c>
      <c r="C147" s="6706" t="s">
        <v>5385</v>
      </c>
      <c r="E147" s="6708"/>
      <c r="F147" s="6705">
        <v>456</v>
      </c>
      <c r="G147" s="6701" t="s">
        <v>5386</v>
      </c>
      <c r="H147" s="6706" t="s">
        <v>5387</v>
      </c>
      <c r="I147" s="6707" t="s">
        <v>5388</v>
      </c>
      <c r="J147" s="6708"/>
      <c r="K147" s="6705">
        <v>780</v>
      </c>
      <c r="L147" s="6701" t="s">
        <v>5389</v>
      </c>
      <c r="M147" s="6706" t="s">
        <v>5390</v>
      </c>
      <c r="N147" s="6707" t="s">
        <v>5391</v>
      </c>
      <c r="O147" s="6708"/>
      <c r="P147" s="6705">
        <v>1104</v>
      </c>
      <c r="Q147" s="6701" t="s">
        <v>5392</v>
      </c>
      <c r="R147" s="6706" t="s">
        <v>5393</v>
      </c>
      <c r="S147" s="6707" t="s">
        <v>5394</v>
      </c>
      <c r="T147" s="2939"/>
      <c r="U147" s="2939"/>
      <c r="V147" s="2939"/>
      <c r="W147" s="2939"/>
      <c r="X147" s="2939"/>
      <c r="Y147" s="2939"/>
      <c r="Z147" s="2939"/>
      <c r="AA147" s="2939"/>
      <c r="AB147" s="2939"/>
      <c r="AC147" s="2939"/>
      <c r="AD147" s="2939"/>
    </row>
    <row r="148" spans="1:30">
      <c r="A148" s="6705">
        <v>133</v>
      </c>
      <c r="B148" s="6701">
        <v>2696</v>
      </c>
      <c r="C148" s="6706" t="s">
        <v>5395</v>
      </c>
      <c r="E148" s="6708"/>
      <c r="F148" s="6705">
        <v>457</v>
      </c>
      <c r="G148" s="6701" t="s">
        <v>5396</v>
      </c>
      <c r="H148" s="6706" t="s">
        <v>5397</v>
      </c>
      <c r="I148" s="6707" t="s">
        <v>5398</v>
      </c>
      <c r="J148" s="6708"/>
      <c r="K148" s="6705">
        <v>781</v>
      </c>
      <c r="L148" s="6701" t="s">
        <v>5399</v>
      </c>
      <c r="M148" s="6706" t="s">
        <v>5400</v>
      </c>
      <c r="N148" s="6707" t="s">
        <v>5401</v>
      </c>
      <c r="O148" s="6708"/>
      <c r="P148" s="6705">
        <v>1105</v>
      </c>
      <c r="Q148" s="6701" t="s">
        <v>5402</v>
      </c>
      <c r="R148" s="6706" t="s">
        <v>5403</v>
      </c>
      <c r="S148" s="6707" t="s">
        <v>5404</v>
      </c>
      <c r="T148" s="2939"/>
      <c r="U148" s="2939"/>
      <c r="V148" s="2939"/>
      <c r="W148" s="2939"/>
      <c r="X148" s="2939"/>
      <c r="Y148" s="2939"/>
      <c r="Z148" s="2939"/>
      <c r="AA148" s="2939"/>
      <c r="AB148" s="2939"/>
      <c r="AC148" s="2939"/>
      <c r="AD148" s="2939"/>
    </row>
    <row r="149" spans="1:30">
      <c r="A149" s="6705">
        <v>134</v>
      </c>
      <c r="B149" s="6701">
        <v>2697</v>
      </c>
      <c r="C149" s="6706" t="s">
        <v>5405</v>
      </c>
      <c r="E149" s="6708"/>
      <c r="F149" s="6705">
        <v>458</v>
      </c>
      <c r="G149" s="6701" t="s">
        <v>5406</v>
      </c>
      <c r="H149" s="6706" t="s">
        <v>5407</v>
      </c>
      <c r="I149" s="6707" t="s">
        <v>5408</v>
      </c>
      <c r="J149" s="6708"/>
      <c r="K149" s="6705">
        <v>782</v>
      </c>
      <c r="L149" s="6701" t="s">
        <v>5409</v>
      </c>
      <c r="M149" s="6706" t="s">
        <v>5410</v>
      </c>
      <c r="N149" s="6707" t="s">
        <v>5411</v>
      </c>
      <c r="O149" s="6708"/>
      <c r="P149" s="6705">
        <v>1106</v>
      </c>
      <c r="Q149" s="6701" t="s">
        <v>5412</v>
      </c>
      <c r="R149" s="6706" t="s">
        <v>5413</v>
      </c>
      <c r="S149" s="6707" t="s">
        <v>5414</v>
      </c>
      <c r="T149" s="2939"/>
      <c r="U149" s="2939"/>
      <c r="V149" s="2939"/>
      <c r="W149" s="2939"/>
      <c r="X149" s="2939"/>
      <c r="Y149" s="2939"/>
      <c r="Z149" s="2939"/>
      <c r="AA149" s="2939"/>
      <c r="AB149" s="2939"/>
      <c r="AC149" s="2939"/>
      <c r="AD149" s="2939"/>
    </row>
    <row r="150" spans="1:30">
      <c r="A150" s="6705">
        <v>135</v>
      </c>
      <c r="B150" s="6701">
        <v>2699</v>
      </c>
      <c r="C150" s="6706" t="s">
        <v>5415</v>
      </c>
      <c r="D150" s="6707" t="s">
        <v>5416</v>
      </c>
      <c r="E150" s="6708"/>
      <c r="F150" s="6705">
        <v>459</v>
      </c>
      <c r="G150" s="6701" t="s">
        <v>5417</v>
      </c>
      <c r="H150" s="6706" t="s">
        <v>5418</v>
      </c>
      <c r="I150" s="6707" t="s">
        <v>5419</v>
      </c>
      <c r="J150" s="6708"/>
      <c r="K150" s="6705">
        <v>783</v>
      </c>
      <c r="L150" s="6701" t="s">
        <v>5420</v>
      </c>
      <c r="M150" s="6706" t="s">
        <v>5421</v>
      </c>
      <c r="N150" s="6707" t="s">
        <v>5422</v>
      </c>
      <c r="O150" s="6708"/>
      <c r="P150" s="6705">
        <v>1107</v>
      </c>
      <c r="Q150" s="6701" t="s">
        <v>5423</v>
      </c>
      <c r="R150" s="6706" t="s">
        <v>5424</v>
      </c>
      <c r="S150" s="6707" t="s">
        <v>5425</v>
      </c>
      <c r="T150" s="2939"/>
      <c r="U150" s="2939"/>
      <c r="V150" s="2939"/>
      <c r="W150" s="2939"/>
      <c r="X150" s="2939"/>
      <c r="Y150" s="2939"/>
      <c r="Z150" s="2939"/>
      <c r="AA150" s="2939"/>
      <c r="AB150" s="2939"/>
      <c r="AC150" s="2939"/>
      <c r="AD150" s="2939"/>
    </row>
    <row r="151" spans="1:30">
      <c r="A151" s="6705">
        <v>136</v>
      </c>
      <c r="B151" s="6701" t="s">
        <v>5426</v>
      </c>
      <c r="C151" s="6706" t="s">
        <v>5427</v>
      </c>
      <c r="D151" s="6707" t="s">
        <v>5428</v>
      </c>
      <c r="E151" s="6708"/>
      <c r="F151" s="6705">
        <v>460</v>
      </c>
      <c r="G151" s="6701" t="s">
        <v>5429</v>
      </c>
      <c r="H151" s="6706" t="s">
        <v>5430</v>
      </c>
      <c r="I151" s="6707" t="s">
        <v>5431</v>
      </c>
      <c r="J151" s="6708"/>
      <c r="K151" s="6705">
        <v>784</v>
      </c>
      <c r="L151" s="6701" t="s">
        <v>5432</v>
      </c>
      <c r="M151" s="6706" t="s">
        <v>5433</v>
      </c>
      <c r="N151" s="6707" t="s">
        <v>5434</v>
      </c>
      <c r="O151" s="6708"/>
      <c r="P151" s="6705">
        <v>1108</v>
      </c>
      <c r="Q151" s="6701" t="s">
        <v>5435</v>
      </c>
      <c r="R151" s="6706" t="s">
        <v>5436</v>
      </c>
      <c r="S151" s="6707" t="s">
        <v>5437</v>
      </c>
      <c r="T151" s="2939"/>
      <c r="U151" s="2939"/>
      <c r="V151" s="2939"/>
      <c r="W151" s="2939"/>
      <c r="X151" s="2939"/>
      <c r="Y151" s="2939"/>
      <c r="Z151" s="2939"/>
      <c r="AA151" s="2939"/>
      <c r="AB151" s="2939"/>
      <c r="AC151" s="2939"/>
      <c r="AD151" s="2939"/>
    </row>
    <row r="152" spans="1:30">
      <c r="A152" s="6705">
        <v>137</v>
      </c>
      <c r="B152" s="6701" t="s">
        <v>5438</v>
      </c>
      <c r="C152" s="6706" t="s">
        <v>5439</v>
      </c>
      <c r="D152" s="6707" t="s">
        <v>5440</v>
      </c>
      <c r="E152" s="6708"/>
      <c r="F152" s="6705">
        <v>461</v>
      </c>
      <c r="G152" s="6701" t="s">
        <v>5441</v>
      </c>
      <c r="H152" s="6706" t="s">
        <v>5442</v>
      </c>
      <c r="I152" s="6707" t="s">
        <v>5443</v>
      </c>
      <c r="J152" s="6708"/>
      <c r="K152" s="6705">
        <v>785</v>
      </c>
      <c r="L152" s="6701" t="s">
        <v>5444</v>
      </c>
      <c r="M152" s="6706" t="s">
        <v>5445</v>
      </c>
      <c r="N152" s="6707" t="s">
        <v>5446</v>
      </c>
      <c r="O152" s="6708"/>
      <c r="P152" s="6705">
        <v>1109</v>
      </c>
      <c r="Q152" s="6701" t="s">
        <v>5447</v>
      </c>
      <c r="R152" s="6706" t="s">
        <v>5448</v>
      </c>
      <c r="S152" s="6707" t="s">
        <v>5449</v>
      </c>
      <c r="T152" s="2939"/>
      <c r="U152" s="2939"/>
      <c r="V152" s="2939"/>
      <c r="W152" s="2939"/>
      <c r="X152" s="2939"/>
      <c r="Y152" s="2939"/>
      <c r="Z152" s="2939"/>
      <c r="AA152" s="2939"/>
      <c r="AB152" s="2939"/>
      <c r="AC152" s="2939"/>
      <c r="AD152" s="2939"/>
    </row>
    <row r="153" spans="1:30">
      <c r="A153" s="6705">
        <v>138</v>
      </c>
      <c r="B153" s="6701" t="s">
        <v>5450</v>
      </c>
      <c r="C153" s="6706" t="s">
        <v>5451</v>
      </c>
      <c r="D153" s="6707" t="s">
        <v>5452</v>
      </c>
      <c r="E153" s="6708"/>
      <c r="F153" s="6705">
        <v>462</v>
      </c>
      <c r="G153" s="6701" t="s">
        <v>5453</v>
      </c>
      <c r="H153" s="6706" t="s">
        <v>5454</v>
      </c>
      <c r="I153" s="6707" t="s">
        <v>5455</v>
      </c>
      <c r="J153" s="6708"/>
      <c r="K153" s="6705">
        <v>786</v>
      </c>
      <c r="L153" s="6701" t="s">
        <v>5456</v>
      </c>
      <c r="M153" s="6706" t="s">
        <v>5457</v>
      </c>
      <c r="N153" s="6707" t="s">
        <v>5458</v>
      </c>
      <c r="O153" s="6708"/>
      <c r="P153" s="6705">
        <v>1110</v>
      </c>
      <c r="Q153" s="6701" t="s">
        <v>5459</v>
      </c>
      <c r="R153" s="6706" t="s">
        <v>5460</v>
      </c>
      <c r="S153" s="6707" t="s">
        <v>5461</v>
      </c>
      <c r="T153" s="2939"/>
      <c r="U153" s="2939"/>
      <c r="V153" s="2939"/>
      <c r="W153" s="2939"/>
      <c r="X153" s="2939"/>
      <c r="Y153" s="2939"/>
      <c r="Z153" s="2939"/>
      <c r="AA153" s="2939"/>
      <c r="AB153" s="2939"/>
      <c r="AC153" s="2939"/>
      <c r="AD153" s="2939"/>
    </row>
    <row r="154" spans="1:30">
      <c r="A154" s="6705">
        <v>139</v>
      </c>
      <c r="B154" s="6701" t="s">
        <v>5462</v>
      </c>
      <c r="C154" s="6706" t="s">
        <v>5463</v>
      </c>
      <c r="D154" s="6707" t="s">
        <v>5464</v>
      </c>
      <c r="E154" s="6708"/>
      <c r="F154" s="6705">
        <v>463</v>
      </c>
      <c r="G154" s="6701" t="s">
        <v>5465</v>
      </c>
      <c r="H154" s="6706" t="s">
        <v>5466</v>
      </c>
      <c r="I154" s="6707" t="s">
        <v>5467</v>
      </c>
      <c r="J154" s="6708"/>
      <c r="K154" s="6705">
        <v>787</v>
      </c>
      <c r="L154" s="6701" t="s">
        <v>5468</v>
      </c>
      <c r="M154" s="6706" t="s">
        <v>5469</v>
      </c>
      <c r="N154" s="6707" t="s">
        <v>5470</v>
      </c>
      <c r="O154" s="6708"/>
      <c r="P154" s="6705">
        <v>1111</v>
      </c>
      <c r="Q154" s="6701" t="s">
        <v>5471</v>
      </c>
      <c r="R154" s="6706" t="s">
        <v>5472</v>
      </c>
      <c r="S154" s="6707" t="s">
        <v>5473</v>
      </c>
      <c r="T154" s="2939"/>
      <c r="U154" s="2939"/>
      <c r="V154" s="2939"/>
      <c r="W154" s="2939"/>
      <c r="X154" s="2939"/>
      <c r="Y154" s="2939"/>
      <c r="Z154" s="2939"/>
      <c r="AA154" s="2939"/>
      <c r="AB154" s="2939"/>
      <c r="AC154" s="2939"/>
      <c r="AD154" s="2939"/>
    </row>
    <row r="155" spans="1:30">
      <c r="A155" s="6705">
        <v>140</v>
      </c>
      <c r="B155" s="6701" t="s">
        <v>5474</v>
      </c>
      <c r="C155" s="6706" t="s">
        <v>5475</v>
      </c>
      <c r="D155" s="6707" t="s">
        <v>5476</v>
      </c>
      <c r="E155" s="6708"/>
      <c r="F155" s="6705">
        <v>464</v>
      </c>
      <c r="G155" s="6701" t="s">
        <v>5477</v>
      </c>
      <c r="H155" s="6706" t="s">
        <v>5478</v>
      </c>
      <c r="I155" s="6707" t="s">
        <v>5479</v>
      </c>
      <c r="J155" s="6708"/>
      <c r="K155" s="6705">
        <v>788</v>
      </c>
      <c r="L155" s="6701" t="s">
        <v>5480</v>
      </c>
      <c r="M155" s="6706" t="s">
        <v>5481</v>
      </c>
      <c r="N155" s="6707" t="s">
        <v>5482</v>
      </c>
      <c r="O155" s="6708"/>
      <c r="P155" s="6705">
        <v>1112</v>
      </c>
      <c r="Q155" s="6701" t="s">
        <v>5483</v>
      </c>
      <c r="R155" s="6706" t="s">
        <v>5484</v>
      </c>
      <c r="S155" s="6707" t="s">
        <v>414</v>
      </c>
      <c r="T155" s="2939"/>
      <c r="U155" s="2939"/>
      <c r="V155" s="2939"/>
      <c r="W155" s="2939"/>
      <c r="X155" s="2939"/>
      <c r="Y155" s="2939"/>
      <c r="Z155" s="2939"/>
      <c r="AA155" s="2939"/>
      <c r="AB155" s="2939"/>
      <c r="AC155" s="2939"/>
      <c r="AD155" s="2939"/>
    </row>
    <row r="156" spans="1:30">
      <c r="A156" s="6705">
        <v>141</v>
      </c>
      <c r="B156" s="6701" t="s">
        <v>5485</v>
      </c>
      <c r="C156" s="6706" t="s">
        <v>5486</v>
      </c>
      <c r="D156" s="6707" t="s">
        <v>5487</v>
      </c>
      <c r="E156" s="6708"/>
      <c r="F156" s="6705">
        <v>465</v>
      </c>
      <c r="G156" s="6701" t="s">
        <v>5488</v>
      </c>
      <c r="H156" s="6706" t="s">
        <v>5489</v>
      </c>
      <c r="I156" s="6707" t="s">
        <v>5490</v>
      </c>
      <c r="J156" s="6708"/>
      <c r="K156" s="6705">
        <v>789</v>
      </c>
      <c r="L156" s="6701" t="s">
        <v>5491</v>
      </c>
      <c r="M156" s="6706" t="s">
        <v>5492</v>
      </c>
      <c r="N156" s="6707" t="s">
        <v>5493</v>
      </c>
      <c r="O156" s="6708"/>
      <c r="P156" s="6705">
        <v>1113</v>
      </c>
      <c r="Q156" s="6701" t="s">
        <v>5494</v>
      </c>
      <c r="R156" s="6706" t="s">
        <v>5495</v>
      </c>
      <c r="S156" s="6707" t="s">
        <v>5496</v>
      </c>
      <c r="T156" s="2939"/>
      <c r="U156" s="2939"/>
      <c r="V156" s="2939"/>
      <c r="W156" s="2939"/>
      <c r="X156" s="2939"/>
      <c r="Y156" s="2939"/>
      <c r="Z156" s="2939"/>
      <c r="AA156" s="2939"/>
      <c r="AB156" s="2939"/>
      <c r="AC156" s="2939"/>
      <c r="AD156" s="2939"/>
    </row>
    <row r="157" spans="1:30">
      <c r="A157" s="6705">
        <v>142</v>
      </c>
      <c r="B157" s="6701" t="s">
        <v>5497</v>
      </c>
      <c r="C157" s="6706" t="s">
        <v>5498</v>
      </c>
      <c r="D157" s="6707" t="s">
        <v>5499</v>
      </c>
      <c r="E157" s="6708"/>
      <c r="F157" s="6705">
        <v>466</v>
      </c>
      <c r="G157" s="6701" t="s">
        <v>5500</v>
      </c>
      <c r="H157" s="6706" t="s">
        <v>5501</v>
      </c>
      <c r="I157" s="6707" t="s">
        <v>5502</v>
      </c>
      <c r="J157" s="6708"/>
      <c r="K157" s="6705">
        <v>790</v>
      </c>
      <c r="L157" s="6701" t="s">
        <v>5503</v>
      </c>
      <c r="M157" s="6706" t="s">
        <v>5504</v>
      </c>
      <c r="N157" s="6707" t="s">
        <v>5505</v>
      </c>
      <c r="O157" s="6708"/>
      <c r="P157" s="6705">
        <v>1114</v>
      </c>
      <c r="Q157" s="6701" t="s">
        <v>5506</v>
      </c>
      <c r="R157" s="6706" t="s">
        <v>5507</v>
      </c>
      <c r="S157" s="6707" t="s">
        <v>5508</v>
      </c>
      <c r="T157" s="2939"/>
      <c r="U157" s="2939"/>
      <c r="V157" s="2939"/>
      <c r="W157" s="2939"/>
      <c r="X157" s="2939"/>
      <c r="Y157" s="2939"/>
      <c r="Z157" s="2939"/>
      <c r="AA157" s="2939"/>
      <c r="AB157" s="2939"/>
      <c r="AC157" s="2939"/>
      <c r="AD157" s="2939"/>
    </row>
    <row r="158" spans="1:30">
      <c r="A158" s="6705">
        <v>143</v>
      </c>
      <c r="B158" s="6701" t="s">
        <v>5509</v>
      </c>
      <c r="C158" s="6706" t="s">
        <v>5510</v>
      </c>
      <c r="D158" s="6707" t="s">
        <v>5511</v>
      </c>
      <c r="E158" s="6708"/>
      <c r="F158" s="6705">
        <v>467</v>
      </c>
      <c r="G158" s="6701" t="s">
        <v>5512</v>
      </c>
      <c r="H158" s="6706" t="s">
        <v>5513</v>
      </c>
      <c r="I158" s="6707" t="s">
        <v>5514</v>
      </c>
      <c r="J158" s="6708"/>
      <c r="K158" s="6705">
        <v>791</v>
      </c>
      <c r="L158" s="6701" t="s">
        <v>5515</v>
      </c>
      <c r="M158" s="6706" t="s">
        <v>5516</v>
      </c>
      <c r="N158" s="6707" t="s">
        <v>5517</v>
      </c>
      <c r="O158" s="6708"/>
      <c r="P158" s="6705">
        <v>1115</v>
      </c>
      <c r="Q158" s="6701" t="s">
        <v>5518</v>
      </c>
      <c r="R158" s="6706" t="s">
        <v>5519</v>
      </c>
      <c r="S158" s="6707" t="s">
        <v>5520</v>
      </c>
      <c r="T158" s="2939"/>
      <c r="U158" s="2939"/>
      <c r="V158" s="2939"/>
      <c r="W158" s="2939"/>
      <c r="X158" s="2939"/>
      <c r="Y158" s="2939"/>
      <c r="Z158" s="2939"/>
      <c r="AA158" s="2939"/>
      <c r="AB158" s="2939"/>
      <c r="AC158" s="2939"/>
      <c r="AD158" s="2939"/>
    </row>
    <row r="159" spans="1:30">
      <c r="A159" s="6705">
        <v>144</v>
      </c>
      <c r="B159" s="6701" t="s">
        <v>5521</v>
      </c>
      <c r="C159" s="6706" t="s">
        <v>5522</v>
      </c>
      <c r="D159" s="6707" t="s">
        <v>5523</v>
      </c>
      <c r="E159" s="6708"/>
      <c r="F159" s="6705">
        <v>468</v>
      </c>
      <c r="G159" s="6701" t="s">
        <v>5524</v>
      </c>
      <c r="H159" s="6706" t="s">
        <v>5525</v>
      </c>
      <c r="I159" s="6707" t="s">
        <v>5526</v>
      </c>
      <c r="J159" s="6708"/>
      <c r="K159" s="6705">
        <v>792</v>
      </c>
      <c r="L159" s="6701" t="s">
        <v>5527</v>
      </c>
      <c r="M159" s="6706" t="s">
        <v>5528</v>
      </c>
      <c r="N159" s="6707" t="s">
        <v>5529</v>
      </c>
      <c r="O159" s="6708"/>
      <c r="P159" s="6705">
        <v>1116</v>
      </c>
      <c r="Q159" s="6701" t="s">
        <v>5530</v>
      </c>
      <c r="R159" s="6706" t="s">
        <v>5531</v>
      </c>
      <c r="S159" s="6707" t="s">
        <v>5532</v>
      </c>
      <c r="T159" s="2939"/>
      <c r="U159" s="2939"/>
      <c r="V159" s="2939"/>
      <c r="W159" s="2939"/>
      <c r="X159" s="2939"/>
      <c r="Y159" s="2939"/>
      <c r="Z159" s="2939"/>
      <c r="AA159" s="2939"/>
      <c r="AB159" s="2939"/>
      <c r="AC159" s="2939"/>
      <c r="AD159" s="2939"/>
    </row>
    <row r="160" spans="1:30">
      <c r="A160" s="6705">
        <v>145</v>
      </c>
      <c r="B160" s="6701" t="s">
        <v>5533</v>
      </c>
      <c r="C160" s="6706" t="s">
        <v>5534</v>
      </c>
      <c r="D160" s="6707" t="s">
        <v>5535</v>
      </c>
      <c r="E160" s="6708"/>
      <c r="F160" s="6705">
        <v>469</v>
      </c>
      <c r="G160" s="6701" t="s">
        <v>5536</v>
      </c>
      <c r="H160" s="6706" t="s">
        <v>5537</v>
      </c>
      <c r="I160" s="6707" t="s">
        <v>5538</v>
      </c>
      <c r="J160" s="6708"/>
      <c r="K160" s="6705">
        <v>793</v>
      </c>
      <c r="L160" s="6701" t="s">
        <v>5539</v>
      </c>
      <c r="M160" s="6706" t="s">
        <v>5540</v>
      </c>
      <c r="N160" s="6707" t="s">
        <v>5541</v>
      </c>
      <c r="O160" s="6708"/>
      <c r="P160" s="6705">
        <v>1117</v>
      </c>
      <c r="Q160" s="6701" t="s">
        <v>5542</v>
      </c>
      <c r="R160" s="6706" t="s">
        <v>5543</v>
      </c>
      <c r="S160" s="6707" t="s">
        <v>5544</v>
      </c>
      <c r="T160" s="2939"/>
      <c r="U160" s="2939"/>
      <c r="V160" s="2939"/>
      <c r="W160" s="2939"/>
      <c r="X160" s="2939"/>
      <c r="Y160" s="2939"/>
      <c r="Z160" s="2939"/>
      <c r="AA160" s="2939"/>
      <c r="AB160" s="2939"/>
      <c r="AC160" s="2939"/>
      <c r="AD160" s="2939"/>
    </row>
    <row r="161" spans="1:30">
      <c r="A161" s="6705">
        <v>146</v>
      </c>
      <c r="B161" s="6701" t="s">
        <v>5545</v>
      </c>
      <c r="C161" s="6706" t="s">
        <v>5546</v>
      </c>
      <c r="D161" s="6707" t="s">
        <v>5547</v>
      </c>
      <c r="E161" s="6708"/>
      <c r="F161" s="6705">
        <v>470</v>
      </c>
      <c r="G161" s="6701" t="s">
        <v>5548</v>
      </c>
      <c r="H161" s="6706" t="s">
        <v>5549</v>
      </c>
      <c r="I161" s="6707" t="s">
        <v>5550</v>
      </c>
      <c r="J161" s="6708"/>
      <c r="K161" s="6705">
        <v>794</v>
      </c>
      <c r="L161" s="6701" t="s">
        <v>5551</v>
      </c>
      <c r="M161" s="6706" t="s">
        <v>5552</v>
      </c>
      <c r="N161" s="6707" t="s">
        <v>5553</v>
      </c>
      <c r="O161" s="6708"/>
      <c r="P161" s="6705">
        <v>1118</v>
      </c>
      <c r="Q161" s="6701" t="s">
        <v>5554</v>
      </c>
      <c r="R161" s="6706" t="s">
        <v>5555</v>
      </c>
      <c r="S161" s="6707" t="s">
        <v>5556</v>
      </c>
      <c r="T161" s="2939"/>
      <c r="U161" s="2939"/>
      <c r="V161" s="2939"/>
      <c r="W161" s="2939"/>
      <c r="X161" s="2939"/>
      <c r="Y161" s="2939"/>
      <c r="Z161" s="2939"/>
      <c r="AA161" s="2939"/>
      <c r="AB161" s="2939"/>
      <c r="AC161" s="2939"/>
      <c r="AD161" s="2939"/>
    </row>
    <row r="162" spans="1:30">
      <c r="A162" s="6705">
        <v>147</v>
      </c>
      <c r="B162" s="6701" t="s">
        <v>5557</v>
      </c>
      <c r="C162" s="6706" t="s">
        <v>5558</v>
      </c>
      <c r="D162" s="6707" t="s">
        <v>5559</v>
      </c>
      <c r="E162" s="6708"/>
      <c r="F162" s="6705">
        <v>471</v>
      </c>
      <c r="G162" s="6701" t="s">
        <v>5560</v>
      </c>
      <c r="H162" s="6706" t="s">
        <v>5561</v>
      </c>
      <c r="I162" s="6707" t="s">
        <v>5562</v>
      </c>
      <c r="J162" s="6708"/>
      <c r="K162" s="6705">
        <v>795</v>
      </c>
      <c r="L162" s="6701" t="s">
        <v>5563</v>
      </c>
      <c r="M162" s="6706" t="s">
        <v>5564</v>
      </c>
      <c r="N162" s="6707" t="s">
        <v>5565</v>
      </c>
      <c r="O162" s="6708"/>
      <c r="P162" s="6705">
        <v>1119</v>
      </c>
      <c r="Q162" s="6701" t="s">
        <v>5566</v>
      </c>
      <c r="R162" s="6706" t="s">
        <v>5567</v>
      </c>
      <c r="S162" s="6707" t="s">
        <v>5568</v>
      </c>
      <c r="T162" s="2939"/>
      <c r="U162" s="2939"/>
      <c r="V162" s="2939"/>
      <c r="W162" s="2939"/>
      <c r="X162" s="2939"/>
      <c r="Y162" s="2939"/>
      <c r="Z162" s="2939"/>
      <c r="AA162" s="2939"/>
      <c r="AB162" s="2939"/>
      <c r="AC162" s="2939"/>
      <c r="AD162" s="2939"/>
    </row>
    <row r="163" spans="1:30">
      <c r="A163" s="6705">
        <v>148</v>
      </c>
      <c r="B163" s="6701" t="s">
        <v>5569</v>
      </c>
      <c r="C163" s="6706" t="s">
        <v>5570</v>
      </c>
      <c r="D163" s="6707" t="s">
        <v>5571</v>
      </c>
      <c r="E163" s="6708"/>
      <c r="F163" s="6705">
        <v>472</v>
      </c>
      <c r="G163" s="6701" t="s">
        <v>5572</v>
      </c>
      <c r="H163" s="6706" t="s">
        <v>5573</v>
      </c>
      <c r="I163" s="6707" t="s">
        <v>5574</v>
      </c>
      <c r="J163" s="6708"/>
      <c r="K163" s="6705">
        <v>796</v>
      </c>
      <c r="L163" s="6701" t="s">
        <v>5575</v>
      </c>
      <c r="M163" s="6706" t="s">
        <v>5576</v>
      </c>
      <c r="N163" s="6707" t="s">
        <v>5577</v>
      </c>
      <c r="O163" s="6708"/>
      <c r="P163" s="6705">
        <v>1120</v>
      </c>
      <c r="Q163" s="6701" t="s">
        <v>5578</v>
      </c>
      <c r="R163" s="6706" t="s">
        <v>5579</v>
      </c>
      <c r="S163" s="6707" t="s">
        <v>5580</v>
      </c>
      <c r="T163" s="2939"/>
      <c r="U163" s="2939"/>
      <c r="V163" s="2939"/>
      <c r="W163" s="2939"/>
      <c r="X163" s="2939"/>
      <c r="Y163" s="2939"/>
      <c r="Z163" s="2939"/>
      <c r="AA163" s="2939"/>
      <c r="AB163" s="2939"/>
      <c r="AC163" s="2939"/>
      <c r="AD163" s="2939"/>
    </row>
    <row r="164" spans="1:30">
      <c r="A164" s="6705">
        <v>149</v>
      </c>
      <c r="B164" s="6701" t="s">
        <v>5581</v>
      </c>
      <c r="C164" s="6706" t="s">
        <v>5582</v>
      </c>
      <c r="D164" s="6707" t="s">
        <v>5583</v>
      </c>
      <c r="E164" s="6708"/>
      <c r="F164" s="6705">
        <v>473</v>
      </c>
      <c r="G164" s="6701" t="s">
        <v>5584</v>
      </c>
      <c r="H164" s="6706" t="s">
        <v>5585</v>
      </c>
      <c r="I164" s="6707" t="s">
        <v>5586</v>
      </c>
      <c r="J164" s="6708"/>
      <c r="K164" s="6705">
        <v>797</v>
      </c>
      <c r="L164" s="6701" t="s">
        <v>5587</v>
      </c>
      <c r="M164" s="6706" t="s">
        <v>5588</v>
      </c>
      <c r="N164" s="6707" t="s">
        <v>5589</v>
      </c>
      <c r="O164" s="6708"/>
      <c r="P164" s="6705">
        <v>1121</v>
      </c>
      <c r="Q164" s="6701" t="s">
        <v>5590</v>
      </c>
      <c r="R164" s="6706" t="s">
        <v>5591</v>
      </c>
      <c r="S164" s="6707" t="s">
        <v>3298</v>
      </c>
      <c r="T164" s="2939"/>
      <c r="U164" s="2939"/>
      <c r="V164" s="2939"/>
      <c r="W164" s="2939"/>
      <c r="X164" s="2939"/>
      <c r="Y164" s="2939"/>
      <c r="Z164" s="2939"/>
      <c r="AA164" s="2939"/>
      <c r="AB164" s="2939"/>
      <c r="AC164" s="2939"/>
      <c r="AD164" s="2939"/>
    </row>
    <row r="165" spans="1:30">
      <c r="A165" s="6705">
        <v>150</v>
      </c>
      <c r="B165" s="6701" t="s">
        <v>5592</v>
      </c>
      <c r="C165" s="6706" t="s">
        <v>5593</v>
      </c>
      <c r="D165" s="6707" t="s">
        <v>5594</v>
      </c>
      <c r="E165" s="6708"/>
      <c r="F165" s="6705">
        <v>474</v>
      </c>
      <c r="G165" s="6701" t="s">
        <v>5595</v>
      </c>
      <c r="H165" s="6706" t="s">
        <v>5596</v>
      </c>
      <c r="I165" s="6707" t="s">
        <v>5597</v>
      </c>
      <c r="J165" s="6708"/>
      <c r="K165" s="6705">
        <v>798</v>
      </c>
      <c r="L165" s="6701" t="s">
        <v>5598</v>
      </c>
      <c r="M165" s="6706" t="s">
        <v>5599</v>
      </c>
      <c r="N165" s="6707" t="s">
        <v>5600</v>
      </c>
      <c r="O165" s="6708"/>
      <c r="P165" s="6705">
        <v>1122</v>
      </c>
      <c r="Q165" s="6701" t="s">
        <v>5601</v>
      </c>
      <c r="R165" s="6706" t="s">
        <v>5602</v>
      </c>
      <c r="S165" s="6707" t="s">
        <v>5603</v>
      </c>
      <c r="T165" s="2939"/>
      <c r="U165" s="2939"/>
      <c r="V165" s="2939"/>
      <c r="W165" s="2939"/>
      <c r="X165" s="2939"/>
      <c r="Y165" s="2939"/>
      <c r="Z165" s="2939"/>
      <c r="AA165" s="2939"/>
      <c r="AB165" s="2939"/>
      <c r="AC165" s="2939"/>
      <c r="AD165" s="2939"/>
    </row>
    <row r="166" spans="1:30">
      <c r="A166" s="6705">
        <v>151</v>
      </c>
      <c r="B166" s="6701" t="s">
        <v>5604</v>
      </c>
      <c r="C166" s="6706" t="s">
        <v>5605</v>
      </c>
      <c r="D166" s="6707" t="s">
        <v>5606</v>
      </c>
      <c r="E166" s="6708"/>
      <c r="F166" s="6705">
        <v>475</v>
      </c>
      <c r="G166" s="6701" t="s">
        <v>5607</v>
      </c>
      <c r="H166" s="6706" t="s">
        <v>5608</v>
      </c>
      <c r="I166" s="6707" t="s">
        <v>5609</v>
      </c>
      <c r="J166" s="6708"/>
      <c r="K166" s="6705">
        <v>799</v>
      </c>
      <c r="L166" s="6701" t="s">
        <v>5610</v>
      </c>
      <c r="M166" s="6706" t="s">
        <v>5611</v>
      </c>
      <c r="N166" s="6707" t="s">
        <v>5612</v>
      </c>
      <c r="O166" s="6708"/>
      <c r="P166" s="6705">
        <v>1123</v>
      </c>
      <c r="Q166" s="6701" t="s">
        <v>5613</v>
      </c>
      <c r="R166" s="6706" t="s">
        <v>5614</v>
      </c>
      <c r="S166" s="6707" t="s">
        <v>5615</v>
      </c>
      <c r="T166" s="2939"/>
      <c r="U166" s="2939"/>
      <c r="V166" s="2939"/>
      <c r="W166" s="2939"/>
      <c r="X166" s="2939"/>
      <c r="Y166" s="2939"/>
      <c r="Z166" s="2939"/>
      <c r="AA166" s="2939"/>
      <c r="AB166" s="2939"/>
      <c r="AC166" s="2939"/>
      <c r="AD166" s="2939"/>
    </row>
    <row r="167" spans="1:30">
      <c r="A167" s="6705">
        <v>152</v>
      </c>
      <c r="B167" s="6701" t="s">
        <v>5616</v>
      </c>
      <c r="C167" s="6706" t="s">
        <v>5617</v>
      </c>
      <c r="D167" s="6707" t="s">
        <v>5618</v>
      </c>
      <c r="E167" s="6708"/>
      <c r="F167" s="6705">
        <v>476</v>
      </c>
      <c r="G167" s="6701" t="s">
        <v>5619</v>
      </c>
      <c r="H167" s="6706" t="s">
        <v>5620</v>
      </c>
      <c r="I167" s="6707" t="s">
        <v>5621</v>
      </c>
      <c r="J167" s="6708"/>
      <c r="K167" s="6705">
        <v>800</v>
      </c>
      <c r="L167" s="6701" t="s">
        <v>5622</v>
      </c>
      <c r="M167" s="6706" t="s">
        <v>5623</v>
      </c>
      <c r="N167" s="6707" t="s">
        <v>5624</v>
      </c>
      <c r="O167" s="6708"/>
      <c r="P167" s="6705">
        <v>1124</v>
      </c>
      <c r="Q167" s="6701" t="s">
        <v>5625</v>
      </c>
      <c r="R167" s="6706" t="s">
        <v>5626</v>
      </c>
      <c r="S167" s="6707" t="s">
        <v>5627</v>
      </c>
      <c r="T167" s="2939"/>
      <c r="U167" s="2939"/>
      <c r="V167" s="2939"/>
      <c r="W167" s="2939"/>
      <c r="X167" s="2939"/>
      <c r="Y167" s="2939"/>
      <c r="Z167" s="2939"/>
      <c r="AA167" s="2939"/>
      <c r="AB167" s="2939"/>
      <c r="AC167" s="2939"/>
      <c r="AD167" s="2939"/>
    </row>
    <row r="168" spans="1:30">
      <c r="A168" s="6705">
        <v>153</v>
      </c>
      <c r="B168" s="6701" t="s">
        <v>5628</v>
      </c>
      <c r="C168" s="6706" t="s">
        <v>5629</v>
      </c>
      <c r="D168" s="6707" t="s">
        <v>5630</v>
      </c>
      <c r="E168" s="6708"/>
      <c r="F168" s="6705">
        <v>477</v>
      </c>
      <c r="G168" s="6701" t="s">
        <v>5631</v>
      </c>
      <c r="H168" s="6706" t="s">
        <v>5632</v>
      </c>
      <c r="I168" s="6707" t="s">
        <v>5633</v>
      </c>
      <c r="J168" s="6708"/>
      <c r="K168" s="6705">
        <v>801</v>
      </c>
      <c r="L168" s="6701" t="s">
        <v>5634</v>
      </c>
      <c r="M168" s="6706" t="s">
        <v>5635</v>
      </c>
      <c r="N168" s="6707" t="s">
        <v>5624</v>
      </c>
      <c r="O168" s="6708"/>
      <c r="P168" s="6705">
        <v>1125</v>
      </c>
      <c r="Q168" s="6701" t="s">
        <v>5636</v>
      </c>
      <c r="R168" s="6706" t="s">
        <v>5637</v>
      </c>
      <c r="S168" s="6707" t="s">
        <v>5638</v>
      </c>
      <c r="T168" s="2939"/>
      <c r="U168" s="2939"/>
      <c r="V168" s="2939"/>
      <c r="W168" s="2939"/>
      <c r="X168" s="2939"/>
      <c r="Y168" s="2939"/>
      <c r="Z168" s="2939"/>
      <c r="AA168" s="2939"/>
      <c r="AB168" s="2939"/>
      <c r="AC168" s="2939"/>
      <c r="AD168" s="2939"/>
    </row>
    <row r="169" spans="1:30">
      <c r="A169" s="6705">
        <v>154</v>
      </c>
      <c r="B169" s="6701" t="s">
        <v>5639</v>
      </c>
      <c r="C169" s="6706" t="s">
        <v>5640</v>
      </c>
      <c r="D169" s="6707" t="s">
        <v>5641</v>
      </c>
      <c r="E169" s="6708"/>
      <c r="F169" s="6705">
        <v>478</v>
      </c>
      <c r="G169" s="6701" t="s">
        <v>5642</v>
      </c>
      <c r="H169" s="6706" t="s">
        <v>5643</v>
      </c>
      <c r="I169" s="6707" t="s">
        <v>5644</v>
      </c>
      <c r="J169" s="6708"/>
      <c r="K169" s="6705">
        <v>802</v>
      </c>
      <c r="L169" s="6701" t="s">
        <v>5645</v>
      </c>
      <c r="M169" s="6706" t="s">
        <v>5646</v>
      </c>
      <c r="N169" s="6707" t="s">
        <v>5647</v>
      </c>
      <c r="O169" s="6708"/>
      <c r="P169" s="6705">
        <v>1126</v>
      </c>
      <c r="Q169" s="6701" t="s">
        <v>5648</v>
      </c>
      <c r="R169" s="6706" t="s">
        <v>5649</v>
      </c>
      <c r="S169" s="6707" t="s">
        <v>5650</v>
      </c>
      <c r="T169" s="2939"/>
      <c r="U169" s="2939"/>
      <c r="V169" s="2939"/>
      <c r="W169" s="2939"/>
      <c r="X169" s="2939"/>
      <c r="Y169" s="2939"/>
      <c r="Z169" s="2939"/>
      <c r="AA169" s="2939"/>
      <c r="AB169" s="2939"/>
      <c r="AC169" s="2939"/>
      <c r="AD169" s="2939"/>
    </row>
    <row r="170" spans="1:30">
      <c r="A170" s="6705">
        <v>155</v>
      </c>
      <c r="B170" s="6701" t="s">
        <v>5651</v>
      </c>
      <c r="C170" s="6706" t="s">
        <v>5652</v>
      </c>
      <c r="D170" s="6707" t="s">
        <v>5653</v>
      </c>
      <c r="E170" s="6708"/>
      <c r="F170" s="6705">
        <v>479</v>
      </c>
      <c r="G170" s="6701" t="s">
        <v>5654</v>
      </c>
      <c r="H170" s="6706" t="s">
        <v>5655</v>
      </c>
      <c r="I170" s="6707" t="s">
        <v>5656</v>
      </c>
      <c r="J170" s="6708"/>
      <c r="K170" s="6705">
        <v>803</v>
      </c>
      <c r="L170" s="6701" t="s">
        <v>5657</v>
      </c>
      <c r="M170" s="6706" t="s">
        <v>5658</v>
      </c>
      <c r="N170" s="6707" t="s">
        <v>4959</v>
      </c>
      <c r="O170" s="6708"/>
      <c r="P170" s="6705">
        <v>1127</v>
      </c>
      <c r="Q170" s="6701" t="s">
        <v>5659</v>
      </c>
      <c r="R170" s="6706" t="s">
        <v>5660</v>
      </c>
      <c r="S170" s="6707" t="s">
        <v>2479</v>
      </c>
      <c r="T170" s="2939"/>
      <c r="U170" s="2939"/>
      <c r="V170" s="2939"/>
      <c r="W170" s="2939"/>
      <c r="X170" s="2939"/>
      <c r="Y170" s="2939"/>
      <c r="Z170" s="2939"/>
      <c r="AA170" s="2939"/>
      <c r="AB170" s="2939"/>
      <c r="AC170" s="2939"/>
      <c r="AD170" s="2939"/>
    </row>
    <row r="171" spans="1:30">
      <c r="A171" s="6705">
        <v>156</v>
      </c>
      <c r="B171" s="6701" t="s">
        <v>5661</v>
      </c>
      <c r="C171" s="6706" t="s">
        <v>5662</v>
      </c>
      <c r="D171" s="6707" t="s">
        <v>5663</v>
      </c>
      <c r="E171" s="6708"/>
      <c r="F171" s="6705">
        <v>480</v>
      </c>
      <c r="G171" s="6701" t="s">
        <v>5664</v>
      </c>
      <c r="H171" s="6706" t="s">
        <v>5665</v>
      </c>
      <c r="I171" s="6707" t="s">
        <v>5666</v>
      </c>
      <c r="J171" s="6708"/>
      <c r="K171" s="6705">
        <v>804</v>
      </c>
      <c r="L171" s="6701" t="s">
        <v>5667</v>
      </c>
      <c r="M171" s="6706" t="s">
        <v>5668</v>
      </c>
      <c r="N171" s="6707" t="s">
        <v>5669</v>
      </c>
      <c r="O171" s="6708"/>
      <c r="P171" s="6705">
        <v>1128</v>
      </c>
      <c r="Q171" s="6701" t="s">
        <v>5670</v>
      </c>
      <c r="R171" s="6706" t="s">
        <v>5671</v>
      </c>
      <c r="S171" s="6707" t="s">
        <v>5672</v>
      </c>
      <c r="T171" s="2939"/>
      <c r="U171" s="2939"/>
      <c r="V171" s="2939"/>
      <c r="W171" s="2939"/>
      <c r="X171" s="2939"/>
      <c r="Y171" s="2939"/>
      <c r="Z171" s="2939"/>
      <c r="AA171" s="2939"/>
      <c r="AB171" s="2939"/>
      <c r="AC171" s="2939"/>
      <c r="AD171" s="2939"/>
    </row>
    <row r="172" spans="1:30">
      <c r="A172" s="6705">
        <v>157</v>
      </c>
      <c r="B172" s="6701" t="s">
        <v>5673</v>
      </c>
      <c r="C172" s="6706" t="s">
        <v>5674</v>
      </c>
      <c r="D172" s="6707" t="s">
        <v>5675</v>
      </c>
      <c r="E172" s="6708"/>
      <c r="F172" s="6705">
        <v>481</v>
      </c>
      <c r="G172" s="6701" t="s">
        <v>5676</v>
      </c>
      <c r="H172" s="6706" t="s">
        <v>5677</v>
      </c>
      <c r="I172" s="6707" t="s">
        <v>5678</v>
      </c>
      <c r="J172" s="6708"/>
      <c r="K172" s="6705">
        <v>805</v>
      </c>
      <c r="L172" s="6701" t="s">
        <v>5679</v>
      </c>
      <c r="M172" s="6706" t="s">
        <v>5680</v>
      </c>
      <c r="N172" s="6707" t="s">
        <v>5681</v>
      </c>
      <c r="O172" s="6708"/>
      <c r="P172" s="6705">
        <v>1129</v>
      </c>
      <c r="Q172" s="6701" t="s">
        <v>5682</v>
      </c>
      <c r="R172" s="6706" t="s">
        <v>5683</v>
      </c>
      <c r="S172" s="6707" t="s">
        <v>5684</v>
      </c>
      <c r="T172" s="2939"/>
      <c r="U172" s="2939"/>
      <c r="V172" s="2939"/>
      <c r="W172" s="2939"/>
      <c r="X172" s="2939"/>
      <c r="Y172" s="2939"/>
      <c r="Z172" s="2939"/>
      <c r="AA172" s="2939"/>
      <c r="AB172" s="2939"/>
      <c r="AC172" s="2939"/>
      <c r="AD172" s="2939"/>
    </row>
    <row r="173" spans="1:30">
      <c r="A173" s="6705">
        <v>158</v>
      </c>
      <c r="B173" s="6701" t="s">
        <v>5685</v>
      </c>
      <c r="C173" s="6706" t="s">
        <v>5686</v>
      </c>
      <c r="D173" s="6707" t="s">
        <v>5687</v>
      </c>
      <c r="E173" s="6708"/>
      <c r="F173" s="6705">
        <v>482</v>
      </c>
      <c r="G173" s="6701" t="s">
        <v>5688</v>
      </c>
      <c r="H173" s="6706" t="s">
        <v>5689</v>
      </c>
      <c r="I173" s="6707" t="s">
        <v>5690</v>
      </c>
      <c r="J173" s="6708"/>
      <c r="K173" s="6705">
        <v>806</v>
      </c>
      <c r="L173" s="6701" t="s">
        <v>5691</v>
      </c>
      <c r="M173" s="6706" t="s">
        <v>5692</v>
      </c>
      <c r="N173" s="6707" t="s">
        <v>5693</v>
      </c>
      <c r="O173" s="6708"/>
      <c r="P173" s="6705">
        <v>1130</v>
      </c>
      <c r="Q173" s="6701" t="s">
        <v>5694</v>
      </c>
      <c r="R173" s="6706" t="s">
        <v>5695</v>
      </c>
      <c r="S173" s="6707" t="s">
        <v>5696</v>
      </c>
      <c r="T173" s="2939"/>
      <c r="U173" s="2939"/>
      <c r="V173" s="2939"/>
      <c r="W173" s="2939"/>
      <c r="X173" s="2939"/>
      <c r="Y173" s="2939"/>
      <c r="Z173" s="2939"/>
      <c r="AA173" s="2939"/>
      <c r="AB173" s="2939"/>
      <c r="AC173" s="2939"/>
      <c r="AD173" s="2939"/>
    </row>
    <row r="174" spans="1:30">
      <c r="A174" s="6705">
        <v>159</v>
      </c>
      <c r="B174" s="6701" t="s">
        <v>5697</v>
      </c>
      <c r="C174" s="6706" t="s">
        <v>5698</v>
      </c>
      <c r="D174" s="6707" t="s">
        <v>5699</v>
      </c>
      <c r="E174" s="6708"/>
      <c r="F174" s="6705">
        <v>483</v>
      </c>
      <c r="G174" s="6701" t="s">
        <v>5700</v>
      </c>
      <c r="H174" s="6706" t="s">
        <v>5701</v>
      </c>
      <c r="I174" s="6707" t="s">
        <v>5702</v>
      </c>
      <c r="J174" s="6708"/>
      <c r="K174" s="6705">
        <v>807</v>
      </c>
      <c r="L174" s="6701" t="s">
        <v>5703</v>
      </c>
      <c r="M174" s="6706" t="s">
        <v>5704</v>
      </c>
      <c r="N174" s="6707" t="s">
        <v>5705</v>
      </c>
      <c r="O174" s="6708"/>
      <c r="P174" s="6705">
        <v>1131</v>
      </c>
      <c r="Q174" s="6701" t="s">
        <v>5706</v>
      </c>
      <c r="R174" s="6706" t="s">
        <v>3898</v>
      </c>
      <c r="S174" s="6707" t="s">
        <v>5707</v>
      </c>
      <c r="T174" s="2939"/>
      <c r="U174" s="2939"/>
      <c r="V174" s="2939"/>
      <c r="W174" s="2939"/>
      <c r="X174" s="2939"/>
      <c r="Y174" s="2939"/>
      <c r="Z174" s="2939"/>
      <c r="AA174" s="2939"/>
      <c r="AB174" s="2939"/>
      <c r="AC174" s="2939"/>
      <c r="AD174" s="2939"/>
    </row>
    <row r="175" spans="1:30">
      <c r="A175" s="6705">
        <v>160</v>
      </c>
      <c r="B175" s="6701" t="s">
        <v>5708</v>
      </c>
      <c r="C175" s="6706" t="s">
        <v>5709</v>
      </c>
      <c r="D175" s="6707" t="s">
        <v>5710</v>
      </c>
      <c r="E175" s="6708"/>
      <c r="F175" s="6705">
        <v>484</v>
      </c>
      <c r="G175" s="6701" t="s">
        <v>5711</v>
      </c>
      <c r="H175" s="6706" t="s">
        <v>5712</v>
      </c>
      <c r="I175" s="6707" t="s">
        <v>5713</v>
      </c>
      <c r="J175" s="6708"/>
      <c r="K175" s="6705">
        <v>808</v>
      </c>
      <c r="L175" s="6701" t="s">
        <v>5714</v>
      </c>
      <c r="M175" s="6706" t="s">
        <v>5715</v>
      </c>
      <c r="N175" s="6707" t="s">
        <v>5716</v>
      </c>
      <c r="O175" s="6708"/>
      <c r="P175" s="6705">
        <v>1132</v>
      </c>
      <c r="Q175" s="6701" t="s">
        <v>5717</v>
      </c>
      <c r="R175" s="6706" t="s">
        <v>5718</v>
      </c>
      <c r="S175" s="6707" t="s">
        <v>5719</v>
      </c>
      <c r="T175" s="2939"/>
      <c r="U175" s="2939"/>
      <c r="V175" s="2939"/>
      <c r="W175" s="2939"/>
      <c r="X175" s="2939"/>
      <c r="Y175" s="2939"/>
      <c r="Z175" s="2939"/>
      <c r="AA175" s="2939"/>
      <c r="AB175" s="2939"/>
      <c r="AC175" s="2939"/>
      <c r="AD175" s="2939"/>
    </row>
    <row r="176" spans="1:30">
      <c r="A176" s="6705">
        <v>161</v>
      </c>
      <c r="B176" s="6701" t="s">
        <v>5720</v>
      </c>
      <c r="C176" s="6706" t="s">
        <v>5721</v>
      </c>
      <c r="D176" s="6707" t="s">
        <v>5722</v>
      </c>
      <c r="E176" s="6708"/>
      <c r="F176" s="6705">
        <v>485</v>
      </c>
      <c r="G176" s="6701" t="s">
        <v>5723</v>
      </c>
      <c r="H176" s="6706" t="s">
        <v>5724</v>
      </c>
      <c r="I176" s="6707" t="s">
        <v>5725</v>
      </c>
      <c r="J176" s="6708"/>
      <c r="K176" s="6705">
        <v>809</v>
      </c>
      <c r="L176" s="6701" t="s">
        <v>5726</v>
      </c>
      <c r="M176" s="6706" t="s">
        <v>5727</v>
      </c>
      <c r="N176" s="6707" t="s">
        <v>5728</v>
      </c>
      <c r="O176" s="6708"/>
      <c r="P176" s="6705">
        <v>1133</v>
      </c>
      <c r="Q176" s="6701" t="s">
        <v>5729</v>
      </c>
      <c r="R176" s="6706" t="s">
        <v>5730</v>
      </c>
      <c r="S176" s="6707" t="s">
        <v>5731</v>
      </c>
      <c r="T176" s="2939"/>
      <c r="U176" s="2939"/>
      <c r="V176" s="2939"/>
      <c r="W176" s="2939"/>
      <c r="X176" s="2939"/>
      <c r="Y176" s="2939"/>
      <c r="Z176" s="2939"/>
      <c r="AA176" s="2939"/>
      <c r="AB176" s="2939"/>
      <c r="AC176" s="2939"/>
      <c r="AD176" s="2939"/>
    </row>
    <row r="177" spans="1:30">
      <c r="A177" s="6705">
        <v>162</v>
      </c>
      <c r="B177" s="6701" t="s">
        <v>5732</v>
      </c>
      <c r="C177" s="6706" t="s">
        <v>5733</v>
      </c>
      <c r="D177" s="6707" t="s">
        <v>5734</v>
      </c>
      <c r="E177" s="6708"/>
      <c r="F177" s="6705">
        <v>486</v>
      </c>
      <c r="G177" s="6701" t="s">
        <v>5735</v>
      </c>
      <c r="H177" s="6706" t="s">
        <v>5736</v>
      </c>
      <c r="I177" s="6707" t="s">
        <v>5737</v>
      </c>
      <c r="J177" s="6708"/>
      <c r="K177" s="6705">
        <v>810</v>
      </c>
      <c r="L177" s="6701" t="s">
        <v>5738</v>
      </c>
      <c r="M177" s="6706" t="s">
        <v>5739</v>
      </c>
      <c r="N177" s="6707" t="s">
        <v>5243</v>
      </c>
      <c r="O177" s="6708"/>
      <c r="P177" s="6705">
        <v>1134</v>
      </c>
      <c r="Q177" s="6701" t="s">
        <v>5740</v>
      </c>
      <c r="R177" s="6706" t="s">
        <v>3897</v>
      </c>
      <c r="S177" s="6707" t="s">
        <v>5741</v>
      </c>
      <c r="T177" s="2939"/>
      <c r="U177" s="2939"/>
      <c r="V177" s="2939"/>
      <c r="W177" s="2939"/>
      <c r="X177" s="2939"/>
      <c r="Y177" s="2939"/>
      <c r="Z177" s="2939"/>
      <c r="AA177" s="2939"/>
      <c r="AB177" s="2939"/>
      <c r="AC177" s="2939"/>
      <c r="AD177" s="2939"/>
    </row>
    <row r="178" spans="1:30">
      <c r="A178" s="6705">
        <v>163</v>
      </c>
      <c r="B178" s="6701" t="s">
        <v>5742</v>
      </c>
      <c r="C178" s="6706" t="s">
        <v>5743</v>
      </c>
      <c r="D178" s="6707" t="s">
        <v>5744</v>
      </c>
      <c r="E178" s="6708"/>
      <c r="F178" s="6705">
        <v>487</v>
      </c>
      <c r="G178" s="6701" t="s">
        <v>5745</v>
      </c>
      <c r="H178" s="6706" t="s">
        <v>5746</v>
      </c>
      <c r="I178" s="6707" t="s">
        <v>5747</v>
      </c>
      <c r="J178" s="6708"/>
      <c r="K178" s="6705">
        <v>811</v>
      </c>
      <c r="L178" s="6701" t="s">
        <v>5748</v>
      </c>
      <c r="M178" s="6706" t="s">
        <v>5749</v>
      </c>
      <c r="N178" s="6707" t="s">
        <v>5750</v>
      </c>
      <c r="O178" s="6708"/>
      <c r="P178" s="6705">
        <v>1135</v>
      </c>
      <c r="Q178" s="6701" t="s">
        <v>5751</v>
      </c>
      <c r="R178" s="6706" t="s">
        <v>5752</v>
      </c>
      <c r="S178" s="6707" t="s">
        <v>5753</v>
      </c>
      <c r="T178" s="2939"/>
      <c r="U178" s="2939"/>
      <c r="V178" s="2939"/>
      <c r="W178" s="2939"/>
      <c r="X178" s="2939"/>
      <c r="Y178" s="2939"/>
      <c r="Z178" s="2939"/>
      <c r="AA178" s="2939"/>
      <c r="AB178" s="2939"/>
      <c r="AC178" s="2939"/>
      <c r="AD178" s="2939"/>
    </row>
    <row r="179" spans="1:30">
      <c r="A179" s="6705">
        <v>164</v>
      </c>
      <c r="B179" s="6701" t="s">
        <v>5754</v>
      </c>
      <c r="C179" s="6706" t="s">
        <v>5755</v>
      </c>
      <c r="D179" s="6707" t="s">
        <v>5756</v>
      </c>
      <c r="E179" s="6708"/>
      <c r="F179" s="6705">
        <v>488</v>
      </c>
      <c r="G179" s="6701" t="s">
        <v>5757</v>
      </c>
      <c r="H179" s="6706" t="s">
        <v>5758</v>
      </c>
      <c r="I179" s="6707" t="s">
        <v>5759</v>
      </c>
      <c r="J179" s="6708"/>
      <c r="K179" s="6705">
        <v>812</v>
      </c>
      <c r="L179" s="6701" t="s">
        <v>5760</v>
      </c>
      <c r="M179" s="6706" t="s">
        <v>5761</v>
      </c>
      <c r="N179" s="6707" t="s">
        <v>5762</v>
      </c>
      <c r="O179" s="6708"/>
      <c r="P179" s="6705">
        <v>1136</v>
      </c>
      <c r="Q179" s="6701" t="s">
        <v>5763</v>
      </c>
      <c r="R179" s="6706" t="s">
        <v>5764</v>
      </c>
      <c r="S179" s="6707" t="s">
        <v>5765</v>
      </c>
      <c r="T179" s="2939"/>
      <c r="U179" s="2939"/>
      <c r="V179" s="2939"/>
      <c r="W179" s="2939"/>
      <c r="X179" s="2939"/>
      <c r="Y179" s="2939"/>
      <c r="Z179" s="2939"/>
      <c r="AA179" s="2939"/>
      <c r="AB179" s="2939"/>
      <c r="AC179" s="2939"/>
      <c r="AD179" s="2939"/>
    </row>
    <row r="180" spans="1:30">
      <c r="A180" s="6705">
        <v>165</v>
      </c>
      <c r="B180" s="6701">
        <v>30</v>
      </c>
      <c r="C180" s="6706" t="s">
        <v>3264</v>
      </c>
      <c r="D180" s="6707" t="s">
        <v>5766</v>
      </c>
      <c r="E180" s="6708"/>
      <c r="F180" s="6705">
        <v>489</v>
      </c>
      <c r="G180" s="6701" t="s">
        <v>5767</v>
      </c>
      <c r="H180" s="6706" t="s">
        <v>5768</v>
      </c>
      <c r="I180" s="6707" t="s">
        <v>5769</v>
      </c>
      <c r="J180" s="6708"/>
      <c r="K180" s="6705">
        <v>813</v>
      </c>
      <c r="L180" s="6701" t="s">
        <v>5770</v>
      </c>
      <c r="M180" s="6706" t="s">
        <v>5771</v>
      </c>
      <c r="N180" s="6707" t="s">
        <v>5772</v>
      </c>
      <c r="O180" s="6708"/>
      <c r="P180" s="6705">
        <v>1137</v>
      </c>
      <c r="Q180" s="6701" t="s">
        <v>5773</v>
      </c>
      <c r="R180" s="6706" t="s">
        <v>5774</v>
      </c>
      <c r="S180" s="6707" t="s">
        <v>5775</v>
      </c>
      <c r="T180" s="2939"/>
      <c r="U180" s="2939"/>
      <c r="V180" s="2939"/>
      <c r="W180" s="2939"/>
      <c r="X180" s="2939"/>
      <c r="Y180" s="2939"/>
      <c r="Z180" s="2939"/>
      <c r="AA180" s="2939"/>
      <c r="AB180" s="2939"/>
      <c r="AC180" s="2939"/>
      <c r="AD180" s="2939"/>
    </row>
    <row r="181" spans="1:30">
      <c r="A181" s="6705">
        <v>166</v>
      </c>
      <c r="B181" s="6701">
        <v>2139</v>
      </c>
      <c r="C181" s="6706" t="s">
        <v>5776</v>
      </c>
      <c r="D181" s="6707" t="s">
        <v>5777</v>
      </c>
      <c r="E181" s="6708"/>
      <c r="F181" s="6705">
        <v>490</v>
      </c>
      <c r="G181" s="6701" t="s">
        <v>5778</v>
      </c>
      <c r="H181" s="6706" t="s">
        <v>5779</v>
      </c>
      <c r="I181" s="6707" t="s">
        <v>5780</v>
      </c>
      <c r="J181" s="6708"/>
      <c r="K181" s="6705">
        <v>814</v>
      </c>
      <c r="L181" s="6701" t="s">
        <v>5781</v>
      </c>
      <c r="M181" s="6706" t="s">
        <v>5782</v>
      </c>
      <c r="N181" s="6707" t="s">
        <v>5783</v>
      </c>
      <c r="O181" s="6708"/>
      <c r="P181" s="6705">
        <v>1138</v>
      </c>
      <c r="Q181" s="6701" t="s">
        <v>5784</v>
      </c>
      <c r="R181" s="6706" t="s">
        <v>5785</v>
      </c>
      <c r="S181" s="6707" t="s">
        <v>5786</v>
      </c>
      <c r="T181" s="2939"/>
      <c r="U181" s="2939"/>
      <c r="V181" s="2939"/>
      <c r="W181" s="2939"/>
      <c r="X181" s="2939"/>
      <c r="Y181" s="2939"/>
      <c r="Z181" s="2939"/>
      <c r="AA181" s="2939"/>
      <c r="AB181" s="2939"/>
      <c r="AC181" s="2939"/>
      <c r="AD181" s="2939"/>
    </row>
    <row r="182" spans="1:30">
      <c r="A182" s="6705">
        <v>167</v>
      </c>
      <c r="B182" s="6701" t="s">
        <v>5787</v>
      </c>
      <c r="C182" s="6706" t="s">
        <v>5788</v>
      </c>
      <c r="D182" s="6707" t="s">
        <v>5789</v>
      </c>
      <c r="E182" s="6708"/>
      <c r="F182" s="6705">
        <v>491</v>
      </c>
      <c r="G182" s="6701" t="s">
        <v>5790</v>
      </c>
      <c r="H182" s="6706" t="s">
        <v>5791</v>
      </c>
      <c r="I182" s="6707" t="s">
        <v>5792</v>
      </c>
      <c r="J182" s="6708"/>
      <c r="K182" s="6705">
        <v>815</v>
      </c>
      <c r="L182" s="6701" t="s">
        <v>5793</v>
      </c>
      <c r="M182" s="6706" t="s">
        <v>5794</v>
      </c>
      <c r="N182" s="6707" t="s">
        <v>5795</v>
      </c>
      <c r="O182" s="6708"/>
      <c r="P182" s="6705">
        <v>1139</v>
      </c>
      <c r="Q182" s="6701" t="s">
        <v>5796</v>
      </c>
      <c r="R182" s="6706" t="s">
        <v>5797</v>
      </c>
      <c r="T182" s="2939"/>
      <c r="U182" s="2939"/>
      <c r="V182" s="2939"/>
      <c r="W182" s="2939"/>
      <c r="X182" s="2939"/>
      <c r="Y182" s="2939"/>
      <c r="Z182" s="2939"/>
      <c r="AA182" s="2939"/>
      <c r="AB182" s="2939"/>
      <c r="AC182" s="2939"/>
      <c r="AD182" s="2939"/>
    </row>
    <row r="183" spans="1:30">
      <c r="A183" s="6705">
        <v>168</v>
      </c>
      <c r="B183" s="6701">
        <v>2122</v>
      </c>
      <c r="C183" s="6706" t="s">
        <v>5798</v>
      </c>
      <c r="D183" s="6707" t="s">
        <v>5799</v>
      </c>
      <c r="E183" s="6708"/>
      <c r="F183" s="6705">
        <v>492</v>
      </c>
      <c r="G183" s="6701" t="s">
        <v>5800</v>
      </c>
      <c r="H183" s="6706" t="s">
        <v>5801</v>
      </c>
      <c r="I183" s="6707" t="s">
        <v>5802</v>
      </c>
      <c r="J183" s="6708"/>
      <c r="K183" s="6705">
        <v>816</v>
      </c>
      <c r="L183" s="6701" t="s">
        <v>5803</v>
      </c>
      <c r="M183" s="6706" t="s">
        <v>5804</v>
      </c>
      <c r="N183" s="6707" t="s">
        <v>5805</v>
      </c>
      <c r="O183" s="6708"/>
      <c r="P183" s="6705">
        <v>1140</v>
      </c>
      <c r="Q183" s="6701" t="s">
        <v>5806</v>
      </c>
      <c r="R183" s="6706" t="s">
        <v>5807</v>
      </c>
      <c r="S183" s="6707" t="s">
        <v>5808</v>
      </c>
      <c r="T183" s="2939"/>
      <c r="U183" s="2939"/>
      <c r="V183" s="2939"/>
      <c r="W183" s="2939"/>
      <c r="X183" s="2939"/>
      <c r="Y183" s="2939"/>
      <c r="Z183" s="2939"/>
      <c r="AA183" s="2939"/>
      <c r="AB183" s="2939"/>
      <c r="AC183" s="2939"/>
      <c r="AD183" s="2939"/>
    </row>
    <row r="184" spans="1:30">
      <c r="A184" s="6705">
        <v>169</v>
      </c>
      <c r="B184" s="6701" t="s">
        <v>5809</v>
      </c>
      <c r="C184" s="6706" t="s">
        <v>5810</v>
      </c>
      <c r="D184" s="6707" t="s">
        <v>5811</v>
      </c>
      <c r="E184" s="6708"/>
      <c r="F184" s="6705">
        <v>493</v>
      </c>
      <c r="G184" s="6701" t="s">
        <v>5812</v>
      </c>
      <c r="H184" s="6706" t="s">
        <v>5813</v>
      </c>
      <c r="I184" s="6707" t="s">
        <v>5814</v>
      </c>
      <c r="J184" s="6708"/>
      <c r="K184" s="6705">
        <v>817</v>
      </c>
      <c r="L184" s="6701" t="s">
        <v>5815</v>
      </c>
      <c r="M184" s="6706" t="s">
        <v>5816</v>
      </c>
      <c r="N184" s="6707" t="s">
        <v>5817</v>
      </c>
      <c r="O184" s="6708"/>
      <c r="P184" s="6705">
        <v>1141</v>
      </c>
      <c r="Q184" s="6701" t="s">
        <v>5818</v>
      </c>
      <c r="R184" s="6706" t="s">
        <v>5819</v>
      </c>
      <c r="S184" s="6707" t="s">
        <v>5820</v>
      </c>
      <c r="T184" s="2939"/>
      <c r="U184" s="2939"/>
      <c r="V184" s="2939"/>
      <c r="W184" s="2939"/>
      <c r="X184" s="2939"/>
      <c r="Y184" s="2939"/>
      <c r="Z184" s="2939"/>
      <c r="AA184" s="2939"/>
      <c r="AB184" s="2939"/>
      <c r="AC184" s="2939"/>
      <c r="AD184" s="2939"/>
    </row>
    <row r="185" spans="1:30">
      <c r="A185" s="6705">
        <v>170</v>
      </c>
      <c r="B185" s="6701" t="s">
        <v>5821</v>
      </c>
      <c r="C185" s="6706" t="s">
        <v>5822</v>
      </c>
      <c r="D185" s="6707" t="s">
        <v>5823</v>
      </c>
      <c r="E185" s="6708"/>
      <c r="F185" s="6705">
        <v>494</v>
      </c>
      <c r="G185" s="6701" t="s">
        <v>5824</v>
      </c>
      <c r="H185" s="6706" t="s">
        <v>5825</v>
      </c>
      <c r="I185" s="6707" t="s">
        <v>5826</v>
      </c>
      <c r="J185" s="6708"/>
      <c r="K185" s="6705">
        <v>818</v>
      </c>
      <c r="L185" s="6701" t="s">
        <v>5827</v>
      </c>
      <c r="M185" s="6706" t="s">
        <v>5828</v>
      </c>
      <c r="N185" s="6707" t="s">
        <v>5829</v>
      </c>
      <c r="O185" s="6708"/>
      <c r="P185" s="6705">
        <v>1142</v>
      </c>
      <c r="Q185" s="6701" t="s">
        <v>5830</v>
      </c>
      <c r="R185" s="6706" t="s">
        <v>5831</v>
      </c>
      <c r="S185" s="6707" t="s">
        <v>5832</v>
      </c>
      <c r="T185" s="2939"/>
      <c r="U185" s="2939"/>
      <c r="V185" s="2939"/>
      <c r="W185" s="2939"/>
      <c r="X185" s="2939"/>
      <c r="Y185" s="2939"/>
      <c r="Z185" s="2939"/>
      <c r="AA185" s="2939"/>
      <c r="AB185" s="2939"/>
      <c r="AC185" s="2939"/>
      <c r="AD185" s="2939"/>
    </row>
    <row r="186" spans="1:30">
      <c r="A186" s="6705">
        <v>171</v>
      </c>
      <c r="B186" s="6701" t="s">
        <v>5833</v>
      </c>
      <c r="C186" s="6706" t="s">
        <v>5834</v>
      </c>
      <c r="D186" s="6707" t="s">
        <v>5835</v>
      </c>
      <c r="E186" s="6708"/>
      <c r="F186" s="6705">
        <v>495</v>
      </c>
      <c r="G186" s="6701" t="s">
        <v>5836</v>
      </c>
      <c r="H186" s="6706" t="s">
        <v>5837</v>
      </c>
      <c r="I186" s="6707" t="s">
        <v>5838</v>
      </c>
      <c r="J186" s="6708"/>
      <c r="K186" s="6705">
        <v>819</v>
      </c>
      <c r="L186" s="6701" t="s">
        <v>5839</v>
      </c>
      <c r="M186" s="6706" t="s">
        <v>5840</v>
      </c>
      <c r="N186" s="6707" t="s">
        <v>5841</v>
      </c>
      <c r="O186" s="6708"/>
      <c r="P186" s="6705">
        <v>1143</v>
      </c>
      <c r="Q186" s="6701" t="s">
        <v>5842</v>
      </c>
      <c r="R186" s="6706" t="s">
        <v>5843</v>
      </c>
      <c r="S186" s="6707" t="s">
        <v>5844</v>
      </c>
      <c r="T186" s="2939"/>
      <c r="U186" s="2939"/>
      <c r="V186" s="2939"/>
      <c r="W186" s="2939"/>
      <c r="X186" s="2939"/>
      <c r="Y186" s="2939"/>
      <c r="Z186" s="2939"/>
      <c r="AA186" s="2939"/>
      <c r="AB186" s="2939"/>
      <c r="AC186" s="2939"/>
      <c r="AD186" s="2939"/>
    </row>
    <row r="187" spans="1:30">
      <c r="A187" s="6705">
        <v>172</v>
      </c>
      <c r="B187" s="6701" t="s">
        <v>5845</v>
      </c>
      <c r="C187" s="6706" t="s">
        <v>5846</v>
      </c>
      <c r="D187" s="6707" t="s">
        <v>5847</v>
      </c>
      <c r="E187" s="6708"/>
      <c r="F187" s="6705">
        <v>496</v>
      </c>
      <c r="G187" s="6701" t="s">
        <v>5848</v>
      </c>
      <c r="H187" s="6706" t="s">
        <v>5849</v>
      </c>
      <c r="I187" s="6707" t="s">
        <v>5850</v>
      </c>
      <c r="J187" s="6708"/>
      <c r="K187" s="6705">
        <v>820</v>
      </c>
      <c r="L187" s="6701" t="s">
        <v>5851</v>
      </c>
      <c r="M187" s="6706" t="s">
        <v>5852</v>
      </c>
      <c r="N187" s="6707" t="s">
        <v>5853</v>
      </c>
      <c r="O187" s="6708"/>
      <c r="P187" s="6705">
        <v>1144</v>
      </c>
      <c r="Q187" s="6701" t="s">
        <v>5854</v>
      </c>
      <c r="R187" s="6706" t="s">
        <v>5855</v>
      </c>
      <c r="S187" s="6707" t="s">
        <v>5856</v>
      </c>
      <c r="T187" s="2939"/>
      <c r="U187" s="2939"/>
      <c r="V187" s="2939"/>
      <c r="W187" s="2939"/>
      <c r="X187" s="2939"/>
      <c r="Y187" s="2939"/>
      <c r="Z187" s="2939"/>
      <c r="AA187" s="2939"/>
      <c r="AB187" s="2939"/>
      <c r="AC187" s="2939"/>
      <c r="AD187" s="2939"/>
    </row>
    <row r="188" spans="1:30">
      <c r="A188" s="6705">
        <v>173</v>
      </c>
      <c r="B188" s="6701" t="s">
        <v>5857</v>
      </c>
      <c r="C188" s="6706" t="s">
        <v>5858</v>
      </c>
      <c r="D188" s="6707" t="s">
        <v>5859</v>
      </c>
      <c r="E188" s="6708"/>
      <c r="F188" s="6705">
        <v>497</v>
      </c>
      <c r="G188" s="6701" t="s">
        <v>5860</v>
      </c>
      <c r="H188" s="6706" t="s">
        <v>5861</v>
      </c>
      <c r="I188" s="6707" t="s">
        <v>5862</v>
      </c>
      <c r="J188" s="6708"/>
      <c r="K188" s="6705">
        <v>821</v>
      </c>
      <c r="L188" s="6701" t="s">
        <v>5863</v>
      </c>
      <c r="M188" s="6706" t="s">
        <v>5864</v>
      </c>
      <c r="N188" s="6707" t="s">
        <v>5865</v>
      </c>
      <c r="O188" s="6708"/>
      <c r="P188" s="6705">
        <v>1145</v>
      </c>
      <c r="Q188" s="6701" t="s">
        <v>5866</v>
      </c>
      <c r="R188" s="6706" t="s">
        <v>5867</v>
      </c>
      <c r="S188" s="6707" t="s">
        <v>5868</v>
      </c>
      <c r="T188" s="2939"/>
      <c r="U188" s="2939"/>
      <c r="V188" s="2939"/>
      <c r="W188" s="2939"/>
      <c r="X188" s="2939"/>
      <c r="Y188" s="2939"/>
      <c r="Z188" s="2939"/>
      <c r="AA188" s="2939"/>
      <c r="AB188" s="2939"/>
      <c r="AC188" s="2939"/>
      <c r="AD188" s="2939"/>
    </row>
    <row r="189" spans="1:30">
      <c r="A189" s="6705">
        <v>174</v>
      </c>
      <c r="B189" s="6701" t="s">
        <v>5869</v>
      </c>
      <c r="C189" s="6706" t="s">
        <v>5870</v>
      </c>
      <c r="D189" s="6707" t="s">
        <v>5871</v>
      </c>
      <c r="E189" s="6708"/>
      <c r="F189" s="6705">
        <v>498</v>
      </c>
      <c r="G189" s="6701" t="s">
        <v>5872</v>
      </c>
      <c r="H189" s="6706" t="s">
        <v>5873</v>
      </c>
      <c r="I189" s="6707" t="s">
        <v>5874</v>
      </c>
      <c r="J189" s="6708"/>
      <c r="K189" s="6705">
        <v>822</v>
      </c>
      <c r="L189" s="6701" t="s">
        <v>5875</v>
      </c>
      <c r="M189" s="6706" t="s">
        <v>5876</v>
      </c>
      <c r="N189" s="6707" t="s">
        <v>5877</v>
      </c>
      <c r="O189" s="6708"/>
      <c r="P189" s="6705">
        <v>1146</v>
      </c>
      <c r="Q189" s="6701" t="s">
        <v>5878</v>
      </c>
      <c r="R189" s="6706" t="s">
        <v>5879</v>
      </c>
      <c r="S189" s="6707" t="s">
        <v>5880</v>
      </c>
      <c r="T189" s="2939"/>
      <c r="U189" s="2939"/>
      <c r="V189" s="2939"/>
      <c r="W189" s="2939"/>
      <c r="X189" s="2939"/>
      <c r="Y189" s="2939"/>
      <c r="Z189" s="2939"/>
      <c r="AA189" s="2939"/>
      <c r="AB189" s="2939"/>
      <c r="AC189" s="2939"/>
      <c r="AD189" s="2939"/>
    </row>
    <row r="190" spans="1:30">
      <c r="A190" s="6705">
        <v>175</v>
      </c>
      <c r="B190" s="6701" t="s">
        <v>5881</v>
      </c>
      <c r="C190" s="6706" t="s">
        <v>5882</v>
      </c>
      <c r="D190" s="6707" t="s">
        <v>5883</v>
      </c>
      <c r="E190" s="6708"/>
      <c r="F190" s="6705">
        <v>499</v>
      </c>
      <c r="G190" s="6701" t="s">
        <v>5884</v>
      </c>
      <c r="H190" s="6706" t="s">
        <v>5885</v>
      </c>
      <c r="I190" s="6707" t="s">
        <v>5886</v>
      </c>
      <c r="J190" s="6708"/>
      <c r="K190" s="6705">
        <v>823</v>
      </c>
      <c r="L190" s="6701" t="s">
        <v>5887</v>
      </c>
      <c r="M190" s="6706" t="s">
        <v>5888</v>
      </c>
      <c r="N190" s="6707" t="s">
        <v>5889</v>
      </c>
      <c r="O190" s="6708"/>
      <c r="P190" s="6705">
        <v>1147</v>
      </c>
      <c r="Q190" s="6701" t="s">
        <v>5890</v>
      </c>
      <c r="R190" s="6706" t="s">
        <v>5891</v>
      </c>
      <c r="S190" s="6707" t="s">
        <v>5892</v>
      </c>
      <c r="T190" s="2939"/>
      <c r="U190" s="2939"/>
      <c r="V190" s="2939"/>
      <c r="W190" s="2939"/>
      <c r="X190" s="2939"/>
      <c r="Y190" s="2939"/>
      <c r="Z190" s="2939"/>
      <c r="AA190" s="2939"/>
      <c r="AB190" s="2939"/>
      <c r="AC190" s="2939"/>
      <c r="AD190" s="2939"/>
    </row>
    <row r="191" spans="1:30">
      <c r="A191" s="6705">
        <v>176</v>
      </c>
      <c r="B191" s="6701" t="s">
        <v>5893</v>
      </c>
      <c r="C191" s="6706" t="s">
        <v>5894</v>
      </c>
      <c r="D191" s="6707" t="s">
        <v>5895</v>
      </c>
      <c r="E191" s="6708"/>
      <c r="F191" s="6705">
        <v>500</v>
      </c>
      <c r="G191" s="6701" t="s">
        <v>5896</v>
      </c>
      <c r="H191" s="6706" t="s">
        <v>5897</v>
      </c>
      <c r="I191" s="6707" t="s">
        <v>1891</v>
      </c>
      <c r="J191" s="6708"/>
      <c r="K191" s="6705">
        <v>824</v>
      </c>
      <c r="L191" s="6701" t="s">
        <v>5898</v>
      </c>
      <c r="M191" s="6706" t="s">
        <v>5899</v>
      </c>
      <c r="N191" s="6707" t="s">
        <v>5900</v>
      </c>
      <c r="O191" s="6708"/>
      <c r="P191" s="6705">
        <v>1148</v>
      </c>
      <c r="Q191" s="6701" t="s">
        <v>5901</v>
      </c>
      <c r="R191" s="6706" t="s">
        <v>5902</v>
      </c>
      <c r="S191" s="6707" t="s">
        <v>5903</v>
      </c>
      <c r="T191" s="2939"/>
      <c r="U191" s="2939"/>
      <c r="V191" s="2939"/>
      <c r="W191" s="2939"/>
      <c r="X191" s="2939"/>
      <c r="Y191" s="2939"/>
      <c r="Z191" s="2939"/>
      <c r="AA191" s="2939"/>
      <c r="AB191" s="2939"/>
      <c r="AC191" s="2939"/>
      <c r="AD191" s="2939"/>
    </row>
    <row r="192" spans="1:30">
      <c r="A192" s="6705">
        <v>177</v>
      </c>
      <c r="B192" s="6701" t="s">
        <v>5904</v>
      </c>
      <c r="C192" s="6706" t="s">
        <v>5905</v>
      </c>
      <c r="D192" s="6707" t="s">
        <v>5906</v>
      </c>
      <c r="E192" s="6708"/>
      <c r="F192" s="6705">
        <v>501</v>
      </c>
      <c r="G192" s="6701" t="s">
        <v>5907</v>
      </c>
      <c r="H192" s="6706" t="s">
        <v>5908</v>
      </c>
      <c r="I192" s="6707" t="s">
        <v>5909</v>
      </c>
      <c r="J192" s="6708"/>
      <c r="K192" s="6705">
        <v>825</v>
      </c>
      <c r="L192" s="6701" t="s">
        <v>5910</v>
      </c>
      <c r="M192" s="6706" t="s">
        <v>5911</v>
      </c>
      <c r="N192" s="6707" t="s">
        <v>5912</v>
      </c>
      <c r="O192" s="6708"/>
      <c r="P192" s="6705">
        <v>1149</v>
      </c>
      <c r="Q192" s="6701" t="s">
        <v>5913</v>
      </c>
      <c r="R192" s="6706" t="s">
        <v>5914</v>
      </c>
      <c r="S192" s="6707" t="s">
        <v>5915</v>
      </c>
      <c r="T192" s="2939"/>
      <c r="U192" s="2939"/>
      <c r="V192" s="2939"/>
      <c r="W192" s="2939"/>
      <c r="X192" s="2939"/>
      <c r="Y192" s="2939"/>
      <c r="Z192" s="2939"/>
      <c r="AA192" s="2939"/>
      <c r="AB192" s="2939"/>
      <c r="AC192" s="2939"/>
      <c r="AD192" s="2939"/>
    </row>
    <row r="193" spans="1:30">
      <c r="A193" s="6705">
        <v>178</v>
      </c>
      <c r="B193" s="6701" t="s">
        <v>5916</v>
      </c>
      <c r="C193" s="6706" t="s">
        <v>5917</v>
      </c>
      <c r="D193" s="6707" t="s">
        <v>5918</v>
      </c>
      <c r="E193" s="6708"/>
      <c r="F193" s="6705">
        <v>502</v>
      </c>
      <c r="G193" s="6701" t="s">
        <v>5919</v>
      </c>
      <c r="H193" s="6706" t="s">
        <v>5920</v>
      </c>
      <c r="I193" s="6707" t="s">
        <v>5921</v>
      </c>
      <c r="J193" s="6708"/>
      <c r="K193" s="6705">
        <v>826</v>
      </c>
      <c r="L193" s="6701" t="s">
        <v>5922</v>
      </c>
      <c r="M193" s="6706" t="s">
        <v>5923</v>
      </c>
      <c r="N193" s="6707" t="s">
        <v>5924</v>
      </c>
      <c r="O193" s="6708"/>
      <c r="P193" s="6705">
        <v>1150</v>
      </c>
      <c r="Q193" s="6701" t="s">
        <v>5925</v>
      </c>
      <c r="R193" s="6706" t="s">
        <v>5926</v>
      </c>
      <c r="S193" s="6707" t="s">
        <v>5927</v>
      </c>
      <c r="T193" s="2939"/>
      <c r="U193" s="2939"/>
      <c r="V193" s="2939"/>
      <c r="W193" s="2939"/>
      <c r="X193" s="2939"/>
      <c r="Y193" s="2939"/>
      <c r="Z193" s="2939"/>
      <c r="AA193" s="2939"/>
      <c r="AB193" s="2939"/>
      <c r="AC193" s="2939"/>
      <c r="AD193" s="2939"/>
    </row>
    <row r="194" spans="1:30">
      <c r="A194" s="6705">
        <v>179</v>
      </c>
      <c r="B194" s="6701" t="s">
        <v>5928</v>
      </c>
      <c r="C194" s="6706" t="s">
        <v>5929</v>
      </c>
      <c r="D194" s="6707" t="s">
        <v>5930</v>
      </c>
      <c r="E194" s="6708"/>
      <c r="F194" s="6705">
        <v>503</v>
      </c>
      <c r="G194" s="6701" t="s">
        <v>5931</v>
      </c>
      <c r="H194" s="6706" t="s">
        <v>5932</v>
      </c>
      <c r="I194" s="6707" t="s">
        <v>5933</v>
      </c>
      <c r="J194" s="6708"/>
      <c r="K194" s="6705">
        <v>827</v>
      </c>
      <c r="L194" s="6701" t="s">
        <v>5934</v>
      </c>
      <c r="M194" s="6706" t="s">
        <v>5935</v>
      </c>
      <c r="N194" s="6707" t="s">
        <v>5936</v>
      </c>
      <c r="O194" s="6708"/>
      <c r="P194" s="6705">
        <v>1151</v>
      </c>
      <c r="Q194" s="6701" t="s">
        <v>5937</v>
      </c>
      <c r="R194" s="6706" t="s">
        <v>5938</v>
      </c>
      <c r="S194" s="6707" t="s">
        <v>5939</v>
      </c>
      <c r="T194" s="2939"/>
      <c r="U194" s="2939"/>
      <c r="V194" s="2939"/>
      <c r="W194" s="2939"/>
      <c r="X194" s="2939"/>
      <c r="Y194" s="2939"/>
      <c r="Z194" s="2939"/>
      <c r="AA194" s="2939"/>
      <c r="AB194" s="2939"/>
      <c r="AC194" s="2939"/>
      <c r="AD194" s="2939"/>
    </row>
    <row r="195" spans="1:30">
      <c r="A195" s="6705">
        <v>180</v>
      </c>
      <c r="B195" s="6701" t="s">
        <v>5940</v>
      </c>
      <c r="C195" s="6706" t="s">
        <v>5941</v>
      </c>
      <c r="D195" s="6707" t="s">
        <v>5942</v>
      </c>
      <c r="E195" s="6708"/>
      <c r="F195" s="6705">
        <v>504</v>
      </c>
      <c r="G195" s="6701" t="s">
        <v>5943</v>
      </c>
      <c r="H195" s="6706" t="s">
        <v>5944</v>
      </c>
      <c r="I195" s="6707" t="s">
        <v>5945</v>
      </c>
      <c r="J195" s="6708"/>
      <c r="K195" s="6705">
        <v>828</v>
      </c>
      <c r="L195" s="6701" t="s">
        <v>5946</v>
      </c>
      <c r="M195" s="6706" t="s">
        <v>5947</v>
      </c>
      <c r="N195" s="6707" t="s">
        <v>5948</v>
      </c>
      <c r="O195" s="6708"/>
      <c r="P195" s="6705">
        <v>1152</v>
      </c>
      <c r="Q195" s="6701" t="s">
        <v>5949</v>
      </c>
      <c r="R195" s="6706" t="s">
        <v>5950</v>
      </c>
      <c r="S195" s="6707" t="s">
        <v>1773</v>
      </c>
      <c r="T195" s="2939"/>
      <c r="U195" s="2939"/>
      <c r="V195" s="2939"/>
      <c r="W195" s="2939"/>
      <c r="X195" s="2939"/>
      <c r="Y195" s="2939"/>
      <c r="Z195" s="2939"/>
      <c r="AA195" s="2939"/>
      <c r="AB195" s="2939"/>
      <c r="AC195" s="2939"/>
      <c r="AD195" s="2939"/>
    </row>
    <row r="196" spans="1:30">
      <c r="A196" s="6705">
        <v>181</v>
      </c>
      <c r="B196" s="6701" t="s">
        <v>5951</v>
      </c>
      <c r="C196" s="6706" t="s">
        <v>5952</v>
      </c>
      <c r="D196" s="6707" t="s">
        <v>5953</v>
      </c>
      <c r="E196" s="6708"/>
      <c r="F196" s="6705">
        <v>505</v>
      </c>
      <c r="G196" s="6701" t="s">
        <v>5954</v>
      </c>
      <c r="H196" s="6706" t="s">
        <v>5955</v>
      </c>
      <c r="I196" s="6707" t="s">
        <v>5956</v>
      </c>
      <c r="J196" s="6708"/>
      <c r="K196" s="6705">
        <v>829</v>
      </c>
      <c r="L196" s="6701" t="s">
        <v>5957</v>
      </c>
      <c r="M196" s="6706" t="s">
        <v>5958</v>
      </c>
      <c r="N196" s="6707" t="s">
        <v>5959</v>
      </c>
      <c r="O196" s="6708"/>
      <c r="P196" s="6705">
        <v>1153</v>
      </c>
      <c r="Q196" s="6701" t="s">
        <v>5960</v>
      </c>
      <c r="R196" s="6706" t="s">
        <v>5961</v>
      </c>
      <c r="S196" s="6707" t="s">
        <v>5962</v>
      </c>
      <c r="T196" s="2939"/>
      <c r="U196" s="2939"/>
      <c r="V196" s="2939"/>
      <c r="W196" s="2939"/>
      <c r="X196" s="2939"/>
      <c r="Y196" s="2939"/>
      <c r="Z196" s="2939"/>
      <c r="AA196" s="2939"/>
      <c r="AB196" s="2939"/>
      <c r="AC196" s="2939"/>
      <c r="AD196" s="2939"/>
    </row>
    <row r="197" spans="1:30">
      <c r="A197" s="6705">
        <v>182</v>
      </c>
      <c r="B197" s="6701" t="s">
        <v>5963</v>
      </c>
      <c r="C197" s="6706" t="s">
        <v>5964</v>
      </c>
      <c r="D197" s="6707" t="s">
        <v>5965</v>
      </c>
      <c r="E197" s="6708"/>
      <c r="F197" s="6705">
        <v>506</v>
      </c>
      <c r="G197" s="6701" t="s">
        <v>5966</v>
      </c>
      <c r="H197" s="6706" t="s">
        <v>5967</v>
      </c>
      <c r="I197" s="6707" t="s">
        <v>5968</v>
      </c>
      <c r="J197" s="6708"/>
      <c r="K197" s="6705">
        <v>830</v>
      </c>
      <c r="L197" s="6701" t="s">
        <v>5969</v>
      </c>
      <c r="M197" s="6706" t="s">
        <v>5970</v>
      </c>
      <c r="N197" s="6707" t="s">
        <v>5971</v>
      </c>
      <c r="O197" s="6708"/>
      <c r="P197" s="6705">
        <v>1154</v>
      </c>
      <c r="Q197" s="6701" t="s">
        <v>5972</v>
      </c>
      <c r="R197" s="6706" t="s">
        <v>5973</v>
      </c>
      <c r="S197" s="6707" t="s">
        <v>5974</v>
      </c>
      <c r="T197" s="2939"/>
      <c r="U197" s="2939"/>
      <c r="V197" s="2939"/>
      <c r="W197" s="2939"/>
      <c r="X197" s="2939"/>
      <c r="Y197" s="2939"/>
      <c r="Z197" s="2939"/>
      <c r="AA197" s="2939"/>
      <c r="AB197" s="2939"/>
      <c r="AC197" s="2939"/>
      <c r="AD197" s="2939"/>
    </row>
    <row r="198" spans="1:30">
      <c r="A198" s="6705">
        <v>183</v>
      </c>
      <c r="B198" s="6701" t="s">
        <v>5975</v>
      </c>
      <c r="C198" s="6706" t="s">
        <v>5976</v>
      </c>
      <c r="D198" s="6707" t="s">
        <v>5977</v>
      </c>
      <c r="E198" s="6708"/>
      <c r="F198" s="6705">
        <v>507</v>
      </c>
      <c r="G198" s="6701" t="s">
        <v>5978</v>
      </c>
      <c r="H198" s="6706" t="s">
        <v>5979</v>
      </c>
      <c r="I198" s="6707" t="s">
        <v>5980</v>
      </c>
      <c r="J198" s="6708"/>
      <c r="K198" s="6705">
        <v>831</v>
      </c>
      <c r="L198" s="6701" t="s">
        <v>5981</v>
      </c>
      <c r="M198" s="6706" t="s">
        <v>5982</v>
      </c>
      <c r="N198" s="6707" t="s">
        <v>5983</v>
      </c>
      <c r="O198" s="6708"/>
      <c r="P198" s="6705">
        <v>1155</v>
      </c>
      <c r="Q198" s="6701" t="s">
        <v>5984</v>
      </c>
      <c r="R198" s="6706" t="s">
        <v>5985</v>
      </c>
      <c r="S198" s="6707" t="s">
        <v>5986</v>
      </c>
      <c r="T198" s="2939"/>
      <c r="U198" s="2939"/>
      <c r="V198" s="2939"/>
      <c r="W198" s="2939"/>
      <c r="X198" s="2939"/>
      <c r="Y198" s="2939"/>
      <c r="Z198" s="2939"/>
      <c r="AA198" s="2939"/>
      <c r="AB198" s="2939"/>
      <c r="AC198" s="2939"/>
      <c r="AD198" s="2939"/>
    </row>
    <row r="199" spans="1:30">
      <c r="A199" s="6705">
        <v>184</v>
      </c>
      <c r="B199" s="6701" t="s">
        <v>5987</v>
      </c>
      <c r="C199" s="6706" t="s">
        <v>5988</v>
      </c>
      <c r="D199" s="6707" t="s">
        <v>5989</v>
      </c>
      <c r="E199" s="6708"/>
      <c r="F199" s="6705">
        <v>508</v>
      </c>
      <c r="G199" s="6701" t="s">
        <v>5990</v>
      </c>
      <c r="H199" s="6706" t="s">
        <v>5991</v>
      </c>
      <c r="I199" s="6707" t="s">
        <v>5992</v>
      </c>
      <c r="J199" s="6708"/>
      <c r="K199" s="6705">
        <v>832</v>
      </c>
      <c r="L199" s="6701" t="s">
        <v>5993</v>
      </c>
      <c r="M199" s="6706" t="s">
        <v>5994</v>
      </c>
      <c r="N199" s="6707" t="s">
        <v>5995</v>
      </c>
      <c r="O199" s="6708"/>
      <c r="P199" s="6705">
        <v>1156</v>
      </c>
      <c r="Q199" s="6701" t="s">
        <v>5996</v>
      </c>
      <c r="R199" s="6706" t="s">
        <v>5997</v>
      </c>
      <c r="S199" s="6707" t="s">
        <v>5998</v>
      </c>
      <c r="T199" s="2939"/>
      <c r="U199" s="2939"/>
      <c r="V199" s="2939"/>
      <c r="W199" s="2939"/>
      <c r="X199" s="2939"/>
      <c r="Y199" s="2939"/>
      <c r="Z199" s="2939"/>
      <c r="AA199" s="2939"/>
      <c r="AB199" s="2939"/>
      <c r="AC199" s="2939"/>
      <c r="AD199" s="2939"/>
    </row>
    <row r="200" spans="1:30">
      <c r="A200" s="6705">
        <v>185</v>
      </c>
      <c r="B200" s="6701" t="s">
        <v>5999</v>
      </c>
      <c r="C200" s="6706" t="s">
        <v>6000</v>
      </c>
      <c r="D200" s="6707" t="s">
        <v>6001</v>
      </c>
      <c r="E200" s="6708"/>
      <c r="F200" s="6705">
        <v>509</v>
      </c>
      <c r="G200" s="6701" t="s">
        <v>6002</v>
      </c>
      <c r="H200" s="6706" t="s">
        <v>6003</v>
      </c>
      <c r="I200" s="6707" t="s">
        <v>6004</v>
      </c>
      <c r="J200" s="6708"/>
      <c r="K200" s="6705">
        <v>833</v>
      </c>
      <c r="L200" s="6701" t="s">
        <v>6005</v>
      </c>
      <c r="M200" s="6706" t="s">
        <v>6006</v>
      </c>
      <c r="N200" s="6707" t="s">
        <v>6007</v>
      </c>
      <c r="O200" s="6708"/>
      <c r="P200" s="6705">
        <v>1157</v>
      </c>
      <c r="Q200" s="6701" t="s">
        <v>6008</v>
      </c>
      <c r="R200" s="6706" t="s">
        <v>6009</v>
      </c>
      <c r="S200" s="6707" t="s">
        <v>6010</v>
      </c>
      <c r="T200" s="2939"/>
      <c r="U200" s="2939"/>
      <c r="V200" s="2939"/>
      <c r="W200" s="2939"/>
      <c r="X200" s="2939"/>
      <c r="Y200" s="2939"/>
      <c r="Z200" s="2939"/>
      <c r="AA200" s="2939"/>
      <c r="AB200" s="2939"/>
      <c r="AC200" s="2939"/>
      <c r="AD200" s="2939"/>
    </row>
    <row r="201" spans="1:30">
      <c r="A201" s="6705">
        <v>186</v>
      </c>
      <c r="B201" s="6701" t="s">
        <v>6011</v>
      </c>
      <c r="C201" s="6706" t="s">
        <v>6012</v>
      </c>
      <c r="D201" s="6707" t="s">
        <v>6013</v>
      </c>
      <c r="E201" s="6708"/>
      <c r="F201" s="6705">
        <v>510</v>
      </c>
      <c r="G201" s="6701" t="s">
        <v>6014</v>
      </c>
      <c r="H201" s="6706" t="s">
        <v>6015</v>
      </c>
      <c r="I201" s="6707" t="s">
        <v>6016</v>
      </c>
      <c r="J201" s="6708"/>
      <c r="K201" s="6705">
        <v>834</v>
      </c>
      <c r="L201" s="6701" t="s">
        <v>6005</v>
      </c>
      <c r="M201" s="6706" t="s">
        <v>6006</v>
      </c>
      <c r="N201" s="6707" t="s">
        <v>6017</v>
      </c>
      <c r="O201" s="6708"/>
      <c r="P201" s="6705">
        <v>1158</v>
      </c>
      <c r="Q201" s="6701" t="s">
        <v>6018</v>
      </c>
      <c r="R201" s="6706" t="s">
        <v>6019</v>
      </c>
      <c r="S201" s="6707" t="s">
        <v>6020</v>
      </c>
      <c r="T201" s="2939"/>
      <c r="U201" s="2939"/>
      <c r="V201" s="2939"/>
      <c r="W201" s="2939"/>
      <c r="X201" s="2939"/>
      <c r="Y201" s="2939"/>
      <c r="Z201" s="2939"/>
      <c r="AA201" s="2939"/>
      <c r="AB201" s="2939"/>
      <c r="AC201" s="2939"/>
      <c r="AD201" s="2939"/>
    </row>
    <row r="202" spans="1:30">
      <c r="A202" s="6705">
        <v>187</v>
      </c>
      <c r="B202" s="6701" t="s">
        <v>6021</v>
      </c>
      <c r="C202" s="6706" t="s">
        <v>6022</v>
      </c>
      <c r="D202" s="6707" t="s">
        <v>6023</v>
      </c>
      <c r="E202" s="6708"/>
      <c r="F202" s="6705">
        <v>511</v>
      </c>
      <c r="G202" s="6701" t="s">
        <v>6024</v>
      </c>
      <c r="H202" s="6706" t="s">
        <v>6025</v>
      </c>
      <c r="I202" s="6707" t="s">
        <v>6026</v>
      </c>
      <c r="J202" s="6708"/>
      <c r="K202" s="6705">
        <v>835</v>
      </c>
      <c r="L202" s="6701" t="s">
        <v>6027</v>
      </c>
      <c r="M202" s="6706" t="s">
        <v>3899</v>
      </c>
      <c r="N202" s="6707" t="s">
        <v>6028</v>
      </c>
      <c r="O202" s="6708"/>
      <c r="P202" s="6705">
        <v>1159</v>
      </c>
      <c r="Q202" s="6701" t="s">
        <v>6029</v>
      </c>
      <c r="R202" s="6706" t="s">
        <v>6030</v>
      </c>
      <c r="S202" s="6707" t="s">
        <v>6031</v>
      </c>
      <c r="T202" s="2939"/>
      <c r="U202" s="2939"/>
      <c r="V202" s="2939"/>
      <c r="W202" s="2939"/>
      <c r="X202" s="2939"/>
      <c r="Y202" s="2939"/>
      <c r="Z202" s="2939"/>
      <c r="AA202" s="2939"/>
      <c r="AB202" s="2939"/>
      <c r="AC202" s="2939"/>
      <c r="AD202" s="2939"/>
    </row>
    <row r="203" spans="1:30">
      <c r="A203" s="6705">
        <v>188</v>
      </c>
      <c r="B203" s="6701" t="s">
        <v>6032</v>
      </c>
      <c r="C203" s="6706" t="s">
        <v>6033</v>
      </c>
      <c r="D203" s="6707" t="s">
        <v>6034</v>
      </c>
      <c r="E203" s="6708"/>
      <c r="F203" s="6705">
        <v>512</v>
      </c>
      <c r="G203" s="6701" t="s">
        <v>6035</v>
      </c>
      <c r="H203" s="6706" t="s">
        <v>6036</v>
      </c>
      <c r="I203" s="6707" t="s">
        <v>6037</v>
      </c>
      <c r="J203" s="6708"/>
      <c r="K203" s="6705">
        <v>836</v>
      </c>
      <c r="L203" s="6701" t="s">
        <v>6038</v>
      </c>
      <c r="M203" s="6706" t="s">
        <v>3901</v>
      </c>
      <c r="N203" s="6707" t="s">
        <v>6039</v>
      </c>
      <c r="O203" s="6708"/>
      <c r="P203" s="6705">
        <v>1160</v>
      </c>
      <c r="Q203" s="6701" t="s">
        <v>6040</v>
      </c>
      <c r="R203" s="6706" t="s">
        <v>6041</v>
      </c>
      <c r="S203" s="6707" t="s">
        <v>6042</v>
      </c>
      <c r="T203" s="2939"/>
      <c r="U203" s="2939"/>
      <c r="V203" s="2939"/>
      <c r="W203" s="2939"/>
      <c r="X203" s="2939"/>
      <c r="Y203" s="2939"/>
      <c r="Z203" s="2939"/>
      <c r="AA203" s="2939"/>
      <c r="AB203" s="2939"/>
      <c r="AC203" s="2939"/>
      <c r="AD203" s="2939"/>
    </row>
    <row r="204" spans="1:30">
      <c r="A204" s="6705">
        <v>189</v>
      </c>
      <c r="B204" s="6701" t="s">
        <v>6043</v>
      </c>
      <c r="C204" s="6706" t="s">
        <v>6044</v>
      </c>
      <c r="D204" s="6707" t="s">
        <v>6045</v>
      </c>
      <c r="E204" s="6708"/>
      <c r="F204" s="6705">
        <v>513</v>
      </c>
      <c r="G204" s="6701" t="s">
        <v>6046</v>
      </c>
      <c r="H204" s="6706" t="s">
        <v>6047</v>
      </c>
      <c r="I204" s="6707" t="s">
        <v>6048</v>
      </c>
      <c r="J204" s="6708"/>
      <c r="K204" s="6705">
        <v>837</v>
      </c>
      <c r="L204" s="6701" t="s">
        <v>6049</v>
      </c>
      <c r="M204" s="6706" t="s">
        <v>3900</v>
      </c>
      <c r="O204" s="6708"/>
      <c r="P204" s="6705">
        <v>1161</v>
      </c>
      <c r="Q204" s="6701" t="s">
        <v>6050</v>
      </c>
      <c r="R204" s="6706" t="s">
        <v>6051</v>
      </c>
      <c r="S204" s="6707" t="s">
        <v>6052</v>
      </c>
      <c r="T204" s="2939"/>
      <c r="U204" s="2939"/>
      <c r="V204" s="2939"/>
      <c r="W204" s="2939"/>
      <c r="X204" s="2939"/>
      <c r="Y204" s="2939"/>
      <c r="Z204" s="2939"/>
      <c r="AA204" s="2939"/>
      <c r="AB204" s="2939"/>
      <c r="AC204" s="2939"/>
      <c r="AD204" s="2939"/>
    </row>
    <row r="205" spans="1:30">
      <c r="A205" s="6705">
        <v>190</v>
      </c>
      <c r="B205" s="6701" t="s">
        <v>6053</v>
      </c>
      <c r="C205" s="6706" t="s">
        <v>6054</v>
      </c>
      <c r="D205" s="6707" t="s">
        <v>6055</v>
      </c>
      <c r="E205" s="6708"/>
      <c r="F205" s="6705">
        <v>514</v>
      </c>
      <c r="G205" s="6701" t="s">
        <v>6056</v>
      </c>
      <c r="H205" s="6706" t="s">
        <v>6057</v>
      </c>
      <c r="I205" s="6707" t="s">
        <v>6058</v>
      </c>
      <c r="J205" s="6708"/>
      <c r="K205" s="6705">
        <v>838</v>
      </c>
      <c r="L205" s="6701" t="s">
        <v>6049</v>
      </c>
      <c r="M205" s="6706" t="s">
        <v>3900</v>
      </c>
      <c r="N205" s="6707" t="s">
        <v>6059</v>
      </c>
      <c r="O205" s="6708"/>
      <c r="P205" s="6705">
        <v>1162</v>
      </c>
      <c r="Q205" s="6701" t="s">
        <v>6060</v>
      </c>
      <c r="R205" s="6706" t="s">
        <v>6061</v>
      </c>
      <c r="S205" s="6707" t="s">
        <v>6062</v>
      </c>
      <c r="T205" s="2939"/>
      <c r="U205" s="2939"/>
      <c r="V205" s="2939"/>
      <c r="W205" s="2939"/>
      <c r="X205" s="2939"/>
      <c r="Y205" s="2939"/>
      <c r="Z205" s="2939"/>
      <c r="AA205" s="2939"/>
      <c r="AB205" s="2939"/>
      <c r="AC205" s="2939"/>
      <c r="AD205" s="2939"/>
    </row>
    <row r="206" spans="1:30">
      <c r="A206" s="6705">
        <v>191</v>
      </c>
      <c r="B206" s="6701" t="s">
        <v>6063</v>
      </c>
      <c r="C206" s="6706" t="s">
        <v>6064</v>
      </c>
      <c r="D206" s="6707" t="s">
        <v>6065</v>
      </c>
      <c r="E206" s="6708"/>
      <c r="F206" s="6705">
        <v>515</v>
      </c>
      <c r="G206" s="6701" t="s">
        <v>6066</v>
      </c>
      <c r="H206" s="6706" t="s">
        <v>6067</v>
      </c>
      <c r="I206" s="6707" t="s">
        <v>6068</v>
      </c>
      <c r="J206" s="6708"/>
      <c r="K206" s="6705">
        <v>839</v>
      </c>
      <c r="L206" s="6701" t="s">
        <v>6069</v>
      </c>
      <c r="M206" s="6706" t="s">
        <v>6070</v>
      </c>
      <c r="N206" s="6707" t="s">
        <v>6071</v>
      </c>
      <c r="O206" s="6708"/>
      <c r="P206" s="6705">
        <v>1163</v>
      </c>
      <c r="Q206" s="6701" t="s">
        <v>6072</v>
      </c>
      <c r="R206" s="6706" t="s">
        <v>6073</v>
      </c>
      <c r="S206" s="6707" t="s">
        <v>6074</v>
      </c>
      <c r="T206" s="2939"/>
      <c r="U206" s="2939"/>
      <c r="V206" s="2939"/>
      <c r="W206" s="2939"/>
      <c r="X206" s="2939"/>
      <c r="Y206" s="2939"/>
      <c r="Z206" s="2939"/>
      <c r="AA206" s="2939"/>
      <c r="AB206" s="2939"/>
      <c r="AC206" s="2939"/>
      <c r="AD206" s="2939"/>
    </row>
    <row r="207" spans="1:30">
      <c r="A207" s="6705">
        <v>192</v>
      </c>
      <c r="B207" s="6701" t="s">
        <v>6075</v>
      </c>
      <c r="C207" s="6706" t="s">
        <v>6076</v>
      </c>
      <c r="D207" s="6707" t="s">
        <v>6077</v>
      </c>
      <c r="E207" s="6708"/>
      <c r="F207" s="6705">
        <v>516</v>
      </c>
      <c r="G207" s="6701" t="s">
        <v>6078</v>
      </c>
      <c r="H207" s="6706" t="s">
        <v>6079</v>
      </c>
      <c r="I207" s="6707" t="s">
        <v>6080</v>
      </c>
      <c r="J207" s="6708"/>
      <c r="K207" s="6705">
        <v>840</v>
      </c>
      <c r="L207" s="6701" t="s">
        <v>6081</v>
      </c>
      <c r="M207" s="6706" t="s">
        <v>6082</v>
      </c>
      <c r="N207" s="6707" t="s">
        <v>6083</v>
      </c>
      <c r="O207" s="6708"/>
      <c r="P207" s="6705">
        <v>1164</v>
      </c>
      <c r="Q207" s="6701" t="s">
        <v>6084</v>
      </c>
      <c r="R207" s="6706" t="s">
        <v>6085</v>
      </c>
      <c r="S207" s="6707" t="s">
        <v>6086</v>
      </c>
      <c r="T207" s="2939"/>
      <c r="U207" s="2939"/>
      <c r="V207" s="2939"/>
      <c r="W207" s="2939"/>
      <c r="X207" s="2939"/>
      <c r="Y207" s="2939"/>
      <c r="Z207" s="2939"/>
      <c r="AA207" s="2939"/>
      <c r="AB207" s="2939"/>
      <c r="AC207" s="2939"/>
      <c r="AD207" s="2939"/>
    </row>
    <row r="208" spans="1:30">
      <c r="A208" s="6705">
        <v>193</v>
      </c>
      <c r="B208" s="6701" t="s">
        <v>6087</v>
      </c>
      <c r="C208" s="6706" t="s">
        <v>6088</v>
      </c>
      <c r="D208" s="6707" t="s">
        <v>6089</v>
      </c>
      <c r="E208" s="6708"/>
      <c r="F208" s="6705">
        <v>517</v>
      </c>
      <c r="G208" s="6701" t="s">
        <v>6090</v>
      </c>
      <c r="H208" s="6706" t="s">
        <v>6091</v>
      </c>
      <c r="I208" s="6707" t="s">
        <v>6092</v>
      </c>
      <c r="J208" s="6708"/>
      <c r="K208" s="6705">
        <v>841</v>
      </c>
      <c r="L208" s="6701" t="s">
        <v>6093</v>
      </c>
      <c r="M208" s="6706" t="s">
        <v>6094</v>
      </c>
      <c r="N208" s="6707" t="s">
        <v>6095</v>
      </c>
      <c r="O208" s="6708"/>
      <c r="P208" s="6705">
        <v>1165</v>
      </c>
      <c r="Q208" s="6701" t="s">
        <v>6096</v>
      </c>
      <c r="R208" s="6706" t="s">
        <v>6097</v>
      </c>
      <c r="S208" s="6707" t="s">
        <v>6098</v>
      </c>
      <c r="T208" s="2939"/>
      <c r="U208" s="2939"/>
      <c r="V208" s="2939"/>
      <c r="W208" s="2939"/>
      <c r="X208" s="2939"/>
      <c r="Y208" s="2939"/>
      <c r="Z208" s="2939"/>
      <c r="AA208" s="2939"/>
      <c r="AB208" s="2939"/>
      <c r="AC208" s="2939"/>
      <c r="AD208" s="2939"/>
    </row>
    <row r="209" spans="1:30">
      <c r="A209" s="6705">
        <v>194</v>
      </c>
      <c r="B209" s="6701" t="s">
        <v>6099</v>
      </c>
      <c r="C209" s="6706" t="s">
        <v>6100</v>
      </c>
      <c r="D209" s="6707" t="s">
        <v>6101</v>
      </c>
      <c r="E209" s="6708"/>
      <c r="F209" s="6705">
        <v>518</v>
      </c>
      <c r="G209" s="6701" t="s">
        <v>6102</v>
      </c>
      <c r="H209" s="6706" t="s">
        <v>6103</v>
      </c>
      <c r="I209" s="6707" t="s">
        <v>6104</v>
      </c>
      <c r="J209" s="6708"/>
      <c r="K209" s="6705">
        <v>842</v>
      </c>
      <c r="L209" s="6701" t="s">
        <v>6105</v>
      </c>
      <c r="M209" s="6706" t="s">
        <v>6106</v>
      </c>
      <c r="N209" s="6707" t="s">
        <v>6107</v>
      </c>
      <c r="O209" s="6708"/>
      <c r="P209" s="6705">
        <v>1166</v>
      </c>
      <c r="Q209" s="6701" t="s">
        <v>6108</v>
      </c>
      <c r="R209" s="6706" t="s">
        <v>6109</v>
      </c>
      <c r="S209" s="6707" t="s">
        <v>6110</v>
      </c>
      <c r="T209" s="2939"/>
      <c r="U209" s="2939"/>
      <c r="V209" s="2939"/>
      <c r="W209" s="2939"/>
      <c r="X209" s="2939"/>
      <c r="Y209" s="2939"/>
      <c r="Z209" s="2939"/>
      <c r="AA209" s="2939"/>
      <c r="AB209" s="2939"/>
      <c r="AC209" s="2939"/>
      <c r="AD209" s="2939"/>
    </row>
    <row r="210" spans="1:30">
      <c r="A210" s="6705">
        <v>195</v>
      </c>
      <c r="B210" s="6701" t="s">
        <v>6111</v>
      </c>
      <c r="C210" s="6706" t="s">
        <v>6112</v>
      </c>
      <c r="D210" s="6707" t="s">
        <v>6113</v>
      </c>
      <c r="E210" s="6708"/>
      <c r="F210" s="6705">
        <v>519</v>
      </c>
      <c r="G210" s="6701" t="s">
        <v>6114</v>
      </c>
      <c r="H210" s="6706" t="s">
        <v>6115</v>
      </c>
      <c r="I210" s="6707" t="s">
        <v>6116</v>
      </c>
      <c r="J210" s="6708"/>
      <c r="K210" s="6705">
        <v>843</v>
      </c>
      <c r="L210" s="6701" t="s">
        <v>6117</v>
      </c>
      <c r="M210" s="6706" t="s">
        <v>6118</v>
      </c>
      <c r="N210" s="6707" t="s">
        <v>6119</v>
      </c>
      <c r="O210" s="6708"/>
      <c r="P210" s="6705">
        <v>1167</v>
      </c>
      <c r="Q210" s="6701" t="s">
        <v>6120</v>
      </c>
      <c r="R210" s="6706" t="s">
        <v>6121</v>
      </c>
      <c r="S210" s="6707" t="s">
        <v>6122</v>
      </c>
      <c r="T210" s="2939"/>
      <c r="U210" s="2939"/>
      <c r="V210" s="2939"/>
      <c r="W210" s="2939"/>
      <c r="X210" s="2939"/>
      <c r="Y210" s="2939"/>
      <c r="Z210" s="2939"/>
      <c r="AA210" s="2939"/>
      <c r="AB210" s="2939"/>
      <c r="AC210" s="2939"/>
      <c r="AD210" s="2939"/>
    </row>
    <row r="211" spans="1:30">
      <c r="A211" s="6705">
        <v>196</v>
      </c>
      <c r="B211" s="6701" t="s">
        <v>6123</v>
      </c>
      <c r="C211" s="6706" t="s">
        <v>6124</v>
      </c>
      <c r="D211" s="6707" t="s">
        <v>6125</v>
      </c>
      <c r="E211" s="6708"/>
      <c r="F211" s="6705">
        <v>520</v>
      </c>
      <c r="G211" s="6701" t="s">
        <v>6126</v>
      </c>
      <c r="H211" s="6706" t="s">
        <v>6127</v>
      </c>
      <c r="I211" s="6707" t="s">
        <v>6128</v>
      </c>
      <c r="J211" s="6708"/>
      <c r="K211" s="6705">
        <v>844</v>
      </c>
      <c r="L211" s="6701" t="s">
        <v>6129</v>
      </c>
      <c r="M211" s="6706" t="s">
        <v>6130</v>
      </c>
      <c r="N211" s="6707" t="s">
        <v>6131</v>
      </c>
      <c r="O211" s="6708"/>
      <c r="P211" s="6705">
        <v>1168</v>
      </c>
      <c r="Q211" s="6701" t="s">
        <v>6132</v>
      </c>
      <c r="R211" s="6706" t="s">
        <v>6133</v>
      </c>
      <c r="S211" s="6707" t="s">
        <v>6134</v>
      </c>
      <c r="T211" s="2939"/>
      <c r="U211" s="2939"/>
      <c r="V211" s="2939"/>
      <c r="W211" s="2939"/>
      <c r="X211" s="2939"/>
      <c r="Y211" s="2939"/>
      <c r="Z211" s="2939"/>
      <c r="AA211" s="2939"/>
      <c r="AB211" s="2939"/>
      <c r="AC211" s="2939"/>
      <c r="AD211" s="2939"/>
    </row>
    <row r="212" spans="1:30">
      <c r="A212" s="6705">
        <v>197</v>
      </c>
      <c r="B212" s="6701" t="s">
        <v>6135</v>
      </c>
      <c r="C212" s="6706" t="s">
        <v>6136</v>
      </c>
      <c r="D212" s="6707" t="s">
        <v>6137</v>
      </c>
      <c r="E212" s="6708"/>
      <c r="F212" s="6705">
        <v>521</v>
      </c>
      <c r="G212" s="6701" t="s">
        <v>6138</v>
      </c>
      <c r="H212" s="6706" t="s">
        <v>6139</v>
      </c>
      <c r="I212" s="6707" t="s">
        <v>6140</v>
      </c>
      <c r="J212" s="6708"/>
      <c r="K212" s="6705">
        <v>845</v>
      </c>
      <c r="L212" s="6701" t="s">
        <v>6141</v>
      </c>
      <c r="M212" s="6706" t="s">
        <v>6142</v>
      </c>
      <c r="N212" s="6707" t="s">
        <v>6143</v>
      </c>
      <c r="O212" s="6708"/>
      <c r="P212" s="6705">
        <v>1169</v>
      </c>
      <c r="Q212" s="6701" t="s">
        <v>6144</v>
      </c>
      <c r="R212" s="6706" t="s">
        <v>6145</v>
      </c>
      <c r="S212" s="6707" t="s">
        <v>6146</v>
      </c>
      <c r="T212" s="2939"/>
      <c r="U212" s="2939"/>
      <c r="V212" s="2939"/>
      <c r="W212" s="2939"/>
      <c r="X212" s="2939"/>
      <c r="Y212" s="2939"/>
      <c r="Z212" s="2939"/>
      <c r="AA212" s="2939"/>
      <c r="AB212" s="2939"/>
      <c r="AC212" s="2939"/>
      <c r="AD212" s="2939"/>
    </row>
    <row r="213" spans="1:30">
      <c r="A213" s="6705">
        <v>198</v>
      </c>
      <c r="B213" s="6701" t="s">
        <v>6147</v>
      </c>
      <c r="C213" s="6706" t="s">
        <v>6148</v>
      </c>
      <c r="D213" s="6707" t="s">
        <v>6149</v>
      </c>
      <c r="E213" s="6708"/>
      <c r="F213" s="6705">
        <v>522</v>
      </c>
      <c r="G213" s="6701" t="s">
        <v>6150</v>
      </c>
      <c r="H213" s="6706" t="s">
        <v>6151</v>
      </c>
      <c r="I213" s="6707" t="s">
        <v>6152</v>
      </c>
      <c r="J213" s="6708"/>
      <c r="K213" s="6705">
        <v>846</v>
      </c>
      <c r="L213" s="6701" t="s">
        <v>6153</v>
      </c>
      <c r="M213" s="6706" t="s">
        <v>6154</v>
      </c>
      <c r="N213" s="6707" t="s">
        <v>6155</v>
      </c>
      <c r="O213" s="6708"/>
      <c r="P213" s="6705">
        <v>1170</v>
      </c>
      <c r="Q213" s="6701" t="s">
        <v>6156</v>
      </c>
      <c r="R213" s="6706" t="s">
        <v>6157</v>
      </c>
      <c r="S213" s="6707" t="s">
        <v>6158</v>
      </c>
      <c r="T213" s="2939"/>
      <c r="U213" s="2939"/>
      <c r="V213" s="2939"/>
      <c r="W213" s="2939"/>
      <c r="X213" s="2939"/>
      <c r="Y213" s="2939"/>
      <c r="Z213" s="2939"/>
      <c r="AA213" s="2939"/>
      <c r="AB213" s="2939"/>
      <c r="AC213" s="2939"/>
      <c r="AD213" s="2939"/>
    </row>
    <row r="214" spans="1:30">
      <c r="A214" s="6705">
        <v>199</v>
      </c>
      <c r="B214" s="6701" t="s">
        <v>6159</v>
      </c>
      <c r="C214" s="6706" t="s">
        <v>6160</v>
      </c>
      <c r="D214" s="6707" t="s">
        <v>6161</v>
      </c>
      <c r="E214" s="6708"/>
      <c r="F214" s="6705">
        <v>523</v>
      </c>
      <c r="G214" s="6701" t="s">
        <v>6162</v>
      </c>
      <c r="H214" s="6706" t="s">
        <v>6163</v>
      </c>
      <c r="I214" s="6707" t="s">
        <v>6164</v>
      </c>
      <c r="J214" s="6708"/>
      <c r="K214" s="6705">
        <v>847</v>
      </c>
      <c r="L214" s="6701" t="s">
        <v>6165</v>
      </c>
      <c r="M214" s="6706" t="s">
        <v>6166</v>
      </c>
      <c r="N214" s="6707" t="s">
        <v>6167</v>
      </c>
      <c r="O214" s="6708"/>
      <c r="P214" s="6705">
        <v>1171</v>
      </c>
      <c r="Q214" s="6701" t="s">
        <v>6168</v>
      </c>
      <c r="R214" s="6706" t="s">
        <v>6169</v>
      </c>
      <c r="S214" s="6707" t="s">
        <v>6170</v>
      </c>
      <c r="T214" s="2939"/>
      <c r="U214" s="2939"/>
      <c r="V214" s="2939"/>
      <c r="W214" s="2939"/>
      <c r="X214" s="2939"/>
      <c r="Y214" s="2939"/>
      <c r="Z214" s="2939"/>
      <c r="AA214" s="2939"/>
      <c r="AB214" s="2939"/>
      <c r="AC214" s="2939"/>
      <c r="AD214" s="2939"/>
    </row>
    <row r="215" spans="1:30">
      <c r="A215" s="6705">
        <v>200</v>
      </c>
      <c r="B215" s="6701" t="s">
        <v>6171</v>
      </c>
      <c r="C215" s="6706" t="s">
        <v>6172</v>
      </c>
      <c r="D215" s="6707" t="s">
        <v>6173</v>
      </c>
      <c r="E215" s="6708"/>
      <c r="F215" s="6705">
        <v>524</v>
      </c>
      <c r="G215" s="6701" t="s">
        <v>6174</v>
      </c>
      <c r="H215" s="6706" t="s">
        <v>6175</v>
      </c>
      <c r="I215" s="6707" t="s">
        <v>6176</v>
      </c>
      <c r="J215" s="6708"/>
      <c r="K215" s="6705">
        <v>848</v>
      </c>
      <c r="L215" s="6701" t="s">
        <v>6177</v>
      </c>
      <c r="M215" s="6706" t="s">
        <v>6178</v>
      </c>
      <c r="N215" s="6707" t="s">
        <v>6179</v>
      </c>
      <c r="O215" s="6708"/>
      <c r="P215" s="6705">
        <v>1172</v>
      </c>
      <c r="Q215" s="6701" t="s">
        <v>6180</v>
      </c>
      <c r="R215" s="6706" t="s">
        <v>6181</v>
      </c>
      <c r="S215" s="6707" t="s">
        <v>6182</v>
      </c>
      <c r="T215" s="2939"/>
      <c r="U215" s="2939"/>
      <c r="V215" s="2939"/>
      <c r="W215" s="2939"/>
      <c r="X215" s="2939"/>
      <c r="Y215" s="2939"/>
      <c r="Z215" s="2939"/>
      <c r="AA215" s="2939"/>
      <c r="AB215" s="2939"/>
      <c r="AC215" s="2939"/>
      <c r="AD215" s="2939"/>
    </row>
    <row r="216" spans="1:30">
      <c r="A216" s="6705">
        <v>201</v>
      </c>
      <c r="B216" s="6701" t="s">
        <v>6183</v>
      </c>
      <c r="C216" s="6706" t="s">
        <v>6184</v>
      </c>
      <c r="D216" s="6707" t="s">
        <v>6185</v>
      </c>
      <c r="E216" s="6708"/>
      <c r="F216" s="6705">
        <v>525</v>
      </c>
      <c r="G216" s="6701" t="s">
        <v>6186</v>
      </c>
      <c r="H216" s="6706" t="s">
        <v>6187</v>
      </c>
      <c r="I216" s="6707" t="s">
        <v>6188</v>
      </c>
      <c r="J216" s="6708"/>
      <c r="K216" s="6705">
        <v>849</v>
      </c>
      <c r="L216" s="6701" t="s">
        <v>6189</v>
      </c>
      <c r="M216" s="6706" t="s">
        <v>6190</v>
      </c>
      <c r="N216" s="6707" t="s">
        <v>6191</v>
      </c>
      <c r="O216" s="6708"/>
      <c r="P216" s="6705">
        <v>1173</v>
      </c>
      <c r="Q216" s="6701" t="s">
        <v>6192</v>
      </c>
      <c r="R216" s="6706" t="s">
        <v>6193</v>
      </c>
      <c r="S216" s="6707" t="s">
        <v>6194</v>
      </c>
      <c r="T216" s="2939"/>
      <c r="U216" s="2939"/>
      <c r="V216" s="2939"/>
      <c r="W216" s="2939"/>
      <c r="X216" s="2939"/>
      <c r="Y216" s="2939"/>
      <c r="Z216" s="2939"/>
      <c r="AA216" s="2939"/>
      <c r="AB216" s="2939"/>
      <c r="AC216" s="2939"/>
      <c r="AD216" s="2939"/>
    </row>
    <row r="217" spans="1:30">
      <c r="A217" s="6705">
        <v>202</v>
      </c>
      <c r="B217" s="6701" t="s">
        <v>6195</v>
      </c>
      <c r="C217" s="6706" t="s">
        <v>6196</v>
      </c>
      <c r="D217" s="6707" t="s">
        <v>6197</v>
      </c>
      <c r="E217" s="6708"/>
      <c r="F217" s="6705">
        <v>526</v>
      </c>
      <c r="G217" s="6701" t="s">
        <v>6198</v>
      </c>
      <c r="H217" s="6706" t="s">
        <v>6199</v>
      </c>
      <c r="I217" s="6707" t="s">
        <v>6200</v>
      </c>
      <c r="J217" s="6708"/>
      <c r="K217" s="6705">
        <v>850</v>
      </c>
      <c r="L217" s="6701" t="s">
        <v>6201</v>
      </c>
      <c r="M217" s="6706" t="s">
        <v>6202</v>
      </c>
      <c r="N217" s="6707" t="s">
        <v>4670</v>
      </c>
      <c r="O217" s="6708"/>
      <c r="P217" s="6705">
        <v>1174</v>
      </c>
      <c r="Q217" s="6701" t="s">
        <v>6203</v>
      </c>
      <c r="R217" s="6706" t="s">
        <v>6204</v>
      </c>
      <c r="S217" s="6707" t="s">
        <v>6205</v>
      </c>
      <c r="T217" s="2939"/>
      <c r="U217" s="2939"/>
      <c r="V217" s="2939"/>
      <c r="W217" s="2939"/>
      <c r="X217" s="2939"/>
      <c r="Y217" s="2939"/>
      <c r="Z217" s="2939"/>
      <c r="AA217" s="2939"/>
      <c r="AB217" s="2939"/>
      <c r="AC217" s="2939"/>
      <c r="AD217" s="2939"/>
    </row>
    <row r="218" spans="1:30">
      <c r="A218" s="6705">
        <v>203</v>
      </c>
      <c r="B218" s="6701" t="s">
        <v>6206</v>
      </c>
      <c r="C218" s="6706" t="s">
        <v>6207</v>
      </c>
      <c r="D218" s="6707" t="s">
        <v>6208</v>
      </c>
      <c r="E218" s="6708"/>
      <c r="F218" s="6705">
        <v>527</v>
      </c>
      <c r="G218" s="6701" t="s">
        <v>6209</v>
      </c>
      <c r="H218" s="6706" t="s">
        <v>6210</v>
      </c>
      <c r="I218" s="6707" t="s">
        <v>6211</v>
      </c>
      <c r="J218" s="6708"/>
      <c r="K218" s="6705">
        <v>851</v>
      </c>
      <c r="L218" s="6701" t="s">
        <v>6212</v>
      </c>
      <c r="M218" s="6706" t="s">
        <v>6213</v>
      </c>
      <c r="N218" s="6707" t="s">
        <v>6214</v>
      </c>
      <c r="O218" s="6708"/>
      <c r="P218" s="6705">
        <v>1175</v>
      </c>
      <c r="Q218" s="6701" t="s">
        <v>6215</v>
      </c>
      <c r="R218" s="6706" t="s">
        <v>6216</v>
      </c>
      <c r="S218" s="6707" t="s">
        <v>6217</v>
      </c>
      <c r="T218" s="2939"/>
      <c r="U218" s="2939"/>
      <c r="V218" s="2939"/>
      <c r="W218" s="2939"/>
      <c r="X218" s="2939"/>
      <c r="Y218" s="2939"/>
      <c r="Z218" s="2939"/>
      <c r="AA218" s="2939"/>
      <c r="AB218" s="2939"/>
      <c r="AC218" s="2939"/>
      <c r="AD218" s="2939"/>
    </row>
    <row r="219" spans="1:30">
      <c r="A219" s="6705">
        <v>204</v>
      </c>
      <c r="B219" s="6701" t="s">
        <v>6218</v>
      </c>
      <c r="C219" s="6706" t="s">
        <v>6219</v>
      </c>
      <c r="D219" s="6707" t="s">
        <v>6220</v>
      </c>
      <c r="E219" s="6708"/>
      <c r="F219" s="6705">
        <v>528</v>
      </c>
      <c r="G219" s="6701" t="s">
        <v>6221</v>
      </c>
      <c r="H219" s="6706" t="s">
        <v>6222</v>
      </c>
      <c r="I219" s="6707" t="s">
        <v>6223</v>
      </c>
      <c r="J219" s="6708"/>
      <c r="K219" s="6705">
        <v>852</v>
      </c>
      <c r="L219" s="6701" t="s">
        <v>6224</v>
      </c>
      <c r="M219" s="6706" t="s">
        <v>6225</v>
      </c>
      <c r="N219" s="6707" t="s">
        <v>6226</v>
      </c>
      <c r="O219" s="6708"/>
      <c r="P219" s="6705">
        <v>1176</v>
      </c>
      <c r="Q219" s="6701" t="s">
        <v>6227</v>
      </c>
      <c r="R219" s="6706" t="s">
        <v>6228</v>
      </c>
      <c r="S219" s="6707" t="s">
        <v>6229</v>
      </c>
      <c r="T219" s="2939"/>
      <c r="U219" s="2939"/>
      <c r="V219" s="2939"/>
      <c r="W219" s="2939"/>
      <c r="X219" s="2939"/>
      <c r="Y219" s="2939"/>
      <c r="Z219" s="2939"/>
      <c r="AA219" s="2939"/>
      <c r="AB219" s="2939"/>
      <c r="AC219" s="2939"/>
      <c r="AD219" s="2939"/>
    </row>
    <row r="220" spans="1:30">
      <c r="A220" s="6705">
        <v>205</v>
      </c>
      <c r="B220" s="6701" t="s">
        <v>6230</v>
      </c>
      <c r="C220" s="6706" t="s">
        <v>6231</v>
      </c>
      <c r="D220" s="6707" t="s">
        <v>6232</v>
      </c>
      <c r="E220" s="6708"/>
      <c r="F220" s="6705">
        <v>529</v>
      </c>
      <c r="G220" s="6701" t="s">
        <v>6233</v>
      </c>
      <c r="H220" s="6706" t="s">
        <v>6234</v>
      </c>
      <c r="I220" s="6707" t="s">
        <v>6235</v>
      </c>
      <c r="J220" s="6708"/>
      <c r="K220" s="6705">
        <v>853</v>
      </c>
      <c r="L220" s="6701" t="s">
        <v>6236</v>
      </c>
      <c r="M220" s="6706" t="s">
        <v>6237</v>
      </c>
      <c r="N220" s="6707" t="s">
        <v>6238</v>
      </c>
      <c r="O220" s="6708"/>
      <c r="P220" s="6705">
        <v>1177</v>
      </c>
      <c r="Q220" s="6701" t="s">
        <v>6239</v>
      </c>
      <c r="R220" s="6706" t="s">
        <v>6240</v>
      </c>
      <c r="S220" s="6707" t="s">
        <v>6241</v>
      </c>
      <c r="T220" s="2939"/>
      <c r="U220" s="2939"/>
      <c r="V220" s="2939"/>
      <c r="W220" s="2939"/>
      <c r="X220" s="2939"/>
      <c r="Y220" s="2939"/>
      <c r="Z220" s="2939"/>
      <c r="AA220" s="2939"/>
      <c r="AB220" s="2939"/>
      <c r="AC220" s="2939"/>
      <c r="AD220" s="2939"/>
    </row>
    <row r="221" spans="1:30">
      <c r="A221" s="6705">
        <v>206</v>
      </c>
      <c r="B221" s="6701" t="s">
        <v>6242</v>
      </c>
      <c r="C221" s="6706" t="s">
        <v>6243</v>
      </c>
      <c r="D221" s="6707" t="s">
        <v>6244</v>
      </c>
      <c r="E221" s="6708"/>
      <c r="F221" s="6705">
        <v>530</v>
      </c>
      <c r="G221" s="6701" t="s">
        <v>6245</v>
      </c>
      <c r="H221" s="6706" t="s">
        <v>6246</v>
      </c>
      <c r="I221" s="6707" t="s">
        <v>6247</v>
      </c>
      <c r="J221" s="6708"/>
      <c r="K221" s="6705">
        <v>854</v>
      </c>
      <c r="L221" s="6701" t="s">
        <v>6248</v>
      </c>
      <c r="M221" s="6706" t="s">
        <v>6249</v>
      </c>
      <c r="N221" s="6707" t="s">
        <v>6250</v>
      </c>
      <c r="O221" s="6708"/>
      <c r="P221" s="6705">
        <v>1178</v>
      </c>
      <c r="Q221" s="6701" t="s">
        <v>6251</v>
      </c>
      <c r="R221" s="6706" t="s">
        <v>6252</v>
      </c>
      <c r="S221" s="6707" t="s">
        <v>6253</v>
      </c>
      <c r="T221" s="2939"/>
      <c r="U221" s="2939"/>
      <c r="V221" s="2939"/>
      <c r="W221" s="2939"/>
      <c r="X221" s="2939"/>
      <c r="Y221" s="2939"/>
      <c r="Z221" s="2939"/>
      <c r="AA221" s="2939"/>
      <c r="AB221" s="2939"/>
      <c r="AC221" s="2939"/>
      <c r="AD221" s="2939"/>
    </row>
    <row r="222" spans="1:30">
      <c r="A222" s="6705">
        <v>207</v>
      </c>
      <c r="B222" s="6701" t="s">
        <v>6254</v>
      </c>
      <c r="C222" s="6706" t="s">
        <v>6255</v>
      </c>
      <c r="D222" s="6707" t="s">
        <v>6256</v>
      </c>
      <c r="E222" s="6708"/>
      <c r="F222" s="6705">
        <v>531</v>
      </c>
      <c r="G222" s="6701" t="s">
        <v>6257</v>
      </c>
      <c r="H222" s="6706" t="s">
        <v>6258</v>
      </c>
      <c r="I222" s="6707" t="s">
        <v>6259</v>
      </c>
      <c r="J222" s="6708"/>
      <c r="K222" s="6705">
        <v>855</v>
      </c>
      <c r="L222" s="6701" t="s">
        <v>6260</v>
      </c>
      <c r="M222" s="6706" t="s">
        <v>6261</v>
      </c>
      <c r="N222" s="6707" t="s">
        <v>6262</v>
      </c>
      <c r="O222" s="6708"/>
      <c r="P222" s="6705">
        <v>1179</v>
      </c>
      <c r="Q222" s="6701" t="s">
        <v>6263</v>
      </c>
      <c r="R222" s="6706" t="s">
        <v>6264</v>
      </c>
      <c r="S222" s="6707" t="s">
        <v>6265</v>
      </c>
      <c r="T222" s="2939"/>
      <c r="U222" s="2939"/>
      <c r="V222" s="2939"/>
      <c r="W222" s="2939"/>
      <c r="X222" s="2939"/>
      <c r="Y222" s="2939"/>
      <c r="Z222" s="2939"/>
      <c r="AA222" s="2939"/>
      <c r="AB222" s="2939"/>
      <c r="AC222" s="2939"/>
      <c r="AD222" s="2939"/>
    </row>
    <row r="223" spans="1:30">
      <c r="A223" s="6705">
        <v>208</v>
      </c>
      <c r="B223" s="6701" t="s">
        <v>6266</v>
      </c>
      <c r="C223" s="6706" t="s">
        <v>6267</v>
      </c>
      <c r="D223" s="6707" t="s">
        <v>6268</v>
      </c>
      <c r="E223" s="6708"/>
      <c r="F223" s="6705">
        <v>532</v>
      </c>
      <c r="G223" s="6701" t="s">
        <v>6269</v>
      </c>
      <c r="H223" s="6706" t="s">
        <v>6270</v>
      </c>
      <c r="I223" s="6707" t="s">
        <v>6271</v>
      </c>
      <c r="J223" s="6708"/>
      <c r="K223" s="6705">
        <v>856</v>
      </c>
      <c r="L223" s="6701" t="s">
        <v>6272</v>
      </c>
      <c r="M223" s="6706" t="s">
        <v>6273</v>
      </c>
      <c r="N223" s="6707" t="s">
        <v>6274</v>
      </c>
      <c r="O223" s="6708"/>
      <c r="P223" s="6705">
        <v>1180</v>
      </c>
      <c r="Q223" s="6701" t="s">
        <v>6275</v>
      </c>
      <c r="R223" s="6706" t="s">
        <v>6276</v>
      </c>
      <c r="S223" s="6707" t="s">
        <v>6277</v>
      </c>
      <c r="T223" s="2939"/>
      <c r="U223" s="2939"/>
      <c r="V223" s="2939"/>
      <c r="W223" s="2939"/>
      <c r="X223" s="2939"/>
      <c r="Y223" s="2939"/>
      <c r="Z223" s="2939"/>
      <c r="AA223" s="2939"/>
      <c r="AB223" s="2939"/>
      <c r="AC223" s="2939"/>
      <c r="AD223" s="2939"/>
    </row>
    <row r="224" spans="1:30">
      <c r="A224" s="6705">
        <v>209</v>
      </c>
      <c r="B224" s="6701" t="s">
        <v>6278</v>
      </c>
      <c r="C224" s="6706" t="s">
        <v>6279</v>
      </c>
      <c r="D224" s="6707" t="s">
        <v>6280</v>
      </c>
      <c r="E224" s="6708"/>
      <c r="F224" s="6705">
        <v>533</v>
      </c>
      <c r="G224" s="6701" t="s">
        <v>6281</v>
      </c>
      <c r="H224" s="6706" t="s">
        <v>6282</v>
      </c>
      <c r="I224" s="6707" t="s">
        <v>6283</v>
      </c>
      <c r="J224" s="6708"/>
      <c r="K224" s="6705">
        <v>857</v>
      </c>
      <c r="L224" s="6701" t="s">
        <v>6284</v>
      </c>
      <c r="M224" s="6706" t="s">
        <v>6285</v>
      </c>
      <c r="N224" s="6707" t="s">
        <v>6274</v>
      </c>
      <c r="O224" s="6708"/>
      <c r="P224" s="6705">
        <v>1181</v>
      </c>
      <c r="Q224" s="6701" t="s">
        <v>6286</v>
      </c>
      <c r="R224" s="6706" t="s">
        <v>6287</v>
      </c>
      <c r="S224" s="6707" t="s">
        <v>6288</v>
      </c>
      <c r="T224" s="2939"/>
      <c r="U224" s="2939"/>
      <c r="V224" s="2939"/>
      <c r="W224" s="2939"/>
      <c r="X224" s="2939"/>
      <c r="Y224" s="2939"/>
      <c r="Z224" s="2939"/>
      <c r="AA224" s="2939"/>
      <c r="AB224" s="2939"/>
      <c r="AC224" s="2939"/>
      <c r="AD224" s="2939"/>
    </row>
    <row r="225" spans="1:30">
      <c r="A225" s="6705">
        <v>210</v>
      </c>
      <c r="B225" s="6701" t="s">
        <v>6289</v>
      </c>
      <c r="C225" s="6706" t="s">
        <v>6290</v>
      </c>
      <c r="D225" s="6707" t="s">
        <v>6291</v>
      </c>
      <c r="E225" s="6708"/>
      <c r="F225" s="6705">
        <v>534</v>
      </c>
      <c r="G225" s="6701" t="s">
        <v>6292</v>
      </c>
      <c r="H225" s="6706" t="s">
        <v>6293</v>
      </c>
      <c r="I225" s="6707" t="s">
        <v>6294</v>
      </c>
      <c r="J225" s="6708"/>
      <c r="K225" s="6705">
        <v>858</v>
      </c>
      <c r="L225" s="6701" t="s">
        <v>6295</v>
      </c>
      <c r="M225" s="6706" t="s">
        <v>6296</v>
      </c>
      <c r="N225" s="6707" t="s">
        <v>6297</v>
      </c>
      <c r="O225" s="6708"/>
      <c r="P225" s="6705">
        <v>1182</v>
      </c>
      <c r="Q225" s="6701" t="s">
        <v>6298</v>
      </c>
      <c r="R225" s="6706" t="s">
        <v>6299</v>
      </c>
      <c r="S225" s="6707" t="s">
        <v>6300</v>
      </c>
      <c r="T225" s="2939"/>
      <c r="U225" s="2939"/>
      <c r="V225" s="2939"/>
      <c r="W225" s="2939"/>
      <c r="X225" s="2939"/>
      <c r="Y225" s="2939"/>
      <c r="Z225" s="2939"/>
      <c r="AA225" s="2939"/>
      <c r="AB225" s="2939"/>
      <c r="AC225" s="2939"/>
      <c r="AD225" s="2939"/>
    </row>
    <row r="226" spans="1:30">
      <c r="A226" s="6705">
        <v>211</v>
      </c>
      <c r="B226" s="6701" t="s">
        <v>6301</v>
      </c>
      <c r="C226" s="6706" t="s">
        <v>6302</v>
      </c>
      <c r="D226" s="6707" t="s">
        <v>6303</v>
      </c>
      <c r="E226" s="6708"/>
      <c r="F226" s="6705">
        <v>535</v>
      </c>
      <c r="G226" s="6701" t="s">
        <v>6304</v>
      </c>
      <c r="H226" s="6706" t="s">
        <v>6305</v>
      </c>
      <c r="I226" s="6707" t="s">
        <v>6306</v>
      </c>
      <c r="J226" s="6708"/>
      <c r="K226" s="6705">
        <v>859</v>
      </c>
      <c r="L226" s="6701" t="s">
        <v>6307</v>
      </c>
      <c r="M226" s="6706" t="s">
        <v>6308</v>
      </c>
      <c r="N226" s="6707" t="s">
        <v>6309</v>
      </c>
      <c r="O226" s="6708"/>
      <c r="P226" s="6705">
        <v>1183</v>
      </c>
      <c r="Q226" s="6701" t="s">
        <v>6310</v>
      </c>
      <c r="R226" s="6706" t="s">
        <v>6311</v>
      </c>
      <c r="S226" s="6707" t="s">
        <v>6312</v>
      </c>
      <c r="T226" s="2939"/>
      <c r="U226" s="2939"/>
      <c r="V226" s="2939"/>
      <c r="W226" s="2939"/>
      <c r="X226" s="2939"/>
      <c r="Y226" s="2939"/>
      <c r="Z226" s="2939"/>
      <c r="AA226" s="2939"/>
      <c r="AB226" s="2939"/>
      <c r="AC226" s="2939"/>
      <c r="AD226" s="2939"/>
    </row>
    <row r="227" spans="1:30">
      <c r="A227" s="6705">
        <v>212</v>
      </c>
      <c r="B227" s="6701" t="s">
        <v>6313</v>
      </c>
      <c r="C227" s="6706" t="s">
        <v>6314</v>
      </c>
      <c r="D227" s="6707" t="s">
        <v>6315</v>
      </c>
      <c r="E227" s="6708"/>
      <c r="F227" s="6705">
        <v>536</v>
      </c>
      <c r="G227" s="6701" t="s">
        <v>6316</v>
      </c>
      <c r="H227" s="6706" t="s">
        <v>6317</v>
      </c>
      <c r="I227" s="6707" t="s">
        <v>6318</v>
      </c>
      <c r="J227" s="6708"/>
      <c r="K227" s="6705">
        <v>860</v>
      </c>
      <c r="L227" s="6701" t="s">
        <v>6319</v>
      </c>
      <c r="M227" s="6706" t="s">
        <v>6320</v>
      </c>
      <c r="N227" s="6707" t="s">
        <v>6321</v>
      </c>
      <c r="O227" s="6708"/>
      <c r="P227" s="6705">
        <v>1184</v>
      </c>
      <c r="Q227" s="6701" t="s">
        <v>6322</v>
      </c>
      <c r="R227" s="6706" t="s">
        <v>6323</v>
      </c>
      <c r="S227" s="6707" t="s">
        <v>6324</v>
      </c>
      <c r="T227" s="2939"/>
      <c r="U227" s="2939"/>
      <c r="V227" s="2939"/>
      <c r="W227" s="2939"/>
      <c r="X227" s="2939"/>
      <c r="Y227" s="2939"/>
      <c r="Z227" s="2939"/>
      <c r="AA227" s="2939"/>
      <c r="AB227" s="2939"/>
      <c r="AC227" s="2939"/>
      <c r="AD227" s="2939"/>
    </row>
    <row r="228" spans="1:30">
      <c r="A228" s="6705">
        <v>213</v>
      </c>
      <c r="B228" s="6701" t="s">
        <v>6325</v>
      </c>
      <c r="C228" s="6706" t="s">
        <v>6326</v>
      </c>
      <c r="D228" s="6707" t="s">
        <v>6327</v>
      </c>
      <c r="E228" s="6708"/>
      <c r="F228" s="6705">
        <v>537</v>
      </c>
      <c r="G228" s="6701" t="s">
        <v>6328</v>
      </c>
      <c r="H228" s="6706" t="s">
        <v>6329</v>
      </c>
      <c r="I228" s="6707" t="s">
        <v>6330</v>
      </c>
      <c r="J228" s="6708"/>
      <c r="K228" s="6705">
        <v>861</v>
      </c>
      <c r="L228" s="6701" t="s">
        <v>6331</v>
      </c>
      <c r="M228" s="6706" t="s">
        <v>6332</v>
      </c>
      <c r="N228" s="6707" t="s">
        <v>6333</v>
      </c>
      <c r="O228" s="6708"/>
      <c r="P228" s="6705">
        <v>1185</v>
      </c>
      <c r="Q228" s="6701" t="s">
        <v>6334</v>
      </c>
      <c r="R228" s="6706" t="s">
        <v>6335</v>
      </c>
      <c r="S228" s="6707" t="s">
        <v>6336</v>
      </c>
      <c r="T228" s="2939"/>
      <c r="U228" s="2939"/>
      <c r="V228" s="2939"/>
      <c r="W228" s="2939"/>
      <c r="X228" s="2939"/>
      <c r="Y228" s="2939"/>
      <c r="Z228" s="2939"/>
      <c r="AA228" s="2939"/>
      <c r="AB228" s="2939"/>
      <c r="AC228" s="2939"/>
      <c r="AD228" s="2939"/>
    </row>
    <row r="229" spans="1:30">
      <c r="A229" s="6705">
        <v>214</v>
      </c>
      <c r="B229" s="6701" t="s">
        <v>6337</v>
      </c>
      <c r="C229" s="6706" t="s">
        <v>6338</v>
      </c>
      <c r="D229" s="6707" t="s">
        <v>6339</v>
      </c>
      <c r="E229" s="6708"/>
      <c r="F229" s="6705">
        <v>538</v>
      </c>
      <c r="G229" s="6701" t="s">
        <v>6340</v>
      </c>
      <c r="H229" s="6706" t="s">
        <v>6341</v>
      </c>
      <c r="I229" s="6707" t="s">
        <v>6342</v>
      </c>
      <c r="J229" s="6708"/>
      <c r="K229" s="6705">
        <v>862</v>
      </c>
      <c r="L229" s="6701" t="s">
        <v>6343</v>
      </c>
      <c r="M229" s="6706" t="s">
        <v>6344</v>
      </c>
      <c r="N229" s="6707" t="s">
        <v>6345</v>
      </c>
      <c r="O229" s="6708"/>
      <c r="P229" s="6705">
        <v>1186</v>
      </c>
      <c r="Q229" s="6701" t="s">
        <v>6346</v>
      </c>
      <c r="R229" s="6706" t="s">
        <v>6347</v>
      </c>
      <c r="S229" s="6707" t="s">
        <v>6348</v>
      </c>
      <c r="T229" s="2939"/>
      <c r="U229" s="2939"/>
      <c r="V229" s="2939"/>
      <c r="W229" s="2939"/>
      <c r="X229" s="2939"/>
      <c r="Y229" s="2939"/>
      <c r="Z229" s="2939"/>
      <c r="AA229" s="2939"/>
      <c r="AB229" s="2939"/>
      <c r="AC229" s="2939"/>
      <c r="AD229" s="2939"/>
    </row>
    <row r="230" spans="1:30">
      <c r="A230" s="6705">
        <v>215</v>
      </c>
      <c r="B230" s="6701" t="s">
        <v>6349</v>
      </c>
      <c r="C230" s="6706" t="s">
        <v>6350</v>
      </c>
      <c r="D230" s="6707" t="s">
        <v>6351</v>
      </c>
      <c r="E230" s="6708"/>
      <c r="F230" s="6705">
        <v>539</v>
      </c>
      <c r="G230" s="6701" t="s">
        <v>6352</v>
      </c>
      <c r="H230" s="6706" t="s">
        <v>6353</v>
      </c>
      <c r="I230" s="6707" t="s">
        <v>6354</v>
      </c>
      <c r="J230" s="6708"/>
      <c r="K230" s="6705">
        <v>863</v>
      </c>
      <c r="L230" s="6701" t="s">
        <v>6355</v>
      </c>
      <c r="M230" s="6706" t="s">
        <v>6356</v>
      </c>
      <c r="N230" s="6707" t="s">
        <v>6357</v>
      </c>
      <c r="O230" s="6708"/>
      <c r="P230" s="6705">
        <v>1187</v>
      </c>
      <c r="Q230" s="6701" t="s">
        <v>6358</v>
      </c>
      <c r="R230" s="6706" t="s">
        <v>6359</v>
      </c>
      <c r="S230" s="6707" t="s">
        <v>6360</v>
      </c>
      <c r="T230" s="2939"/>
      <c r="U230" s="2939"/>
      <c r="V230" s="2939"/>
      <c r="W230" s="2939"/>
      <c r="X230" s="2939"/>
      <c r="Y230" s="2939"/>
      <c r="Z230" s="2939"/>
      <c r="AA230" s="2939"/>
      <c r="AB230" s="2939"/>
      <c r="AC230" s="2939"/>
      <c r="AD230" s="2939"/>
    </row>
    <row r="231" spans="1:30">
      <c r="A231" s="6705">
        <v>216</v>
      </c>
      <c r="B231" s="6701" t="s">
        <v>6361</v>
      </c>
      <c r="C231" s="6706" t="s">
        <v>6362</v>
      </c>
      <c r="D231" s="6707" t="s">
        <v>6363</v>
      </c>
      <c r="E231" s="6708"/>
      <c r="F231" s="6705">
        <v>540</v>
      </c>
      <c r="G231" s="6701" t="s">
        <v>6364</v>
      </c>
      <c r="H231" s="6706" t="s">
        <v>6365</v>
      </c>
      <c r="I231" s="6707" t="s">
        <v>6366</v>
      </c>
      <c r="J231" s="6708"/>
      <c r="K231" s="6705">
        <v>864</v>
      </c>
      <c r="L231" s="6701" t="s">
        <v>6367</v>
      </c>
      <c r="M231" s="6706" t="s">
        <v>6368</v>
      </c>
      <c r="N231" s="6707" t="s">
        <v>6369</v>
      </c>
      <c r="O231" s="6708"/>
      <c r="P231" s="6705">
        <v>1188</v>
      </c>
      <c r="Q231" s="6701" t="s">
        <v>6370</v>
      </c>
      <c r="R231" s="6706" t="s">
        <v>6371</v>
      </c>
      <c r="S231" s="6707" t="s">
        <v>6372</v>
      </c>
      <c r="T231" s="2939"/>
      <c r="U231" s="2939"/>
      <c r="V231" s="2939"/>
      <c r="W231" s="2939"/>
      <c r="X231" s="2939"/>
      <c r="Y231" s="2939"/>
      <c r="Z231" s="2939"/>
      <c r="AA231" s="2939"/>
      <c r="AB231" s="2939"/>
      <c r="AC231" s="2939"/>
      <c r="AD231" s="2939"/>
    </row>
    <row r="232" spans="1:30">
      <c r="A232" s="6705">
        <v>217</v>
      </c>
      <c r="B232" s="6701" t="s">
        <v>6373</v>
      </c>
      <c r="C232" s="6706" t="s">
        <v>6374</v>
      </c>
      <c r="D232" s="6707" t="s">
        <v>6375</v>
      </c>
      <c r="E232" s="6708"/>
      <c r="F232" s="6705">
        <v>541</v>
      </c>
      <c r="G232" s="6701" t="s">
        <v>6376</v>
      </c>
      <c r="H232" s="6706" t="s">
        <v>6377</v>
      </c>
      <c r="I232" s="6707" t="s">
        <v>6378</v>
      </c>
      <c r="J232" s="6708"/>
      <c r="K232" s="6705">
        <v>865</v>
      </c>
      <c r="L232" s="6701" t="s">
        <v>6379</v>
      </c>
      <c r="M232" s="6706" t="s">
        <v>6380</v>
      </c>
      <c r="N232" s="6707" t="s">
        <v>6381</v>
      </c>
      <c r="O232" s="6708"/>
      <c r="P232" s="6705">
        <v>1189</v>
      </c>
      <c r="Q232" s="6701" t="s">
        <v>6382</v>
      </c>
      <c r="R232" s="6706" t="s">
        <v>6383</v>
      </c>
      <c r="S232" s="6707" t="s">
        <v>6384</v>
      </c>
      <c r="T232" s="2939"/>
      <c r="U232" s="2939"/>
      <c r="V232" s="2939"/>
      <c r="W232" s="2939"/>
      <c r="X232" s="2939"/>
      <c r="Y232" s="2939"/>
      <c r="Z232" s="2939"/>
      <c r="AA232" s="2939"/>
      <c r="AB232" s="2939"/>
      <c r="AC232" s="2939"/>
      <c r="AD232" s="2939"/>
    </row>
    <row r="233" spans="1:30">
      <c r="A233" s="6705">
        <v>218</v>
      </c>
      <c r="B233" s="6701" t="s">
        <v>6385</v>
      </c>
      <c r="C233" s="6706" t="s">
        <v>6386</v>
      </c>
      <c r="D233" s="6707" t="s">
        <v>6387</v>
      </c>
      <c r="E233" s="6708"/>
      <c r="F233" s="6705">
        <v>542</v>
      </c>
      <c r="G233" s="6701" t="s">
        <v>6388</v>
      </c>
      <c r="H233" s="6706" t="s">
        <v>6389</v>
      </c>
      <c r="I233" s="6707" t="s">
        <v>6390</v>
      </c>
      <c r="J233" s="6708"/>
      <c r="K233" s="6705">
        <v>866</v>
      </c>
      <c r="L233" s="6701" t="s">
        <v>6391</v>
      </c>
      <c r="M233" s="6706" t="s">
        <v>6392</v>
      </c>
      <c r="N233" s="6707" t="s">
        <v>6393</v>
      </c>
      <c r="O233" s="6708"/>
      <c r="P233" s="6705">
        <v>1190</v>
      </c>
      <c r="Q233" s="6701" t="s">
        <v>6394</v>
      </c>
      <c r="R233" s="6706" t="s">
        <v>6395</v>
      </c>
      <c r="S233" s="6707" t="s">
        <v>6396</v>
      </c>
      <c r="T233" s="2939"/>
      <c r="U233" s="2939"/>
      <c r="V233" s="2939"/>
      <c r="W233" s="2939"/>
      <c r="X233" s="2939"/>
      <c r="Y233" s="2939"/>
      <c r="Z233" s="2939"/>
      <c r="AA233" s="2939"/>
      <c r="AB233" s="2939"/>
      <c r="AC233" s="2939"/>
      <c r="AD233" s="2939"/>
    </row>
    <row r="234" spans="1:30">
      <c r="A234" s="6705">
        <v>219</v>
      </c>
      <c r="B234" s="6701" t="s">
        <v>6397</v>
      </c>
      <c r="C234" s="6706" t="s">
        <v>6398</v>
      </c>
      <c r="D234" s="6707" t="s">
        <v>6399</v>
      </c>
      <c r="E234" s="6708"/>
      <c r="F234" s="6705">
        <v>543</v>
      </c>
      <c r="G234" s="6701" t="s">
        <v>6400</v>
      </c>
      <c r="H234" s="6706" t="s">
        <v>6401</v>
      </c>
      <c r="I234" s="6707" t="s">
        <v>6402</v>
      </c>
      <c r="J234" s="6708"/>
      <c r="K234" s="6705">
        <v>867</v>
      </c>
      <c r="L234" s="6701" t="s">
        <v>6403</v>
      </c>
      <c r="M234" s="6706" t="s">
        <v>6404</v>
      </c>
      <c r="N234" s="6707" t="s">
        <v>6405</v>
      </c>
      <c r="O234" s="6708"/>
      <c r="P234" s="6705">
        <v>1191</v>
      </c>
      <c r="Q234" s="6701" t="s">
        <v>6406</v>
      </c>
      <c r="R234" s="6706" t="s">
        <v>6407</v>
      </c>
      <c r="S234" s="6707" t="s">
        <v>6408</v>
      </c>
      <c r="T234" s="2939"/>
      <c r="U234" s="2939"/>
      <c r="V234" s="2939"/>
      <c r="W234" s="2939"/>
      <c r="X234" s="2939"/>
      <c r="Y234" s="2939"/>
      <c r="Z234" s="2939"/>
      <c r="AA234" s="2939"/>
      <c r="AB234" s="2939"/>
      <c r="AC234" s="2939"/>
      <c r="AD234" s="2939"/>
    </row>
    <row r="235" spans="1:30">
      <c r="A235" s="6705">
        <v>220</v>
      </c>
      <c r="B235" s="6701" t="s">
        <v>6409</v>
      </c>
      <c r="C235" s="6706" t="s">
        <v>6410</v>
      </c>
      <c r="D235" s="6707" t="s">
        <v>6411</v>
      </c>
      <c r="E235" s="6708"/>
      <c r="F235" s="6705">
        <v>544</v>
      </c>
      <c r="G235" s="6701" t="s">
        <v>6412</v>
      </c>
      <c r="H235" s="6706" t="s">
        <v>6413</v>
      </c>
      <c r="I235" s="6707" t="s">
        <v>6414</v>
      </c>
      <c r="J235" s="6708"/>
      <c r="K235" s="6705">
        <v>868</v>
      </c>
      <c r="L235" s="6701" t="s">
        <v>6415</v>
      </c>
      <c r="M235" s="6706" t="s">
        <v>6416</v>
      </c>
      <c r="N235" s="6707" t="s">
        <v>6417</v>
      </c>
      <c r="O235" s="6708"/>
      <c r="P235" s="6705">
        <v>1192</v>
      </c>
      <c r="Q235" s="6701" t="s">
        <v>6418</v>
      </c>
      <c r="R235" s="6706" t="s">
        <v>6419</v>
      </c>
      <c r="S235" s="6707" t="s">
        <v>6420</v>
      </c>
      <c r="T235" s="2939"/>
      <c r="U235" s="2939"/>
      <c r="V235" s="2939"/>
      <c r="W235" s="2939"/>
      <c r="X235" s="2939"/>
      <c r="Y235" s="2939"/>
      <c r="Z235" s="2939"/>
      <c r="AA235" s="2939"/>
      <c r="AB235" s="2939"/>
      <c r="AC235" s="2939"/>
      <c r="AD235" s="2939"/>
    </row>
    <row r="236" spans="1:30">
      <c r="A236" s="6705">
        <v>221</v>
      </c>
      <c r="B236" s="6701" t="s">
        <v>6421</v>
      </c>
      <c r="C236" s="6706" t="s">
        <v>6422</v>
      </c>
      <c r="D236" s="6707" t="s">
        <v>6423</v>
      </c>
      <c r="E236" s="6708"/>
      <c r="F236" s="6705">
        <v>545</v>
      </c>
      <c r="G236" s="6701" t="s">
        <v>6424</v>
      </c>
      <c r="H236" s="6706" t="s">
        <v>6425</v>
      </c>
      <c r="I236" s="6707" t="s">
        <v>6426</v>
      </c>
      <c r="J236" s="6708"/>
      <c r="K236" s="6705">
        <v>869</v>
      </c>
      <c r="L236" s="6701" t="s">
        <v>6427</v>
      </c>
      <c r="M236" s="6706" t="s">
        <v>6428</v>
      </c>
      <c r="N236" s="6707" t="s">
        <v>6429</v>
      </c>
      <c r="O236" s="6708"/>
      <c r="P236" s="6705">
        <v>1193</v>
      </c>
      <c r="Q236" s="6701" t="s">
        <v>6430</v>
      </c>
      <c r="R236" s="6706" t="s">
        <v>6431</v>
      </c>
      <c r="S236" s="6707" t="s">
        <v>6432</v>
      </c>
      <c r="T236" s="2939"/>
      <c r="U236" s="2939"/>
      <c r="V236" s="2939"/>
      <c r="W236" s="2939"/>
      <c r="X236" s="2939"/>
      <c r="Y236" s="2939"/>
      <c r="Z236" s="2939"/>
      <c r="AA236" s="2939"/>
      <c r="AB236" s="2939"/>
      <c r="AC236" s="2939"/>
      <c r="AD236" s="2939"/>
    </row>
    <row r="237" spans="1:30">
      <c r="A237" s="6705">
        <v>222</v>
      </c>
      <c r="B237" s="6701" t="s">
        <v>6433</v>
      </c>
      <c r="C237" s="6706" t="s">
        <v>6434</v>
      </c>
      <c r="D237" s="6707" t="s">
        <v>6435</v>
      </c>
      <c r="E237" s="6708"/>
      <c r="F237" s="6705">
        <v>546</v>
      </c>
      <c r="G237" s="6701" t="s">
        <v>6436</v>
      </c>
      <c r="H237" s="6706" t="s">
        <v>6437</v>
      </c>
      <c r="I237" s="6707" t="s">
        <v>6438</v>
      </c>
      <c r="J237" s="6708"/>
      <c r="K237" s="6705">
        <v>870</v>
      </c>
      <c r="L237" s="6701" t="s">
        <v>6439</v>
      </c>
      <c r="M237" s="6706" t="s">
        <v>6440</v>
      </c>
      <c r="N237" s="6707" t="s">
        <v>6441</v>
      </c>
      <c r="O237" s="6708"/>
      <c r="P237" s="6705">
        <v>1194</v>
      </c>
      <c r="Q237" s="6701" t="s">
        <v>6442</v>
      </c>
      <c r="R237" s="6706" t="s">
        <v>6443</v>
      </c>
      <c r="S237" s="6707" t="s">
        <v>6444</v>
      </c>
      <c r="T237" s="2939"/>
      <c r="U237" s="2939"/>
      <c r="V237" s="2939"/>
      <c r="W237" s="2939"/>
      <c r="X237" s="2939"/>
      <c r="Y237" s="2939"/>
      <c r="Z237" s="2939"/>
      <c r="AA237" s="2939"/>
      <c r="AB237" s="2939"/>
      <c r="AC237" s="2939"/>
      <c r="AD237" s="2939"/>
    </row>
    <row r="238" spans="1:30">
      <c r="A238" s="6705">
        <v>223</v>
      </c>
      <c r="B238" s="6701" t="s">
        <v>6445</v>
      </c>
      <c r="C238" s="6706" t="s">
        <v>6446</v>
      </c>
      <c r="D238" s="6707" t="s">
        <v>6447</v>
      </c>
      <c r="E238" s="6708"/>
      <c r="F238" s="6705">
        <v>547</v>
      </c>
      <c r="G238" s="6701" t="s">
        <v>6448</v>
      </c>
      <c r="H238" s="6706" t="s">
        <v>6449</v>
      </c>
      <c r="I238" s="6707" t="s">
        <v>6450</v>
      </c>
      <c r="J238" s="6708"/>
      <c r="K238" s="6705">
        <v>871</v>
      </c>
      <c r="L238" s="6701" t="s">
        <v>6451</v>
      </c>
      <c r="M238" s="6706" t="s">
        <v>6452</v>
      </c>
      <c r="N238" s="6707" t="s">
        <v>6453</v>
      </c>
      <c r="O238" s="6708"/>
      <c r="P238" s="6705">
        <v>1195</v>
      </c>
      <c r="Q238" s="6701" t="s">
        <v>6454</v>
      </c>
      <c r="R238" s="6706" t="s">
        <v>6455</v>
      </c>
      <c r="S238" s="6707" t="s">
        <v>6456</v>
      </c>
      <c r="T238" s="2939"/>
      <c r="U238" s="2939"/>
      <c r="V238" s="2939"/>
      <c r="W238" s="2939"/>
      <c r="X238" s="2939"/>
      <c r="Y238" s="2939"/>
      <c r="Z238" s="2939"/>
      <c r="AA238" s="2939"/>
      <c r="AB238" s="2939"/>
      <c r="AC238" s="2939"/>
      <c r="AD238" s="2939"/>
    </row>
    <row r="239" spans="1:30">
      <c r="A239" s="6705">
        <v>224</v>
      </c>
      <c r="B239" s="6701" t="s">
        <v>6457</v>
      </c>
      <c r="C239" s="6706" t="s">
        <v>6458</v>
      </c>
      <c r="D239" s="6707" t="s">
        <v>6459</v>
      </c>
      <c r="E239" s="6708"/>
      <c r="F239" s="6705">
        <v>548</v>
      </c>
      <c r="G239" s="6701" t="s">
        <v>6460</v>
      </c>
      <c r="H239" s="6706" t="s">
        <v>6461</v>
      </c>
      <c r="I239" s="6707" t="s">
        <v>6462</v>
      </c>
      <c r="J239" s="6708"/>
      <c r="K239" s="6705">
        <v>872</v>
      </c>
      <c r="L239" s="6701" t="s">
        <v>6463</v>
      </c>
      <c r="M239" s="6706" t="s">
        <v>6464</v>
      </c>
      <c r="N239" s="6707" t="s">
        <v>6465</v>
      </c>
      <c r="O239" s="6708"/>
      <c r="P239" s="6705">
        <v>1196</v>
      </c>
      <c r="Q239" s="6701" t="s">
        <v>6466</v>
      </c>
      <c r="R239" s="6706" t="s">
        <v>6467</v>
      </c>
      <c r="S239" s="6707" t="s">
        <v>6468</v>
      </c>
      <c r="T239" s="2939"/>
      <c r="U239" s="2939"/>
      <c r="V239" s="2939"/>
      <c r="W239" s="2939"/>
      <c r="X239" s="2939"/>
      <c r="Y239" s="2939"/>
      <c r="Z239" s="2939"/>
      <c r="AA239" s="2939"/>
      <c r="AB239" s="2939"/>
      <c r="AC239" s="2939"/>
      <c r="AD239" s="2939"/>
    </row>
    <row r="240" spans="1:30">
      <c r="A240" s="6705">
        <v>225</v>
      </c>
      <c r="B240" s="6701" t="s">
        <v>6469</v>
      </c>
      <c r="C240" s="6706" t="s">
        <v>6470</v>
      </c>
      <c r="D240" s="6707" t="s">
        <v>6471</v>
      </c>
      <c r="E240" s="6708"/>
      <c r="F240" s="6705">
        <v>549</v>
      </c>
      <c r="G240" s="6701" t="s">
        <v>6472</v>
      </c>
      <c r="H240" s="6706" t="s">
        <v>6473</v>
      </c>
      <c r="I240" s="6707" t="s">
        <v>6474</v>
      </c>
      <c r="J240" s="6708"/>
      <c r="K240" s="6705">
        <v>873</v>
      </c>
      <c r="L240" s="6701" t="s">
        <v>6475</v>
      </c>
      <c r="M240" s="6706" t="s">
        <v>6476</v>
      </c>
      <c r="N240" s="6707" t="s">
        <v>6477</v>
      </c>
      <c r="O240" s="6708"/>
      <c r="P240" s="6705">
        <v>1197</v>
      </c>
      <c r="Q240" s="6701" t="s">
        <v>6478</v>
      </c>
      <c r="R240" s="6706" t="s">
        <v>6479</v>
      </c>
      <c r="S240" s="6707" t="s">
        <v>6480</v>
      </c>
      <c r="T240" s="2939"/>
      <c r="U240" s="2939"/>
      <c r="V240" s="2939"/>
      <c r="W240" s="2939"/>
      <c r="X240" s="2939"/>
      <c r="Y240" s="2939"/>
      <c r="Z240" s="2939"/>
      <c r="AA240" s="2939"/>
      <c r="AB240" s="2939"/>
      <c r="AC240" s="2939"/>
      <c r="AD240" s="2939"/>
    </row>
    <row r="241" spans="1:30">
      <c r="A241" s="6705">
        <v>226</v>
      </c>
      <c r="B241" s="6701" t="s">
        <v>6481</v>
      </c>
      <c r="C241" s="6706" t="s">
        <v>6482</v>
      </c>
      <c r="D241" s="6707" t="s">
        <v>5330</v>
      </c>
      <c r="E241" s="6708"/>
      <c r="F241" s="6705">
        <v>550</v>
      </c>
      <c r="G241" s="6701" t="s">
        <v>6483</v>
      </c>
      <c r="H241" s="6706" t="s">
        <v>6484</v>
      </c>
      <c r="I241" s="6707" t="s">
        <v>6485</v>
      </c>
      <c r="J241" s="6708"/>
      <c r="K241" s="6705">
        <v>874</v>
      </c>
      <c r="L241" s="6701" t="s">
        <v>6486</v>
      </c>
      <c r="M241" s="6706" t="s">
        <v>6487</v>
      </c>
      <c r="N241" s="6707" t="s">
        <v>6488</v>
      </c>
      <c r="O241" s="6708"/>
      <c r="P241" s="6705">
        <v>1198</v>
      </c>
      <c r="Q241" s="6701" t="s">
        <v>6489</v>
      </c>
      <c r="R241" s="6706" t="s">
        <v>6490</v>
      </c>
      <c r="S241" s="6707" t="s">
        <v>6491</v>
      </c>
      <c r="T241" s="2939"/>
      <c r="U241" s="2939"/>
      <c r="V241" s="2939"/>
      <c r="W241" s="2939"/>
      <c r="X241" s="2939"/>
      <c r="Y241" s="2939"/>
      <c r="Z241" s="2939"/>
      <c r="AA241" s="2939"/>
      <c r="AB241" s="2939"/>
      <c r="AC241" s="2939"/>
      <c r="AD241" s="2939"/>
    </row>
    <row r="242" spans="1:30">
      <c r="A242" s="6705">
        <v>227</v>
      </c>
      <c r="B242" s="6701" t="s">
        <v>6492</v>
      </c>
      <c r="C242" s="6706" t="s">
        <v>6493</v>
      </c>
      <c r="D242" s="6707" t="s">
        <v>6494</v>
      </c>
      <c r="E242" s="6708"/>
      <c r="F242" s="6705">
        <v>551</v>
      </c>
      <c r="G242" s="6701" t="s">
        <v>6495</v>
      </c>
      <c r="H242" s="6706" t="s">
        <v>6496</v>
      </c>
      <c r="I242" s="6707" t="s">
        <v>6497</v>
      </c>
      <c r="J242" s="6708"/>
      <c r="K242" s="6705">
        <v>875</v>
      </c>
      <c r="L242" s="6701" t="s">
        <v>6498</v>
      </c>
      <c r="M242" s="6706" t="s">
        <v>6499</v>
      </c>
      <c r="N242" s="6707" t="s">
        <v>6500</v>
      </c>
      <c r="O242" s="6708"/>
      <c r="P242" s="6705">
        <v>1199</v>
      </c>
      <c r="Q242" s="6701" t="s">
        <v>6501</v>
      </c>
      <c r="R242" s="6706" t="s">
        <v>6502</v>
      </c>
      <c r="S242" s="6707" t="s">
        <v>6503</v>
      </c>
      <c r="T242" s="2939"/>
      <c r="U242" s="2939"/>
      <c r="V242" s="2939"/>
      <c r="W242" s="2939"/>
      <c r="X242" s="2939"/>
      <c r="Y242" s="2939"/>
      <c r="Z242" s="2939"/>
      <c r="AA242" s="2939"/>
      <c r="AB242" s="2939"/>
      <c r="AC242" s="2939"/>
      <c r="AD242" s="2939"/>
    </row>
    <row r="243" spans="1:30">
      <c r="A243" s="6705">
        <v>228</v>
      </c>
      <c r="B243" s="6701" t="s">
        <v>6504</v>
      </c>
      <c r="C243" s="6706" t="s">
        <v>6505</v>
      </c>
      <c r="D243" s="6707" t="s">
        <v>6506</v>
      </c>
      <c r="E243" s="6708"/>
      <c r="F243" s="6705">
        <v>552</v>
      </c>
      <c r="G243" s="6701" t="s">
        <v>6507</v>
      </c>
      <c r="H243" s="6706" t="s">
        <v>6508</v>
      </c>
      <c r="I243" s="6707" t="s">
        <v>6509</v>
      </c>
      <c r="J243" s="6708"/>
      <c r="K243" s="6705">
        <v>876</v>
      </c>
      <c r="L243" s="6701" t="s">
        <v>6510</v>
      </c>
      <c r="M243" s="6706" t="s">
        <v>6511</v>
      </c>
      <c r="N243" s="6707" t="s">
        <v>6512</v>
      </c>
      <c r="O243" s="6708"/>
      <c r="P243" s="6705">
        <v>1200</v>
      </c>
      <c r="Q243" s="6701" t="s">
        <v>6513</v>
      </c>
      <c r="R243" s="6706" t="s">
        <v>6514</v>
      </c>
      <c r="S243" s="6707" t="s">
        <v>3298</v>
      </c>
      <c r="T243" s="2939"/>
      <c r="U243" s="2939"/>
      <c r="V243" s="2939"/>
      <c r="W243" s="2939"/>
      <c r="X243" s="2939"/>
      <c r="Y243" s="2939"/>
      <c r="Z243" s="2939"/>
      <c r="AA243" s="2939"/>
      <c r="AB243" s="2939"/>
      <c r="AC243" s="2939"/>
      <c r="AD243" s="2939"/>
    </row>
    <row r="244" spans="1:30">
      <c r="A244" s="6705">
        <v>229</v>
      </c>
      <c r="B244" s="6701" t="s">
        <v>6515</v>
      </c>
      <c r="C244" s="6706" t="s">
        <v>6516</v>
      </c>
      <c r="D244" s="6707" t="s">
        <v>6517</v>
      </c>
      <c r="E244" s="6708"/>
      <c r="F244" s="6705">
        <v>553</v>
      </c>
      <c r="G244" s="6701" t="s">
        <v>6518</v>
      </c>
      <c r="H244" s="6706" t="s">
        <v>6519</v>
      </c>
      <c r="I244" s="6707" t="s">
        <v>6520</v>
      </c>
      <c r="J244" s="6708"/>
      <c r="K244" s="6705">
        <v>877</v>
      </c>
      <c r="L244" s="6701" t="s">
        <v>6521</v>
      </c>
      <c r="M244" s="6706" t="s">
        <v>6522</v>
      </c>
      <c r="N244" s="6707" t="s">
        <v>6523</v>
      </c>
      <c r="O244" s="6708"/>
      <c r="P244" s="6705">
        <v>1201</v>
      </c>
      <c r="Q244" s="6701" t="s">
        <v>6524</v>
      </c>
      <c r="R244" s="6706" t="s">
        <v>6525</v>
      </c>
      <c r="S244" s="6707" t="s">
        <v>6526</v>
      </c>
      <c r="T244" s="2939"/>
      <c r="U244" s="2939"/>
      <c r="V244" s="2939"/>
      <c r="W244" s="2939"/>
      <c r="X244" s="2939"/>
      <c r="Y244" s="2939"/>
      <c r="Z244" s="2939"/>
      <c r="AA244" s="2939"/>
      <c r="AB244" s="2939"/>
      <c r="AC244" s="2939"/>
      <c r="AD244" s="2939"/>
    </row>
    <row r="245" spans="1:30">
      <c r="A245" s="6705">
        <v>230</v>
      </c>
      <c r="B245" s="6701" t="s">
        <v>6527</v>
      </c>
      <c r="C245" s="6706" t="s">
        <v>6528</v>
      </c>
      <c r="D245" s="6707" t="s">
        <v>6529</v>
      </c>
      <c r="E245" s="6708"/>
      <c r="F245" s="6705">
        <v>554</v>
      </c>
      <c r="G245" s="6701" t="s">
        <v>6530</v>
      </c>
      <c r="H245" s="6706" t="s">
        <v>6531</v>
      </c>
      <c r="I245" s="6707" t="s">
        <v>6532</v>
      </c>
      <c r="J245" s="6708"/>
      <c r="K245" s="6705">
        <v>878</v>
      </c>
      <c r="L245" s="6701" t="s">
        <v>6533</v>
      </c>
      <c r="M245" s="6706" t="s">
        <v>6534</v>
      </c>
      <c r="N245" s="6707" t="s">
        <v>6512</v>
      </c>
      <c r="O245" s="6708"/>
      <c r="P245" s="6705">
        <v>1202</v>
      </c>
      <c r="Q245" s="6701" t="s">
        <v>6535</v>
      </c>
      <c r="R245" s="6706" t="s">
        <v>6536</v>
      </c>
      <c r="S245" s="6707" t="s">
        <v>6537</v>
      </c>
      <c r="T245" s="2939"/>
      <c r="U245" s="2939"/>
      <c r="V245" s="2939"/>
      <c r="W245" s="2939"/>
      <c r="X245" s="2939"/>
      <c r="Y245" s="2939"/>
      <c r="Z245" s="2939"/>
      <c r="AA245" s="2939"/>
      <c r="AB245" s="2939"/>
      <c r="AC245" s="2939"/>
      <c r="AD245" s="2939"/>
    </row>
    <row r="246" spans="1:30">
      <c r="A246" s="6705">
        <v>231</v>
      </c>
      <c r="B246" s="6701" t="s">
        <v>6538</v>
      </c>
      <c r="C246" s="6706" t="s">
        <v>6539</v>
      </c>
      <c r="D246" s="6707" t="s">
        <v>6540</v>
      </c>
      <c r="E246" s="6708"/>
      <c r="F246" s="6705">
        <v>555</v>
      </c>
      <c r="G246" s="6701" t="s">
        <v>6541</v>
      </c>
      <c r="H246" s="6706" t="s">
        <v>6542</v>
      </c>
      <c r="I246" s="6707" t="s">
        <v>6543</v>
      </c>
      <c r="J246" s="6708"/>
      <c r="K246" s="6705">
        <v>879</v>
      </c>
      <c r="L246" s="6701" t="s">
        <v>6544</v>
      </c>
      <c r="M246" s="6706" t="s">
        <v>6545</v>
      </c>
      <c r="N246" s="6707" t="s">
        <v>6546</v>
      </c>
      <c r="O246" s="6708"/>
      <c r="P246" s="6705">
        <v>1203</v>
      </c>
      <c r="Q246" s="6701" t="s">
        <v>6547</v>
      </c>
      <c r="R246" s="6706" t="s">
        <v>6548</v>
      </c>
      <c r="S246" s="6707" t="s">
        <v>6549</v>
      </c>
      <c r="T246" s="2939"/>
      <c r="U246" s="2939"/>
      <c r="V246" s="2939"/>
      <c r="W246" s="2939"/>
      <c r="X246" s="2939"/>
      <c r="Y246" s="2939"/>
      <c r="Z246" s="2939"/>
      <c r="AA246" s="2939"/>
      <c r="AB246" s="2939"/>
      <c r="AC246" s="2939"/>
      <c r="AD246" s="2939"/>
    </row>
    <row r="247" spans="1:30">
      <c r="A247" s="6705">
        <v>232</v>
      </c>
      <c r="B247" s="6701" t="s">
        <v>6550</v>
      </c>
      <c r="C247" s="6706" t="s">
        <v>6551</v>
      </c>
      <c r="D247" s="6707" t="s">
        <v>6552</v>
      </c>
      <c r="E247" s="6708"/>
      <c r="F247" s="6705">
        <v>556</v>
      </c>
      <c r="G247" s="6701" t="s">
        <v>6553</v>
      </c>
      <c r="H247" s="6706" t="s">
        <v>6554</v>
      </c>
      <c r="I247" s="6707" t="s">
        <v>6555</v>
      </c>
      <c r="J247" s="6708"/>
      <c r="K247" s="6705">
        <v>880</v>
      </c>
      <c r="L247" s="6701" t="s">
        <v>6556</v>
      </c>
      <c r="M247" s="6706" t="s">
        <v>6557</v>
      </c>
      <c r="N247" s="6707" t="s">
        <v>6558</v>
      </c>
      <c r="O247" s="6708"/>
      <c r="P247" s="6705">
        <v>1204</v>
      </c>
      <c r="Q247" s="6701" t="s">
        <v>6559</v>
      </c>
      <c r="R247" s="6706" t="s">
        <v>6560</v>
      </c>
      <c r="S247" s="6707" t="s">
        <v>6561</v>
      </c>
      <c r="T247" s="2939"/>
      <c r="U247" s="2939"/>
      <c r="V247" s="2939"/>
      <c r="W247" s="2939"/>
      <c r="X247" s="2939"/>
      <c r="Y247" s="2939"/>
      <c r="Z247" s="2939"/>
      <c r="AA247" s="2939"/>
      <c r="AB247" s="2939"/>
      <c r="AC247" s="2939"/>
      <c r="AD247" s="2939"/>
    </row>
    <row r="248" spans="1:30">
      <c r="A248" s="6705">
        <v>233</v>
      </c>
      <c r="B248" s="6701" t="s">
        <v>6562</v>
      </c>
      <c r="C248" s="6706" t="s">
        <v>6563</v>
      </c>
      <c r="D248" s="6707" t="s">
        <v>6564</v>
      </c>
      <c r="E248" s="6708"/>
      <c r="F248" s="6705">
        <v>557</v>
      </c>
      <c r="G248" s="6701" t="s">
        <v>6565</v>
      </c>
      <c r="H248" s="6706" t="s">
        <v>6566</v>
      </c>
      <c r="I248" s="6707" t="s">
        <v>6567</v>
      </c>
      <c r="J248" s="6708"/>
      <c r="K248" s="6705">
        <v>881</v>
      </c>
      <c r="L248" s="6701" t="s">
        <v>6568</v>
      </c>
      <c r="M248" s="6706" t="s">
        <v>6569</v>
      </c>
      <c r="N248" s="6707" t="s">
        <v>6570</v>
      </c>
      <c r="O248" s="6708"/>
      <c r="P248" s="6705">
        <v>1205</v>
      </c>
      <c r="Q248" s="6701" t="s">
        <v>6571</v>
      </c>
      <c r="R248" s="6706" t="s">
        <v>6572</v>
      </c>
      <c r="S248" s="6707" t="s">
        <v>6573</v>
      </c>
      <c r="T248" s="2939"/>
      <c r="U248" s="2939"/>
      <c r="V248" s="2939"/>
      <c r="W248" s="2939"/>
      <c r="X248" s="2939"/>
      <c r="Y248" s="2939"/>
      <c r="Z248" s="2939"/>
      <c r="AA248" s="2939"/>
      <c r="AB248" s="2939"/>
      <c r="AC248" s="2939"/>
      <c r="AD248" s="2939"/>
    </row>
    <row r="249" spans="1:30">
      <c r="A249" s="6705">
        <v>234</v>
      </c>
      <c r="B249" s="6701" t="s">
        <v>6574</v>
      </c>
      <c r="C249" s="6706" t="s">
        <v>6575</v>
      </c>
      <c r="D249" s="6707" t="s">
        <v>6576</v>
      </c>
      <c r="E249" s="6708"/>
      <c r="F249" s="6705">
        <v>558</v>
      </c>
      <c r="G249" s="6701" t="s">
        <v>6577</v>
      </c>
      <c r="H249" s="6706" t="s">
        <v>6578</v>
      </c>
      <c r="I249" s="6707" t="s">
        <v>6579</v>
      </c>
      <c r="J249" s="6708"/>
      <c r="K249" s="6705">
        <v>882</v>
      </c>
      <c r="L249" s="6701" t="s">
        <v>6580</v>
      </c>
      <c r="M249" s="6706" t="s">
        <v>6581</v>
      </c>
      <c r="N249" s="6707" t="s">
        <v>6582</v>
      </c>
      <c r="O249" s="6708"/>
      <c r="P249" s="6705">
        <v>1206</v>
      </c>
      <c r="Q249" s="6701" t="s">
        <v>6583</v>
      </c>
      <c r="R249" s="6706" t="s">
        <v>6584</v>
      </c>
      <c r="S249" s="6707" t="s">
        <v>6585</v>
      </c>
      <c r="T249" s="2939"/>
      <c r="U249" s="2939"/>
      <c r="V249" s="2939"/>
      <c r="W249" s="2939"/>
      <c r="X249" s="2939"/>
      <c r="Y249" s="2939"/>
      <c r="Z249" s="2939"/>
      <c r="AA249" s="2939"/>
      <c r="AB249" s="2939"/>
      <c r="AC249" s="2939"/>
      <c r="AD249" s="2939"/>
    </row>
    <row r="250" spans="1:30">
      <c r="A250" s="6705">
        <v>235</v>
      </c>
      <c r="B250" s="6701" t="s">
        <v>6586</v>
      </c>
      <c r="C250" s="6706" t="s">
        <v>6587</v>
      </c>
      <c r="D250" s="6707" t="s">
        <v>6588</v>
      </c>
      <c r="E250" s="6708"/>
      <c r="F250" s="6705">
        <v>559</v>
      </c>
      <c r="G250" s="6701" t="s">
        <v>6589</v>
      </c>
      <c r="H250" s="6706" t="s">
        <v>6590</v>
      </c>
      <c r="I250" s="6707" t="s">
        <v>6591</v>
      </c>
      <c r="J250" s="6708"/>
      <c r="K250" s="6705">
        <v>883</v>
      </c>
      <c r="L250" s="6701" t="s">
        <v>6592</v>
      </c>
      <c r="M250" s="6706" t="s">
        <v>6593</v>
      </c>
      <c r="N250" s="6707" t="s">
        <v>6594</v>
      </c>
      <c r="O250" s="6708"/>
      <c r="P250" s="6705">
        <v>1207</v>
      </c>
      <c r="Q250" s="6701" t="s">
        <v>6595</v>
      </c>
      <c r="R250" s="6706" t="s">
        <v>6596</v>
      </c>
      <c r="S250" s="6707" t="s">
        <v>6597</v>
      </c>
      <c r="T250" s="2939"/>
      <c r="U250" s="2939"/>
      <c r="V250" s="2939"/>
      <c r="W250" s="2939"/>
      <c r="X250" s="2939"/>
      <c r="Y250" s="2939"/>
      <c r="Z250" s="2939"/>
      <c r="AA250" s="2939"/>
      <c r="AB250" s="2939"/>
      <c r="AC250" s="2939"/>
      <c r="AD250" s="2939"/>
    </row>
    <row r="251" spans="1:30">
      <c r="A251" s="6705">
        <v>236</v>
      </c>
      <c r="B251" s="6701" t="s">
        <v>6598</v>
      </c>
      <c r="C251" s="6706" t="s">
        <v>6599</v>
      </c>
      <c r="D251" s="6707" t="s">
        <v>6600</v>
      </c>
      <c r="E251" s="6708"/>
      <c r="F251" s="6705">
        <v>560</v>
      </c>
      <c r="G251" s="6701" t="s">
        <v>6601</v>
      </c>
      <c r="H251" s="6706" t="s">
        <v>6602</v>
      </c>
      <c r="I251" s="6707" t="s">
        <v>6603</v>
      </c>
      <c r="J251" s="6708"/>
      <c r="K251" s="6705">
        <v>884</v>
      </c>
      <c r="L251" s="6701" t="s">
        <v>6604</v>
      </c>
      <c r="M251" s="6706" t="s">
        <v>6605</v>
      </c>
      <c r="N251" s="6707" t="s">
        <v>6606</v>
      </c>
      <c r="O251" s="6708"/>
      <c r="P251" s="6705">
        <v>1208</v>
      </c>
      <c r="Q251" s="6701" t="s">
        <v>6607</v>
      </c>
      <c r="R251" s="6706" t="s">
        <v>6608</v>
      </c>
      <c r="S251" s="6707" t="s">
        <v>6609</v>
      </c>
      <c r="T251" s="2939"/>
      <c r="U251" s="2939"/>
      <c r="V251" s="2939"/>
      <c r="W251" s="2939"/>
      <c r="X251" s="2939"/>
      <c r="Y251" s="2939"/>
      <c r="Z251" s="2939"/>
      <c r="AA251" s="2939"/>
      <c r="AB251" s="2939"/>
      <c r="AC251" s="2939"/>
      <c r="AD251" s="2939"/>
    </row>
    <row r="252" spans="1:30">
      <c r="A252" s="6705">
        <v>237</v>
      </c>
      <c r="B252" s="6701" t="s">
        <v>6610</v>
      </c>
      <c r="C252" s="6706" t="s">
        <v>6611</v>
      </c>
      <c r="D252" s="6707" t="s">
        <v>6612</v>
      </c>
      <c r="E252" s="6708"/>
      <c r="F252" s="6705">
        <v>561</v>
      </c>
      <c r="G252" s="6701" t="s">
        <v>6613</v>
      </c>
      <c r="H252" s="6706" t="s">
        <v>6614</v>
      </c>
      <c r="I252" s="6707" t="s">
        <v>6615</v>
      </c>
      <c r="J252" s="6708"/>
      <c r="K252" s="6705">
        <v>885</v>
      </c>
      <c r="L252" s="6701" t="s">
        <v>6616</v>
      </c>
      <c r="M252" s="6706" t="s">
        <v>6617</v>
      </c>
      <c r="N252" s="6707" t="s">
        <v>6618</v>
      </c>
      <c r="O252" s="6708"/>
      <c r="P252" s="6705">
        <v>1209</v>
      </c>
      <c r="Q252" s="6701" t="s">
        <v>6619</v>
      </c>
      <c r="R252" s="6706" t="s">
        <v>6620</v>
      </c>
      <c r="S252" s="6707" t="s">
        <v>6621</v>
      </c>
      <c r="T252" s="2939"/>
      <c r="U252" s="2939"/>
      <c r="V252" s="2939"/>
      <c r="W252" s="2939"/>
      <c r="X252" s="2939"/>
      <c r="Y252" s="2939"/>
      <c r="Z252" s="2939"/>
      <c r="AA252" s="2939"/>
      <c r="AB252" s="2939"/>
      <c r="AC252" s="2939"/>
      <c r="AD252" s="2939"/>
    </row>
    <row r="253" spans="1:30">
      <c r="A253" s="6705">
        <v>238</v>
      </c>
      <c r="B253" s="6701" t="s">
        <v>6622</v>
      </c>
      <c r="C253" s="6706" t="s">
        <v>6623</v>
      </c>
      <c r="D253" s="6707" t="s">
        <v>6624</v>
      </c>
      <c r="E253" s="6708"/>
      <c r="F253" s="6705">
        <v>562</v>
      </c>
      <c r="G253" s="6701" t="s">
        <v>6625</v>
      </c>
      <c r="H253" s="6706" t="s">
        <v>6626</v>
      </c>
      <c r="I253" s="6707" t="s">
        <v>6627</v>
      </c>
      <c r="J253" s="6708"/>
      <c r="K253" s="6705">
        <v>886</v>
      </c>
      <c r="L253" s="6701" t="s">
        <v>6628</v>
      </c>
      <c r="M253" s="6706" t="s">
        <v>6629</v>
      </c>
      <c r="N253" s="6707" t="s">
        <v>6630</v>
      </c>
      <c r="O253" s="6708"/>
      <c r="P253" s="6705">
        <v>1210</v>
      </c>
      <c r="Q253" s="6701" t="s">
        <v>6631</v>
      </c>
      <c r="R253" s="6706" t="s">
        <v>6632</v>
      </c>
      <c r="S253" s="6707" t="s">
        <v>6633</v>
      </c>
      <c r="T253" s="2939"/>
      <c r="U253" s="2939"/>
      <c r="V253" s="2939"/>
      <c r="W253" s="2939"/>
      <c r="X253" s="2939"/>
      <c r="Y253" s="2939"/>
      <c r="Z253" s="2939"/>
      <c r="AA253" s="2939"/>
      <c r="AB253" s="2939"/>
      <c r="AC253" s="2939"/>
      <c r="AD253" s="2939"/>
    </row>
    <row r="254" spans="1:30">
      <c r="A254" s="6705">
        <v>239</v>
      </c>
      <c r="B254" s="6701" t="s">
        <v>6634</v>
      </c>
      <c r="C254" s="6706" t="s">
        <v>6635</v>
      </c>
      <c r="D254" s="6707" t="s">
        <v>6636</v>
      </c>
      <c r="E254" s="6708"/>
      <c r="F254" s="6705">
        <v>563</v>
      </c>
      <c r="G254" s="6701" t="s">
        <v>6637</v>
      </c>
      <c r="H254" s="6706" t="s">
        <v>6638</v>
      </c>
      <c r="I254" s="6707" t="s">
        <v>6639</v>
      </c>
      <c r="J254" s="6708"/>
      <c r="K254" s="6705">
        <v>887</v>
      </c>
      <c r="L254" s="6701" t="s">
        <v>6640</v>
      </c>
      <c r="M254" s="6706" t="s">
        <v>3903</v>
      </c>
      <c r="N254" s="6707" t="s">
        <v>6523</v>
      </c>
      <c r="O254" s="6708"/>
      <c r="P254" s="6705">
        <v>1211</v>
      </c>
      <c r="Q254" s="6701" t="s">
        <v>6641</v>
      </c>
      <c r="R254" s="6706" t="s">
        <v>6642</v>
      </c>
      <c r="S254" s="6707" t="s">
        <v>6643</v>
      </c>
      <c r="T254" s="2939"/>
      <c r="U254" s="2939"/>
      <c r="V254" s="2939"/>
      <c r="W254" s="2939"/>
      <c r="X254" s="2939"/>
      <c r="Y254" s="2939"/>
      <c r="Z254" s="2939"/>
      <c r="AA254" s="2939"/>
      <c r="AB254" s="2939"/>
      <c r="AC254" s="2939"/>
      <c r="AD254" s="2939"/>
    </row>
    <row r="255" spans="1:30">
      <c r="A255" s="6705">
        <v>240</v>
      </c>
      <c r="B255" s="6701" t="s">
        <v>6644</v>
      </c>
      <c r="C255" s="6706" t="s">
        <v>6645</v>
      </c>
      <c r="D255" s="6707" t="s">
        <v>6646</v>
      </c>
      <c r="E255" s="6708"/>
      <c r="F255" s="6705">
        <v>564</v>
      </c>
      <c r="G255" s="6701" t="s">
        <v>6647</v>
      </c>
      <c r="H255" s="6706" t="s">
        <v>6648</v>
      </c>
      <c r="I255" s="6707" t="s">
        <v>6649</v>
      </c>
      <c r="J255" s="6708"/>
      <c r="K255" s="6705">
        <v>888</v>
      </c>
      <c r="L255" s="6701" t="s">
        <v>6650</v>
      </c>
      <c r="M255" s="6706" t="s">
        <v>6651</v>
      </c>
      <c r="N255" s="6707" t="s">
        <v>6652</v>
      </c>
      <c r="O255" s="6708"/>
      <c r="P255" s="6705">
        <v>1212</v>
      </c>
      <c r="Q255" s="6701" t="s">
        <v>6653</v>
      </c>
      <c r="R255" s="6706" t="s">
        <v>6654</v>
      </c>
      <c r="S255" s="6707" t="s">
        <v>977</v>
      </c>
      <c r="T255" s="2939"/>
      <c r="U255" s="2939"/>
      <c r="V255" s="2939"/>
      <c r="W255" s="2939"/>
      <c r="X255" s="2939"/>
      <c r="Y255" s="2939"/>
      <c r="Z255" s="2939"/>
      <c r="AA255" s="2939"/>
      <c r="AB255" s="2939"/>
      <c r="AC255" s="2939"/>
      <c r="AD255" s="2939"/>
    </row>
    <row r="256" spans="1:30">
      <c r="A256" s="6705">
        <v>241</v>
      </c>
      <c r="B256" s="6701" t="s">
        <v>6655</v>
      </c>
      <c r="C256" s="6706" t="s">
        <v>6656</v>
      </c>
      <c r="D256" s="6707" t="s">
        <v>6657</v>
      </c>
      <c r="E256" s="6708"/>
      <c r="F256" s="6705">
        <v>565</v>
      </c>
      <c r="G256" s="6701" t="s">
        <v>6658</v>
      </c>
      <c r="H256" s="6706" t="s">
        <v>6659</v>
      </c>
      <c r="I256" s="6707" t="s">
        <v>6660</v>
      </c>
      <c r="J256" s="6708"/>
      <c r="K256" s="6705">
        <v>889</v>
      </c>
      <c r="L256" s="6701" t="s">
        <v>6661</v>
      </c>
      <c r="M256" s="6706" t="s">
        <v>6662</v>
      </c>
      <c r="N256" s="6707" t="s">
        <v>6663</v>
      </c>
      <c r="O256" s="6708"/>
      <c r="P256" s="6705">
        <v>1213</v>
      </c>
      <c r="Q256" s="6701" t="s">
        <v>6664</v>
      </c>
      <c r="R256" s="6706" t="s">
        <v>6665</v>
      </c>
      <c r="S256" s="6707" t="s">
        <v>6666</v>
      </c>
      <c r="T256" s="2939"/>
      <c r="U256" s="2939"/>
      <c r="V256" s="2939"/>
      <c r="W256" s="2939"/>
      <c r="X256" s="2939"/>
      <c r="Y256" s="2939"/>
      <c r="Z256" s="2939"/>
      <c r="AA256" s="2939"/>
      <c r="AB256" s="2939"/>
      <c r="AC256" s="2939"/>
      <c r="AD256" s="2939"/>
    </row>
    <row r="257" spans="1:30">
      <c r="A257" s="6705">
        <v>242</v>
      </c>
      <c r="B257" s="6701" t="s">
        <v>6667</v>
      </c>
      <c r="C257" s="6706" t="s">
        <v>6668</v>
      </c>
      <c r="D257" s="6707" t="s">
        <v>6526</v>
      </c>
      <c r="E257" s="6708"/>
      <c r="F257" s="6705">
        <v>566</v>
      </c>
      <c r="G257" s="6701" t="s">
        <v>6669</v>
      </c>
      <c r="H257" s="6706" t="s">
        <v>6670</v>
      </c>
      <c r="I257" s="6707" t="s">
        <v>6671</v>
      </c>
      <c r="J257" s="6708"/>
      <c r="K257" s="6705">
        <v>890</v>
      </c>
      <c r="L257" s="6701" t="s">
        <v>6672</v>
      </c>
      <c r="M257" s="6706" t="s">
        <v>6673</v>
      </c>
      <c r="N257" s="6707" t="s">
        <v>6674</v>
      </c>
      <c r="O257" s="6708"/>
      <c r="P257" s="6705">
        <v>1214</v>
      </c>
      <c r="Q257" s="6701" t="s">
        <v>6675</v>
      </c>
      <c r="R257" s="6706" t="s">
        <v>6676</v>
      </c>
      <c r="S257" s="6707" t="s">
        <v>1485</v>
      </c>
      <c r="T257" s="2939"/>
      <c r="U257" s="2939"/>
      <c r="V257" s="2939"/>
      <c r="W257" s="2939"/>
      <c r="X257" s="2939"/>
      <c r="Y257" s="2939"/>
      <c r="Z257" s="2939"/>
      <c r="AA257" s="2939"/>
      <c r="AB257" s="2939"/>
      <c r="AC257" s="2939"/>
      <c r="AD257" s="2939"/>
    </row>
    <row r="258" spans="1:30">
      <c r="A258" s="6705">
        <v>243</v>
      </c>
      <c r="B258" s="6701" t="s">
        <v>6677</v>
      </c>
      <c r="C258" s="6706" t="s">
        <v>6678</v>
      </c>
      <c r="D258" s="6707" t="s">
        <v>6679</v>
      </c>
      <c r="E258" s="6708"/>
      <c r="F258" s="6705">
        <v>567</v>
      </c>
      <c r="G258" s="6701" t="s">
        <v>6680</v>
      </c>
      <c r="H258" s="6706" t="s">
        <v>6681</v>
      </c>
      <c r="I258" s="6707" t="s">
        <v>6682</v>
      </c>
      <c r="J258" s="6708"/>
      <c r="K258" s="6705">
        <v>891</v>
      </c>
      <c r="L258" s="6701" t="s">
        <v>6683</v>
      </c>
      <c r="M258" s="6706" t="s">
        <v>6684</v>
      </c>
      <c r="N258" s="6707" t="s">
        <v>6685</v>
      </c>
      <c r="O258" s="6708"/>
      <c r="P258" s="6705">
        <v>1215</v>
      </c>
      <c r="Q258" s="6701" t="s">
        <v>6686</v>
      </c>
      <c r="R258" s="6706" t="s">
        <v>6687</v>
      </c>
      <c r="S258" s="6707" t="s">
        <v>6688</v>
      </c>
      <c r="T258" s="2939"/>
      <c r="U258" s="2939"/>
      <c r="V258" s="2939"/>
      <c r="W258" s="2939"/>
      <c r="X258" s="2939"/>
      <c r="Y258" s="2939"/>
      <c r="Z258" s="2939"/>
      <c r="AA258" s="2939"/>
      <c r="AB258" s="2939"/>
      <c r="AC258" s="2939"/>
      <c r="AD258" s="2939"/>
    </row>
    <row r="259" spans="1:30">
      <c r="A259" s="6705">
        <v>244</v>
      </c>
      <c r="B259" s="6701" t="s">
        <v>6689</v>
      </c>
      <c r="C259" s="6706" t="s">
        <v>6690</v>
      </c>
      <c r="D259" s="6707" t="s">
        <v>6691</v>
      </c>
      <c r="E259" s="6708"/>
      <c r="F259" s="6705">
        <v>568</v>
      </c>
      <c r="G259" s="6701" t="s">
        <v>6692</v>
      </c>
      <c r="H259" s="6706" t="s">
        <v>6693</v>
      </c>
      <c r="I259" s="6707" t="s">
        <v>6694</v>
      </c>
      <c r="J259" s="6708"/>
      <c r="K259" s="6705">
        <v>892</v>
      </c>
      <c r="L259" s="6701" t="s">
        <v>6695</v>
      </c>
      <c r="M259" s="6706" t="s">
        <v>6696</v>
      </c>
      <c r="N259" s="6707" t="s">
        <v>6697</v>
      </c>
      <c r="O259" s="6708"/>
      <c r="P259" s="6705">
        <v>1216</v>
      </c>
      <c r="Q259" s="6701" t="s">
        <v>6698</v>
      </c>
      <c r="R259" s="6706" t="s">
        <v>6699</v>
      </c>
      <c r="S259" s="6707" t="s">
        <v>6700</v>
      </c>
      <c r="T259" s="2939"/>
      <c r="U259" s="2939"/>
      <c r="V259" s="2939"/>
      <c r="W259" s="2939"/>
      <c r="X259" s="2939"/>
      <c r="Y259" s="2939"/>
      <c r="Z259" s="2939"/>
      <c r="AA259" s="2939"/>
      <c r="AB259" s="2939"/>
      <c r="AC259" s="2939"/>
      <c r="AD259" s="2939"/>
    </row>
    <row r="260" spans="1:30">
      <c r="A260" s="6705">
        <v>245</v>
      </c>
      <c r="B260" s="6701" t="s">
        <v>6701</v>
      </c>
      <c r="C260" s="6706" t="s">
        <v>6702</v>
      </c>
      <c r="D260" s="6707" t="s">
        <v>6703</v>
      </c>
      <c r="E260" s="6708"/>
      <c r="F260" s="6705">
        <v>569</v>
      </c>
      <c r="G260" s="6701" t="s">
        <v>6704</v>
      </c>
      <c r="H260" s="6706" t="s">
        <v>6705</v>
      </c>
      <c r="I260" s="6707" t="s">
        <v>6706</v>
      </c>
      <c r="J260" s="6708"/>
      <c r="K260" s="6705">
        <v>893</v>
      </c>
      <c r="L260" s="6701" t="s">
        <v>6707</v>
      </c>
      <c r="M260" s="6706" t="s">
        <v>6708</v>
      </c>
      <c r="N260" s="6707" t="s">
        <v>6709</v>
      </c>
      <c r="O260" s="6708"/>
      <c r="P260" s="6705">
        <v>1217</v>
      </c>
      <c r="Q260" s="6701" t="s">
        <v>6710</v>
      </c>
      <c r="R260" s="6706" t="s">
        <v>6711</v>
      </c>
      <c r="S260" s="6707" t="s">
        <v>6712</v>
      </c>
      <c r="T260" s="2939"/>
      <c r="U260" s="2939"/>
      <c r="V260" s="2939"/>
      <c r="W260" s="2939"/>
      <c r="X260" s="2939"/>
      <c r="Y260" s="2939"/>
      <c r="Z260" s="2939"/>
      <c r="AA260" s="2939"/>
      <c r="AB260" s="2939"/>
      <c r="AC260" s="2939"/>
      <c r="AD260" s="2939"/>
    </row>
    <row r="261" spans="1:30">
      <c r="A261" s="6705">
        <v>246</v>
      </c>
      <c r="B261" s="6701" t="s">
        <v>6713</v>
      </c>
      <c r="C261" s="6706" t="s">
        <v>6714</v>
      </c>
      <c r="D261" s="6707" t="s">
        <v>6715</v>
      </c>
      <c r="E261" s="6708"/>
      <c r="F261" s="6705">
        <v>570</v>
      </c>
      <c r="G261" s="6701" t="s">
        <v>6716</v>
      </c>
      <c r="H261" s="6706" t="s">
        <v>6717</v>
      </c>
      <c r="I261" s="6707" t="s">
        <v>6718</v>
      </c>
      <c r="J261" s="6708"/>
      <c r="K261" s="6705">
        <v>894</v>
      </c>
      <c r="L261" s="6701" t="s">
        <v>6719</v>
      </c>
      <c r="M261" s="6706" t="s">
        <v>6720</v>
      </c>
      <c r="N261" s="6707" t="s">
        <v>6721</v>
      </c>
      <c r="O261" s="6708"/>
      <c r="P261" s="6705">
        <v>1218</v>
      </c>
      <c r="Q261" s="6701" t="s">
        <v>6722</v>
      </c>
      <c r="R261" s="6706" t="s">
        <v>6723</v>
      </c>
      <c r="S261" s="6707" t="s">
        <v>979</v>
      </c>
      <c r="T261" s="2939"/>
      <c r="U261" s="2939"/>
      <c r="V261" s="2939"/>
      <c r="W261" s="2939"/>
      <c r="X261" s="2939"/>
      <c r="Y261" s="2939"/>
      <c r="Z261" s="2939"/>
      <c r="AA261" s="2939"/>
      <c r="AB261" s="2939"/>
      <c r="AC261" s="2939"/>
      <c r="AD261" s="2939"/>
    </row>
    <row r="262" spans="1:30">
      <c r="A262" s="6705">
        <v>247</v>
      </c>
      <c r="B262" s="6701" t="s">
        <v>6724</v>
      </c>
      <c r="C262" s="6706" t="s">
        <v>6725</v>
      </c>
      <c r="D262" s="6707" t="s">
        <v>6726</v>
      </c>
      <c r="E262" s="6708"/>
      <c r="F262" s="6705">
        <v>571</v>
      </c>
      <c r="G262" s="6701" t="s">
        <v>6727</v>
      </c>
      <c r="H262" s="6706" t="s">
        <v>6728</v>
      </c>
      <c r="I262" s="6707" t="s">
        <v>6729</v>
      </c>
      <c r="J262" s="6708"/>
      <c r="K262" s="6705">
        <v>895</v>
      </c>
      <c r="L262" s="6701" t="s">
        <v>6730</v>
      </c>
      <c r="M262" s="6706" t="s">
        <v>6731</v>
      </c>
      <c r="N262" s="6707" t="s">
        <v>6732</v>
      </c>
      <c r="O262" s="6708"/>
      <c r="P262" s="6705">
        <v>1219</v>
      </c>
      <c r="Q262" s="6701" t="s">
        <v>6733</v>
      </c>
      <c r="R262" s="6706" t="s">
        <v>6734</v>
      </c>
      <c r="S262" s="6707" t="s">
        <v>6735</v>
      </c>
      <c r="T262" s="2939"/>
      <c r="U262" s="2939"/>
      <c r="V262" s="2939"/>
      <c r="W262" s="2939"/>
      <c r="X262" s="2939"/>
      <c r="Y262" s="2939"/>
      <c r="Z262" s="2939"/>
      <c r="AA262" s="2939"/>
      <c r="AB262" s="2939"/>
      <c r="AC262" s="2939"/>
      <c r="AD262" s="2939"/>
    </row>
    <row r="263" spans="1:30">
      <c r="A263" s="6705">
        <v>248</v>
      </c>
      <c r="B263" s="6701" t="s">
        <v>6736</v>
      </c>
      <c r="C263" s="6706" t="s">
        <v>6737</v>
      </c>
      <c r="D263" s="6707" t="s">
        <v>6738</v>
      </c>
      <c r="E263" s="6708"/>
      <c r="F263" s="6705">
        <v>572</v>
      </c>
      <c r="G263" s="6701" t="s">
        <v>6739</v>
      </c>
      <c r="H263" s="6706" t="s">
        <v>6740</v>
      </c>
      <c r="I263" s="6707" t="s">
        <v>6741</v>
      </c>
      <c r="J263" s="6708"/>
      <c r="K263" s="6705">
        <v>896</v>
      </c>
      <c r="L263" s="6701" t="s">
        <v>6742</v>
      </c>
      <c r="M263" s="6706" t="s">
        <v>6743</v>
      </c>
      <c r="N263" s="6707" t="s">
        <v>6744</v>
      </c>
      <c r="O263" s="6708"/>
      <c r="P263" s="6705">
        <v>1220</v>
      </c>
      <c r="Q263" s="6701" t="s">
        <v>6745</v>
      </c>
      <c r="R263" s="6706" t="s">
        <v>6746</v>
      </c>
      <c r="S263" s="6707" t="s">
        <v>2081</v>
      </c>
      <c r="T263" s="2939"/>
      <c r="U263" s="2939"/>
      <c r="V263" s="2939"/>
      <c r="W263" s="2939"/>
      <c r="X263" s="2939"/>
      <c r="Y263" s="2939"/>
      <c r="Z263" s="2939"/>
      <c r="AA263" s="2939"/>
      <c r="AB263" s="2939"/>
      <c r="AC263" s="2939"/>
      <c r="AD263" s="2939"/>
    </row>
    <row r="264" spans="1:30">
      <c r="A264" s="6705">
        <v>249</v>
      </c>
      <c r="B264" s="6701" t="s">
        <v>6747</v>
      </c>
      <c r="C264" s="6706" t="s">
        <v>6748</v>
      </c>
      <c r="D264" s="6707" t="s">
        <v>6749</v>
      </c>
      <c r="E264" s="6708"/>
      <c r="F264" s="6705">
        <v>573</v>
      </c>
      <c r="G264" s="6701" t="s">
        <v>6750</v>
      </c>
      <c r="H264" s="6706" t="s">
        <v>6751</v>
      </c>
      <c r="I264" s="6707" t="s">
        <v>6752</v>
      </c>
      <c r="J264" s="6708"/>
      <c r="K264" s="6705">
        <v>897</v>
      </c>
      <c r="L264" s="6701" t="s">
        <v>6753</v>
      </c>
      <c r="M264" s="6706" t="s">
        <v>6754</v>
      </c>
      <c r="N264" s="6707" t="s">
        <v>6755</v>
      </c>
      <c r="O264" s="6708"/>
      <c r="P264" s="6705">
        <v>1221</v>
      </c>
      <c r="Q264" s="6701" t="s">
        <v>6756</v>
      </c>
      <c r="R264" s="6706" t="s">
        <v>6757</v>
      </c>
      <c r="S264" s="6707" t="s">
        <v>6758</v>
      </c>
      <c r="T264" s="2939"/>
      <c r="U264" s="2939"/>
      <c r="V264" s="2939"/>
      <c r="W264" s="2939"/>
      <c r="X264" s="2939"/>
      <c r="Y264" s="2939"/>
      <c r="Z264" s="2939"/>
      <c r="AA264" s="2939"/>
      <c r="AB264" s="2939"/>
      <c r="AC264" s="2939"/>
      <c r="AD264" s="2939"/>
    </row>
    <row r="265" spans="1:30">
      <c r="A265" s="6705">
        <v>250</v>
      </c>
      <c r="B265" s="6701" t="s">
        <v>6759</v>
      </c>
      <c r="C265" s="6706" t="s">
        <v>6760</v>
      </c>
      <c r="D265" s="6707" t="s">
        <v>6761</v>
      </c>
      <c r="E265" s="6708"/>
      <c r="F265" s="6705">
        <v>574</v>
      </c>
      <c r="G265" s="6701" t="s">
        <v>6762</v>
      </c>
      <c r="H265" s="6706" t="s">
        <v>6763</v>
      </c>
      <c r="I265" s="6707" t="s">
        <v>6764</v>
      </c>
      <c r="J265" s="6708"/>
      <c r="K265" s="6705">
        <v>898</v>
      </c>
      <c r="L265" s="6701" t="s">
        <v>6765</v>
      </c>
      <c r="M265" s="6706" t="s">
        <v>6766</v>
      </c>
      <c r="N265" s="6707" t="s">
        <v>6767</v>
      </c>
      <c r="O265" s="6708"/>
      <c r="P265" s="6705">
        <v>1222</v>
      </c>
      <c r="Q265" s="6701" t="s">
        <v>6768</v>
      </c>
      <c r="R265" s="6706" t="s">
        <v>6769</v>
      </c>
      <c r="T265" s="2939"/>
      <c r="U265" s="2939"/>
      <c r="V265" s="2939"/>
      <c r="W265" s="2939"/>
      <c r="X265" s="2939"/>
      <c r="Y265" s="2939"/>
      <c r="Z265" s="2939"/>
      <c r="AA265" s="2939"/>
      <c r="AB265" s="2939"/>
      <c r="AC265" s="2939"/>
      <c r="AD265" s="2939"/>
    </row>
    <row r="266" spans="1:30">
      <c r="A266" s="6705">
        <v>251</v>
      </c>
      <c r="B266" s="6701" t="s">
        <v>6770</v>
      </c>
      <c r="C266" s="6706" t="s">
        <v>6771</v>
      </c>
      <c r="D266" s="6707" t="s">
        <v>6772</v>
      </c>
      <c r="E266" s="6708"/>
      <c r="F266" s="6705">
        <v>575</v>
      </c>
      <c r="G266" s="6701" t="s">
        <v>6773</v>
      </c>
      <c r="H266" s="6706" t="s">
        <v>6774</v>
      </c>
      <c r="I266" s="6707" t="s">
        <v>6775</v>
      </c>
      <c r="J266" s="6708"/>
      <c r="K266" s="6705">
        <v>899</v>
      </c>
      <c r="L266" s="6701" t="s">
        <v>6776</v>
      </c>
      <c r="M266" s="6706" t="s">
        <v>6777</v>
      </c>
      <c r="N266" s="6707" t="s">
        <v>6778</v>
      </c>
      <c r="O266" s="6708"/>
      <c r="P266" s="6705">
        <v>1223</v>
      </c>
      <c r="Q266" s="6701" t="s">
        <v>6779</v>
      </c>
      <c r="R266" s="6706" t="s">
        <v>6780</v>
      </c>
      <c r="S266" s="6707" t="s">
        <v>6781</v>
      </c>
      <c r="T266" s="2939"/>
      <c r="U266" s="2939"/>
      <c r="V266" s="2939"/>
      <c r="W266" s="2939"/>
      <c r="X266" s="2939"/>
      <c r="Y266" s="2939"/>
      <c r="Z266" s="2939"/>
      <c r="AA266" s="2939"/>
      <c r="AB266" s="2939"/>
      <c r="AC266" s="2939"/>
      <c r="AD266" s="2939"/>
    </row>
    <row r="267" spans="1:30">
      <c r="A267" s="6705">
        <v>252</v>
      </c>
      <c r="B267" s="6701" t="s">
        <v>6782</v>
      </c>
      <c r="C267" s="6706" t="s">
        <v>6783</v>
      </c>
      <c r="D267" s="6707" t="s">
        <v>6784</v>
      </c>
      <c r="E267" s="6708"/>
      <c r="F267" s="6705">
        <v>576</v>
      </c>
      <c r="G267" s="6701" t="s">
        <v>6785</v>
      </c>
      <c r="H267" s="6706" t="s">
        <v>6786</v>
      </c>
      <c r="I267" s="6707" t="s">
        <v>6787</v>
      </c>
      <c r="J267" s="6708"/>
      <c r="K267" s="6705">
        <v>900</v>
      </c>
      <c r="L267" s="6701" t="s">
        <v>6788</v>
      </c>
      <c r="M267" s="6706" t="s">
        <v>6789</v>
      </c>
      <c r="N267" s="6707" t="s">
        <v>6790</v>
      </c>
      <c r="O267" s="6708"/>
      <c r="P267" s="6705">
        <v>1224</v>
      </c>
      <c r="Q267" s="6701" t="s">
        <v>6791</v>
      </c>
      <c r="R267" s="6706" t="s">
        <v>6792</v>
      </c>
      <c r="S267" s="6707" t="s">
        <v>6793</v>
      </c>
      <c r="T267" s="2939"/>
      <c r="U267" s="2939"/>
      <c r="V267" s="2939"/>
      <c r="W267" s="2939"/>
      <c r="X267" s="2939"/>
      <c r="Y267" s="2939"/>
      <c r="Z267" s="2939"/>
      <c r="AA267" s="2939"/>
      <c r="AB267" s="2939"/>
      <c r="AC267" s="2939"/>
      <c r="AD267" s="2939"/>
    </row>
    <row r="268" spans="1:30">
      <c r="A268" s="6705">
        <v>253</v>
      </c>
      <c r="B268" s="6701" t="s">
        <v>6794</v>
      </c>
      <c r="C268" s="6706" t="s">
        <v>6795</v>
      </c>
      <c r="D268" s="6707" t="s">
        <v>6796</v>
      </c>
      <c r="E268" s="6708"/>
      <c r="F268" s="6705">
        <v>577</v>
      </c>
      <c r="G268" s="6701" t="s">
        <v>6797</v>
      </c>
      <c r="H268" s="6706" t="s">
        <v>6798</v>
      </c>
      <c r="I268" s="6707" t="s">
        <v>6799</v>
      </c>
      <c r="J268" s="6708"/>
      <c r="K268" s="6705">
        <v>901</v>
      </c>
      <c r="L268" s="6701" t="s">
        <v>6800</v>
      </c>
      <c r="M268" s="6706" t="s">
        <v>6801</v>
      </c>
      <c r="N268" s="6707" t="s">
        <v>6802</v>
      </c>
      <c r="O268" s="6708"/>
      <c r="P268" s="6705">
        <v>1225</v>
      </c>
      <c r="Q268" s="6701" t="s">
        <v>6803</v>
      </c>
      <c r="R268" s="6706" t="s">
        <v>6804</v>
      </c>
      <c r="S268" s="6707" t="s">
        <v>6805</v>
      </c>
      <c r="T268" s="2939"/>
      <c r="U268" s="2939"/>
      <c r="V268" s="2939"/>
      <c r="W268" s="2939"/>
      <c r="X268" s="2939"/>
      <c r="Y268" s="2939"/>
      <c r="Z268" s="2939"/>
      <c r="AA268" s="2939"/>
      <c r="AB268" s="2939"/>
      <c r="AC268" s="2939"/>
      <c r="AD268" s="2939"/>
    </row>
    <row r="269" spans="1:30">
      <c r="A269" s="6705">
        <v>254</v>
      </c>
      <c r="B269" s="6701" t="s">
        <v>6806</v>
      </c>
      <c r="C269" s="6706" t="s">
        <v>6807</v>
      </c>
      <c r="D269" s="6707" t="s">
        <v>6808</v>
      </c>
      <c r="E269" s="6708"/>
      <c r="F269" s="6705">
        <v>578</v>
      </c>
      <c r="G269" s="6701" t="s">
        <v>6809</v>
      </c>
      <c r="H269" s="6706" t="s">
        <v>6810</v>
      </c>
      <c r="I269" s="6707" t="s">
        <v>6811</v>
      </c>
      <c r="J269" s="6708"/>
      <c r="K269" s="6705">
        <v>902</v>
      </c>
      <c r="L269" s="6701" t="s">
        <v>6812</v>
      </c>
      <c r="M269" s="6706" t="s">
        <v>6813</v>
      </c>
      <c r="N269" s="6707" t="s">
        <v>6814</v>
      </c>
      <c r="O269" s="6708"/>
      <c r="P269" s="6705">
        <v>1226</v>
      </c>
      <c r="Q269" s="6701" t="s">
        <v>6815</v>
      </c>
      <c r="R269" s="6706" t="s">
        <v>6816</v>
      </c>
      <c r="S269" s="6707" t="s">
        <v>6817</v>
      </c>
      <c r="T269" s="2939"/>
      <c r="U269" s="2939"/>
      <c r="V269" s="2939"/>
      <c r="W269" s="2939"/>
      <c r="X269" s="2939"/>
      <c r="Y269" s="2939"/>
      <c r="Z269" s="2939"/>
      <c r="AA269" s="2939"/>
      <c r="AB269" s="2939"/>
      <c r="AC269" s="2939"/>
      <c r="AD269" s="2939"/>
    </row>
    <row r="270" spans="1:30">
      <c r="A270" s="6705">
        <v>255</v>
      </c>
      <c r="B270" s="6701" t="s">
        <v>6818</v>
      </c>
      <c r="C270" s="6706" t="s">
        <v>6819</v>
      </c>
      <c r="D270" s="6707" t="s">
        <v>6820</v>
      </c>
      <c r="E270" s="6708"/>
      <c r="F270" s="6705">
        <v>579</v>
      </c>
      <c r="G270" s="6701" t="s">
        <v>6821</v>
      </c>
      <c r="H270" s="6706" t="s">
        <v>6822</v>
      </c>
      <c r="I270" s="6707" t="s">
        <v>6823</v>
      </c>
      <c r="J270" s="6708"/>
      <c r="K270" s="6705">
        <v>903</v>
      </c>
      <c r="L270" s="6701" t="s">
        <v>6824</v>
      </c>
      <c r="M270" s="6706" t="s">
        <v>6825</v>
      </c>
      <c r="N270" s="6707" t="s">
        <v>6826</v>
      </c>
      <c r="O270" s="6708"/>
      <c r="P270" s="6705">
        <v>1227</v>
      </c>
      <c r="Q270" s="6701" t="s">
        <v>6827</v>
      </c>
      <c r="R270" s="6706" t="s">
        <v>6828</v>
      </c>
      <c r="S270" s="6707" t="s">
        <v>6829</v>
      </c>
      <c r="T270" s="2939"/>
      <c r="U270" s="2939"/>
      <c r="V270" s="2939"/>
      <c r="W270" s="2939"/>
      <c r="X270" s="2939"/>
      <c r="Y270" s="2939"/>
      <c r="Z270" s="2939"/>
      <c r="AA270" s="2939"/>
      <c r="AB270" s="2939"/>
      <c r="AC270" s="2939"/>
      <c r="AD270" s="2939"/>
    </row>
    <row r="271" spans="1:30">
      <c r="A271" s="6705">
        <v>256</v>
      </c>
      <c r="B271" s="6701" t="s">
        <v>6830</v>
      </c>
      <c r="C271" s="6706" t="s">
        <v>6831</v>
      </c>
      <c r="D271" s="6707" t="s">
        <v>6832</v>
      </c>
      <c r="E271" s="6708"/>
      <c r="F271" s="6705">
        <v>580</v>
      </c>
      <c r="G271" s="6701" t="s">
        <v>6833</v>
      </c>
      <c r="H271" s="6706" t="s">
        <v>6834</v>
      </c>
      <c r="I271" s="6707" t="s">
        <v>6835</v>
      </c>
      <c r="J271" s="6708"/>
      <c r="K271" s="6705">
        <v>904</v>
      </c>
      <c r="L271" s="6701" t="s">
        <v>6836</v>
      </c>
      <c r="M271" s="6706" t="s">
        <v>6837</v>
      </c>
      <c r="N271" s="6707" t="s">
        <v>6838</v>
      </c>
      <c r="O271" s="6708"/>
      <c r="P271" s="6705">
        <v>1228</v>
      </c>
      <c r="Q271" s="6701" t="s">
        <v>6839</v>
      </c>
      <c r="R271" s="6706" t="s">
        <v>6840</v>
      </c>
      <c r="S271" s="6707" t="s">
        <v>6841</v>
      </c>
      <c r="T271" s="2939"/>
      <c r="U271" s="2939"/>
      <c r="V271" s="2939"/>
      <c r="W271" s="2939"/>
      <c r="X271" s="2939"/>
      <c r="Y271" s="2939"/>
      <c r="Z271" s="2939"/>
      <c r="AA271" s="2939"/>
      <c r="AB271" s="2939"/>
      <c r="AC271" s="2939"/>
      <c r="AD271" s="2939"/>
    </row>
    <row r="272" spans="1:30">
      <c r="A272" s="6705">
        <v>257</v>
      </c>
      <c r="B272" s="6701" t="s">
        <v>6842</v>
      </c>
      <c r="C272" s="6706" t="s">
        <v>6843</v>
      </c>
      <c r="D272" s="6707" t="s">
        <v>6844</v>
      </c>
      <c r="E272" s="6708"/>
      <c r="F272" s="6705">
        <v>581</v>
      </c>
      <c r="G272" s="6701" t="s">
        <v>6845</v>
      </c>
      <c r="H272" s="6716" t="s">
        <v>6846</v>
      </c>
      <c r="I272" s="6707" t="s">
        <v>6847</v>
      </c>
      <c r="J272" s="6708"/>
      <c r="K272" s="6705">
        <v>905</v>
      </c>
      <c r="L272" s="6701" t="s">
        <v>6848</v>
      </c>
      <c r="M272" s="6706" t="s">
        <v>6849</v>
      </c>
      <c r="N272" s="6707" t="s">
        <v>6850</v>
      </c>
      <c r="O272" s="6708"/>
      <c r="P272" s="6705">
        <v>1229</v>
      </c>
      <c r="Q272" s="6701" t="s">
        <v>6851</v>
      </c>
      <c r="R272" s="6706" t="s">
        <v>6852</v>
      </c>
      <c r="S272" s="6707" t="s">
        <v>6853</v>
      </c>
      <c r="T272" s="2939"/>
      <c r="U272" s="2939"/>
      <c r="V272" s="2939"/>
      <c r="W272" s="2939"/>
      <c r="X272" s="2939"/>
      <c r="Y272" s="2939"/>
      <c r="Z272" s="2939"/>
      <c r="AA272" s="2939"/>
      <c r="AB272" s="2939"/>
      <c r="AC272" s="2939"/>
      <c r="AD272" s="2939"/>
    </row>
    <row r="273" spans="1:30">
      <c r="A273" s="6705">
        <v>258</v>
      </c>
      <c r="B273" s="6701" t="s">
        <v>6854</v>
      </c>
      <c r="C273" s="6706" t="s">
        <v>6855</v>
      </c>
      <c r="D273" s="6707" t="s">
        <v>6856</v>
      </c>
      <c r="E273" s="6708"/>
      <c r="F273" s="6705">
        <v>582</v>
      </c>
      <c r="G273" s="6701" t="s">
        <v>6857</v>
      </c>
      <c r="H273" s="6706" t="s">
        <v>6858</v>
      </c>
      <c r="I273" s="6707" t="s">
        <v>6859</v>
      </c>
      <c r="J273" s="6708"/>
      <c r="K273" s="6705">
        <v>906</v>
      </c>
      <c r="L273" s="6701" t="s">
        <v>6860</v>
      </c>
      <c r="M273" s="6706" t="s">
        <v>6861</v>
      </c>
      <c r="N273" s="6707" t="s">
        <v>6862</v>
      </c>
      <c r="O273" s="6708"/>
      <c r="P273" s="6705">
        <v>1230</v>
      </c>
      <c r="Q273" s="6701" t="s">
        <v>6863</v>
      </c>
      <c r="R273" s="6706" t="s">
        <v>6864</v>
      </c>
      <c r="S273" s="6707" t="s">
        <v>6865</v>
      </c>
      <c r="T273" s="2939"/>
      <c r="U273" s="2939"/>
      <c r="V273" s="2939"/>
      <c r="W273" s="2939"/>
      <c r="X273" s="2939"/>
      <c r="Y273" s="2939"/>
      <c r="Z273" s="2939"/>
      <c r="AA273" s="2939"/>
      <c r="AB273" s="2939"/>
      <c r="AC273" s="2939"/>
      <c r="AD273" s="2939"/>
    </row>
    <row r="274" spans="1:30">
      <c r="A274" s="6705">
        <v>259</v>
      </c>
      <c r="B274" s="6701" t="s">
        <v>6866</v>
      </c>
      <c r="C274" s="6706" t="s">
        <v>6867</v>
      </c>
      <c r="D274" s="6707" t="s">
        <v>6868</v>
      </c>
      <c r="E274" s="6708"/>
      <c r="F274" s="6705">
        <v>583</v>
      </c>
      <c r="G274" s="6701" t="s">
        <v>6869</v>
      </c>
      <c r="H274" s="6706" t="s">
        <v>6870</v>
      </c>
      <c r="I274" s="6707" t="s">
        <v>6871</v>
      </c>
      <c r="J274" s="6708"/>
      <c r="K274" s="6705">
        <v>907</v>
      </c>
      <c r="L274" s="6701" t="s">
        <v>6872</v>
      </c>
      <c r="M274" s="6706" t="s">
        <v>6873</v>
      </c>
      <c r="N274" s="6707" t="s">
        <v>6874</v>
      </c>
      <c r="O274" s="6708"/>
      <c r="P274" s="6705">
        <v>1231</v>
      </c>
      <c r="Q274" s="6701" t="s">
        <v>6875</v>
      </c>
      <c r="R274" s="6706" t="s">
        <v>6876</v>
      </c>
      <c r="S274" s="6707" t="s">
        <v>6877</v>
      </c>
      <c r="T274" s="2939"/>
      <c r="U274" s="2939"/>
      <c r="V274" s="2939"/>
      <c r="W274" s="2939"/>
      <c r="X274" s="2939"/>
      <c r="Y274" s="2939"/>
      <c r="Z274" s="2939"/>
      <c r="AA274" s="2939"/>
      <c r="AB274" s="2939"/>
      <c r="AC274" s="2939"/>
      <c r="AD274" s="2939"/>
    </row>
    <row r="275" spans="1:30">
      <c r="A275" s="6705">
        <v>260</v>
      </c>
      <c r="B275" s="6701" t="s">
        <v>6878</v>
      </c>
      <c r="C275" s="6706" t="s">
        <v>6879</v>
      </c>
      <c r="D275" s="6707" t="s">
        <v>6880</v>
      </c>
      <c r="E275" s="6708"/>
      <c r="F275" s="6705">
        <v>584</v>
      </c>
      <c r="G275" s="6701" t="s">
        <v>6881</v>
      </c>
      <c r="H275" s="6706" t="s">
        <v>6882</v>
      </c>
      <c r="I275" s="6707" t="s">
        <v>6883</v>
      </c>
      <c r="J275" s="6708"/>
      <c r="K275" s="6705">
        <v>908</v>
      </c>
      <c r="L275" s="6701" t="s">
        <v>6884</v>
      </c>
      <c r="M275" s="6706" t="s">
        <v>6885</v>
      </c>
      <c r="N275" s="6707" t="s">
        <v>6886</v>
      </c>
      <c r="O275" s="6708"/>
      <c r="P275" s="6705">
        <v>1232</v>
      </c>
      <c r="Q275" s="6701" t="s">
        <v>6887</v>
      </c>
      <c r="R275" s="6706" t="s">
        <v>6888</v>
      </c>
      <c r="S275" s="6707" t="s">
        <v>6889</v>
      </c>
      <c r="T275" s="2939"/>
      <c r="U275" s="2939"/>
      <c r="V275" s="2939"/>
      <c r="W275" s="2939"/>
      <c r="X275" s="2939"/>
      <c r="Y275" s="2939"/>
      <c r="Z275" s="2939"/>
      <c r="AA275" s="2939"/>
      <c r="AB275" s="2939"/>
      <c r="AC275" s="2939"/>
      <c r="AD275" s="2939"/>
    </row>
    <row r="276" spans="1:30">
      <c r="A276" s="6705">
        <v>261</v>
      </c>
      <c r="B276" s="6701" t="s">
        <v>6890</v>
      </c>
      <c r="C276" s="6706" t="s">
        <v>6891</v>
      </c>
      <c r="D276" s="6707" t="s">
        <v>6892</v>
      </c>
      <c r="E276" s="6708"/>
      <c r="F276" s="6705">
        <v>585</v>
      </c>
      <c r="G276" s="6701" t="s">
        <v>6893</v>
      </c>
      <c r="H276" s="6706" t="s">
        <v>6894</v>
      </c>
      <c r="I276" s="6707" t="s">
        <v>6895</v>
      </c>
      <c r="J276" s="6708"/>
      <c r="K276" s="6705">
        <v>909</v>
      </c>
      <c r="L276" s="6701" t="s">
        <v>6896</v>
      </c>
      <c r="M276" s="6706" t="s">
        <v>6897</v>
      </c>
      <c r="N276" s="6707" t="s">
        <v>6898</v>
      </c>
      <c r="O276" s="6708"/>
      <c r="P276" s="6705">
        <v>1233</v>
      </c>
      <c r="Q276" s="6701" t="s">
        <v>6899</v>
      </c>
      <c r="R276" s="6706" t="s">
        <v>6900</v>
      </c>
      <c r="S276" s="6707" t="s">
        <v>6901</v>
      </c>
      <c r="T276" s="2939"/>
      <c r="U276" s="2939"/>
      <c r="V276" s="2939"/>
      <c r="W276" s="2939"/>
      <c r="X276" s="2939"/>
      <c r="Y276" s="2939"/>
      <c r="Z276" s="2939"/>
      <c r="AA276" s="2939"/>
      <c r="AB276" s="2939"/>
      <c r="AC276" s="2939"/>
      <c r="AD276" s="2939"/>
    </row>
    <row r="277" spans="1:30">
      <c r="A277" s="6705">
        <v>262</v>
      </c>
      <c r="B277" s="6701" t="s">
        <v>6902</v>
      </c>
      <c r="C277" s="6706" t="s">
        <v>6903</v>
      </c>
      <c r="D277" s="6707" t="s">
        <v>6904</v>
      </c>
      <c r="E277" s="6708"/>
      <c r="F277" s="6705">
        <v>586</v>
      </c>
      <c r="G277" s="6701" t="s">
        <v>6905</v>
      </c>
      <c r="H277" s="6706" t="s">
        <v>6906</v>
      </c>
      <c r="I277" s="6707" t="s">
        <v>6907</v>
      </c>
      <c r="J277" s="6708"/>
      <c r="K277" s="6705">
        <v>910</v>
      </c>
      <c r="L277" s="6701" t="s">
        <v>6908</v>
      </c>
      <c r="M277" s="6706" t="s">
        <v>6909</v>
      </c>
      <c r="N277" s="6707" t="s">
        <v>6910</v>
      </c>
      <c r="O277" s="6708"/>
      <c r="P277" s="6705">
        <v>1234</v>
      </c>
      <c r="Q277" s="6701" t="s">
        <v>6911</v>
      </c>
      <c r="R277" s="6706" t="s">
        <v>6912</v>
      </c>
      <c r="S277" s="6707" t="s">
        <v>6913</v>
      </c>
      <c r="T277" s="2939"/>
      <c r="U277" s="2939"/>
      <c r="V277" s="2939"/>
      <c r="W277" s="2939"/>
      <c r="X277" s="2939"/>
      <c r="Y277" s="2939"/>
      <c r="Z277" s="2939"/>
      <c r="AA277" s="2939"/>
      <c r="AB277" s="2939"/>
      <c r="AC277" s="2939"/>
      <c r="AD277" s="2939"/>
    </row>
    <row r="278" spans="1:30">
      <c r="A278" s="6705">
        <v>263</v>
      </c>
      <c r="B278" s="6701" t="s">
        <v>6914</v>
      </c>
      <c r="C278" s="6706" t="s">
        <v>6915</v>
      </c>
      <c r="D278" s="6707" t="s">
        <v>6916</v>
      </c>
      <c r="E278" s="6708"/>
      <c r="F278" s="6705">
        <v>587</v>
      </c>
      <c r="G278" s="6701" t="s">
        <v>6917</v>
      </c>
      <c r="H278" s="6706" t="s">
        <v>6918</v>
      </c>
      <c r="I278" s="6707" t="s">
        <v>6919</v>
      </c>
      <c r="J278" s="6708"/>
      <c r="K278" s="6705">
        <v>911</v>
      </c>
      <c r="L278" s="6701" t="s">
        <v>6920</v>
      </c>
      <c r="M278" s="6706" t="s">
        <v>6921</v>
      </c>
      <c r="N278" s="6707" t="s">
        <v>6922</v>
      </c>
      <c r="O278" s="6708"/>
      <c r="P278" s="6705">
        <v>1235</v>
      </c>
      <c r="Q278" s="6701" t="s">
        <v>6923</v>
      </c>
      <c r="R278" s="6706" t="s">
        <v>6924</v>
      </c>
      <c r="S278" s="6707" t="s">
        <v>6925</v>
      </c>
      <c r="T278" s="2939"/>
      <c r="U278" s="2939"/>
      <c r="V278" s="2939"/>
      <c r="W278" s="2939"/>
      <c r="X278" s="2939"/>
      <c r="Y278" s="2939"/>
      <c r="Z278" s="2939"/>
      <c r="AA278" s="2939"/>
      <c r="AB278" s="2939"/>
      <c r="AC278" s="2939"/>
      <c r="AD278" s="2939"/>
    </row>
    <row r="279" spans="1:30">
      <c r="A279" s="6705">
        <v>264</v>
      </c>
      <c r="B279" s="6701" t="s">
        <v>6926</v>
      </c>
      <c r="C279" s="6706" t="s">
        <v>6927</v>
      </c>
      <c r="D279" s="6707" t="s">
        <v>6928</v>
      </c>
      <c r="E279" s="6708"/>
      <c r="F279" s="6705">
        <v>588</v>
      </c>
      <c r="G279" s="6701" t="s">
        <v>6929</v>
      </c>
      <c r="H279" s="6706" t="s">
        <v>6930</v>
      </c>
      <c r="I279" s="6707" t="s">
        <v>6931</v>
      </c>
      <c r="J279" s="6708"/>
      <c r="K279" s="6705">
        <v>912</v>
      </c>
      <c r="L279" s="6701" t="s">
        <v>6932</v>
      </c>
      <c r="M279" s="6706" t="s">
        <v>6933</v>
      </c>
      <c r="N279" s="6707" t="s">
        <v>6934</v>
      </c>
      <c r="O279" s="6708"/>
      <c r="P279" s="6705">
        <v>1236</v>
      </c>
      <c r="Q279" s="6701" t="s">
        <v>6935</v>
      </c>
      <c r="R279" s="6706" t="s">
        <v>6936</v>
      </c>
      <c r="S279" s="6707" t="s">
        <v>6937</v>
      </c>
      <c r="T279" s="2939"/>
      <c r="U279" s="2939"/>
      <c r="V279" s="2939"/>
      <c r="W279" s="2939"/>
      <c r="X279" s="2939"/>
      <c r="Y279" s="2939"/>
      <c r="Z279" s="2939"/>
      <c r="AA279" s="2939"/>
      <c r="AB279" s="2939"/>
      <c r="AC279" s="2939"/>
      <c r="AD279" s="2939"/>
    </row>
    <row r="280" spans="1:30">
      <c r="A280" s="6705">
        <v>265</v>
      </c>
      <c r="B280" s="6701" t="s">
        <v>6938</v>
      </c>
      <c r="C280" s="6706" t="s">
        <v>6939</v>
      </c>
      <c r="D280" s="6707" t="s">
        <v>6940</v>
      </c>
      <c r="E280" s="6708"/>
      <c r="F280" s="6705">
        <v>589</v>
      </c>
      <c r="G280" s="6701" t="s">
        <v>6941</v>
      </c>
      <c r="H280" s="6706" t="s">
        <v>6942</v>
      </c>
      <c r="I280" s="6707" t="s">
        <v>6943</v>
      </c>
      <c r="J280" s="6708"/>
      <c r="K280" s="6705">
        <v>913</v>
      </c>
      <c r="L280" s="6701" t="s">
        <v>6944</v>
      </c>
      <c r="M280" s="6706" t="s">
        <v>6945</v>
      </c>
      <c r="N280" s="6707" t="s">
        <v>6946</v>
      </c>
      <c r="O280" s="6708"/>
      <c r="P280" s="6705">
        <v>1237</v>
      </c>
      <c r="Q280" s="6701" t="s">
        <v>6947</v>
      </c>
      <c r="R280" s="6706" t="s">
        <v>6948</v>
      </c>
      <c r="S280" s="6707" t="s">
        <v>6949</v>
      </c>
      <c r="T280" s="2939"/>
      <c r="U280" s="2939"/>
      <c r="V280" s="2939"/>
      <c r="W280" s="2939"/>
      <c r="X280" s="2939"/>
      <c r="Y280" s="2939"/>
      <c r="Z280" s="2939"/>
      <c r="AA280" s="2939"/>
      <c r="AB280" s="2939"/>
      <c r="AC280" s="2939"/>
      <c r="AD280" s="2939"/>
    </row>
    <row r="281" spans="1:30">
      <c r="A281" s="6705">
        <v>266</v>
      </c>
      <c r="B281" s="6701" t="s">
        <v>6950</v>
      </c>
      <c r="C281" s="6706" t="s">
        <v>6951</v>
      </c>
      <c r="D281" s="6707" t="s">
        <v>6952</v>
      </c>
      <c r="E281" s="6708"/>
      <c r="F281" s="6705">
        <v>590</v>
      </c>
      <c r="G281" s="6701" t="s">
        <v>6953</v>
      </c>
      <c r="H281" s="6706" t="s">
        <v>6954</v>
      </c>
      <c r="I281" s="6707" t="s">
        <v>6955</v>
      </c>
      <c r="J281" s="6708"/>
      <c r="K281" s="6705">
        <v>914</v>
      </c>
      <c r="L281" s="6701" t="s">
        <v>6956</v>
      </c>
      <c r="M281" s="6706" t="s">
        <v>6957</v>
      </c>
      <c r="N281" s="6707" t="s">
        <v>6958</v>
      </c>
      <c r="O281" s="6708"/>
      <c r="P281" s="6705">
        <v>1238</v>
      </c>
      <c r="Q281" s="6701" t="s">
        <v>6959</v>
      </c>
      <c r="R281" s="6706" t="s">
        <v>6960</v>
      </c>
      <c r="S281" s="6707" t="s">
        <v>6961</v>
      </c>
      <c r="T281" s="2939"/>
      <c r="U281" s="2939"/>
      <c r="V281" s="2939"/>
      <c r="W281" s="2939"/>
      <c r="X281" s="2939"/>
      <c r="Y281" s="2939"/>
      <c r="Z281" s="2939"/>
      <c r="AA281" s="2939"/>
      <c r="AB281" s="2939"/>
      <c r="AC281" s="2939"/>
      <c r="AD281" s="2939"/>
    </row>
    <row r="282" spans="1:30">
      <c r="A282" s="6705">
        <v>267</v>
      </c>
      <c r="B282" s="6701" t="s">
        <v>6962</v>
      </c>
      <c r="C282" s="6706" t="s">
        <v>6963</v>
      </c>
      <c r="D282" s="6707" t="s">
        <v>6964</v>
      </c>
      <c r="E282" s="6708"/>
      <c r="F282" s="6705">
        <v>591</v>
      </c>
      <c r="G282" s="6701" t="s">
        <v>6965</v>
      </c>
      <c r="H282" s="6706" t="s">
        <v>6966</v>
      </c>
      <c r="I282" s="6707" t="s">
        <v>6967</v>
      </c>
      <c r="J282" s="6708"/>
      <c r="K282" s="6705">
        <v>915</v>
      </c>
      <c r="L282" s="6701" t="s">
        <v>6968</v>
      </c>
      <c r="M282" s="6706" t="s">
        <v>6969</v>
      </c>
      <c r="N282" s="6707" t="s">
        <v>6970</v>
      </c>
      <c r="O282" s="6708"/>
      <c r="P282" s="6705">
        <v>1239</v>
      </c>
      <c r="Q282" s="6701" t="s">
        <v>6971</v>
      </c>
      <c r="R282" s="6706" t="s">
        <v>6972</v>
      </c>
      <c r="S282" s="6707" t="s">
        <v>6973</v>
      </c>
      <c r="T282" s="2939"/>
      <c r="U282" s="2939"/>
      <c r="V282" s="2939"/>
      <c r="W282" s="2939"/>
      <c r="X282" s="2939"/>
      <c r="Y282" s="2939"/>
      <c r="Z282" s="2939"/>
      <c r="AA282" s="2939"/>
      <c r="AB282" s="2939"/>
      <c r="AC282" s="2939"/>
      <c r="AD282" s="2939"/>
    </row>
    <row r="283" spans="1:30">
      <c r="A283" s="6705">
        <v>268</v>
      </c>
      <c r="B283" s="6701" t="s">
        <v>6974</v>
      </c>
      <c r="C283" s="6706" t="s">
        <v>6975</v>
      </c>
      <c r="D283" s="6707" t="s">
        <v>1548</v>
      </c>
      <c r="E283" s="6708"/>
      <c r="F283" s="6705">
        <v>592</v>
      </c>
      <c r="G283" s="6701" t="s">
        <v>6976</v>
      </c>
      <c r="H283" s="6706" t="s">
        <v>6977</v>
      </c>
      <c r="I283" s="6707" t="s">
        <v>6978</v>
      </c>
      <c r="J283" s="6708"/>
      <c r="K283" s="6705">
        <v>916</v>
      </c>
      <c r="L283" s="6701" t="s">
        <v>6979</v>
      </c>
      <c r="M283" s="6706" t="s">
        <v>6980</v>
      </c>
      <c r="N283" s="6707" t="s">
        <v>6981</v>
      </c>
      <c r="O283" s="6708"/>
      <c r="P283" s="6705">
        <v>1240</v>
      </c>
      <c r="Q283" s="6701" t="s">
        <v>6982</v>
      </c>
      <c r="R283" s="6706" t="s">
        <v>6983</v>
      </c>
      <c r="S283" s="6707" t="s">
        <v>6984</v>
      </c>
      <c r="T283" s="2939"/>
      <c r="U283" s="2939"/>
      <c r="V283" s="2939"/>
      <c r="W283" s="2939"/>
      <c r="X283" s="2939"/>
      <c r="Y283" s="2939"/>
      <c r="Z283" s="2939"/>
      <c r="AA283" s="2939"/>
      <c r="AB283" s="2939"/>
      <c r="AC283" s="2939"/>
      <c r="AD283" s="2939"/>
    </row>
    <row r="284" spans="1:30">
      <c r="A284" s="6705">
        <v>269</v>
      </c>
      <c r="B284" s="6701" t="s">
        <v>6985</v>
      </c>
      <c r="C284" s="6706" t="s">
        <v>6986</v>
      </c>
      <c r="D284" s="6707" t="s">
        <v>6987</v>
      </c>
      <c r="E284" s="6708"/>
      <c r="F284" s="6705">
        <v>593</v>
      </c>
      <c r="G284" s="6701" t="s">
        <v>6988</v>
      </c>
      <c r="H284" s="6706" t="s">
        <v>6989</v>
      </c>
      <c r="I284" s="6707" t="s">
        <v>6990</v>
      </c>
      <c r="J284" s="6708"/>
      <c r="K284" s="6705">
        <v>917</v>
      </c>
      <c r="L284" s="6701" t="s">
        <v>6991</v>
      </c>
      <c r="M284" s="6706" t="s">
        <v>6992</v>
      </c>
      <c r="N284" s="6707" t="s">
        <v>6993</v>
      </c>
      <c r="O284" s="6708"/>
      <c r="P284" s="6705">
        <v>1241</v>
      </c>
      <c r="Q284" s="6701" t="s">
        <v>6994</v>
      </c>
      <c r="R284" s="6706" t="s">
        <v>6995</v>
      </c>
      <c r="S284" s="6707" t="s">
        <v>6996</v>
      </c>
      <c r="T284" s="2939"/>
      <c r="U284" s="2939"/>
      <c r="V284" s="2939"/>
      <c r="W284" s="2939"/>
      <c r="X284" s="2939"/>
      <c r="Y284" s="2939"/>
      <c r="Z284" s="2939"/>
      <c r="AA284" s="2939"/>
      <c r="AB284" s="2939"/>
      <c r="AC284" s="2939"/>
      <c r="AD284" s="2939"/>
    </row>
    <row r="285" spans="1:30">
      <c r="A285" s="6705">
        <v>270</v>
      </c>
      <c r="B285" s="6701" t="s">
        <v>6997</v>
      </c>
      <c r="C285" s="6706" t="s">
        <v>6998</v>
      </c>
      <c r="D285" s="6707" t="s">
        <v>6999</v>
      </c>
      <c r="E285" s="6708"/>
      <c r="F285" s="6705">
        <v>594</v>
      </c>
      <c r="G285" s="6701" t="s">
        <v>7000</v>
      </c>
      <c r="H285" s="6706" t="s">
        <v>7001</v>
      </c>
      <c r="I285" s="6707" t="s">
        <v>7002</v>
      </c>
      <c r="J285" s="6708"/>
      <c r="K285" s="6705">
        <v>918</v>
      </c>
      <c r="L285" s="6701" t="s">
        <v>7003</v>
      </c>
      <c r="M285" s="6706" t="s">
        <v>7004</v>
      </c>
      <c r="N285" s="6707" t="s">
        <v>7005</v>
      </c>
      <c r="O285" s="6708"/>
      <c r="P285" s="6705">
        <v>1242</v>
      </c>
      <c r="Q285" s="6701" t="s">
        <v>7006</v>
      </c>
      <c r="R285" s="6706" t="s">
        <v>7007</v>
      </c>
      <c r="S285" s="6707" t="s">
        <v>7008</v>
      </c>
      <c r="T285" s="2939"/>
      <c r="U285" s="2939"/>
      <c r="V285" s="2939"/>
      <c r="W285" s="2939"/>
      <c r="X285" s="2939"/>
      <c r="Y285" s="2939"/>
      <c r="Z285" s="2939"/>
      <c r="AA285" s="2939"/>
      <c r="AB285" s="2939"/>
      <c r="AC285" s="2939"/>
      <c r="AD285" s="2939"/>
    </row>
    <row r="286" spans="1:30">
      <c r="A286" s="6705">
        <v>271</v>
      </c>
      <c r="B286" s="6701" t="s">
        <v>7009</v>
      </c>
      <c r="C286" s="6706" t="s">
        <v>7010</v>
      </c>
      <c r="D286" s="6707" t="s">
        <v>1563</v>
      </c>
      <c r="E286" s="6708"/>
      <c r="F286" s="6705">
        <v>595</v>
      </c>
      <c r="G286" s="6701" t="s">
        <v>7011</v>
      </c>
      <c r="H286" s="6706" t="s">
        <v>7012</v>
      </c>
      <c r="I286" s="6707" t="s">
        <v>7013</v>
      </c>
      <c r="J286" s="6708"/>
      <c r="K286" s="6705">
        <v>919</v>
      </c>
      <c r="L286" s="6701" t="s">
        <v>7014</v>
      </c>
      <c r="M286" s="6706" t="s">
        <v>7015</v>
      </c>
      <c r="N286" s="6707" t="s">
        <v>7016</v>
      </c>
      <c r="O286" s="6708"/>
      <c r="P286" s="6705">
        <v>1243</v>
      </c>
      <c r="Q286" s="6701" t="s">
        <v>7017</v>
      </c>
      <c r="R286" s="6706" t="s">
        <v>7018</v>
      </c>
      <c r="S286" s="6707" t="s">
        <v>7019</v>
      </c>
      <c r="T286" s="2939"/>
      <c r="U286" s="2939"/>
      <c r="V286" s="2939"/>
      <c r="W286" s="2939"/>
      <c r="X286" s="2939"/>
      <c r="Y286" s="2939"/>
      <c r="Z286" s="2939"/>
      <c r="AA286" s="2939"/>
      <c r="AB286" s="2939"/>
      <c r="AC286" s="2939"/>
      <c r="AD286" s="2939"/>
    </row>
    <row r="287" spans="1:30">
      <c r="A287" s="6705">
        <v>272</v>
      </c>
      <c r="B287" s="6701" t="s">
        <v>7020</v>
      </c>
      <c r="C287" s="6706" t="s">
        <v>7021</v>
      </c>
      <c r="D287" s="6707" t="s">
        <v>7022</v>
      </c>
      <c r="E287" s="6708"/>
      <c r="F287" s="6705">
        <v>596</v>
      </c>
      <c r="G287" s="6701" t="s">
        <v>7023</v>
      </c>
      <c r="H287" s="6706" t="s">
        <v>7024</v>
      </c>
      <c r="I287" s="6707" t="s">
        <v>7025</v>
      </c>
      <c r="J287" s="6708"/>
      <c r="K287" s="6705">
        <v>920</v>
      </c>
      <c r="L287" s="6701" t="s">
        <v>7026</v>
      </c>
      <c r="M287" s="6706" t="s">
        <v>7027</v>
      </c>
      <c r="N287" s="6707" t="s">
        <v>7028</v>
      </c>
      <c r="O287" s="6708"/>
      <c r="P287" s="6705">
        <v>1244</v>
      </c>
      <c r="Q287" s="6701" t="s">
        <v>7029</v>
      </c>
      <c r="R287" s="6706" t="s">
        <v>7030</v>
      </c>
      <c r="S287" s="6707" t="s">
        <v>7031</v>
      </c>
      <c r="T287" s="2939"/>
      <c r="U287" s="2939"/>
      <c r="V287" s="2939"/>
      <c r="W287" s="2939"/>
      <c r="X287" s="2939"/>
      <c r="Y287" s="2939"/>
      <c r="Z287" s="2939"/>
      <c r="AA287" s="2939"/>
      <c r="AB287" s="2939"/>
      <c r="AC287" s="2939"/>
      <c r="AD287" s="2939"/>
    </row>
    <row r="288" spans="1:30">
      <c r="A288" s="6705">
        <v>273</v>
      </c>
      <c r="B288" s="6701" t="s">
        <v>7032</v>
      </c>
      <c r="C288" s="6706" t="s">
        <v>7033</v>
      </c>
      <c r="D288" s="6707" t="s">
        <v>7034</v>
      </c>
      <c r="E288" s="6708"/>
      <c r="F288" s="6705">
        <v>597</v>
      </c>
      <c r="G288" s="6701" t="s">
        <v>7035</v>
      </c>
      <c r="H288" s="6706" t="s">
        <v>7036</v>
      </c>
      <c r="I288" s="6707" t="s">
        <v>7037</v>
      </c>
      <c r="J288" s="6708"/>
      <c r="K288" s="6705">
        <v>921</v>
      </c>
      <c r="L288" s="6701" t="s">
        <v>7038</v>
      </c>
      <c r="M288" s="6706" t="s">
        <v>7039</v>
      </c>
      <c r="N288" s="6707" t="s">
        <v>7040</v>
      </c>
      <c r="O288" s="6708"/>
      <c r="P288" s="6705">
        <v>1245</v>
      </c>
      <c r="Q288" s="6701" t="s">
        <v>7041</v>
      </c>
      <c r="R288" s="6706" t="s">
        <v>7042</v>
      </c>
      <c r="S288" s="6707" t="s">
        <v>7043</v>
      </c>
      <c r="T288" s="2939"/>
      <c r="U288" s="2939"/>
      <c r="V288" s="2939"/>
      <c r="W288" s="2939"/>
      <c r="X288" s="2939"/>
      <c r="Y288" s="2939"/>
      <c r="Z288" s="2939"/>
      <c r="AA288" s="2939"/>
      <c r="AB288" s="2939"/>
      <c r="AC288" s="2939"/>
      <c r="AD288" s="2939"/>
    </row>
    <row r="289" spans="1:30">
      <c r="A289" s="6705">
        <v>274</v>
      </c>
      <c r="B289" s="6701" t="s">
        <v>7044</v>
      </c>
      <c r="C289" s="6706" t="s">
        <v>7045</v>
      </c>
      <c r="D289" s="6707" t="s">
        <v>2477</v>
      </c>
      <c r="E289" s="6708"/>
      <c r="F289" s="6705">
        <v>598</v>
      </c>
      <c r="G289" s="6701" t="s">
        <v>7046</v>
      </c>
      <c r="H289" s="6706" t="s">
        <v>7047</v>
      </c>
      <c r="I289" s="6707" t="s">
        <v>7048</v>
      </c>
      <c r="J289" s="6708"/>
      <c r="K289" s="6705">
        <v>922</v>
      </c>
      <c r="L289" s="6701" t="s">
        <v>7049</v>
      </c>
      <c r="M289" s="6706" t="s">
        <v>7050</v>
      </c>
      <c r="N289" s="6707" t="s">
        <v>7051</v>
      </c>
      <c r="O289" s="6708"/>
      <c r="P289" s="6705">
        <v>1246</v>
      </c>
      <c r="Q289" s="6701" t="s">
        <v>7052</v>
      </c>
      <c r="R289" s="6706" t="s">
        <v>7053</v>
      </c>
      <c r="S289" s="6707" t="s">
        <v>7054</v>
      </c>
      <c r="T289" s="2939"/>
      <c r="U289" s="2939"/>
      <c r="V289" s="2939"/>
      <c r="W289" s="2939"/>
      <c r="X289" s="2939"/>
      <c r="Y289" s="2939"/>
      <c r="Z289" s="2939"/>
      <c r="AA289" s="2939"/>
      <c r="AB289" s="2939"/>
      <c r="AC289" s="2939"/>
      <c r="AD289" s="2939"/>
    </row>
    <row r="290" spans="1:30">
      <c r="A290" s="6705">
        <v>275</v>
      </c>
      <c r="B290" s="6701" t="s">
        <v>7055</v>
      </c>
      <c r="C290" s="6706" t="s">
        <v>7056</v>
      </c>
      <c r="D290" s="6707" t="s">
        <v>7057</v>
      </c>
      <c r="E290" s="6708"/>
      <c r="F290" s="6705">
        <v>599</v>
      </c>
      <c r="G290" s="6701" t="s">
        <v>7058</v>
      </c>
      <c r="H290" s="6706" t="s">
        <v>7059</v>
      </c>
      <c r="I290" s="6707" t="s">
        <v>7060</v>
      </c>
      <c r="J290" s="6708"/>
      <c r="K290" s="6705">
        <v>923</v>
      </c>
      <c r="L290" s="6701" t="s">
        <v>7061</v>
      </c>
      <c r="M290" s="6706" t="s">
        <v>7062</v>
      </c>
      <c r="N290" s="6707" t="s">
        <v>7063</v>
      </c>
      <c r="O290" s="6708"/>
      <c r="P290" s="6705">
        <v>1247</v>
      </c>
      <c r="Q290" s="6701" t="s">
        <v>7064</v>
      </c>
      <c r="R290" s="6706" t="s">
        <v>7065</v>
      </c>
      <c r="S290" s="6707" t="s">
        <v>7066</v>
      </c>
      <c r="T290" s="2939"/>
      <c r="U290" s="2939"/>
      <c r="V290" s="2939"/>
      <c r="W290" s="2939"/>
      <c r="X290" s="2939"/>
      <c r="Y290" s="2939"/>
      <c r="Z290" s="2939"/>
      <c r="AA290" s="2939"/>
      <c r="AB290" s="2939"/>
      <c r="AC290" s="2939"/>
      <c r="AD290" s="2939"/>
    </row>
    <row r="291" spans="1:30">
      <c r="A291" s="6705">
        <v>276</v>
      </c>
      <c r="B291" s="6701" t="s">
        <v>7067</v>
      </c>
      <c r="C291" s="6706" t="s">
        <v>7068</v>
      </c>
      <c r="D291" s="6707" t="s">
        <v>1553</v>
      </c>
      <c r="E291" s="6708"/>
      <c r="F291" s="6705">
        <v>600</v>
      </c>
      <c r="G291" s="6701" t="s">
        <v>7069</v>
      </c>
      <c r="H291" s="6706" t="s">
        <v>7070</v>
      </c>
      <c r="I291" s="6707" t="s">
        <v>7071</v>
      </c>
      <c r="J291" s="6708"/>
      <c r="K291" s="6705">
        <v>924</v>
      </c>
      <c r="L291" s="6701" t="s">
        <v>7072</v>
      </c>
      <c r="M291" s="6706" t="s">
        <v>7073</v>
      </c>
      <c r="N291" s="6707" t="s">
        <v>7074</v>
      </c>
      <c r="O291" s="6708"/>
      <c r="P291" s="6705">
        <v>1248</v>
      </c>
      <c r="Q291" s="6701" t="s">
        <v>7075</v>
      </c>
      <c r="R291" s="6706" t="s">
        <v>7076</v>
      </c>
      <c r="S291" s="6707" t="s">
        <v>7077</v>
      </c>
      <c r="T291" s="2939"/>
      <c r="U291" s="2939"/>
      <c r="V291" s="2939"/>
      <c r="W291" s="2939"/>
      <c r="X291" s="2939"/>
      <c r="Y291" s="2939"/>
      <c r="Z291" s="2939"/>
      <c r="AA291" s="2939"/>
      <c r="AB291" s="2939"/>
      <c r="AC291" s="2939"/>
      <c r="AD291" s="2939"/>
    </row>
    <row r="292" spans="1:30">
      <c r="A292" s="6705">
        <v>277</v>
      </c>
      <c r="B292" s="6701" t="s">
        <v>7078</v>
      </c>
      <c r="C292" s="6706" t="s">
        <v>7079</v>
      </c>
      <c r="D292" s="6707" t="s">
        <v>7080</v>
      </c>
      <c r="E292" s="6708"/>
      <c r="F292" s="6705">
        <v>601</v>
      </c>
      <c r="G292" s="6701" t="s">
        <v>7081</v>
      </c>
      <c r="H292" s="6706" t="s">
        <v>7082</v>
      </c>
      <c r="I292" s="6707" t="s">
        <v>7083</v>
      </c>
      <c r="J292" s="6708"/>
      <c r="K292" s="6705">
        <v>925</v>
      </c>
      <c r="L292" s="6701" t="s">
        <v>7084</v>
      </c>
      <c r="M292" s="6706" t="s">
        <v>7085</v>
      </c>
      <c r="N292" s="6707" t="s">
        <v>7086</v>
      </c>
      <c r="O292" s="6708"/>
      <c r="P292" s="6705">
        <v>1249</v>
      </c>
      <c r="Q292" s="6701" t="s">
        <v>7087</v>
      </c>
      <c r="R292" s="6706" t="s">
        <v>7088</v>
      </c>
      <c r="S292" s="6707" t="s">
        <v>7089</v>
      </c>
      <c r="T292" s="2939"/>
      <c r="U292" s="2939"/>
      <c r="V292" s="2939"/>
      <c r="W292" s="2939"/>
      <c r="X292" s="2939"/>
      <c r="Y292" s="2939"/>
      <c r="Z292" s="2939"/>
      <c r="AA292" s="2939"/>
      <c r="AB292" s="2939"/>
      <c r="AC292" s="2939"/>
      <c r="AD292" s="2939"/>
    </row>
    <row r="293" spans="1:30">
      <c r="A293" s="6705">
        <v>278</v>
      </c>
      <c r="B293" s="6701" t="s">
        <v>7090</v>
      </c>
      <c r="C293" s="6706" t="s">
        <v>7091</v>
      </c>
      <c r="D293" s="6707" t="s">
        <v>7092</v>
      </c>
      <c r="E293" s="6708"/>
      <c r="F293" s="6705">
        <v>602</v>
      </c>
      <c r="G293" s="6701" t="s">
        <v>7093</v>
      </c>
      <c r="H293" s="6706" t="s">
        <v>7094</v>
      </c>
      <c r="I293" s="6707" t="s">
        <v>7095</v>
      </c>
      <c r="J293" s="6708"/>
      <c r="K293" s="6705">
        <v>926</v>
      </c>
      <c r="L293" s="6701" t="s">
        <v>7096</v>
      </c>
      <c r="M293" s="6706" t="s">
        <v>7097</v>
      </c>
      <c r="N293" s="6707" t="s">
        <v>7098</v>
      </c>
      <c r="O293" s="6708"/>
      <c r="P293" s="6705">
        <v>1250</v>
      </c>
      <c r="Q293" s="6701" t="s">
        <v>7099</v>
      </c>
      <c r="R293" s="6706" t="s">
        <v>7100</v>
      </c>
      <c r="S293" s="6707" t="s">
        <v>7101</v>
      </c>
      <c r="T293" s="2939"/>
      <c r="U293" s="2939"/>
      <c r="V293" s="2939"/>
      <c r="W293" s="2939"/>
      <c r="X293" s="2939"/>
      <c r="Y293" s="2939"/>
      <c r="Z293" s="2939"/>
      <c r="AA293" s="2939"/>
      <c r="AB293" s="2939"/>
      <c r="AC293" s="2939"/>
      <c r="AD293" s="2939"/>
    </row>
    <row r="294" spans="1:30">
      <c r="A294" s="6705">
        <v>279</v>
      </c>
      <c r="B294" s="6701" t="s">
        <v>7102</v>
      </c>
      <c r="C294" s="6706" t="s">
        <v>7103</v>
      </c>
      <c r="D294" s="6707" t="s">
        <v>7104</v>
      </c>
      <c r="E294" s="6708"/>
      <c r="F294" s="6705">
        <v>603</v>
      </c>
      <c r="G294" s="6701" t="s">
        <v>7105</v>
      </c>
      <c r="H294" s="6706" t="s">
        <v>7106</v>
      </c>
      <c r="I294" s="6707" t="s">
        <v>7107</v>
      </c>
      <c r="J294" s="6708"/>
      <c r="K294" s="6705">
        <v>927</v>
      </c>
      <c r="L294" s="6701" t="s">
        <v>7108</v>
      </c>
      <c r="M294" s="6706" t="s">
        <v>7109</v>
      </c>
      <c r="N294" s="6707" t="s">
        <v>7110</v>
      </c>
      <c r="O294" s="6708"/>
      <c r="P294" s="6705">
        <v>1251</v>
      </c>
      <c r="Q294" s="6701" t="s">
        <v>7111</v>
      </c>
      <c r="R294" s="6706" t="s">
        <v>7112</v>
      </c>
      <c r="S294" s="6707" t="s">
        <v>7113</v>
      </c>
      <c r="T294" s="2939"/>
      <c r="U294" s="2939"/>
      <c r="V294" s="2939"/>
      <c r="W294" s="2939"/>
      <c r="X294" s="2939"/>
      <c r="Y294" s="2939"/>
      <c r="Z294" s="2939"/>
      <c r="AA294" s="2939"/>
      <c r="AB294" s="2939"/>
      <c r="AC294" s="2939"/>
      <c r="AD294" s="2939"/>
    </row>
    <row r="295" spans="1:30">
      <c r="A295" s="6705">
        <v>280</v>
      </c>
      <c r="B295" s="6701" t="s">
        <v>7114</v>
      </c>
      <c r="C295" s="6706" t="s">
        <v>7115</v>
      </c>
      <c r="D295" s="6707" t="s">
        <v>7116</v>
      </c>
      <c r="E295" s="6708"/>
      <c r="F295" s="6705">
        <v>604</v>
      </c>
      <c r="G295" s="6701" t="s">
        <v>7117</v>
      </c>
      <c r="H295" s="6706" t="s">
        <v>7118</v>
      </c>
      <c r="I295" s="6707" t="s">
        <v>7119</v>
      </c>
      <c r="J295" s="6708"/>
      <c r="K295" s="6705">
        <v>928</v>
      </c>
      <c r="L295" s="6701" t="s">
        <v>7120</v>
      </c>
      <c r="M295" s="6706" t="s">
        <v>7121</v>
      </c>
      <c r="N295" s="6707" t="s">
        <v>7122</v>
      </c>
      <c r="O295" s="6708"/>
      <c r="P295" s="6705">
        <v>1252</v>
      </c>
      <c r="Q295" s="6701" t="s">
        <v>7123</v>
      </c>
      <c r="R295" s="6706" t="s">
        <v>7124</v>
      </c>
      <c r="S295" s="6707" t="s">
        <v>7125</v>
      </c>
      <c r="T295" s="2939"/>
      <c r="U295" s="2939"/>
      <c r="V295" s="2939"/>
      <c r="W295" s="2939"/>
      <c r="X295" s="2939"/>
      <c r="Y295" s="2939"/>
      <c r="Z295" s="2939"/>
      <c r="AA295" s="2939"/>
      <c r="AB295" s="2939"/>
      <c r="AC295" s="2939"/>
      <c r="AD295" s="2939"/>
    </row>
    <row r="296" spans="1:30">
      <c r="A296" s="6705">
        <v>281</v>
      </c>
      <c r="B296" s="6701" t="s">
        <v>7126</v>
      </c>
      <c r="C296" s="6706" t="s">
        <v>7127</v>
      </c>
      <c r="D296" s="6707" t="s">
        <v>3024</v>
      </c>
      <c r="E296" s="6708"/>
      <c r="F296" s="6705">
        <v>605</v>
      </c>
      <c r="G296" s="6701" t="s">
        <v>7128</v>
      </c>
      <c r="H296" s="6706" t="s">
        <v>7129</v>
      </c>
      <c r="I296" s="6707" t="s">
        <v>7130</v>
      </c>
      <c r="J296" s="6708"/>
      <c r="K296" s="6705">
        <v>929</v>
      </c>
      <c r="L296" s="6701" t="s">
        <v>7131</v>
      </c>
      <c r="M296" s="6706" t="s">
        <v>7132</v>
      </c>
      <c r="N296" s="6707" t="s">
        <v>7133</v>
      </c>
      <c r="O296" s="6708"/>
      <c r="P296" s="6705">
        <v>1253</v>
      </c>
      <c r="Q296" s="6701" t="s">
        <v>7134</v>
      </c>
      <c r="R296" s="6706" t="s">
        <v>7135</v>
      </c>
      <c r="S296" s="6707" t="s">
        <v>7136</v>
      </c>
      <c r="T296" s="2939"/>
      <c r="U296" s="2939"/>
      <c r="V296" s="2939"/>
      <c r="W296" s="2939"/>
      <c r="X296" s="2939"/>
      <c r="Y296" s="2939"/>
      <c r="Z296" s="2939"/>
      <c r="AA296" s="2939"/>
      <c r="AB296" s="2939"/>
      <c r="AC296" s="2939"/>
      <c r="AD296" s="2939"/>
    </row>
    <row r="297" spans="1:30">
      <c r="A297" s="6705">
        <v>282</v>
      </c>
      <c r="B297" s="6701" t="s">
        <v>7137</v>
      </c>
      <c r="C297" s="6706" t="s">
        <v>7138</v>
      </c>
      <c r="D297" s="6707" t="s">
        <v>7139</v>
      </c>
      <c r="E297" s="6708"/>
      <c r="F297" s="6705">
        <v>606</v>
      </c>
      <c r="G297" s="6701" t="s">
        <v>7140</v>
      </c>
      <c r="H297" s="6706" t="s">
        <v>7141</v>
      </c>
      <c r="I297" s="6707" t="s">
        <v>7142</v>
      </c>
      <c r="J297" s="6708"/>
      <c r="K297" s="6705">
        <v>930</v>
      </c>
      <c r="L297" s="6701" t="s">
        <v>7143</v>
      </c>
      <c r="M297" s="6706" t="s">
        <v>7144</v>
      </c>
      <c r="N297" s="6707" t="s">
        <v>7145</v>
      </c>
      <c r="O297" s="6708"/>
      <c r="P297" s="6705">
        <v>1254</v>
      </c>
      <c r="Q297" s="6701" t="s">
        <v>7146</v>
      </c>
      <c r="R297" s="6706" t="s">
        <v>7147</v>
      </c>
      <c r="S297" s="6707" t="s">
        <v>7148</v>
      </c>
      <c r="T297" s="2939"/>
      <c r="U297" s="2939"/>
      <c r="V297" s="2939"/>
      <c r="W297" s="2939"/>
      <c r="X297" s="2939"/>
      <c r="Y297" s="2939"/>
      <c r="Z297" s="2939"/>
      <c r="AA297" s="2939"/>
      <c r="AB297" s="2939"/>
      <c r="AC297" s="2939"/>
      <c r="AD297" s="2939"/>
    </row>
    <row r="298" spans="1:30">
      <c r="A298" s="6705">
        <v>283</v>
      </c>
      <c r="B298" s="6701" t="s">
        <v>7149</v>
      </c>
      <c r="C298" s="6706" t="s">
        <v>7150</v>
      </c>
      <c r="D298" s="6707" t="s">
        <v>7151</v>
      </c>
      <c r="E298" s="6708"/>
      <c r="F298" s="6705">
        <v>607</v>
      </c>
      <c r="G298" s="6701" t="s">
        <v>7152</v>
      </c>
      <c r="H298" s="6706" t="s">
        <v>7153</v>
      </c>
      <c r="I298" s="6707" t="s">
        <v>7154</v>
      </c>
      <c r="J298" s="6708"/>
      <c r="K298" s="6705">
        <v>931</v>
      </c>
      <c r="L298" s="6701" t="s">
        <v>7155</v>
      </c>
      <c r="M298" s="6706" t="s">
        <v>7156</v>
      </c>
      <c r="N298" s="6707" t="s">
        <v>7157</v>
      </c>
      <c r="O298" s="6708"/>
      <c r="P298" s="6705">
        <v>1255</v>
      </c>
      <c r="Q298" s="6701" t="s">
        <v>7158</v>
      </c>
      <c r="R298" s="6706" t="s">
        <v>7159</v>
      </c>
      <c r="S298" s="6707" t="s">
        <v>7160</v>
      </c>
      <c r="T298" s="2939"/>
      <c r="U298" s="2939"/>
      <c r="V298" s="2939"/>
      <c r="W298" s="2939"/>
      <c r="X298" s="2939"/>
      <c r="Y298" s="2939"/>
      <c r="Z298" s="2939"/>
      <c r="AA298" s="2939"/>
      <c r="AB298" s="2939"/>
      <c r="AC298" s="2939"/>
      <c r="AD298" s="2939"/>
    </row>
    <row r="299" spans="1:30">
      <c r="A299" s="6705">
        <v>284</v>
      </c>
      <c r="B299" s="6701" t="s">
        <v>7161</v>
      </c>
      <c r="C299" s="6706" t="s">
        <v>7162</v>
      </c>
      <c r="D299" s="6707" t="s">
        <v>7163</v>
      </c>
      <c r="E299" s="6708"/>
      <c r="F299" s="6705">
        <v>608</v>
      </c>
      <c r="G299" s="6701" t="s">
        <v>7164</v>
      </c>
      <c r="H299" s="6706" t="s">
        <v>7165</v>
      </c>
      <c r="I299" s="6707" t="s">
        <v>7166</v>
      </c>
      <c r="J299" s="6708"/>
      <c r="K299" s="6705">
        <v>932</v>
      </c>
      <c r="L299" s="6701" t="s">
        <v>7167</v>
      </c>
      <c r="M299" s="6706" t="s">
        <v>7168</v>
      </c>
      <c r="N299" s="6707" t="s">
        <v>7169</v>
      </c>
      <c r="O299" s="6708"/>
      <c r="P299" s="6705">
        <v>1256</v>
      </c>
      <c r="Q299" s="6701" t="s">
        <v>7170</v>
      </c>
      <c r="R299" s="6706" t="s">
        <v>7171</v>
      </c>
      <c r="S299" s="6707" t="s">
        <v>7172</v>
      </c>
      <c r="T299" s="2939"/>
      <c r="U299" s="2939"/>
      <c r="V299" s="2939"/>
      <c r="W299" s="2939"/>
      <c r="X299" s="2939"/>
      <c r="Y299" s="2939"/>
      <c r="Z299" s="2939"/>
      <c r="AA299" s="2939"/>
      <c r="AB299" s="2939"/>
      <c r="AC299" s="2939"/>
      <c r="AD299" s="2939"/>
    </row>
    <row r="300" spans="1:30">
      <c r="A300" s="6705">
        <v>285</v>
      </c>
      <c r="B300" s="6701" t="s">
        <v>7173</v>
      </c>
      <c r="C300" s="6706" t="s">
        <v>7174</v>
      </c>
      <c r="D300" s="6707" t="s">
        <v>7175</v>
      </c>
      <c r="E300" s="6708"/>
      <c r="F300" s="6705">
        <v>609</v>
      </c>
      <c r="G300" s="6701" t="s">
        <v>7176</v>
      </c>
      <c r="H300" s="6706" t="s">
        <v>7177</v>
      </c>
      <c r="I300" s="6707" t="s">
        <v>7178</v>
      </c>
      <c r="J300" s="6708"/>
      <c r="K300" s="6705">
        <v>933</v>
      </c>
      <c r="L300" s="6701" t="s">
        <v>7179</v>
      </c>
      <c r="M300" s="6706" t="s">
        <v>7180</v>
      </c>
      <c r="N300" s="6707" t="s">
        <v>7181</v>
      </c>
      <c r="O300" s="6708"/>
      <c r="P300" s="6705">
        <v>1257</v>
      </c>
      <c r="Q300" s="6701" t="s">
        <v>7182</v>
      </c>
      <c r="R300" s="6706" t="s">
        <v>7183</v>
      </c>
      <c r="S300" s="6707" t="s">
        <v>7184</v>
      </c>
      <c r="T300" s="2939"/>
      <c r="U300" s="2939"/>
      <c r="V300" s="2939"/>
      <c r="W300" s="2939"/>
      <c r="X300" s="2939"/>
      <c r="Y300" s="2939"/>
      <c r="Z300" s="2939"/>
      <c r="AA300" s="2939"/>
      <c r="AB300" s="2939"/>
      <c r="AC300" s="2939"/>
      <c r="AD300" s="2939"/>
    </row>
    <row r="301" spans="1:30">
      <c r="A301" s="6705">
        <v>286</v>
      </c>
      <c r="B301" s="6701" t="s">
        <v>7185</v>
      </c>
      <c r="C301" s="6706" t="s">
        <v>7186</v>
      </c>
      <c r="D301" s="6707" t="s">
        <v>7187</v>
      </c>
      <c r="E301" s="6708"/>
      <c r="F301" s="6705">
        <v>610</v>
      </c>
      <c r="G301" s="6701" t="s">
        <v>7188</v>
      </c>
      <c r="H301" s="6706" t="s">
        <v>7189</v>
      </c>
      <c r="I301" s="6707" t="s">
        <v>7190</v>
      </c>
      <c r="J301" s="6708"/>
      <c r="K301" s="6705">
        <v>934</v>
      </c>
      <c r="L301" s="6701" t="s">
        <v>7191</v>
      </c>
      <c r="M301" s="6706" t="s">
        <v>7192</v>
      </c>
      <c r="N301" s="6707" t="s">
        <v>7193</v>
      </c>
      <c r="O301" s="6708"/>
      <c r="P301" s="6705">
        <v>1258</v>
      </c>
      <c r="Q301" s="6701" t="s">
        <v>7194</v>
      </c>
      <c r="R301" s="6706" t="s">
        <v>7195</v>
      </c>
      <c r="S301" s="6707" t="s">
        <v>7196</v>
      </c>
      <c r="T301" s="2939"/>
      <c r="U301" s="2939"/>
      <c r="V301" s="2939"/>
      <c r="W301" s="2939"/>
      <c r="X301" s="2939"/>
      <c r="Y301" s="2939"/>
      <c r="Z301" s="2939"/>
      <c r="AA301" s="2939"/>
      <c r="AB301" s="2939"/>
      <c r="AC301" s="2939"/>
      <c r="AD301" s="2939"/>
    </row>
    <row r="302" spans="1:30">
      <c r="A302" s="6705">
        <v>287</v>
      </c>
      <c r="B302" s="6701" t="s">
        <v>7197</v>
      </c>
      <c r="C302" s="6706" t="s">
        <v>7198</v>
      </c>
      <c r="D302" s="6707" t="s">
        <v>7199</v>
      </c>
      <c r="E302" s="6708"/>
      <c r="F302" s="6705">
        <v>611</v>
      </c>
      <c r="G302" s="6701" t="s">
        <v>7200</v>
      </c>
      <c r="H302" s="6706" t="s">
        <v>7201</v>
      </c>
      <c r="I302" s="6707" t="s">
        <v>7202</v>
      </c>
      <c r="J302" s="6708"/>
      <c r="K302" s="6705">
        <v>935</v>
      </c>
      <c r="L302" s="6701" t="s">
        <v>7203</v>
      </c>
      <c r="M302" s="6706" t="s">
        <v>7204</v>
      </c>
      <c r="N302" s="6707" t="s">
        <v>7205</v>
      </c>
      <c r="O302" s="6708"/>
      <c r="P302" s="6705">
        <v>1259</v>
      </c>
      <c r="Q302" s="6701" t="s">
        <v>7206</v>
      </c>
      <c r="R302" s="6706" t="s">
        <v>7207</v>
      </c>
      <c r="S302" s="6707" t="s">
        <v>7208</v>
      </c>
      <c r="T302" s="2939"/>
      <c r="U302" s="2939"/>
      <c r="V302" s="2939"/>
      <c r="W302" s="2939"/>
      <c r="X302" s="2939"/>
      <c r="Y302" s="2939"/>
      <c r="Z302" s="2939"/>
      <c r="AA302" s="2939"/>
      <c r="AB302" s="2939"/>
      <c r="AC302" s="2939"/>
      <c r="AD302" s="2939"/>
    </row>
    <row r="303" spans="1:30">
      <c r="A303" s="6705">
        <v>288</v>
      </c>
      <c r="B303" s="6701" t="s">
        <v>7209</v>
      </c>
      <c r="C303" s="6706" t="s">
        <v>7210</v>
      </c>
      <c r="D303" s="6707" t="s">
        <v>7211</v>
      </c>
      <c r="E303" s="6708"/>
      <c r="F303" s="6705">
        <v>612</v>
      </c>
      <c r="G303" s="6701" t="s">
        <v>7212</v>
      </c>
      <c r="H303" s="6706" t="s">
        <v>7213</v>
      </c>
      <c r="I303" s="6707" t="s">
        <v>7214</v>
      </c>
      <c r="J303" s="6708"/>
      <c r="K303" s="6705">
        <v>936</v>
      </c>
      <c r="L303" s="6701" t="s">
        <v>7215</v>
      </c>
      <c r="M303" s="6706" t="s">
        <v>7216</v>
      </c>
      <c r="N303" s="6707" t="s">
        <v>7217</v>
      </c>
      <c r="O303" s="6708"/>
      <c r="P303" s="6705">
        <v>1260</v>
      </c>
      <c r="Q303" s="6701" t="s">
        <v>7218</v>
      </c>
      <c r="R303" s="6706" t="s">
        <v>7219</v>
      </c>
      <c r="S303" s="6707" t="s">
        <v>7220</v>
      </c>
      <c r="T303" s="2939"/>
      <c r="U303" s="2939"/>
      <c r="V303" s="2939"/>
      <c r="W303" s="2939"/>
      <c r="X303" s="2939"/>
      <c r="Y303" s="2939"/>
      <c r="Z303" s="2939"/>
      <c r="AA303" s="2939"/>
      <c r="AB303" s="2939"/>
      <c r="AC303" s="2939"/>
      <c r="AD303" s="2939"/>
    </row>
    <row r="304" spans="1:30">
      <c r="A304" s="6705">
        <v>289</v>
      </c>
      <c r="B304" s="6701" t="s">
        <v>7221</v>
      </c>
      <c r="C304" s="6706" t="s">
        <v>7222</v>
      </c>
      <c r="D304" s="6707" t="s">
        <v>7223</v>
      </c>
      <c r="E304" s="6708"/>
      <c r="F304" s="6705">
        <v>613</v>
      </c>
      <c r="G304" s="6701" t="s">
        <v>7224</v>
      </c>
      <c r="H304" s="6706" t="s">
        <v>7225</v>
      </c>
      <c r="I304" s="6707" t="s">
        <v>7226</v>
      </c>
      <c r="J304" s="6708"/>
      <c r="K304" s="6705">
        <v>937</v>
      </c>
      <c r="L304" s="6701" t="s">
        <v>7227</v>
      </c>
      <c r="M304" s="6706" t="s">
        <v>7228</v>
      </c>
      <c r="N304" s="6707" t="s">
        <v>7229</v>
      </c>
      <c r="O304" s="6708"/>
      <c r="P304" s="6705">
        <v>1261</v>
      </c>
      <c r="Q304" s="6701" t="s">
        <v>7230</v>
      </c>
      <c r="R304" s="6706" t="s">
        <v>7231</v>
      </c>
      <c r="S304" s="6707" t="s">
        <v>7232</v>
      </c>
      <c r="T304" s="2939"/>
      <c r="U304" s="2939"/>
      <c r="V304" s="2939"/>
      <c r="W304" s="2939"/>
      <c r="X304" s="2939"/>
      <c r="Y304" s="2939"/>
      <c r="Z304" s="2939"/>
      <c r="AA304" s="2939"/>
      <c r="AB304" s="2939"/>
      <c r="AC304" s="2939"/>
      <c r="AD304" s="2939"/>
    </row>
    <row r="305" spans="1:30">
      <c r="A305" s="6705">
        <v>290</v>
      </c>
      <c r="B305" s="6701" t="s">
        <v>7233</v>
      </c>
      <c r="C305" s="6706" t="s">
        <v>7234</v>
      </c>
      <c r="D305" s="6707" t="s">
        <v>7235</v>
      </c>
      <c r="E305" s="6708"/>
      <c r="F305" s="6705">
        <v>614</v>
      </c>
      <c r="G305" s="6701" t="s">
        <v>7236</v>
      </c>
      <c r="H305" s="6706" t="s">
        <v>7237</v>
      </c>
      <c r="I305" s="6707" t="s">
        <v>7238</v>
      </c>
      <c r="J305" s="6708"/>
      <c r="K305" s="6705">
        <v>938</v>
      </c>
      <c r="L305" s="6701" t="s">
        <v>7239</v>
      </c>
      <c r="M305" s="6706" t="s">
        <v>7240</v>
      </c>
      <c r="N305" s="6707" t="s">
        <v>7241</v>
      </c>
      <c r="O305" s="6708"/>
      <c r="P305" s="6705">
        <v>1262</v>
      </c>
      <c r="Q305" s="6701" t="s">
        <v>7242</v>
      </c>
      <c r="R305" s="6706" t="s">
        <v>7243</v>
      </c>
      <c r="S305" s="6707" t="s">
        <v>7244</v>
      </c>
      <c r="T305" s="2939"/>
      <c r="U305" s="2939"/>
      <c r="V305" s="2939"/>
      <c r="W305" s="2939"/>
      <c r="X305" s="2939"/>
      <c r="Y305" s="2939"/>
      <c r="Z305" s="2939"/>
      <c r="AA305" s="2939"/>
      <c r="AB305" s="2939"/>
      <c r="AC305" s="2939"/>
      <c r="AD305" s="2939"/>
    </row>
    <row r="306" spans="1:30">
      <c r="A306" s="6705">
        <v>291</v>
      </c>
      <c r="B306" s="6701" t="s">
        <v>7245</v>
      </c>
      <c r="C306" s="6706" t="s">
        <v>7246</v>
      </c>
      <c r="D306" s="6707" t="s">
        <v>7247</v>
      </c>
      <c r="E306" s="6708"/>
      <c r="F306" s="6705">
        <v>615</v>
      </c>
      <c r="G306" s="6701" t="s">
        <v>7248</v>
      </c>
      <c r="H306" s="6706" t="s">
        <v>7249</v>
      </c>
      <c r="I306" s="6707" t="s">
        <v>7250</v>
      </c>
      <c r="J306" s="6708"/>
      <c r="K306" s="6705">
        <v>939</v>
      </c>
      <c r="L306" s="6701" t="s">
        <v>7251</v>
      </c>
      <c r="M306" s="6706" t="s">
        <v>7252</v>
      </c>
      <c r="N306" s="6707" t="s">
        <v>7253</v>
      </c>
      <c r="O306" s="6708"/>
      <c r="P306" s="6705">
        <v>1263</v>
      </c>
      <c r="Q306" s="6701" t="s">
        <v>7254</v>
      </c>
      <c r="R306" s="6706" t="s">
        <v>7255</v>
      </c>
      <c r="S306" s="6707" t="s">
        <v>7256</v>
      </c>
      <c r="T306" s="2939"/>
      <c r="U306" s="2939"/>
      <c r="V306" s="2939"/>
      <c r="W306" s="2939"/>
      <c r="X306" s="2939"/>
      <c r="Y306" s="2939"/>
      <c r="Z306" s="2939"/>
      <c r="AA306" s="2939"/>
      <c r="AB306" s="2939"/>
      <c r="AC306" s="2939"/>
      <c r="AD306" s="2939"/>
    </row>
    <row r="307" spans="1:30">
      <c r="A307" s="6705">
        <v>292</v>
      </c>
      <c r="B307" s="6701" t="s">
        <v>7257</v>
      </c>
      <c r="C307" s="6706" t="s">
        <v>7258</v>
      </c>
      <c r="D307" s="6707" t="s">
        <v>1701</v>
      </c>
      <c r="E307" s="6708"/>
      <c r="F307" s="6705">
        <v>616</v>
      </c>
      <c r="G307" s="6701" t="s">
        <v>7259</v>
      </c>
      <c r="H307" s="6706" t="s">
        <v>7260</v>
      </c>
      <c r="I307" s="6707" t="s">
        <v>7261</v>
      </c>
      <c r="J307" s="6708"/>
      <c r="K307" s="6705">
        <v>940</v>
      </c>
      <c r="L307" s="6701" t="s">
        <v>7262</v>
      </c>
      <c r="M307" s="6706" t="s">
        <v>7263</v>
      </c>
      <c r="N307" s="6707" t="s">
        <v>7264</v>
      </c>
      <c r="O307" s="6708"/>
      <c r="P307" s="6705">
        <v>1264</v>
      </c>
      <c r="Q307" s="6701" t="s">
        <v>7265</v>
      </c>
      <c r="R307" s="6706" t="s">
        <v>7266</v>
      </c>
      <c r="S307" s="6707" t="s">
        <v>7256</v>
      </c>
      <c r="T307" s="2939"/>
      <c r="U307" s="2939"/>
      <c r="V307" s="2939"/>
      <c r="W307" s="2939"/>
      <c r="X307" s="2939"/>
      <c r="Y307" s="2939"/>
      <c r="Z307" s="2939"/>
      <c r="AA307" s="2939"/>
      <c r="AB307" s="2939"/>
      <c r="AC307" s="2939"/>
      <c r="AD307" s="2939"/>
    </row>
    <row r="308" spans="1:30">
      <c r="A308" s="6705">
        <v>293</v>
      </c>
      <c r="B308" s="6701" t="s">
        <v>7267</v>
      </c>
      <c r="C308" s="6706" t="s">
        <v>7268</v>
      </c>
      <c r="D308" s="6707" t="s">
        <v>7269</v>
      </c>
      <c r="E308" s="6708"/>
      <c r="F308" s="6705">
        <v>617</v>
      </c>
      <c r="G308" s="6701" t="s">
        <v>7270</v>
      </c>
      <c r="H308" s="6706" t="s">
        <v>7271</v>
      </c>
      <c r="I308" s="6707" t="s">
        <v>7272</v>
      </c>
      <c r="J308" s="6708"/>
      <c r="K308" s="6705">
        <v>941</v>
      </c>
      <c r="L308" s="6701" t="s">
        <v>7273</v>
      </c>
      <c r="M308" s="6706" t="s">
        <v>7274</v>
      </c>
      <c r="N308" s="6707" t="s">
        <v>7275</v>
      </c>
      <c r="O308" s="6708"/>
      <c r="P308" s="6705">
        <v>1265</v>
      </c>
      <c r="Q308" s="6701" t="s">
        <v>7276</v>
      </c>
      <c r="R308" s="6706" t="s">
        <v>7277</v>
      </c>
      <c r="S308" s="6707" t="s">
        <v>7278</v>
      </c>
      <c r="T308" s="2939"/>
      <c r="U308" s="2939"/>
      <c r="V308" s="2939"/>
      <c r="W308" s="2939"/>
      <c r="X308" s="2939"/>
      <c r="Y308" s="2939"/>
      <c r="Z308" s="2939"/>
      <c r="AA308" s="2939"/>
      <c r="AB308" s="2939"/>
      <c r="AC308" s="2939"/>
      <c r="AD308" s="2939"/>
    </row>
    <row r="309" spans="1:30">
      <c r="A309" s="6705">
        <v>294</v>
      </c>
      <c r="B309" s="6701" t="s">
        <v>7279</v>
      </c>
      <c r="C309" s="6706" t="s">
        <v>7280</v>
      </c>
      <c r="D309" s="6707" t="s">
        <v>7281</v>
      </c>
      <c r="E309" s="6708"/>
      <c r="F309" s="6705">
        <v>618</v>
      </c>
      <c r="G309" s="6701" t="s">
        <v>7282</v>
      </c>
      <c r="H309" s="6706" t="s">
        <v>7283</v>
      </c>
      <c r="I309" s="6707" t="s">
        <v>7284</v>
      </c>
      <c r="J309" s="6708"/>
      <c r="K309" s="6705">
        <v>942</v>
      </c>
      <c r="L309" s="6701" t="s">
        <v>7285</v>
      </c>
      <c r="M309" s="6706" t="s">
        <v>7286</v>
      </c>
      <c r="N309" s="6707" t="s">
        <v>7287</v>
      </c>
      <c r="O309" s="6708"/>
      <c r="P309" s="6705">
        <v>1266</v>
      </c>
      <c r="Q309" s="6701" t="s">
        <v>7288</v>
      </c>
      <c r="R309" s="6706" t="s">
        <v>7289</v>
      </c>
      <c r="S309" s="6707" t="s">
        <v>7290</v>
      </c>
      <c r="T309" s="2939"/>
      <c r="U309" s="2939"/>
      <c r="V309" s="2939"/>
      <c r="W309" s="2939"/>
      <c r="X309" s="2939"/>
      <c r="Y309" s="2939"/>
      <c r="Z309" s="2939"/>
      <c r="AA309" s="2939"/>
      <c r="AB309" s="2939"/>
      <c r="AC309" s="2939"/>
      <c r="AD309" s="2939"/>
    </row>
    <row r="310" spans="1:30">
      <c r="A310" s="6705">
        <v>295</v>
      </c>
      <c r="B310" s="6701" t="s">
        <v>7291</v>
      </c>
      <c r="C310" s="6706" t="s">
        <v>7292</v>
      </c>
      <c r="D310" s="6707" t="s">
        <v>7293</v>
      </c>
      <c r="E310" s="6708"/>
      <c r="F310" s="6705">
        <v>619</v>
      </c>
      <c r="G310" s="6701" t="s">
        <v>7294</v>
      </c>
      <c r="H310" s="6706" t="s">
        <v>7295</v>
      </c>
      <c r="I310" s="6707" t="s">
        <v>7296</v>
      </c>
      <c r="J310" s="6708"/>
      <c r="K310" s="6705">
        <v>943</v>
      </c>
      <c r="L310" s="6701" t="s">
        <v>7297</v>
      </c>
      <c r="M310" s="6706" t="s">
        <v>7298</v>
      </c>
      <c r="N310" s="6707" t="s">
        <v>7299</v>
      </c>
      <c r="O310" s="6708"/>
      <c r="P310" s="6705">
        <v>1267</v>
      </c>
      <c r="Q310" s="6701" t="s">
        <v>7300</v>
      </c>
      <c r="R310" s="6706" t="s">
        <v>7301</v>
      </c>
      <c r="S310" s="6707" t="s">
        <v>7302</v>
      </c>
      <c r="T310" s="2939"/>
      <c r="U310" s="2939"/>
      <c r="V310" s="2939"/>
      <c r="W310" s="2939"/>
      <c r="X310" s="2939"/>
      <c r="Y310" s="2939"/>
      <c r="Z310" s="2939"/>
      <c r="AA310" s="2939"/>
      <c r="AB310" s="2939"/>
      <c r="AC310" s="2939"/>
      <c r="AD310" s="2939"/>
    </row>
    <row r="311" spans="1:30">
      <c r="A311" s="6705">
        <v>296</v>
      </c>
      <c r="B311" s="6701" t="s">
        <v>7303</v>
      </c>
      <c r="C311" s="6706" t="s">
        <v>7304</v>
      </c>
      <c r="D311" s="6707" t="s">
        <v>7305</v>
      </c>
      <c r="E311" s="6708"/>
      <c r="F311" s="6705">
        <v>620</v>
      </c>
      <c r="G311" s="6701" t="s">
        <v>7306</v>
      </c>
      <c r="H311" s="6706" t="s">
        <v>7307</v>
      </c>
      <c r="I311" s="6707" t="s">
        <v>7308</v>
      </c>
      <c r="J311" s="6708"/>
      <c r="K311" s="6705">
        <v>944</v>
      </c>
      <c r="L311" s="6701" t="s">
        <v>7309</v>
      </c>
      <c r="M311" s="6706" t="s">
        <v>7310</v>
      </c>
      <c r="N311" s="6707" t="s">
        <v>7311</v>
      </c>
      <c r="O311" s="6708"/>
      <c r="P311" s="6705">
        <v>1268</v>
      </c>
      <c r="Q311" s="6701" t="s">
        <v>7312</v>
      </c>
      <c r="R311" s="6706" t="s">
        <v>7313</v>
      </c>
      <c r="S311" s="6707" t="s">
        <v>7314</v>
      </c>
      <c r="T311" s="2939"/>
      <c r="U311" s="2939"/>
      <c r="V311" s="2939"/>
      <c r="W311" s="2939"/>
      <c r="X311" s="2939"/>
      <c r="Y311" s="2939"/>
      <c r="Z311" s="2939"/>
      <c r="AA311" s="2939"/>
      <c r="AB311" s="2939"/>
      <c r="AC311" s="2939"/>
      <c r="AD311" s="2939"/>
    </row>
    <row r="312" spans="1:30">
      <c r="A312" s="6705">
        <v>297</v>
      </c>
      <c r="B312" s="6701" t="s">
        <v>7315</v>
      </c>
      <c r="C312" s="6706" t="s">
        <v>7316</v>
      </c>
      <c r="D312" s="6707" t="s">
        <v>7317</v>
      </c>
      <c r="E312" s="6708"/>
      <c r="F312" s="6705">
        <v>621</v>
      </c>
      <c r="G312" s="6701" t="s">
        <v>7318</v>
      </c>
      <c r="H312" s="6706" t="s">
        <v>7319</v>
      </c>
      <c r="I312" s="6707" t="s">
        <v>7320</v>
      </c>
      <c r="J312" s="6708"/>
      <c r="K312" s="6705">
        <v>945</v>
      </c>
      <c r="L312" s="6701" t="s">
        <v>7321</v>
      </c>
      <c r="M312" s="6706" t="s">
        <v>7322</v>
      </c>
      <c r="N312" s="6707" t="s">
        <v>7323</v>
      </c>
      <c r="O312" s="6708"/>
      <c r="P312" s="6705">
        <v>1269</v>
      </c>
      <c r="Q312" s="6701" t="s">
        <v>7324</v>
      </c>
      <c r="R312" s="6706" t="s">
        <v>7325</v>
      </c>
      <c r="S312" s="6707" t="s">
        <v>7326</v>
      </c>
      <c r="T312" s="2939"/>
      <c r="U312" s="2939"/>
      <c r="V312" s="2939"/>
      <c r="W312" s="2939"/>
      <c r="X312" s="2939"/>
      <c r="Y312" s="2939"/>
      <c r="Z312" s="2939"/>
      <c r="AA312" s="2939"/>
      <c r="AB312" s="2939"/>
      <c r="AC312" s="2939"/>
      <c r="AD312" s="2939"/>
    </row>
    <row r="313" spans="1:30">
      <c r="A313" s="6705">
        <v>298</v>
      </c>
      <c r="B313" s="6701" t="s">
        <v>7327</v>
      </c>
      <c r="C313" s="6706" t="s">
        <v>7328</v>
      </c>
      <c r="D313" s="6707" t="s">
        <v>7329</v>
      </c>
      <c r="E313" s="6708"/>
      <c r="F313" s="6705">
        <v>622</v>
      </c>
      <c r="G313" s="6701" t="s">
        <v>7330</v>
      </c>
      <c r="H313" s="6706" t="s">
        <v>7331</v>
      </c>
      <c r="I313" s="6707" t="s">
        <v>7332</v>
      </c>
      <c r="J313" s="6708"/>
      <c r="K313" s="6705">
        <v>946</v>
      </c>
      <c r="L313" s="6701" t="s">
        <v>7333</v>
      </c>
      <c r="M313" s="6706" t="s">
        <v>7334</v>
      </c>
      <c r="N313" s="6707" t="s">
        <v>7335</v>
      </c>
      <c r="O313" s="6708"/>
      <c r="P313" s="6705">
        <v>1270</v>
      </c>
      <c r="Q313" s="6701" t="s">
        <v>7336</v>
      </c>
      <c r="R313" s="6706" t="s">
        <v>7337</v>
      </c>
      <c r="S313" s="6707" t="s">
        <v>7338</v>
      </c>
      <c r="T313" s="2939"/>
      <c r="U313" s="2939"/>
      <c r="V313" s="2939"/>
      <c r="W313" s="2939"/>
      <c r="X313" s="2939"/>
      <c r="Y313" s="2939"/>
      <c r="Z313" s="2939"/>
      <c r="AA313" s="2939"/>
      <c r="AB313" s="2939"/>
      <c r="AC313" s="2939"/>
      <c r="AD313" s="2939"/>
    </row>
    <row r="314" spans="1:30">
      <c r="A314" s="6705">
        <v>299</v>
      </c>
      <c r="B314" s="6701" t="s">
        <v>7339</v>
      </c>
      <c r="C314" s="6706" t="s">
        <v>7340</v>
      </c>
      <c r="D314" s="6707" t="s">
        <v>7341</v>
      </c>
      <c r="E314" s="6708"/>
      <c r="F314" s="6705">
        <v>623</v>
      </c>
      <c r="G314" s="6701" t="s">
        <v>7342</v>
      </c>
      <c r="H314" s="6706" t="s">
        <v>7343</v>
      </c>
      <c r="I314" s="6707" t="s">
        <v>7344</v>
      </c>
      <c r="J314" s="6708"/>
      <c r="K314" s="6705">
        <v>947</v>
      </c>
      <c r="L314" s="6701" t="s">
        <v>7345</v>
      </c>
      <c r="M314" s="6706" t="s">
        <v>7346</v>
      </c>
      <c r="N314" s="6707" t="s">
        <v>7347</v>
      </c>
      <c r="O314" s="6708"/>
      <c r="P314" s="6705">
        <v>1271</v>
      </c>
      <c r="Q314" s="6701" t="s">
        <v>7348</v>
      </c>
      <c r="R314" s="6706" t="s">
        <v>7349</v>
      </c>
      <c r="S314" s="6707" t="s">
        <v>7350</v>
      </c>
      <c r="T314" s="2939"/>
      <c r="U314" s="2939"/>
      <c r="V314" s="2939"/>
      <c r="W314" s="2939"/>
      <c r="X314" s="2939"/>
      <c r="Y314" s="2939"/>
      <c r="Z314" s="2939"/>
      <c r="AA314" s="2939"/>
      <c r="AB314" s="2939"/>
      <c r="AC314" s="2939"/>
      <c r="AD314" s="2939"/>
    </row>
    <row r="315" spans="1:30">
      <c r="A315" s="6705">
        <v>300</v>
      </c>
      <c r="B315" s="6701" t="s">
        <v>7351</v>
      </c>
      <c r="C315" s="6706" t="s">
        <v>7352</v>
      </c>
      <c r="D315" s="6707" t="s">
        <v>7353</v>
      </c>
      <c r="E315" s="6708"/>
      <c r="F315" s="6705">
        <v>624</v>
      </c>
      <c r="G315" s="6701" t="s">
        <v>7354</v>
      </c>
      <c r="H315" s="6706" t="s">
        <v>7355</v>
      </c>
      <c r="I315" s="6707" t="s">
        <v>7356</v>
      </c>
      <c r="J315" s="6708"/>
      <c r="K315" s="6705">
        <v>948</v>
      </c>
      <c r="L315" s="6701" t="s">
        <v>7357</v>
      </c>
      <c r="M315" s="6706" t="s">
        <v>7358</v>
      </c>
      <c r="N315" s="6707" t="s">
        <v>7359</v>
      </c>
      <c r="O315" s="6708"/>
      <c r="P315" s="6705">
        <v>1272</v>
      </c>
      <c r="Q315" s="6701" t="s">
        <v>7360</v>
      </c>
      <c r="R315" s="6706" t="s">
        <v>7361</v>
      </c>
      <c r="S315" s="6707" t="s">
        <v>7362</v>
      </c>
      <c r="T315" s="2939"/>
      <c r="U315" s="2939"/>
      <c r="V315" s="2939"/>
      <c r="W315" s="2939"/>
      <c r="X315" s="2939"/>
      <c r="Y315" s="2939"/>
      <c r="Z315" s="2939"/>
      <c r="AA315" s="2939"/>
      <c r="AB315" s="2939"/>
      <c r="AC315" s="2939"/>
      <c r="AD315" s="2939"/>
    </row>
    <row r="316" spans="1:30">
      <c r="A316" s="6705">
        <v>301</v>
      </c>
      <c r="B316" s="6701" t="s">
        <v>7363</v>
      </c>
      <c r="C316" s="6706" t="s">
        <v>7364</v>
      </c>
      <c r="D316" s="6707" t="s">
        <v>7365</v>
      </c>
      <c r="E316" s="6708"/>
      <c r="F316" s="6705">
        <v>625</v>
      </c>
      <c r="G316" s="6701" t="s">
        <v>7366</v>
      </c>
      <c r="H316" s="6706" t="s">
        <v>7367</v>
      </c>
      <c r="I316" s="6707" t="s">
        <v>7368</v>
      </c>
      <c r="J316" s="6708"/>
      <c r="K316" s="6705">
        <v>949</v>
      </c>
      <c r="L316" s="6701" t="s">
        <v>7369</v>
      </c>
      <c r="M316" s="6706" t="s">
        <v>7370</v>
      </c>
      <c r="N316" s="6707" t="s">
        <v>7371</v>
      </c>
      <c r="O316" s="6708"/>
      <c r="P316" s="6705">
        <v>1273</v>
      </c>
      <c r="Q316" s="6701" t="s">
        <v>7372</v>
      </c>
      <c r="R316" s="6706" t="s">
        <v>7373</v>
      </c>
      <c r="S316" s="6707" t="s">
        <v>7374</v>
      </c>
      <c r="T316" s="2939"/>
      <c r="U316" s="2939"/>
      <c r="V316" s="2939"/>
      <c r="W316" s="2939"/>
      <c r="X316" s="2939"/>
      <c r="Y316" s="2939"/>
      <c r="Z316" s="2939"/>
      <c r="AA316" s="2939"/>
      <c r="AB316" s="2939"/>
      <c r="AC316" s="2939"/>
      <c r="AD316" s="2939"/>
    </row>
    <row r="317" spans="1:30">
      <c r="A317" s="6705">
        <v>302</v>
      </c>
      <c r="B317" s="6701" t="s">
        <v>7375</v>
      </c>
      <c r="C317" s="6706" t="s">
        <v>7376</v>
      </c>
      <c r="D317" s="6707" t="s">
        <v>7377</v>
      </c>
      <c r="E317" s="6708"/>
      <c r="F317" s="6705">
        <v>626</v>
      </c>
      <c r="G317" s="6701" t="s">
        <v>7378</v>
      </c>
      <c r="H317" s="6706" t="s">
        <v>7379</v>
      </c>
      <c r="I317" s="6707" t="s">
        <v>7380</v>
      </c>
      <c r="J317" s="6708"/>
      <c r="K317" s="6705">
        <v>950</v>
      </c>
      <c r="L317" s="6701" t="s">
        <v>7381</v>
      </c>
      <c r="M317" s="6706" t="s">
        <v>7382</v>
      </c>
      <c r="N317" s="6707" t="s">
        <v>7383</v>
      </c>
      <c r="O317" s="6708"/>
      <c r="P317" s="6705">
        <v>1274</v>
      </c>
      <c r="Q317" s="6701" t="s">
        <v>7384</v>
      </c>
      <c r="R317" s="6706" t="s">
        <v>7385</v>
      </c>
      <c r="S317" s="6707" t="s">
        <v>7386</v>
      </c>
      <c r="T317" s="2939"/>
      <c r="U317" s="2939"/>
      <c r="V317" s="2939"/>
      <c r="W317" s="2939"/>
      <c r="X317" s="2939"/>
      <c r="Y317" s="2939"/>
      <c r="Z317" s="2939"/>
      <c r="AA317" s="2939"/>
      <c r="AB317" s="2939"/>
      <c r="AC317" s="2939"/>
      <c r="AD317" s="2939"/>
    </row>
    <row r="318" spans="1:30">
      <c r="A318" s="6705">
        <v>303</v>
      </c>
      <c r="B318" s="6701" t="s">
        <v>7387</v>
      </c>
      <c r="C318" s="6706" t="s">
        <v>7388</v>
      </c>
      <c r="D318" s="6707" t="s">
        <v>2081</v>
      </c>
      <c r="E318" s="6708"/>
      <c r="F318" s="6705">
        <v>627</v>
      </c>
      <c r="G318" s="6701" t="s">
        <v>7389</v>
      </c>
      <c r="H318" s="6706" t="s">
        <v>7390</v>
      </c>
      <c r="I318" s="6707" t="s">
        <v>7391</v>
      </c>
      <c r="J318" s="6708"/>
      <c r="K318" s="6705">
        <v>951</v>
      </c>
      <c r="L318" s="6701" t="s">
        <v>7392</v>
      </c>
      <c r="M318" s="6706" t="s">
        <v>7393</v>
      </c>
      <c r="N318" s="6707" t="s">
        <v>7394</v>
      </c>
      <c r="O318" s="6708"/>
      <c r="P318" s="6705">
        <v>1275</v>
      </c>
      <c r="Q318" s="6701" t="s">
        <v>7395</v>
      </c>
      <c r="R318" s="6706" t="s">
        <v>7396</v>
      </c>
      <c r="S318" s="6707" t="s">
        <v>7397</v>
      </c>
      <c r="T318" s="2939"/>
      <c r="U318" s="2939"/>
      <c r="V318" s="2939"/>
      <c r="W318" s="2939"/>
      <c r="X318" s="2939"/>
      <c r="Y318" s="2939"/>
      <c r="Z318" s="2939"/>
      <c r="AA318" s="2939"/>
      <c r="AB318" s="2939"/>
      <c r="AC318" s="2939"/>
      <c r="AD318" s="2939"/>
    </row>
    <row r="319" spans="1:30">
      <c r="A319" s="6705">
        <v>304</v>
      </c>
      <c r="B319" s="6701" t="s">
        <v>7398</v>
      </c>
      <c r="C319" s="6706" t="s">
        <v>7399</v>
      </c>
      <c r="D319" s="6707" t="s">
        <v>7400</v>
      </c>
      <c r="E319" s="6708"/>
      <c r="F319" s="6705">
        <v>628</v>
      </c>
      <c r="G319" s="6701" t="s">
        <v>7401</v>
      </c>
      <c r="H319" s="6706" t="s">
        <v>7402</v>
      </c>
      <c r="I319" s="6707" t="s">
        <v>7403</v>
      </c>
      <c r="J319" s="6708"/>
      <c r="K319" s="6705">
        <v>952</v>
      </c>
      <c r="L319" s="6701" t="s">
        <v>7404</v>
      </c>
      <c r="M319" s="6706" t="s">
        <v>7405</v>
      </c>
      <c r="N319" s="6707" t="s">
        <v>7406</v>
      </c>
      <c r="O319" s="6708"/>
      <c r="P319" s="6705">
        <v>1276</v>
      </c>
      <c r="Q319" s="6701" t="s">
        <v>7407</v>
      </c>
      <c r="R319" s="6706" t="s">
        <v>7408</v>
      </c>
      <c r="S319" s="6707" t="s">
        <v>7409</v>
      </c>
      <c r="T319" s="2939"/>
      <c r="U319" s="2939"/>
      <c r="V319" s="2939"/>
      <c r="W319" s="2939"/>
      <c r="X319" s="2939"/>
      <c r="Y319" s="2939"/>
      <c r="Z319" s="2939"/>
      <c r="AA319" s="2939"/>
      <c r="AB319" s="2939"/>
      <c r="AC319" s="2939"/>
      <c r="AD319" s="2939"/>
    </row>
    <row r="320" spans="1:30">
      <c r="A320" s="6705">
        <v>305</v>
      </c>
      <c r="B320" s="6701" t="s">
        <v>7410</v>
      </c>
      <c r="C320" s="6706" t="s">
        <v>7411</v>
      </c>
      <c r="D320" s="6707" t="s">
        <v>7412</v>
      </c>
      <c r="E320" s="6708"/>
      <c r="F320" s="6705">
        <v>629</v>
      </c>
      <c r="G320" s="6701" t="s">
        <v>7413</v>
      </c>
      <c r="H320" s="6706" t="s">
        <v>7414</v>
      </c>
      <c r="I320" s="6707" t="s">
        <v>7415</v>
      </c>
      <c r="J320" s="6708"/>
      <c r="K320" s="6705">
        <v>953</v>
      </c>
      <c r="L320" s="6701" t="s">
        <v>7416</v>
      </c>
      <c r="M320" s="6706" t="s">
        <v>7417</v>
      </c>
      <c r="N320" s="6707" t="s">
        <v>7418</v>
      </c>
      <c r="O320" s="6708"/>
      <c r="P320" s="6705">
        <v>1277</v>
      </c>
      <c r="Q320" s="6701" t="s">
        <v>7419</v>
      </c>
      <c r="R320" s="6706" t="s">
        <v>7420</v>
      </c>
      <c r="S320" s="6707" t="s">
        <v>7421</v>
      </c>
      <c r="T320" s="2939"/>
      <c r="U320" s="2939"/>
      <c r="V320" s="2939"/>
      <c r="W320" s="2939"/>
      <c r="X320" s="2939"/>
      <c r="Y320" s="2939"/>
      <c r="Z320" s="2939"/>
      <c r="AA320" s="2939"/>
      <c r="AB320" s="2939"/>
      <c r="AC320" s="2939"/>
      <c r="AD320" s="2939"/>
    </row>
    <row r="321" spans="1:30">
      <c r="A321" s="6705">
        <v>306</v>
      </c>
      <c r="B321" s="6701" t="s">
        <v>7422</v>
      </c>
      <c r="C321" s="6706" t="s">
        <v>7423</v>
      </c>
      <c r="D321" s="6707" t="s">
        <v>7424</v>
      </c>
      <c r="E321" s="6708"/>
      <c r="F321" s="6705">
        <v>630</v>
      </c>
      <c r="G321" s="6701" t="s">
        <v>7425</v>
      </c>
      <c r="H321" s="6706" t="s">
        <v>7426</v>
      </c>
      <c r="I321" s="6707" t="s">
        <v>7427</v>
      </c>
      <c r="J321" s="6708"/>
      <c r="K321" s="6705">
        <v>954</v>
      </c>
      <c r="L321" s="6701" t="s">
        <v>7428</v>
      </c>
      <c r="M321" s="6706" t="s">
        <v>7429</v>
      </c>
      <c r="N321" s="6707" t="s">
        <v>7430</v>
      </c>
      <c r="O321" s="6708"/>
      <c r="P321" s="6705">
        <v>1278</v>
      </c>
      <c r="Q321" s="6701" t="s">
        <v>7431</v>
      </c>
      <c r="R321" s="6706" t="s">
        <v>7432</v>
      </c>
      <c r="S321" s="6707" t="s">
        <v>7433</v>
      </c>
      <c r="T321" s="2939"/>
      <c r="U321" s="2939"/>
      <c r="V321" s="2939"/>
      <c r="W321" s="2939"/>
      <c r="X321" s="2939"/>
      <c r="Y321" s="2939"/>
      <c r="Z321" s="2939"/>
      <c r="AA321" s="2939"/>
      <c r="AB321" s="2939"/>
      <c r="AC321" s="2939"/>
      <c r="AD321" s="2939"/>
    </row>
    <row r="322" spans="1:30">
      <c r="A322" s="6705">
        <v>307</v>
      </c>
      <c r="B322" s="6701" t="s">
        <v>7434</v>
      </c>
      <c r="C322" s="6706" t="s">
        <v>7435</v>
      </c>
      <c r="D322" s="6707" t="s">
        <v>7436</v>
      </c>
      <c r="E322" s="6708"/>
      <c r="F322" s="6705">
        <v>631</v>
      </c>
      <c r="G322" s="6701" t="s">
        <v>7437</v>
      </c>
      <c r="H322" s="6706" t="s">
        <v>7438</v>
      </c>
      <c r="I322" s="6707" t="s">
        <v>7439</v>
      </c>
      <c r="J322" s="6708"/>
      <c r="K322" s="6705">
        <v>955</v>
      </c>
      <c r="L322" s="6701" t="s">
        <v>7440</v>
      </c>
      <c r="M322" s="6706" t="s">
        <v>7441</v>
      </c>
      <c r="N322" s="6707" t="s">
        <v>7442</v>
      </c>
      <c r="O322" s="6708"/>
      <c r="P322" s="6705">
        <v>1279</v>
      </c>
      <c r="Q322" s="6701" t="s">
        <v>7443</v>
      </c>
      <c r="R322" s="6706" t="s">
        <v>7444</v>
      </c>
      <c r="S322" s="6707" t="s">
        <v>7445</v>
      </c>
      <c r="T322" s="2939"/>
      <c r="U322" s="2939"/>
      <c r="V322" s="2939"/>
      <c r="W322" s="2939"/>
      <c r="X322" s="2939"/>
      <c r="Y322" s="2939"/>
      <c r="Z322" s="2939"/>
      <c r="AA322" s="2939"/>
      <c r="AB322" s="2939"/>
      <c r="AC322" s="2939"/>
      <c r="AD322" s="2939"/>
    </row>
    <row r="323" spans="1:30">
      <c r="A323" s="6705">
        <v>308</v>
      </c>
      <c r="B323" s="6701" t="s">
        <v>7446</v>
      </c>
      <c r="C323" s="6706" t="s">
        <v>7447</v>
      </c>
      <c r="D323" s="6707" t="s">
        <v>7448</v>
      </c>
      <c r="E323" s="6708"/>
      <c r="F323" s="6705">
        <v>632</v>
      </c>
      <c r="G323" s="6701" t="s">
        <v>7449</v>
      </c>
      <c r="H323" s="6706" t="s">
        <v>7450</v>
      </c>
      <c r="I323" s="6707" t="s">
        <v>7451</v>
      </c>
      <c r="J323" s="6708"/>
      <c r="K323" s="6705">
        <v>956</v>
      </c>
      <c r="L323" s="6701" t="s">
        <v>7452</v>
      </c>
      <c r="M323" s="6706" t="s">
        <v>7453</v>
      </c>
      <c r="N323" s="6707" t="s">
        <v>7454</v>
      </c>
      <c r="O323" s="6708"/>
      <c r="P323" s="6705">
        <v>1280</v>
      </c>
      <c r="Q323" s="6701" t="s">
        <v>7455</v>
      </c>
      <c r="R323" s="6706" t="s">
        <v>7456</v>
      </c>
      <c r="S323" s="6707" t="s">
        <v>7457</v>
      </c>
      <c r="T323" s="2939"/>
      <c r="U323" s="2939"/>
      <c r="V323" s="2939"/>
      <c r="W323" s="2939"/>
      <c r="X323" s="2939"/>
      <c r="Y323" s="2939"/>
      <c r="Z323" s="2939"/>
      <c r="AA323" s="2939"/>
      <c r="AB323" s="2939"/>
      <c r="AC323" s="2939"/>
      <c r="AD323" s="2939"/>
    </row>
    <row r="324" spans="1:30">
      <c r="A324" s="6705">
        <v>309</v>
      </c>
      <c r="B324" s="6701" t="s">
        <v>7458</v>
      </c>
      <c r="C324" s="6706" t="s">
        <v>7459</v>
      </c>
      <c r="D324" s="6707" t="s">
        <v>2036</v>
      </c>
      <c r="E324" s="6708"/>
      <c r="F324" s="6705">
        <v>633</v>
      </c>
      <c r="G324" s="6701" t="s">
        <v>7460</v>
      </c>
      <c r="H324" s="6706" t="s">
        <v>7461</v>
      </c>
      <c r="I324" s="6707" t="s">
        <v>7462</v>
      </c>
      <c r="J324" s="6708"/>
      <c r="K324" s="6705">
        <v>957</v>
      </c>
      <c r="L324" s="6701" t="s">
        <v>7463</v>
      </c>
      <c r="M324" s="6706" t="s">
        <v>7464</v>
      </c>
      <c r="N324" s="6707" t="s">
        <v>7465</v>
      </c>
      <c r="O324" s="6708"/>
      <c r="P324" s="6705">
        <v>1281</v>
      </c>
      <c r="Q324" s="6701" t="s">
        <v>7466</v>
      </c>
      <c r="R324" s="6706" t="s">
        <v>7467</v>
      </c>
      <c r="S324" s="6707" t="s">
        <v>7468</v>
      </c>
      <c r="T324" s="2939"/>
      <c r="U324" s="2939"/>
      <c r="V324" s="2939"/>
      <c r="W324" s="2939"/>
      <c r="X324" s="2939"/>
      <c r="Y324" s="2939"/>
      <c r="Z324" s="2939"/>
      <c r="AA324" s="2939"/>
      <c r="AB324" s="2939"/>
      <c r="AC324" s="2939"/>
      <c r="AD324" s="2939"/>
    </row>
    <row r="325" spans="1:30">
      <c r="A325" s="6705">
        <v>310</v>
      </c>
      <c r="B325" s="6701" t="s">
        <v>7469</v>
      </c>
      <c r="C325" s="6706" t="s">
        <v>7470</v>
      </c>
      <c r="D325" s="6707" t="s">
        <v>7471</v>
      </c>
      <c r="E325" s="6708"/>
      <c r="F325" s="6705">
        <v>634</v>
      </c>
      <c r="G325" s="6701" t="s">
        <v>7472</v>
      </c>
      <c r="H325" s="6706" t="s">
        <v>7473</v>
      </c>
      <c r="I325" s="6707" t="s">
        <v>7474</v>
      </c>
      <c r="J325" s="6708"/>
      <c r="K325" s="6705">
        <v>958</v>
      </c>
      <c r="L325" s="6701" t="s">
        <v>7475</v>
      </c>
      <c r="M325" s="6706" t="s">
        <v>7476</v>
      </c>
      <c r="N325" s="6707" t="s">
        <v>7477</v>
      </c>
      <c r="O325" s="6708"/>
      <c r="P325" s="6705">
        <v>1282</v>
      </c>
      <c r="Q325" s="6701" t="s">
        <v>7478</v>
      </c>
      <c r="R325" s="6706" t="s">
        <v>7479</v>
      </c>
      <c r="T325" s="2939"/>
      <c r="U325" s="2939"/>
      <c r="V325" s="2939"/>
      <c r="W325" s="2939"/>
      <c r="X325" s="2939"/>
      <c r="Y325" s="2939"/>
      <c r="Z325" s="2939"/>
      <c r="AA325" s="2939"/>
      <c r="AB325" s="2939"/>
      <c r="AC325" s="2939"/>
      <c r="AD325" s="2939"/>
    </row>
    <row r="326" spans="1:30">
      <c r="A326" s="6705">
        <v>311</v>
      </c>
      <c r="B326" s="6701" t="s">
        <v>7480</v>
      </c>
      <c r="C326" s="6706" t="s">
        <v>7481</v>
      </c>
      <c r="D326" s="6707" t="s">
        <v>7482</v>
      </c>
      <c r="E326" s="6708"/>
      <c r="F326" s="6705">
        <v>635</v>
      </c>
      <c r="G326" s="6701" t="s">
        <v>7483</v>
      </c>
      <c r="H326" s="6706" t="s">
        <v>7484</v>
      </c>
      <c r="I326" s="6707" t="s">
        <v>7485</v>
      </c>
      <c r="J326" s="6708"/>
      <c r="K326" s="6705">
        <v>959</v>
      </c>
      <c r="L326" s="6701" t="s">
        <v>7486</v>
      </c>
      <c r="M326" s="6706" t="s">
        <v>7487</v>
      </c>
      <c r="N326" s="6707" t="s">
        <v>7488</v>
      </c>
      <c r="O326" s="6708"/>
      <c r="P326" s="6705">
        <v>1283</v>
      </c>
      <c r="Q326" s="6701" t="s">
        <v>7489</v>
      </c>
      <c r="R326" s="6706" t="s">
        <v>7490</v>
      </c>
      <c r="T326" s="2939"/>
      <c r="U326" s="2939"/>
      <c r="V326" s="2939"/>
      <c r="W326" s="2939"/>
      <c r="X326" s="2939"/>
      <c r="Y326" s="2939"/>
      <c r="Z326" s="2939"/>
      <c r="AA326" s="2939"/>
      <c r="AB326" s="2939"/>
      <c r="AC326" s="2939"/>
      <c r="AD326" s="2939"/>
    </row>
    <row r="327" spans="1:30">
      <c r="A327" s="6705">
        <v>312</v>
      </c>
      <c r="B327" s="6701" t="s">
        <v>7491</v>
      </c>
      <c r="C327" s="6706" t="s">
        <v>7492</v>
      </c>
      <c r="D327" s="6707" t="s">
        <v>7493</v>
      </c>
      <c r="E327" s="6708"/>
      <c r="F327" s="6705">
        <v>636</v>
      </c>
      <c r="G327" s="6701" t="s">
        <v>7494</v>
      </c>
      <c r="H327" s="6706" t="s">
        <v>7495</v>
      </c>
      <c r="I327" s="6707" t="s">
        <v>7496</v>
      </c>
      <c r="J327" s="6708"/>
      <c r="K327" s="6705">
        <v>960</v>
      </c>
      <c r="L327" s="6701" t="s">
        <v>7497</v>
      </c>
      <c r="M327" s="6706" t="s">
        <v>7498</v>
      </c>
      <c r="N327" s="6707" t="s">
        <v>7499</v>
      </c>
      <c r="O327" s="6708"/>
      <c r="P327" s="6705">
        <v>1284</v>
      </c>
      <c r="Q327" s="6701" t="s">
        <v>7500</v>
      </c>
      <c r="R327" s="6706" t="s">
        <v>7501</v>
      </c>
      <c r="S327" s="6707" t="s">
        <v>7502</v>
      </c>
      <c r="T327" s="2939"/>
      <c r="U327" s="2939"/>
      <c r="V327" s="2939"/>
      <c r="W327" s="2939"/>
      <c r="X327" s="2939"/>
      <c r="Y327" s="2939"/>
      <c r="Z327" s="2939"/>
      <c r="AA327" s="2939"/>
      <c r="AB327" s="2939"/>
      <c r="AC327" s="2939"/>
      <c r="AD327" s="2939"/>
    </row>
    <row r="328" spans="1:30">
      <c r="A328" s="6705">
        <v>313</v>
      </c>
      <c r="B328" s="6701" t="s">
        <v>7503</v>
      </c>
      <c r="C328" s="6706" t="s">
        <v>7504</v>
      </c>
      <c r="D328" s="6707" t="s">
        <v>7505</v>
      </c>
      <c r="E328" s="6708"/>
      <c r="F328" s="6705">
        <v>637</v>
      </c>
      <c r="G328" s="6701" t="s">
        <v>7506</v>
      </c>
      <c r="H328" s="6706" t="s">
        <v>7507</v>
      </c>
      <c r="I328" s="6707" t="s">
        <v>7508</v>
      </c>
      <c r="J328" s="6708"/>
      <c r="K328" s="6705">
        <v>961</v>
      </c>
      <c r="L328" s="6701" t="s">
        <v>7509</v>
      </c>
      <c r="M328" s="6706" t="s">
        <v>7510</v>
      </c>
      <c r="N328" s="6707" t="s">
        <v>7511</v>
      </c>
      <c r="O328" s="6708"/>
      <c r="P328" s="6705">
        <v>1285</v>
      </c>
      <c r="Q328" s="6701" t="s">
        <v>7512</v>
      </c>
      <c r="R328" s="6706" t="s">
        <v>7513</v>
      </c>
      <c r="S328" s="6707" t="s">
        <v>7514</v>
      </c>
      <c r="T328" s="2939"/>
      <c r="U328" s="2939"/>
      <c r="V328" s="2939"/>
      <c r="W328" s="2939"/>
      <c r="X328" s="2939"/>
      <c r="Y328" s="2939"/>
      <c r="Z328" s="2939"/>
      <c r="AA328" s="2939"/>
      <c r="AB328" s="2939"/>
      <c r="AC328" s="2939"/>
      <c r="AD328" s="2939"/>
    </row>
    <row r="329" spans="1:30">
      <c r="A329" s="6705">
        <v>314</v>
      </c>
      <c r="B329" s="6701" t="s">
        <v>7515</v>
      </c>
      <c r="C329" s="6706" t="s">
        <v>7516</v>
      </c>
      <c r="D329" s="6707" t="s">
        <v>7517</v>
      </c>
      <c r="E329" s="6708"/>
      <c r="F329" s="6705">
        <v>638</v>
      </c>
      <c r="G329" s="6701" t="s">
        <v>7518</v>
      </c>
      <c r="H329" s="6706" t="s">
        <v>7519</v>
      </c>
      <c r="I329" s="6707" t="s">
        <v>7520</v>
      </c>
      <c r="J329" s="6708"/>
      <c r="K329" s="6705">
        <v>962</v>
      </c>
      <c r="L329" s="6701" t="s">
        <v>7521</v>
      </c>
      <c r="M329" s="6706" t="s">
        <v>7522</v>
      </c>
      <c r="N329" s="6707" t="s">
        <v>7523</v>
      </c>
      <c r="O329" s="6708"/>
      <c r="P329" s="6705">
        <v>1286</v>
      </c>
      <c r="Q329" s="6701" t="s">
        <v>7524</v>
      </c>
      <c r="R329" s="6706" t="s">
        <v>7525</v>
      </c>
      <c r="S329" s="6707" t="s">
        <v>7526</v>
      </c>
      <c r="T329" s="2939"/>
      <c r="U329" s="2939"/>
      <c r="V329" s="2939"/>
      <c r="W329" s="2939"/>
      <c r="X329" s="2939"/>
      <c r="Y329" s="2939"/>
      <c r="Z329" s="2939"/>
      <c r="AA329" s="2939"/>
      <c r="AB329" s="2939"/>
      <c r="AC329" s="2939"/>
      <c r="AD329" s="2939"/>
    </row>
    <row r="330" spans="1:30">
      <c r="A330" s="6705">
        <v>315</v>
      </c>
      <c r="B330" s="6701" t="s">
        <v>7527</v>
      </c>
      <c r="C330" s="6706" t="s">
        <v>7528</v>
      </c>
      <c r="D330" s="6707" t="s">
        <v>7529</v>
      </c>
      <c r="E330" s="6708"/>
      <c r="F330" s="6705">
        <v>639</v>
      </c>
      <c r="G330" s="6701" t="s">
        <v>7530</v>
      </c>
      <c r="H330" s="6706" t="s">
        <v>7531</v>
      </c>
      <c r="I330" s="6707" t="s">
        <v>7532</v>
      </c>
      <c r="J330" s="6708"/>
      <c r="K330" s="6705">
        <v>963</v>
      </c>
      <c r="L330" s="6701" t="s">
        <v>7533</v>
      </c>
      <c r="M330" s="6706" t="s">
        <v>7534</v>
      </c>
      <c r="N330" s="6707" t="s">
        <v>7535</v>
      </c>
      <c r="O330" s="6708"/>
      <c r="P330" s="6705">
        <v>1287</v>
      </c>
      <c r="Q330" s="6701" t="s">
        <v>7536</v>
      </c>
      <c r="R330" s="6706" t="s">
        <v>7537</v>
      </c>
      <c r="S330" s="6707" t="s">
        <v>7538</v>
      </c>
      <c r="T330" s="2939"/>
      <c r="U330" s="2939"/>
      <c r="V330" s="2939"/>
      <c r="W330" s="2939"/>
      <c r="X330" s="2939"/>
      <c r="Y330" s="2939"/>
      <c r="Z330" s="2939"/>
      <c r="AA330" s="2939"/>
      <c r="AB330" s="2939"/>
      <c r="AC330" s="2939"/>
      <c r="AD330" s="2939"/>
    </row>
    <row r="331" spans="1:30">
      <c r="A331" s="6705">
        <v>316</v>
      </c>
      <c r="B331" s="6701" t="s">
        <v>7539</v>
      </c>
      <c r="C331" s="6706" t="s">
        <v>7540</v>
      </c>
      <c r="D331" s="6707" t="s">
        <v>7541</v>
      </c>
      <c r="E331" s="6708"/>
      <c r="F331" s="6705">
        <v>640</v>
      </c>
      <c r="G331" s="6701" t="s">
        <v>7542</v>
      </c>
      <c r="H331" s="6706" t="s">
        <v>7543</v>
      </c>
      <c r="I331" s="6707" t="s">
        <v>7544</v>
      </c>
      <c r="J331" s="6708"/>
      <c r="K331" s="6705">
        <v>964</v>
      </c>
      <c r="L331" s="6701" t="s">
        <v>7545</v>
      </c>
      <c r="M331" s="6706" t="s">
        <v>7546</v>
      </c>
      <c r="N331" s="6707" t="s">
        <v>7547</v>
      </c>
      <c r="O331" s="6708"/>
      <c r="P331" s="6705">
        <v>1288</v>
      </c>
      <c r="Q331" s="6701" t="s">
        <v>7548</v>
      </c>
      <c r="R331" s="6706" t="s">
        <v>7549</v>
      </c>
      <c r="S331" s="6707" t="s">
        <v>7550</v>
      </c>
      <c r="T331" s="2939"/>
      <c r="U331" s="2939"/>
      <c r="V331" s="2939"/>
      <c r="W331" s="2939"/>
      <c r="X331" s="2939"/>
      <c r="Y331" s="2939"/>
      <c r="Z331" s="2939"/>
      <c r="AA331" s="2939"/>
      <c r="AB331" s="2939"/>
      <c r="AC331" s="2939"/>
      <c r="AD331" s="2939"/>
    </row>
    <row r="332" spans="1:30">
      <c r="A332" s="6705">
        <v>317</v>
      </c>
      <c r="B332" s="6701" t="s">
        <v>7551</v>
      </c>
      <c r="C332" s="6706" t="s">
        <v>7552</v>
      </c>
      <c r="D332" s="6707" t="s">
        <v>1470</v>
      </c>
      <c r="E332" s="6708"/>
      <c r="F332" s="6705">
        <v>641</v>
      </c>
      <c r="G332" s="6701" t="s">
        <v>7553</v>
      </c>
      <c r="H332" s="6706" t="s">
        <v>7554</v>
      </c>
      <c r="I332" s="6707" t="s">
        <v>7555</v>
      </c>
      <c r="J332" s="6708"/>
      <c r="K332" s="6705">
        <v>965</v>
      </c>
      <c r="L332" s="6701" t="s">
        <v>7556</v>
      </c>
      <c r="M332" s="6706" t="s">
        <v>7557</v>
      </c>
      <c r="N332" s="6707" t="s">
        <v>7558</v>
      </c>
      <c r="O332" s="6708"/>
      <c r="P332" s="6705">
        <v>1289</v>
      </c>
      <c r="Q332" s="6701" t="s">
        <v>7559</v>
      </c>
      <c r="R332" s="6706" t="s">
        <v>7560</v>
      </c>
      <c r="S332" s="6707" t="s">
        <v>7561</v>
      </c>
      <c r="T332" s="2939"/>
      <c r="U332" s="2939"/>
      <c r="V332" s="2939"/>
      <c r="W332" s="2939"/>
      <c r="X332" s="2939"/>
      <c r="Y332" s="2939"/>
      <c r="Z332" s="2939"/>
      <c r="AA332" s="2939"/>
      <c r="AB332" s="2939"/>
      <c r="AC332" s="2939"/>
      <c r="AD332" s="2939"/>
    </row>
    <row r="333" spans="1:30">
      <c r="A333" s="6705">
        <v>318</v>
      </c>
      <c r="B333" s="6701" t="s">
        <v>7562</v>
      </c>
      <c r="C333" s="6706" t="s">
        <v>7563</v>
      </c>
      <c r="D333" s="6707" t="s">
        <v>7564</v>
      </c>
      <c r="E333" s="6708"/>
      <c r="F333" s="6705">
        <v>642</v>
      </c>
      <c r="G333" s="6701" t="s">
        <v>7565</v>
      </c>
      <c r="H333" s="6706" t="s">
        <v>7566</v>
      </c>
      <c r="I333" s="6707" t="s">
        <v>7567</v>
      </c>
      <c r="J333" s="6708"/>
      <c r="K333" s="6705">
        <v>966</v>
      </c>
      <c r="L333" s="6701" t="s">
        <v>7568</v>
      </c>
      <c r="M333" s="6706" t="s">
        <v>7569</v>
      </c>
      <c r="N333" s="6707" t="s">
        <v>7570</v>
      </c>
      <c r="O333" s="6708"/>
      <c r="P333" s="6705">
        <v>1290</v>
      </c>
      <c r="Q333" s="6701" t="s">
        <v>7571</v>
      </c>
      <c r="R333" s="6706" t="s">
        <v>7572</v>
      </c>
      <c r="S333" s="6707" t="s">
        <v>7573</v>
      </c>
      <c r="T333" s="2939"/>
      <c r="U333" s="2939"/>
      <c r="V333" s="2939"/>
      <c r="W333" s="2939"/>
      <c r="X333" s="2939"/>
      <c r="Y333" s="2939"/>
      <c r="Z333" s="2939"/>
      <c r="AA333" s="2939"/>
      <c r="AB333" s="2939"/>
      <c r="AC333" s="2939"/>
      <c r="AD333" s="2939"/>
    </row>
    <row r="334" spans="1:30">
      <c r="A334" s="6705">
        <v>319</v>
      </c>
      <c r="B334" s="6701" t="s">
        <v>7574</v>
      </c>
      <c r="C334" s="6706" t="s">
        <v>7575</v>
      </c>
      <c r="D334" s="6707" t="s">
        <v>7576</v>
      </c>
      <c r="E334" s="6708"/>
      <c r="F334" s="6705">
        <v>643</v>
      </c>
      <c r="G334" s="6701" t="s">
        <v>7577</v>
      </c>
      <c r="H334" s="6706" t="s">
        <v>7578</v>
      </c>
      <c r="I334" s="6707" t="s">
        <v>7579</v>
      </c>
      <c r="J334" s="6708"/>
      <c r="K334" s="6705">
        <v>967</v>
      </c>
      <c r="L334" s="6701" t="s">
        <v>7580</v>
      </c>
      <c r="M334" s="6706" t="s">
        <v>7581</v>
      </c>
      <c r="N334" s="6707" t="s">
        <v>7582</v>
      </c>
      <c r="O334" s="6708"/>
      <c r="P334" s="6705">
        <v>1291</v>
      </c>
      <c r="Q334" s="6701" t="s">
        <v>7583</v>
      </c>
      <c r="R334" s="6706" t="s">
        <v>7584</v>
      </c>
      <c r="S334" s="6707" t="s">
        <v>7585</v>
      </c>
      <c r="T334" s="2939"/>
      <c r="U334" s="2939"/>
      <c r="V334" s="2939"/>
      <c r="W334" s="2939"/>
      <c r="X334" s="2939"/>
      <c r="Y334" s="2939"/>
      <c r="Z334" s="2939"/>
      <c r="AA334" s="2939"/>
      <c r="AB334" s="2939"/>
      <c r="AC334" s="2939"/>
      <c r="AD334" s="2939"/>
    </row>
    <row r="335" spans="1:30">
      <c r="A335" s="6705">
        <v>320</v>
      </c>
      <c r="B335" s="6701" t="s">
        <v>7586</v>
      </c>
      <c r="C335" s="6706" t="s">
        <v>7587</v>
      </c>
      <c r="D335" s="6707" t="s">
        <v>7588</v>
      </c>
      <c r="E335" s="6708"/>
      <c r="F335" s="6705">
        <v>644</v>
      </c>
      <c r="G335" s="6701" t="s">
        <v>7589</v>
      </c>
      <c r="H335" s="6706" t="s">
        <v>7590</v>
      </c>
      <c r="I335" s="6707" t="s">
        <v>7591</v>
      </c>
      <c r="J335" s="6708"/>
      <c r="K335" s="6705">
        <v>968</v>
      </c>
      <c r="L335" s="6701" t="s">
        <v>7592</v>
      </c>
      <c r="M335" s="6706" t="s">
        <v>7593</v>
      </c>
      <c r="N335" s="6707" t="s">
        <v>7594</v>
      </c>
      <c r="O335" s="6708"/>
      <c r="P335" s="6705">
        <v>1292</v>
      </c>
      <c r="Q335" s="6701" t="s">
        <v>7595</v>
      </c>
      <c r="R335" s="6706" t="s">
        <v>7596</v>
      </c>
      <c r="S335" s="6707" t="s">
        <v>7597</v>
      </c>
      <c r="T335" s="2939"/>
      <c r="U335" s="2939"/>
      <c r="V335" s="2939"/>
      <c r="W335" s="2939"/>
      <c r="X335" s="2939"/>
      <c r="Y335" s="2939"/>
      <c r="Z335" s="2939"/>
      <c r="AA335" s="2939"/>
      <c r="AB335" s="2939"/>
      <c r="AC335" s="2939"/>
      <c r="AD335" s="2939"/>
    </row>
    <row r="336" spans="1:30">
      <c r="A336" s="6705">
        <v>321</v>
      </c>
      <c r="B336" s="6701" t="s">
        <v>7598</v>
      </c>
      <c r="C336" s="6706" t="s">
        <v>7599</v>
      </c>
      <c r="D336" s="6707" t="s">
        <v>7600</v>
      </c>
      <c r="E336" s="6708"/>
      <c r="F336" s="6705">
        <v>645</v>
      </c>
      <c r="G336" s="6701" t="s">
        <v>7601</v>
      </c>
      <c r="H336" s="6706" t="s">
        <v>7602</v>
      </c>
      <c r="I336" s="6707" t="s">
        <v>7603</v>
      </c>
      <c r="J336" s="6708"/>
      <c r="K336" s="6705">
        <v>969</v>
      </c>
      <c r="L336" s="6701" t="s">
        <v>7604</v>
      </c>
      <c r="M336" s="6706" t="s">
        <v>7605</v>
      </c>
      <c r="N336" s="6707" t="s">
        <v>7606</v>
      </c>
      <c r="O336" s="6708"/>
      <c r="P336" s="6705">
        <v>1293</v>
      </c>
      <c r="Q336" s="6701" t="s">
        <v>7607</v>
      </c>
      <c r="R336" s="6706" t="s">
        <v>7608</v>
      </c>
      <c r="S336" s="6707" t="s">
        <v>7609</v>
      </c>
      <c r="T336" s="2939"/>
      <c r="U336" s="2939"/>
      <c r="V336" s="2939"/>
      <c r="W336" s="2939"/>
      <c r="X336" s="2939"/>
      <c r="Y336" s="2939"/>
      <c r="Z336" s="2939"/>
      <c r="AA336" s="2939"/>
      <c r="AB336" s="2939"/>
      <c r="AC336" s="2939"/>
      <c r="AD336" s="2939"/>
    </row>
    <row r="337" spans="1:30">
      <c r="A337" s="6705">
        <v>322</v>
      </c>
      <c r="B337" s="6701" t="s">
        <v>7610</v>
      </c>
      <c r="C337" s="6706" t="s">
        <v>7611</v>
      </c>
      <c r="D337" s="6707" t="s">
        <v>7612</v>
      </c>
      <c r="E337" s="6708"/>
      <c r="F337" s="6705">
        <v>646</v>
      </c>
      <c r="G337" s="6701" t="s">
        <v>7613</v>
      </c>
      <c r="H337" s="6706" t="s">
        <v>7614</v>
      </c>
      <c r="I337" s="6707" t="s">
        <v>5538</v>
      </c>
      <c r="J337" s="6708"/>
      <c r="K337" s="6705">
        <v>970</v>
      </c>
      <c r="L337" s="6701" t="s">
        <v>7615</v>
      </c>
      <c r="M337" s="6706" t="s">
        <v>7616</v>
      </c>
      <c r="N337" s="6707" t="s">
        <v>7617</v>
      </c>
      <c r="O337" s="6708"/>
      <c r="P337" s="6705">
        <v>1294</v>
      </c>
      <c r="Q337" s="6701" t="s">
        <v>7618</v>
      </c>
      <c r="R337" s="6706" t="s">
        <v>7619</v>
      </c>
      <c r="S337" s="6707" t="s">
        <v>7620</v>
      </c>
      <c r="T337" s="2939"/>
      <c r="U337" s="2939"/>
      <c r="V337" s="2939"/>
      <c r="W337" s="2939"/>
      <c r="X337" s="2939"/>
      <c r="Y337" s="2939"/>
      <c r="Z337" s="2939"/>
      <c r="AA337" s="2939"/>
      <c r="AB337" s="2939"/>
      <c r="AC337" s="2939"/>
      <c r="AD337" s="2939"/>
    </row>
    <row r="338" spans="1:30">
      <c r="A338" s="6705">
        <v>323</v>
      </c>
      <c r="B338" s="6701" t="s">
        <v>7621</v>
      </c>
      <c r="C338" s="6706" t="s">
        <v>7622</v>
      </c>
      <c r="D338" s="6707" t="s">
        <v>7623</v>
      </c>
      <c r="E338" s="6708"/>
      <c r="F338" s="6705">
        <v>647</v>
      </c>
      <c r="G338" s="6701" t="s">
        <v>7624</v>
      </c>
      <c r="H338" s="6706" t="s">
        <v>7625</v>
      </c>
      <c r="I338" s="6707" t="s">
        <v>7626</v>
      </c>
      <c r="J338" s="6708"/>
      <c r="K338" s="6705">
        <v>971</v>
      </c>
      <c r="L338" s="6701" t="s">
        <v>7627</v>
      </c>
      <c r="M338" s="6706" t="s">
        <v>7628</v>
      </c>
      <c r="N338" s="6707" t="s">
        <v>7629</v>
      </c>
      <c r="O338" s="6708"/>
      <c r="P338" s="6705">
        <v>1295</v>
      </c>
      <c r="Q338" s="6701" t="s">
        <v>7630</v>
      </c>
      <c r="R338" s="6706" t="s">
        <v>7631</v>
      </c>
      <c r="S338" s="6707" t="s">
        <v>7632</v>
      </c>
      <c r="T338" s="2939"/>
      <c r="U338" s="2939"/>
      <c r="V338" s="2939"/>
      <c r="W338" s="2939"/>
      <c r="X338" s="2939"/>
      <c r="Y338" s="2939"/>
      <c r="Z338" s="2939"/>
      <c r="AA338" s="2939"/>
      <c r="AB338" s="2939"/>
      <c r="AC338" s="2939"/>
      <c r="AD338" s="2939"/>
    </row>
    <row r="339" spans="1:30">
      <c r="A339" s="6705">
        <v>324</v>
      </c>
      <c r="B339" s="6701" t="s">
        <v>7633</v>
      </c>
      <c r="C339" s="6706" t="s">
        <v>7634</v>
      </c>
      <c r="D339" s="6707" t="s">
        <v>7635</v>
      </c>
      <c r="E339" s="6708"/>
      <c r="F339" s="6705">
        <v>648</v>
      </c>
      <c r="G339" s="6701" t="s">
        <v>7636</v>
      </c>
      <c r="H339" s="6706" t="s">
        <v>7637</v>
      </c>
      <c r="I339" s="6707" t="s">
        <v>7638</v>
      </c>
      <c r="J339" s="6708"/>
      <c r="K339" s="6705">
        <v>972</v>
      </c>
      <c r="L339" s="6701" t="s">
        <v>7639</v>
      </c>
      <c r="M339" s="6706" t="s">
        <v>7640</v>
      </c>
      <c r="N339" s="6707" t="s">
        <v>7641</v>
      </c>
      <c r="O339" s="6708"/>
      <c r="P339" s="6705">
        <v>1296</v>
      </c>
      <c r="Q339" s="6701" t="s">
        <v>7642</v>
      </c>
      <c r="R339" s="6706" t="s">
        <v>7643</v>
      </c>
      <c r="S339" s="6707" t="s">
        <v>7644</v>
      </c>
      <c r="T339" s="2939"/>
      <c r="U339" s="2939"/>
      <c r="V339" s="2939"/>
      <c r="W339" s="2939"/>
      <c r="X339" s="2939"/>
      <c r="Y339" s="2939"/>
      <c r="Z339" s="2939"/>
      <c r="AA339" s="2939"/>
      <c r="AB339" s="2939"/>
      <c r="AC339" s="2939"/>
      <c r="AD339" s="2939"/>
    </row>
  </sheetData>
  <mergeCells count="1">
    <mergeCell ref="A1:U1"/>
  </mergeCells>
  <hyperlinks>
    <hyperlink ref="D4" r:id="rId1" xr:uid="{2C2E3194-8D19-4713-BD63-71F0C0D3113F}"/>
    <hyperlink ref="U8" r:id="rId2" xr:uid="{BBD5535D-485C-48A0-BAD5-A23347217F61}"/>
    <hyperlink ref="AA4" r:id="rId3" xr:uid="{D2889068-22D8-495E-9FD8-3CB6F74BD3C6}"/>
    <hyperlink ref="AA6" r:id="rId4" xr:uid="{A60DBB20-3072-41C6-BA57-C3ED0E4A89CB}"/>
    <hyperlink ref="AA8" r:id="rId5" xr:uid="{80B1EACD-E8CB-479C-998E-970827524424}"/>
    <hyperlink ref="V17" r:id="rId6" xr:uid="{655FA772-D79E-481B-B465-78339B3D8678}"/>
    <hyperlink ref="V19" r:id="rId7" xr:uid="{62BE5102-D1E5-4894-BFDA-DD656F8DDA56}"/>
    <hyperlink ref="D6" r:id="rId8" xr:uid="{10F133AE-0278-4F01-84CB-CAD06FAC2BC5}"/>
    <hyperlink ref="D8" r:id="rId9" xr:uid="{54E1C9B5-DDCA-41E1-89C6-C8AEE648E601}"/>
    <hyperlink ref="O4" r:id="rId10" xr:uid="{BDAC7C82-C448-4E0C-9702-6B7FBB717631}"/>
    <hyperlink ref="O8" r:id="rId11" xr:uid="{8AEC0587-DBA1-4BB3-8349-65F3D497929E}"/>
    <hyperlink ref="O6" r:id="rId12" xr:uid="{85879737-7412-4A31-AA84-8EB69A1DE574}"/>
    <hyperlink ref="U4" r:id="rId13" xr:uid="{0F19EDE8-38D6-4F3C-AB3A-27A458BE0BB0}"/>
    <hyperlink ref="U6" r:id="rId14" xr:uid="{FB65850B-20FD-4594-B4D9-8229708C1B13}"/>
  </hyperlinks>
  <pageMargins left="0.7" right="0.7" top="0.75" bottom="0.75" header="0.3" footer="0.3"/>
  <drawing r:id="rId1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C546-4064-48A8-BC50-7D77FB97A50E}">
  <dimension ref="A1:P285"/>
  <sheetViews>
    <sheetView workbookViewId="0">
      <selection activeCell="L13" sqref="L13"/>
    </sheetView>
  </sheetViews>
  <sheetFormatPr baseColWidth="10" defaultRowHeight="15.75"/>
  <cols>
    <col min="1" max="1" width="3.28515625" style="6714" customWidth="1"/>
    <col min="2" max="2" width="11.42578125" style="6714"/>
    <col min="3" max="3" width="11.7109375" style="6714" customWidth="1"/>
    <col min="4" max="13" width="11.42578125" style="6714"/>
    <col min="14" max="14" width="15" style="6714" customWidth="1"/>
    <col min="15" max="16384" width="11.42578125" style="6714"/>
  </cols>
  <sheetData>
    <row r="1" spans="1:16" ht="16.5" thickBot="1"/>
    <row r="2" spans="1:16" ht="15.75" customHeight="1">
      <c r="B2" s="6717" t="s">
        <v>7645</v>
      </c>
      <c r="C2" s="6718"/>
      <c r="D2" s="6718"/>
      <c r="E2" s="6718"/>
      <c r="F2" s="6718"/>
      <c r="G2" s="6718"/>
      <c r="H2" s="6718"/>
      <c r="I2" s="6718"/>
      <c r="J2" s="6718"/>
      <c r="K2" s="6718"/>
      <c r="L2" s="6718"/>
      <c r="M2" s="6718"/>
      <c r="N2" s="6718"/>
      <c r="O2" s="6718"/>
      <c r="P2" s="6719"/>
    </row>
    <row r="3" spans="1:16" ht="15.75" customHeight="1">
      <c r="B3" s="6720"/>
      <c r="C3" s="6721"/>
      <c r="D3" s="6721"/>
      <c r="E3" s="6721"/>
      <c r="F3" s="6721"/>
      <c r="G3" s="6721"/>
      <c r="H3" s="6721"/>
      <c r="I3" s="6721"/>
      <c r="J3" s="6721"/>
      <c r="K3" s="6721"/>
      <c r="L3" s="6721"/>
      <c r="M3" s="6721"/>
      <c r="N3" s="6721"/>
      <c r="O3" s="6721"/>
      <c r="P3" s="6722"/>
    </row>
    <row r="4" spans="1:16" ht="15.75" customHeight="1">
      <c r="B4" s="6720"/>
      <c r="C4" s="6721"/>
      <c r="D4" s="6721"/>
      <c r="E4" s="6721"/>
      <c r="F4" s="6721"/>
      <c r="G4" s="6721"/>
      <c r="H4" s="6721"/>
      <c r="I4" s="6721"/>
      <c r="J4" s="6721"/>
      <c r="K4" s="6721"/>
      <c r="L4" s="6721"/>
      <c r="M4" s="6721"/>
      <c r="N4" s="6721"/>
      <c r="O4" s="6721"/>
      <c r="P4" s="6722"/>
    </row>
    <row r="5" spans="1:16" ht="15.75" customHeight="1">
      <c r="B5" s="6723" t="s">
        <v>7646</v>
      </c>
      <c r="C5" s="6724"/>
      <c r="D5" s="6724"/>
      <c r="E5" s="6724"/>
      <c r="F5" s="6724"/>
      <c r="G5" s="6724"/>
      <c r="H5" s="6724"/>
      <c r="I5" s="6724"/>
      <c r="J5" s="6724"/>
      <c r="K5" s="6724"/>
      <c r="L5" s="6724"/>
      <c r="M5" s="6724"/>
      <c r="N5" s="6724"/>
      <c r="O5" s="6724"/>
      <c r="P5" s="6725"/>
    </row>
    <row r="6" spans="1:16" ht="15.75" customHeight="1">
      <c r="B6" s="6723"/>
      <c r="C6" s="6724"/>
      <c r="D6" s="6724"/>
      <c r="E6" s="6724"/>
      <c r="F6" s="6724"/>
      <c r="G6" s="6724"/>
      <c r="H6" s="6724"/>
      <c r="I6" s="6724"/>
      <c r="J6" s="6724"/>
      <c r="K6" s="6724"/>
      <c r="L6" s="6724"/>
      <c r="M6" s="6724"/>
      <c r="N6" s="6724"/>
      <c r="O6" s="6724"/>
      <c r="P6" s="6725"/>
    </row>
    <row r="7" spans="1:16" ht="15.75" customHeight="1" thickBot="1">
      <c r="B7" s="6726"/>
      <c r="C7" s="6727"/>
      <c r="D7" s="6727"/>
      <c r="E7" s="6727"/>
      <c r="F7" s="6727"/>
      <c r="G7" s="6727"/>
      <c r="H7" s="6727"/>
      <c r="I7" s="6727"/>
      <c r="J7" s="6727"/>
      <c r="K7" s="6727"/>
      <c r="L7" s="6727"/>
      <c r="M7" s="6727"/>
      <c r="N7" s="6727"/>
      <c r="O7" s="6727"/>
      <c r="P7" s="6728"/>
    </row>
    <row r="8" spans="1:16">
      <c r="B8" s="6710"/>
      <c r="C8" s="6710"/>
      <c r="D8" s="6710"/>
      <c r="E8" s="6710"/>
      <c r="F8" s="6710"/>
      <c r="G8" s="6710"/>
      <c r="H8" s="6710"/>
      <c r="I8" s="6710"/>
      <c r="J8" s="6710"/>
      <c r="K8" s="6710"/>
      <c r="L8" s="6710"/>
      <c r="M8" s="6710"/>
      <c r="N8" s="6710"/>
      <c r="O8" s="6729" t="str">
        <f ca="1">"Page "&amp;_xlfn.SHEET()&amp;" sur "&amp;_xlfn.SHEETS()</f>
        <v>Page 37 sur 38</v>
      </c>
    </row>
    <row r="9" spans="1:16" s="1103" customFormat="1" ht="21.75" customHeight="1">
      <c r="A9" s="6714"/>
      <c r="B9" s="6710"/>
      <c r="C9" s="6730" t="s">
        <v>3216</v>
      </c>
      <c r="D9" s="3180"/>
      <c r="E9" s="1102"/>
      <c r="F9" s="1102"/>
      <c r="G9" s="1102"/>
      <c r="H9" s="1102"/>
      <c r="I9" s="1102"/>
      <c r="J9" s="1102"/>
      <c r="K9" s="1102"/>
      <c r="L9" s="1102"/>
      <c r="M9" s="1102"/>
      <c r="N9" s="1102"/>
      <c r="O9" s="1102"/>
      <c r="P9" s="1102"/>
    </row>
    <row r="10" spans="1:16" ht="28.5">
      <c r="B10" s="6710"/>
      <c r="C10" s="6731" t="s">
        <v>7647</v>
      </c>
      <c r="D10" s="6710"/>
      <c r="E10" s="6710"/>
      <c r="F10" s="6710"/>
      <c r="G10" s="6710"/>
      <c r="H10" s="6710"/>
      <c r="I10" s="6710"/>
      <c r="J10" s="6710"/>
      <c r="K10" s="6710"/>
      <c r="L10" s="6710"/>
      <c r="M10" s="6710"/>
      <c r="N10" s="6710"/>
      <c r="O10" s="6710"/>
      <c r="P10" s="6710"/>
    </row>
    <row r="11" spans="1:16" ht="23.25">
      <c r="B11" s="6710"/>
      <c r="C11" s="6732" t="s">
        <v>6047</v>
      </c>
      <c r="D11" s="6710"/>
      <c r="E11" s="6710"/>
      <c r="F11" s="6710"/>
      <c r="G11" s="6710"/>
      <c r="H11" s="6710"/>
      <c r="I11" s="6710"/>
      <c r="J11" s="6710"/>
      <c r="K11" s="6710"/>
      <c r="L11" s="6710"/>
      <c r="M11" s="6710"/>
      <c r="N11" s="6710"/>
      <c r="O11" s="6710"/>
      <c r="P11" s="6710"/>
    </row>
    <row r="12" spans="1:16" ht="18.75">
      <c r="B12" s="6709" t="s">
        <v>7648</v>
      </c>
      <c r="C12" s="6710"/>
      <c r="D12" s="6710"/>
      <c r="E12" s="6710"/>
      <c r="F12" s="6710"/>
      <c r="G12" s="6710"/>
      <c r="H12" s="6710"/>
      <c r="I12" s="6710"/>
      <c r="J12" s="6710"/>
      <c r="K12" s="6710"/>
      <c r="L12" s="6710"/>
      <c r="M12" s="6710"/>
      <c r="N12" s="6710"/>
      <c r="O12" s="6710"/>
      <c r="P12" s="6710"/>
    </row>
    <row r="13" spans="1:16">
      <c r="B13" s="6733" t="s">
        <v>2354</v>
      </c>
      <c r="C13" s="6734" t="s">
        <v>7649</v>
      </c>
      <c r="D13" s="6710"/>
      <c r="E13" s="6710"/>
      <c r="F13" s="6710"/>
      <c r="G13" s="6710"/>
      <c r="H13" s="6710"/>
      <c r="I13" s="6710"/>
      <c r="J13" s="6710"/>
      <c r="K13" s="6710"/>
      <c r="L13" s="6710"/>
      <c r="M13" s="6710"/>
      <c r="N13" s="6710"/>
      <c r="O13" s="6710"/>
      <c r="P13" s="6710"/>
    </row>
    <row r="14" spans="1:16">
      <c r="B14" s="6710"/>
      <c r="C14" s="6710"/>
      <c r="D14" s="6710"/>
      <c r="E14" s="6710"/>
      <c r="F14" s="6710"/>
      <c r="G14" s="6710"/>
      <c r="H14" s="6710"/>
      <c r="I14" s="6710"/>
      <c r="J14" s="6710"/>
      <c r="K14" s="6710"/>
      <c r="L14" s="6710"/>
      <c r="M14" s="6710"/>
      <c r="N14" s="6710"/>
      <c r="O14" s="6710"/>
      <c r="P14" s="6710"/>
    </row>
    <row r="15" spans="1:16" ht="18.75">
      <c r="B15" s="6709" t="s">
        <v>7650</v>
      </c>
      <c r="C15" s="6710"/>
      <c r="D15" s="6710"/>
      <c r="E15" s="6710"/>
      <c r="F15" s="6710"/>
      <c r="G15" s="6710"/>
      <c r="H15" s="6710"/>
      <c r="I15" s="6710"/>
      <c r="J15" s="6710"/>
      <c r="K15" s="6710"/>
      <c r="L15" s="6710"/>
      <c r="M15" s="6710"/>
      <c r="N15" s="6710"/>
      <c r="O15" s="6710"/>
      <c r="P15" s="6710"/>
    </row>
    <row r="16" spans="1:16">
      <c r="B16" s="6733" t="s">
        <v>2354</v>
      </c>
      <c r="C16" s="6735" t="s">
        <v>7651</v>
      </c>
      <c r="D16" s="6710"/>
      <c r="E16" s="6710"/>
      <c r="F16" s="6710"/>
      <c r="G16" s="6710"/>
      <c r="H16" s="6710"/>
      <c r="I16" s="6710"/>
      <c r="J16" s="6710"/>
      <c r="K16" s="6710"/>
      <c r="L16" s="6710"/>
      <c r="M16" s="6710"/>
      <c r="N16" s="6710"/>
      <c r="O16" s="6710"/>
      <c r="P16" s="6710"/>
    </row>
    <row r="17" spans="2:16">
      <c r="B17" s="6710"/>
      <c r="C17" s="6710"/>
      <c r="D17" s="6710"/>
      <c r="E17" s="6710"/>
      <c r="F17" s="6710"/>
      <c r="G17" s="6710"/>
      <c r="H17" s="6710"/>
      <c r="I17" s="6710"/>
      <c r="J17" s="6710"/>
      <c r="K17" s="6710"/>
      <c r="L17" s="6710"/>
      <c r="M17" s="6710"/>
      <c r="N17" s="6710"/>
      <c r="O17" s="6710"/>
      <c r="P17" s="6710"/>
    </row>
    <row r="18" spans="2:16">
      <c r="B18" s="6733" t="s">
        <v>2354</v>
      </c>
      <c r="C18" s="6735" t="s">
        <v>7652</v>
      </c>
      <c r="D18" s="6710"/>
      <c r="E18" s="6710"/>
      <c r="F18" s="6710"/>
      <c r="G18" s="6710"/>
      <c r="H18" s="6710"/>
      <c r="I18" s="6710"/>
      <c r="J18" s="6710"/>
      <c r="K18" s="6710"/>
      <c r="L18" s="6710"/>
      <c r="M18" s="6710"/>
      <c r="N18" s="6710"/>
      <c r="O18" s="6710"/>
      <c r="P18" s="6710"/>
    </row>
    <row r="19" spans="2:16">
      <c r="B19" s="6710"/>
      <c r="C19" s="6710"/>
      <c r="D19" s="6710"/>
      <c r="E19" s="6710"/>
      <c r="F19" s="6710"/>
      <c r="G19" s="6710"/>
      <c r="H19" s="6710"/>
      <c r="I19" s="6710"/>
      <c r="J19" s="6710"/>
      <c r="K19" s="6710"/>
      <c r="L19" s="6710"/>
      <c r="M19" s="6710"/>
      <c r="N19" s="6710"/>
      <c r="O19" s="6710"/>
      <c r="P19" s="6710"/>
    </row>
    <row r="20" spans="2:16">
      <c r="B20" s="6710"/>
      <c r="C20" s="6736" t="s">
        <v>7653</v>
      </c>
      <c r="D20" s="6710"/>
      <c r="E20" s="6710"/>
      <c r="F20" s="6710"/>
      <c r="G20" s="6710"/>
      <c r="H20" s="6710"/>
      <c r="I20" s="6710"/>
      <c r="J20" s="6710"/>
      <c r="K20" s="6710"/>
      <c r="L20" s="6710"/>
      <c r="M20" s="6710"/>
      <c r="N20" s="6710"/>
      <c r="O20" s="6710"/>
      <c r="P20" s="6710"/>
    </row>
    <row r="21" spans="2:16">
      <c r="B21" s="6710"/>
      <c r="C21" s="6736" t="s">
        <v>7654</v>
      </c>
      <c r="D21" s="6710"/>
      <c r="E21" s="6710"/>
      <c r="F21" s="6710"/>
      <c r="G21" s="6710"/>
      <c r="H21" s="6710"/>
      <c r="I21" s="6710"/>
      <c r="J21" s="6710"/>
      <c r="K21" s="6710"/>
      <c r="L21" s="6710"/>
      <c r="M21" s="6710"/>
      <c r="N21" s="6710"/>
      <c r="O21" s="6710"/>
      <c r="P21" s="6710"/>
    </row>
    <row r="22" spans="2:16">
      <c r="B22" s="6710"/>
      <c r="C22" s="6736" t="s">
        <v>7655</v>
      </c>
      <c r="D22" s="6710"/>
      <c r="E22" s="6710"/>
      <c r="F22" s="6710"/>
      <c r="G22" s="6710"/>
      <c r="H22" s="6710"/>
      <c r="I22" s="6710"/>
      <c r="J22" s="6710"/>
      <c r="K22" s="6710"/>
      <c r="L22" s="6710"/>
      <c r="M22" s="6710"/>
      <c r="N22" s="6710"/>
      <c r="O22" s="6710"/>
      <c r="P22" s="6710"/>
    </row>
    <row r="23" spans="2:16">
      <c r="B23" s="6710"/>
      <c r="C23" s="6710"/>
      <c r="D23" s="6710"/>
      <c r="E23" s="6710"/>
      <c r="F23" s="6710"/>
      <c r="G23" s="6710"/>
      <c r="H23" s="6710"/>
      <c r="I23" s="6710"/>
      <c r="J23" s="6710"/>
      <c r="K23" s="6710"/>
      <c r="L23" s="6710"/>
      <c r="M23" s="6710"/>
      <c r="N23" s="6710"/>
      <c r="O23" s="6710"/>
      <c r="P23" s="6710"/>
    </row>
    <row r="24" spans="2:16">
      <c r="B24" s="6710"/>
      <c r="C24" s="6736" t="s">
        <v>7656</v>
      </c>
      <c r="D24" s="6710"/>
      <c r="E24" s="6710"/>
      <c r="F24" s="6710"/>
      <c r="G24" s="6710"/>
      <c r="H24" s="6710"/>
      <c r="I24" s="6710"/>
      <c r="J24" s="6710"/>
      <c r="K24" s="6710"/>
      <c r="L24" s="6710"/>
      <c r="M24" s="6710"/>
      <c r="N24" s="6710"/>
      <c r="O24" s="6710"/>
      <c r="P24" s="6710"/>
    </row>
    <row r="25" spans="2:16">
      <c r="B25" s="6710"/>
      <c r="C25" s="6736" t="s">
        <v>7657</v>
      </c>
      <c r="D25" s="6710"/>
      <c r="E25" s="6710"/>
      <c r="F25" s="6710"/>
      <c r="G25" s="6710"/>
      <c r="H25" s="6710"/>
      <c r="I25" s="6710"/>
      <c r="J25" s="6710"/>
      <c r="K25" s="6710"/>
      <c r="L25" s="6710"/>
      <c r="M25" s="6710"/>
      <c r="N25" s="6710"/>
      <c r="O25" s="6710"/>
      <c r="P25" s="6710"/>
    </row>
    <row r="26" spans="2:16">
      <c r="B26" s="6710"/>
      <c r="C26" s="6736" t="s">
        <v>7658</v>
      </c>
      <c r="D26" s="6710"/>
      <c r="E26" s="6710"/>
      <c r="F26" s="6710"/>
      <c r="G26" s="6710"/>
      <c r="H26" s="6710"/>
      <c r="I26" s="6710"/>
      <c r="J26" s="6710"/>
      <c r="K26" s="6710"/>
      <c r="L26" s="6710"/>
      <c r="M26" s="6710"/>
      <c r="N26" s="6710"/>
      <c r="O26" s="6710"/>
      <c r="P26" s="6710"/>
    </row>
    <row r="27" spans="2:16">
      <c r="B27" s="6710"/>
      <c r="C27" s="6736" t="s">
        <v>7659</v>
      </c>
      <c r="D27" s="6710"/>
      <c r="E27" s="6710"/>
      <c r="F27" s="6710"/>
      <c r="G27" s="6710"/>
      <c r="H27" s="6710"/>
      <c r="I27" s="6710"/>
      <c r="J27" s="6710"/>
      <c r="K27" s="6710"/>
      <c r="L27" s="6710"/>
      <c r="M27" s="6710"/>
      <c r="N27" s="6710"/>
      <c r="O27" s="6710"/>
      <c r="P27" s="6710"/>
    </row>
    <row r="28" spans="2:16">
      <c r="B28" s="6710"/>
      <c r="C28" s="6736" t="s">
        <v>7660</v>
      </c>
      <c r="D28" s="6710"/>
      <c r="E28" s="6710"/>
      <c r="F28" s="6710"/>
      <c r="G28" s="6710"/>
      <c r="H28" s="6710"/>
      <c r="I28" s="6710"/>
      <c r="J28" s="6710"/>
      <c r="K28" s="6710"/>
      <c r="L28" s="6710"/>
      <c r="M28" s="6710"/>
      <c r="N28" s="6710"/>
      <c r="O28" s="6710"/>
      <c r="P28" s="6710"/>
    </row>
    <row r="29" spans="2:16">
      <c r="B29" s="6710"/>
      <c r="C29" s="6736" t="s">
        <v>7661</v>
      </c>
      <c r="D29" s="6710"/>
      <c r="E29" s="6710"/>
      <c r="F29" s="6710"/>
      <c r="G29" s="6710"/>
      <c r="H29" s="6710"/>
      <c r="I29" s="6710"/>
      <c r="J29" s="6710"/>
      <c r="K29" s="6710"/>
      <c r="L29" s="6710"/>
      <c r="M29" s="6710"/>
      <c r="N29" s="6710"/>
      <c r="O29" s="6710"/>
      <c r="P29" s="6710"/>
    </row>
    <row r="30" spans="2:16">
      <c r="B30" s="6710"/>
      <c r="C30" s="6710"/>
      <c r="D30" s="6710"/>
      <c r="E30" s="6710"/>
      <c r="F30" s="6710"/>
      <c r="G30" s="6710"/>
      <c r="H30" s="6710"/>
      <c r="I30" s="6710"/>
      <c r="J30" s="6710"/>
      <c r="K30" s="6710"/>
      <c r="L30" s="6710"/>
      <c r="M30" s="6710"/>
      <c r="N30" s="6710"/>
      <c r="O30" s="6710"/>
      <c r="P30" s="6710"/>
    </row>
    <row r="31" spans="2:16">
      <c r="B31" s="6710"/>
      <c r="C31" s="6736" t="s">
        <v>7662</v>
      </c>
      <c r="D31" s="6710"/>
      <c r="E31" s="6710"/>
      <c r="F31" s="6710"/>
      <c r="G31" s="6710"/>
      <c r="H31" s="6710"/>
      <c r="I31" s="6710"/>
      <c r="J31" s="6710"/>
      <c r="K31" s="6710"/>
      <c r="L31" s="6710"/>
      <c r="M31" s="6710"/>
      <c r="N31" s="6710"/>
      <c r="O31" s="6710"/>
      <c r="P31" s="6710"/>
    </row>
    <row r="32" spans="2:16">
      <c r="B32" s="6710"/>
      <c r="C32" s="6736" t="s">
        <v>7663</v>
      </c>
      <c r="D32" s="6710"/>
      <c r="E32" s="6710"/>
      <c r="F32" s="6710"/>
      <c r="G32" s="6710"/>
      <c r="H32" s="6710"/>
      <c r="I32" s="6710"/>
      <c r="J32" s="6710"/>
      <c r="K32" s="6710"/>
      <c r="L32" s="6710"/>
      <c r="M32" s="6710"/>
      <c r="N32" s="6710"/>
      <c r="O32" s="6710"/>
      <c r="P32" s="6710"/>
    </row>
    <row r="33" spans="2:16">
      <c r="B33" s="6710"/>
      <c r="C33" s="6736" t="s">
        <v>7664</v>
      </c>
      <c r="D33" s="6710"/>
      <c r="E33" s="6710"/>
      <c r="F33" s="6710"/>
      <c r="G33" s="6710"/>
      <c r="H33" s="6710"/>
      <c r="I33" s="6710"/>
      <c r="J33" s="6710"/>
      <c r="K33" s="6710"/>
      <c r="L33" s="6710"/>
      <c r="M33" s="6710"/>
      <c r="N33" s="6710"/>
      <c r="O33" s="6710"/>
      <c r="P33" s="6710"/>
    </row>
    <row r="34" spans="2:16">
      <c r="B34" s="6710"/>
      <c r="C34" s="6710"/>
      <c r="D34" s="6710"/>
      <c r="E34" s="6710"/>
      <c r="F34" s="6710"/>
      <c r="G34" s="6710"/>
      <c r="H34" s="6710"/>
      <c r="I34" s="6710"/>
      <c r="J34" s="6710"/>
      <c r="K34" s="6710"/>
      <c r="L34" s="6710"/>
      <c r="M34" s="6710"/>
      <c r="N34" s="6710"/>
      <c r="O34" s="6710"/>
      <c r="P34" s="6710"/>
    </row>
    <row r="35" spans="2:16" ht="18.75">
      <c r="B35" s="6709" t="s">
        <v>7665</v>
      </c>
      <c r="C35" s="6710"/>
      <c r="D35" s="6710"/>
      <c r="E35" s="6710"/>
      <c r="F35" s="6710"/>
      <c r="G35" s="6710"/>
      <c r="H35" s="6710"/>
      <c r="I35" s="6710"/>
      <c r="J35" s="6710"/>
      <c r="K35" s="6710"/>
      <c r="L35" s="6710"/>
      <c r="M35" s="6710"/>
      <c r="N35" s="6710"/>
      <c r="O35" s="6710"/>
      <c r="P35" s="6710"/>
    </row>
    <row r="36" spans="2:16">
      <c r="B36" s="6733" t="s">
        <v>2354</v>
      </c>
      <c r="C36" s="6735" t="s">
        <v>7666</v>
      </c>
      <c r="D36" s="6710"/>
      <c r="E36" s="6710"/>
      <c r="F36" s="6710"/>
      <c r="G36" s="6710"/>
      <c r="H36" s="6710"/>
      <c r="I36" s="6710"/>
      <c r="J36" s="6710"/>
      <c r="K36" s="6710"/>
      <c r="L36" s="6710"/>
      <c r="M36" s="6710"/>
      <c r="N36" s="6710"/>
      <c r="O36" s="6710"/>
      <c r="P36" s="6710"/>
    </row>
    <row r="37" spans="2:16">
      <c r="B37" s="6710"/>
      <c r="C37" s="6710"/>
      <c r="D37" s="6710"/>
      <c r="E37" s="6710"/>
      <c r="F37" s="6710"/>
      <c r="G37" s="6710"/>
      <c r="H37" s="6710"/>
      <c r="I37" s="6710"/>
      <c r="J37" s="6710"/>
      <c r="K37" s="6710"/>
      <c r="L37" s="6710"/>
      <c r="M37" s="6710"/>
      <c r="N37" s="6710"/>
      <c r="O37" s="6710"/>
      <c r="P37" s="6710"/>
    </row>
    <row r="38" spans="2:16" ht="18.75">
      <c r="B38" s="6709" t="s">
        <v>7667</v>
      </c>
      <c r="C38" s="6710"/>
      <c r="D38" s="6710"/>
      <c r="E38" s="6710"/>
      <c r="F38" s="6710"/>
      <c r="G38" s="6710"/>
      <c r="H38" s="6710"/>
      <c r="I38" s="6710"/>
      <c r="J38" s="6710"/>
      <c r="K38" s="6710"/>
      <c r="L38" s="6710"/>
      <c r="M38" s="6710"/>
      <c r="N38" s="6710"/>
      <c r="O38" s="6710"/>
      <c r="P38" s="6710"/>
    </row>
    <row r="39" spans="2:16">
      <c r="B39" s="6733" t="s">
        <v>2354</v>
      </c>
      <c r="C39" s="6735" t="s">
        <v>7668</v>
      </c>
      <c r="D39" s="6710"/>
      <c r="E39" s="6710"/>
      <c r="F39" s="6710"/>
      <c r="G39" s="6710"/>
      <c r="H39" s="6710"/>
      <c r="I39" s="6710"/>
      <c r="J39" s="6710"/>
      <c r="K39" s="6710"/>
      <c r="L39" s="6710"/>
      <c r="M39" s="6710"/>
      <c r="N39" s="6710"/>
      <c r="O39" s="6710"/>
      <c r="P39" s="6710"/>
    </row>
    <row r="40" spans="2:16">
      <c r="B40" s="6735"/>
      <c r="C40" s="6735"/>
      <c r="D40" s="6710"/>
      <c r="E40" s="6710"/>
      <c r="F40" s="6710"/>
      <c r="G40" s="6710"/>
      <c r="H40" s="6710"/>
      <c r="I40" s="6710"/>
      <c r="J40" s="6710"/>
      <c r="K40" s="6710"/>
      <c r="L40" s="6710"/>
      <c r="M40" s="6710"/>
      <c r="N40" s="6710"/>
      <c r="O40" s="6710"/>
      <c r="P40" s="6710"/>
    </row>
    <row r="41" spans="2:16" ht="18.75">
      <c r="B41" s="6709" t="s">
        <v>7669</v>
      </c>
      <c r="C41" s="6710"/>
      <c r="D41" s="6710"/>
      <c r="E41" s="6710"/>
      <c r="F41" s="6710"/>
      <c r="G41" s="6710"/>
      <c r="H41" s="6710"/>
      <c r="I41" s="6710"/>
      <c r="J41" s="6710"/>
      <c r="K41" s="6710"/>
      <c r="L41" s="6710"/>
      <c r="M41" s="6710"/>
      <c r="N41" s="6710"/>
      <c r="O41" s="6710"/>
      <c r="P41" s="6710"/>
    </row>
    <row r="42" spans="2:16">
      <c r="B42" s="6733" t="s">
        <v>2354</v>
      </c>
      <c r="C42" s="6734" t="s">
        <v>7670</v>
      </c>
      <c r="D42" s="6710"/>
      <c r="E42" s="6710"/>
      <c r="F42" s="6710"/>
      <c r="G42" s="6710"/>
      <c r="H42" s="6710"/>
      <c r="I42" s="6710"/>
      <c r="J42" s="6710"/>
      <c r="K42" s="6710"/>
      <c r="L42" s="6710"/>
      <c r="M42" s="6710"/>
      <c r="N42" s="6710"/>
      <c r="O42" s="6710"/>
      <c r="P42" s="6710"/>
    </row>
    <row r="43" spans="2:16">
      <c r="B43" s="6710"/>
      <c r="C43" s="6710"/>
      <c r="D43" s="6710"/>
      <c r="E43" s="6710"/>
      <c r="F43" s="6710"/>
      <c r="G43" s="6710"/>
      <c r="H43" s="6710"/>
      <c r="I43" s="6710"/>
      <c r="J43" s="6710"/>
      <c r="K43" s="6710"/>
      <c r="L43" s="6710"/>
      <c r="M43" s="6710"/>
      <c r="N43" s="6710"/>
      <c r="O43" s="6710"/>
      <c r="P43" s="6710"/>
    </row>
    <row r="44" spans="2:16" ht="18.75">
      <c r="B44" s="6709" t="s">
        <v>7671</v>
      </c>
      <c r="C44" s="6710"/>
      <c r="D44" s="6710"/>
      <c r="E44" s="6710"/>
      <c r="F44" s="6710"/>
      <c r="G44" s="6710"/>
      <c r="H44" s="6710"/>
      <c r="I44" s="6710"/>
      <c r="J44" s="6710"/>
      <c r="K44" s="6710"/>
      <c r="L44" s="6710"/>
      <c r="M44" s="6710"/>
      <c r="N44" s="6710"/>
      <c r="O44" s="6710"/>
      <c r="P44" s="6710"/>
    </row>
    <row r="45" spans="2:16">
      <c r="B45" s="6733" t="s">
        <v>2354</v>
      </c>
      <c r="C45" s="6735" t="s">
        <v>7672</v>
      </c>
      <c r="D45" s="6710"/>
      <c r="E45" s="6710"/>
      <c r="F45" s="6710"/>
      <c r="G45" s="6710"/>
      <c r="H45" s="6710"/>
      <c r="I45" s="6710"/>
      <c r="J45" s="6710"/>
      <c r="K45" s="6710"/>
      <c r="L45" s="6710"/>
      <c r="M45" s="6710"/>
      <c r="N45" s="6710"/>
      <c r="O45" s="6710"/>
      <c r="P45" s="6710"/>
    </row>
    <row r="46" spans="2:16">
      <c r="B46" s="6710"/>
      <c r="C46" s="6710"/>
      <c r="D46" s="6710"/>
      <c r="E46" s="6710"/>
      <c r="F46" s="6710"/>
      <c r="G46" s="6710"/>
      <c r="H46" s="6710"/>
      <c r="I46" s="6710"/>
      <c r="J46" s="6710"/>
      <c r="K46" s="6710"/>
      <c r="L46" s="6710"/>
      <c r="M46" s="6710"/>
      <c r="N46" s="6710"/>
      <c r="O46" s="6710"/>
      <c r="P46" s="6710"/>
    </row>
    <row r="47" spans="2:16">
      <c r="B47" s="6710"/>
      <c r="C47" s="6710" t="s">
        <v>7673</v>
      </c>
      <c r="D47" s="6710"/>
      <c r="E47" s="6710"/>
      <c r="F47" s="6710"/>
      <c r="G47" s="6710"/>
      <c r="H47" s="6710"/>
      <c r="I47" s="6710"/>
      <c r="J47" s="6710"/>
      <c r="K47" s="6710"/>
      <c r="L47" s="6710"/>
      <c r="M47" s="6710"/>
      <c r="N47" s="6710"/>
      <c r="O47" s="6710"/>
      <c r="P47" s="6710"/>
    </row>
    <row r="48" spans="2:16">
      <c r="B48" s="6710"/>
      <c r="C48" s="6710" t="s">
        <v>7674</v>
      </c>
      <c r="D48" s="6710"/>
      <c r="E48" s="6710"/>
      <c r="F48" s="6710"/>
      <c r="G48" s="6710"/>
      <c r="H48" s="6710"/>
      <c r="I48" s="6710"/>
      <c r="J48" s="6710"/>
      <c r="K48" s="6710"/>
      <c r="L48" s="6710"/>
      <c r="M48" s="6710"/>
      <c r="N48" s="6710"/>
      <c r="O48" s="6710"/>
      <c r="P48" s="6710"/>
    </row>
    <row r="49" spans="1:16">
      <c r="B49" s="6710"/>
      <c r="C49" s="6710" t="s">
        <v>7675</v>
      </c>
      <c r="D49" s="6710"/>
      <c r="E49" s="6710"/>
      <c r="F49" s="6710"/>
      <c r="G49" s="6710"/>
      <c r="H49" s="6710"/>
      <c r="I49" s="6710"/>
      <c r="J49" s="6710"/>
      <c r="K49" s="6710"/>
      <c r="L49" s="6710"/>
      <c r="M49" s="6710"/>
      <c r="N49" s="6710"/>
      <c r="O49" s="6710"/>
      <c r="P49" s="6710"/>
    </row>
    <row r="50" spans="1:16">
      <c r="B50" s="6710"/>
      <c r="C50" s="6710"/>
      <c r="D50" s="6710"/>
      <c r="E50" s="6710"/>
      <c r="F50" s="6710"/>
      <c r="G50" s="6710"/>
      <c r="H50" s="6710"/>
      <c r="I50" s="6710"/>
      <c r="J50" s="6710"/>
      <c r="K50" s="6710"/>
      <c r="L50" s="6710"/>
      <c r="M50" s="6710"/>
      <c r="N50" s="6710"/>
      <c r="O50" s="6710"/>
      <c r="P50" s="6710"/>
    </row>
    <row r="51" spans="1:16">
      <c r="B51" s="6710"/>
      <c r="C51" s="6736" t="s">
        <v>7676</v>
      </c>
      <c r="D51" s="6710"/>
      <c r="E51" s="6710"/>
      <c r="F51" s="6710"/>
      <c r="G51" s="6710"/>
      <c r="H51" s="6710"/>
      <c r="I51" s="6710"/>
      <c r="J51" s="6710"/>
      <c r="K51" s="6710"/>
      <c r="L51" s="6710"/>
      <c r="M51" s="6710"/>
      <c r="N51" s="6710"/>
      <c r="O51" s="6710"/>
      <c r="P51" s="6710"/>
    </row>
    <row r="52" spans="1:16">
      <c r="B52" s="6710"/>
      <c r="C52" s="6736" t="s">
        <v>7677</v>
      </c>
      <c r="D52" s="6710"/>
      <c r="E52" s="6710"/>
      <c r="F52" s="6710"/>
      <c r="G52" s="6710"/>
      <c r="H52" s="6710"/>
      <c r="I52" s="6710"/>
      <c r="J52" s="6710"/>
      <c r="K52" s="6710"/>
      <c r="L52" s="6710"/>
      <c r="M52" s="6710"/>
      <c r="N52" s="6710"/>
      <c r="O52" s="6710"/>
      <c r="P52" s="6710"/>
    </row>
    <row r="53" spans="1:16">
      <c r="B53" s="6710"/>
      <c r="C53" s="6736" t="s">
        <v>7678</v>
      </c>
      <c r="D53" s="6710"/>
      <c r="E53" s="6710"/>
      <c r="F53" s="6710"/>
      <c r="G53" s="6710"/>
      <c r="H53" s="6710"/>
      <c r="I53" s="6710"/>
      <c r="J53" s="6710"/>
      <c r="K53" s="6710"/>
      <c r="L53" s="6710"/>
      <c r="M53" s="6710"/>
      <c r="N53" s="6710"/>
      <c r="O53" s="6710"/>
      <c r="P53" s="6710"/>
    </row>
    <row r="54" spans="1:16">
      <c r="B54" s="6710"/>
      <c r="C54" s="6736" t="s">
        <v>7679</v>
      </c>
      <c r="D54" s="6710"/>
      <c r="E54" s="6710"/>
      <c r="F54" s="6710"/>
      <c r="G54" s="6710"/>
      <c r="H54" s="6710"/>
      <c r="I54" s="6710"/>
      <c r="J54" s="6710"/>
      <c r="K54" s="6710"/>
      <c r="L54" s="6710"/>
      <c r="M54" s="6710"/>
      <c r="N54" s="6710"/>
      <c r="O54" s="6710"/>
      <c r="P54" s="6710"/>
    </row>
    <row r="55" spans="1:16">
      <c r="B55" s="6710"/>
      <c r="C55" s="6710"/>
      <c r="D55" s="6710"/>
      <c r="E55" s="6710"/>
      <c r="F55" s="6710"/>
      <c r="G55" s="6710"/>
      <c r="H55" s="6710"/>
      <c r="I55" s="6710"/>
      <c r="J55" s="6710"/>
      <c r="K55" s="6710"/>
      <c r="L55" s="6710"/>
      <c r="M55" s="6710"/>
      <c r="N55" s="6710"/>
      <c r="O55" s="6710"/>
      <c r="P55" s="6710"/>
    </row>
    <row r="56" spans="1:16">
      <c r="B56" s="6710"/>
      <c r="C56" s="6736" t="s">
        <v>7680</v>
      </c>
      <c r="D56" s="6710"/>
      <c r="E56" s="6710"/>
      <c r="F56" s="6710"/>
      <c r="G56" s="6710"/>
      <c r="H56" s="6710"/>
      <c r="I56" s="6710"/>
      <c r="J56" s="6710"/>
      <c r="K56" s="6710"/>
      <c r="L56" s="6710"/>
      <c r="M56" s="6710"/>
      <c r="N56" s="6710"/>
      <c r="O56" s="6710"/>
      <c r="P56" s="6710"/>
    </row>
    <row r="57" spans="1:16">
      <c r="B57" s="6710"/>
      <c r="C57" s="6736" t="s">
        <v>7681</v>
      </c>
      <c r="D57" s="6710"/>
      <c r="E57" s="6710"/>
      <c r="F57" s="6710"/>
      <c r="G57" s="6710"/>
      <c r="H57" s="6710"/>
      <c r="I57" s="6710"/>
      <c r="J57" s="6710"/>
      <c r="K57" s="6710"/>
      <c r="L57" s="6710"/>
      <c r="M57" s="6710"/>
      <c r="N57" s="6710"/>
      <c r="O57" s="6710"/>
      <c r="P57" s="6710"/>
    </row>
    <row r="58" spans="1:16">
      <c r="B58" s="6710"/>
      <c r="C58" s="6736" t="s">
        <v>7682</v>
      </c>
      <c r="D58" s="6710"/>
      <c r="E58" s="6710"/>
      <c r="F58" s="6710"/>
      <c r="G58" s="6710"/>
      <c r="H58" s="6710"/>
      <c r="I58" s="6710"/>
      <c r="J58" s="6710"/>
      <c r="K58" s="6710"/>
      <c r="L58" s="6710"/>
      <c r="M58" s="6710"/>
      <c r="N58" s="6710"/>
      <c r="O58" s="6710"/>
      <c r="P58" s="6710"/>
    </row>
    <row r="59" spans="1:16">
      <c r="B59" s="6710"/>
      <c r="C59" s="6710"/>
      <c r="D59" s="6710"/>
      <c r="E59" s="6710"/>
      <c r="F59" s="6710"/>
      <c r="G59" s="6710"/>
      <c r="H59" s="6710"/>
      <c r="I59" s="6710"/>
      <c r="J59" s="6710"/>
      <c r="K59" s="6710"/>
      <c r="L59" s="6710"/>
      <c r="M59" s="6710"/>
      <c r="N59" s="6710"/>
      <c r="O59" s="6710"/>
      <c r="P59" s="6710"/>
    </row>
    <row r="60" spans="1:16">
      <c r="A60" s="6737"/>
      <c r="B60" s="6737"/>
      <c r="C60" s="6737"/>
      <c r="D60" s="6737"/>
      <c r="E60" s="6737"/>
      <c r="F60" s="6737"/>
      <c r="G60" s="6737"/>
      <c r="H60" s="6737"/>
      <c r="I60" s="6737"/>
      <c r="J60" s="6737"/>
      <c r="K60" s="6737"/>
      <c r="L60" s="6737"/>
      <c r="M60" s="6737"/>
      <c r="N60" s="6737"/>
      <c r="O60" s="6737"/>
      <c r="P60" s="6737"/>
    </row>
    <row r="61" spans="1:16">
      <c r="B61" s="6710"/>
      <c r="C61" s="6710"/>
      <c r="D61" s="6710"/>
      <c r="E61" s="6710"/>
      <c r="F61" s="6710"/>
      <c r="G61" s="6710"/>
      <c r="H61" s="6710"/>
      <c r="I61" s="6710"/>
      <c r="J61" s="6710"/>
      <c r="K61" s="6710"/>
      <c r="L61" s="6710"/>
      <c r="M61" s="6710"/>
      <c r="N61" s="6710"/>
      <c r="O61" s="6710"/>
      <c r="P61" s="6710"/>
    </row>
    <row r="62" spans="1:16">
      <c r="B62" s="6733" t="s">
        <v>2354</v>
      </c>
      <c r="C62" s="6734" t="s">
        <v>7683</v>
      </c>
      <c r="D62" s="6710"/>
      <c r="E62" s="6710"/>
      <c r="F62" s="6710"/>
      <c r="G62" s="6710"/>
      <c r="H62" s="6710"/>
      <c r="I62" s="6710"/>
      <c r="J62" s="6710"/>
      <c r="K62" s="6710"/>
      <c r="L62" s="6710"/>
      <c r="M62" s="6710"/>
      <c r="N62" s="6710"/>
      <c r="O62" s="6710"/>
      <c r="P62" s="6710"/>
    </row>
    <row r="63" spans="1:16">
      <c r="B63" s="6710"/>
      <c r="C63" s="6710"/>
      <c r="D63" s="6710"/>
      <c r="E63" s="6710"/>
      <c r="F63" s="6710"/>
      <c r="G63" s="6710"/>
      <c r="H63" s="6710"/>
      <c r="I63" s="6710"/>
      <c r="J63" s="6710"/>
      <c r="K63" s="6710"/>
      <c r="L63" s="6710"/>
      <c r="M63" s="6710"/>
      <c r="N63" s="6710"/>
      <c r="O63" s="6710"/>
      <c r="P63" s="6710"/>
    </row>
    <row r="64" spans="1:16">
      <c r="B64" s="6710"/>
      <c r="C64" s="6710" t="s">
        <v>7684</v>
      </c>
      <c r="D64" s="6710"/>
      <c r="E64" s="6710"/>
      <c r="F64" s="6710"/>
      <c r="G64" s="6710"/>
      <c r="H64" s="6710"/>
      <c r="I64" s="6710"/>
      <c r="J64" s="6710"/>
      <c r="K64" s="6710"/>
      <c r="L64" s="6710"/>
      <c r="M64" s="6710"/>
      <c r="N64" s="6710"/>
      <c r="O64" s="6710"/>
      <c r="P64" s="6710"/>
    </row>
    <row r="65" spans="2:16">
      <c r="B65" s="6710"/>
      <c r="C65" s="6710" t="s">
        <v>7685</v>
      </c>
      <c r="D65" s="6710"/>
      <c r="E65" s="6710"/>
      <c r="F65" s="6710"/>
      <c r="G65" s="6710"/>
      <c r="H65" s="6710"/>
      <c r="I65" s="6710"/>
      <c r="J65" s="6710"/>
      <c r="K65" s="6710"/>
      <c r="L65" s="6710"/>
      <c r="M65" s="6710"/>
      <c r="N65" s="6710"/>
      <c r="O65" s="6710"/>
      <c r="P65" s="6710"/>
    </row>
    <row r="66" spans="2:16">
      <c r="B66" s="6710"/>
      <c r="C66" s="6710"/>
      <c r="D66" s="6710"/>
      <c r="E66" s="6710"/>
      <c r="F66" s="6710"/>
      <c r="G66" s="6710"/>
      <c r="H66" s="6710"/>
      <c r="I66" s="6710"/>
      <c r="J66" s="6710"/>
      <c r="K66" s="6710"/>
      <c r="L66" s="6710"/>
      <c r="M66" s="6710"/>
      <c r="N66" s="6710"/>
      <c r="O66" s="6710"/>
      <c r="P66" s="6710"/>
    </row>
    <row r="67" spans="2:16">
      <c r="B67" s="6710"/>
      <c r="C67" s="6710" t="s">
        <v>7686</v>
      </c>
      <c r="D67" s="6710"/>
      <c r="E67" s="6710"/>
      <c r="F67" s="6710"/>
      <c r="G67" s="6710"/>
      <c r="H67" s="6710"/>
      <c r="I67" s="6710"/>
      <c r="J67" s="6710"/>
      <c r="K67" s="6710"/>
      <c r="L67" s="6710"/>
      <c r="M67" s="6710"/>
      <c r="N67" s="6710"/>
      <c r="O67" s="6710"/>
      <c r="P67" s="6710"/>
    </row>
    <row r="68" spans="2:16">
      <c r="B68" s="6710"/>
      <c r="C68" s="6710" t="s">
        <v>7687</v>
      </c>
      <c r="D68" s="6710"/>
      <c r="E68" s="6710"/>
      <c r="F68" s="6710"/>
      <c r="G68" s="6710"/>
      <c r="H68" s="6710"/>
      <c r="I68" s="6710"/>
      <c r="J68" s="6710"/>
      <c r="K68" s="6710"/>
      <c r="L68" s="6710"/>
      <c r="M68" s="6710"/>
      <c r="N68" s="6710"/>
      <c r="O68" s="6710"/>
      <c r="P68" s="6710"/>
    </row>
    <row r="69" spans="2:16">
      <c r="B69" s="6710"/>
      <c r="C69" s="6710" t="s">
        <v>7688</v>
      </c>
      <c r="D69" s="6710"/>
      <c r="E69" s="6710"/>
      <c r="F69" s="6710"/>
      <c r="G69" s="6710"/>
      <c r="H69" s="6710"/>
      <c r="I69" s="6710"/>
      <c r="J69" s="6710"/>
      <c r="K69" s="6710"/>
      <c r="L69" s="6710"/>
      <c r="M69" s="6710"/>
      <c r="N69" s="6710"/>
      <c r="O69" s="6710"/>
      <c r="P69" s="6710"/>
    </row>
    <row r="70" spans="2:16">
      <c r="B70" s="6710"/>
      <c r="C70" s="6710" t="s">
        <v>7689</v>
      </c>
      <c r="D70" s="6710"/>
      <c r="E70" s="6710"/>
      <c r="F70" s="6710"/>
      <c r="G70" s="6710"/>
      <c r="H70" s="6710"/>
      <c r="I70" s="6710"/>
      <c r="J70" s="6710"/>
      <c r="K70" s="6710"/>
      <c r="L70" s="6710"/>
      <c r="M70" s="6710"/>
      <c r="N70" s="6710"/>
      <c r="O70" s="6710"/>
      <c r="P70" s="6710"/>
    </row>
    <row r="71" spans="2:16">
      <c r="B71" s="6710"/>
      <c r="C71" s="6710" t="s">
        <v>7690</v>
      </c>
      <c r="D71" s="6710"/>
      <c r="E71" s="6710"/>
      <c r="F71" s="6710"/>
      <c r="G71" s="6710"/>
      <c r="H71" s="6710"/>
      <c r="I71" s="6710"/>
      <c r="J71" s="6710"/>
      <c r="K71" s="6710"/>
      <c r="L71" s="6710"/>
      <c r="M71" s="6710"/>
      <c r="N71" s="6710"/>
      <c r="O71" s="6710"/>
      <c r="P71" s="6710"/>
    </row>
    <row r="72" spans="2:16">
      <c r="B72" s="6710"/>
      <c r="C72" s="6710" t="s">
        <v>1456</v>
      </c>
      <c r="D72" s="6710"/>
      <c r="E72" s="6710"/>
      <c r="F72" s="6710"/>
      <c r="G72" s="6710"/>
      <c r="H72" s="6710"/>
      <c r="I72" s="6710"/>
      <c r="J72" s="6710"/>
      <c r="K72" s="6710"/>
      <c r="L72" s="6710"/>
      <c r="M72" s="6710"/>
      <c r="N72" s="6710"/>
      <c r="O72" s="6710"/>
      <c r="P72" s="6710"/>
    </row>
    <row r="73" spans="2:16">
      <c r="B73" s="6710"/>
      <c r="C73" s="6710" t="s">
        <v>7691</v>
      </c>
      <c r="D73" s="6710"/>
      <c r="E73" s="6710"/>
      <c r="F73" s="6710"/>
      <c r="G73" s="6710"/>
      <c r="H73" s="6710"/>
      <c r="I73" s="6710"/>
      <c r="J73" s="6710"/>
      <c r="K73" s="6710"/>
      <c r="L73" s="6710"/>
      <c r="M73" s="6710"/>
      <c r="N73" s="6710"/>
      <c r="O73" s="6710"/>
      <c r="P73" s="6710"/>
    </row>
    <row r="74" spans="2:16">
      <c r="B74" s="6710"/>
      <c r="C74" s="6710" t="s">
        <v>7692</v>
      </c>
      <c r="D74" s="6710"/>
      <c r="E74" s="6710"/>
      <c r="F74" s="6710"/>
      <c r="G74" s="6710"/>
      <c r="H74" s="6710"/>
      <c r="I74" s="6710"/>
      <c r="J74" s="6710"/>
      <c r="K74" s="6710"/>
      <c r="L74" s="6710"/>
      <c r="M74" s="6710"/>
      <c r="N74" s="6710"/>
      <c r="O74" s="6710"/>
      <c r="P74" s="6710"/>
    </row>
    <row r="75" spans="2:16">
      <c r="B75" s="6710"/>
      <c r="C75" s="6710" t="s">
        <v>7693</v>
      </c>
      <c r="D75" s="6710"/>
      <c r="E75" s="6710"/>
      <c r="F75" s="6710"/>
      <c r="G75" s="6710"/>
      <c r="H75" s="6710"/>
      <c r="I75" s="6710"/>
      <c r="J75" s="6710"/>
      <c r="K75" s="6710"/>
      <c r="L75" s="6710"/>
      <c r="M75" s="6710"/>
      <c r="N75" s="6710"/>
      <c r="O75" s="6710"/>
      <c r="P75" s="6710"/>
    </row>
    <row r="76" spans="2:16">
      <c r="B76" s="6710"/>
      <c r="C76" s="6710" t="s">
        <v>7694</v>
      </c>
      <c r="D76" s="6710"/>
      <c r="E76" s="6710"/>
      <c r="F76" s="6710"/>
      <c r="G76" s="6710"/>
      <c r="H76" s="6710"/>
      <c r="I76" s="6710"/>
      <c r="J76" s="6710"/>
      <c r="K76" s="6710"/>
      <c r="L76" s="6710"/>
      <c r="M76" s="6710"/>
      <c r="N76" s="6710"/>
      <c r="O76" s="6710"/>
      <c r="P76" s="6710"/>
    </row>
    <row r="77" spans="2:16">
      <c r="B77" s="6710"/>
      <c r="C77" s="6710" t="s">
        <v>7695</v>
      </c>
      <c r="D77" s="6710"/>
      <c r="E77" s="6710"/>
      <c r="F77" s="6710"/>
      <c r="G77" s="6710"/>
      <c r="H77" s="6710"/>
      <c r="I77" s="6710"/>
      <c r="J77" s="6710"/>
      <c r="K77" s="6710"/>
      <c r="L77" s="6710"/>
      <c r="M77" s="6710"/>
      <c r="N77" s="6710"/>
      <c r="O77" s="6710"/>
      <c r="P77" s="6710"/>
    </row>
    <row r="78" spans="2:16">
      <c r="B78" s="6710"/>
      <c r="C78" s="6710" t="s">
        <v>7696</v>
      </c>
      <c r="D78" s="6710"/>
      <c r="E78" s="6710"/>
      <c r="F78" s="6710"/>
      <c r="G78" s="6710"/>
      <c r="H78" s="6710"/>
      <c r="I78" s="6710"/>
      <c r="J78" s="6710"/>
      <c r="K78" s="6710"/>
      <c r="L78" s="6710"/>
      <c r="M78" s="6710"/>
      <c r="N78" s="6710"/>
      <c r="O78" s="6710"/>
      <c r="P78" s="6710"/>
    </row>
    <row r="79" spans="2:16">
      <c r="B79" s="6710"/>
      <c r="C79" s="6710" t="s">
        <v>7697</v>
      </c>
      <c r="D79" s="6710"/>
      <c r="E79" s="6710"/>
      <c r="F79" s="6710"/>
      <c r="G79" s="6710"/>
      <c r="H79" s="6710"/>
      <c r="I79" s="6710"/>
      <c r="J79" s="6710"/>
      <c r="K79" s="6710"/>
      <c r="L79" s="6710"/>
      <c r="M79" s="6710"/>
      <c r="N79" s="6710"/>
      <c r="O79" s="6710"/>
      <c r="P79" s="6710"/>
    </row>
    <row r="80" spans="2:16">
      <c r="B80" s="6710"/>
      <c r="C80" s="6710" t="s">
        <v>7698</v>
      </c>
      <c r="D80" s="6710"/>
      <c r="E80" s="6710"/>
      <c r="F80" s="6710"/>
      <c r="G80" s="6710"/>
      <c r="H80" s="6710"/>
      <c r="I80" s="6710"/>
      <c r="J80" s="6710"/>
      <c r="K80" s="6710"/>
      <c r="L80" s="6710"/>
      <c r="M80" s="6710"/>
      <c r="N80" s="6710"/>
      <c r="O80" s="6710"/>
      <c r="P80" s="6710"/>
    </row>
    <row r="81" spans="2:16">
      <c r="B81" s="6710"/>
      <c r="C81" s="6710"/>
      <c r="D81" s="6710"/>
      <c r="E81" s="6710"/>
      <c r="F81" s="6710"/>
      <c r="G81" s="6710"/>
      <c r="H81" s="6710"/>
      <c r="I81" s="6710"/>
      <c r="J81" s="6710"/>
      <c r="K81" s="6710"/>
      <c r="L81" s="6710"/>
      <c r="M81" s="6710"/>
      <c r="N81" s="6710"/>
      <c r="O81" s="6710"/>
      <c r="P81" s="6710"/>
    </row>
    <row r="82" spans="2:16">
      <c r="B82" s="6710"/>
      <c r="C82" s="6710" t="s">
        <v>7699</v>
      </c>
      <c r="D82" s="6710"/>
      <c r="E82" s="6710"/>
      <c r="F82" s="6710"/>
      <c r="G82" s="6710"/>
      <c r="H82" s="6710"/>
      <c r="I82" s="6710"/>
      <c r="J82" s="6710"/>
      <c r="K82" s="6710"/>
      <c r="L82" s="6710"/>
      <c r="M82" s="6710"/>
      <c r="N82" s="6710"/>
      <c r="O82" s="6710"/>
      <c r="P82" s="6710"/>
    </row>
    <row r="83" spans="2:16">
      <c r="B83" s="6710"/>
      <c r="C83" s="6710" t="s">
        <v>7700</v>
      </c>
      <c r="D83" s="6710"/>
      <c r="E83" s="6710"/>
      <c r="F83" s="6710"/>
      <c r="G83" s="6710"/>
      <c r="H83" s="6710"/>
      <c r="I83" s="6710"/>
      <c r="J83" s="6710"/>
      <c r="K83" s="6710"/>
      <c r="L83" s="6710"/>
      <c r="M83" s="6710"/>
      <c r="N83" s="6710"/>
      <c r="O83" s="6710"/>
      <c r="P83" s="6710"/>
    </row>
    <row r="84" spans="2:16">
      <c r="B84" s="6710"/>
      <c r="C84" s="6710"/>
      <c r="D84" s="6710"/>
      <c r="E84" s="6710"/>
      <c r="F84" s="6710"/>
      <c r="G84" s="6710"/>
      <c r="H84" s="6710"/>
      <c r="I84" s="6710"/>
      <c r="J84" s="6710"/>
      <c r="K84" s="6710"/>
      <c r="L84" s="6710"/>
      <c r="M84" s="6710"/>
      <c r="N84" s="6710"/>
      <c r="O84" s="6710"/>
      <c r="P84" s="6710"/>
    </row>
    <row r="85" spans="2:16">
      <c r="B85" s="6710"/>
      <c r="C85" s="6710"/>
      <c r="D85" s="6710"/>
      <c r="E85" s="6710"/>
      <c r="F85" s="6710"/>
      <c r="G85" s="6710"/>
      <c r="H85" s="6710"/>
      <c r="I85" s="6710"/>
      <c r="J85" s="6710"/>
      <c r="K85" s="6710"/>
      <c r="L85" s="6710"/>
      <c r="M85" s="6710"/>
      <c r="N85" s="6710"/>
      <c r="O85" s="6710"/>
      <c r="P85" s="6710"/>
    </row>
    <row r="86" spans="2:16" ht="18.75">
      <c r="B86" s="6709" t="s">
        <v>7701</v>
      </c>
      <c r="C86" s="6710"/>
      <c r="D86" s="6710"/>
      <c r="E86" s="6710"/>
      <c r="F86" s="6710"/>
      <c r="G86" s="6710"/>
      <c r="H86" s="6710"/>
      <c r="I86" s="6710"/>
      <c r="J86" s="6710"/>
      <c r="K86" s="6710"/>
      <c r="L86" s="6710"/>
      <c r="M86" s="6710"/>
      <c r="N86" s="6710"/>
      <c r="O86" s="6710"/>
      <c r="P86" s="6710"/>
    </row>
    <row r="87" spans="2:16">
      <c r="B87" s="6733" t="s">
        <v>2354</v>
      </c>
      <c r="C87" s="6734" t="s">
        <v>7702</v>
      </c>
      <c r="D87" s="6710"/>
      <c r="E87" s="6710"/>
      <c r="F87" s="6710"/>
      <c r="G87" s="6710"/>
      <c r="H87" s="6710"/>
      <c r="I87" s="6710"/>
      <c r="J87" s="6710"/>
      <c r="K87" s="6710"/>
      <c r="L87" s="6710"/>
      <c r="M87" s="6710"/>
      <c r="N87" s="6710"/>
      <c r="O87" s="6710"/>
      <c r="P87" s="6710"/>
    </row>
    <row r="88" spans="2:16">
      <c r="B88" s="6710"/>
      <c r="C88" s="6710"/>
      <c r="D88" s="6710"/>
      <c r="E88" s="6710"/>
      <c r="F88" s="6710"/>
      <c r="G88" s="6710"/>
      <c r="H88" s="6710"/>
      <c r="I88" s="6710"/>
      <c r="J88" s="6710"/>
      <c r="K88" s="6710"/>
      <c r="L88" s="6710"/>
      <c r="M88" s="6710"/>
      <c r="N88" s="6710"/>
      <c r="O88" s="6710"/>
      <c r="P88" s="6710"/>
    </row>
    <row r="89" spans="2:16" ht="18.75">
      <c r="B89" s="6733" t="s">
        <v>2354</v>
      </c>
      <c r="C89" s="6738" t="s">
        <v>2902</v>
      </c>
      <c r="D89" s="6710"/>
      <c r="E89" s="6710"/>
      <c r="F89" s="6710"/>
      <c r="G89" s="6710"/>
      <c r="H89" s="6710"/>
      <c r="I89" s="6710"/>
      <c r="J89" s="6710"/>
      <c r="K89" s="6710"/>
      <c r="L89" s="6710"/>
      <c r="M89" s="6710"/>
      <c r="N89" s="6710"/>
      <c r="O89" s="6710"/>
      <c r="P89" s="6710"/>
    </row>
    <row r="90" spans="2:16">
      <c r="B90" s="6710"/>
      <c r="C90" s="6710"/>
      <c r="D90" s="6710"/>
      <c r="E90" s="6710"/>
      <c r="F90" s="6710"/>
      <c r="G90" s="6710"/>
      <c r="H90" s="6710"/>
      <c r="I90" s="6710"/>
      <c r="J90" s="6710"/>
      <c r="K90" s="6710"/>
      <c r="L90" s="6710"/>
      <c r="M90" s="6710"/>
      <c r="N90" s="6710"/>
      <c r="O90" s="6710"/>
      <c r="P90" s="6710"/>
    </row>
    <row r="91" spans="2:16" ht="18.75">
      <c r="B91" s="6709" t="s">
        <v>7703</v>
      </c>
      <c r="C91" s="6710"/>
      <c r="D91" s="6710"/>
      <c r="E91" s="6710"/>
      <c r="F91" s="6710"/>
      <c r="G91" s="6710"/>
      <c r="H91" s="6710"/>
      <c r="I91" s="6710"/>
      <c r="J91" s="6710"/>
      <c r="K91" s="6710"/>
      <c r="L91" s="6710"/>
      <c r="M91" s="6710"/>
      <c r="N91" s="6710"/>
      <c r="O91" s="6710"/>
      <c r="P91" s="6710"/>
    </row>
    <row r="92" spans="2:16">
      <c r="B92" s="6733" t="s">
        <v>2354</v>
      </c>
      <c r="C92" s="6734" t="s">
        <v>7704</v>
      </c>
      <c r="D92" s="6710"/>
      <c r="E92" s="6710"/>
      <c r="F92" s="6710"/>
      <c r="G92" s="6710"/>
      <c r="H92" s="6710"/>
      <c r="I92" s="6710"/>
      <c r="J92" s="6710"/>
      <c r="K92" s="6710"/>
      <c r="L92" s="6710"/>
      <c r="M92" s="6710"/>
      <c r="N92" s="6710"/>
      <c r="O92" s="6710"/>
      <c r="P92" s="6710"/>
    </row>
    <row r="93" spans="2:16">
      <c r="B93" s="6710"/>
      <c r="C93" s="6710"/>
      <c r="D93" s="6710"/>
      <c r="E93" s="6710"/>
      <c r="F93" s="6710"/>
      <c r="G93" s="6710"/>
      <c r="H93" s="6710"/>
      <c r="I93" s="6710"/>
      <c r="J93" s="6710"/>
      <c r="K93" s="6710"/>
      <c r="L93" s="6710"/>
      <c r="M93" s="6710"/>
      <c r="N93" s="6710"/>
      <c r="O93" s="6710"/>
      <c r="P93" s="6710"/>
    </row>
    <row r="94" spans="2:16" ht="18.75">
      <c r="B94" s="6709" t="s">
        <v>7705</v>
      </c>
      <c r="C94" s="6710"/>
      <c r="D94" s="6710"/>
      <c r="E94" s="6710"/>
      <c r="F94" s="6710"/>
      <c r="G94" s="6710"/>
      <c r="H94" s="6710"/>
      <c r="I94" s="6710"/>
      <c r="J94" s="6710"/>
      <c r="K94" s="6710"/>
      <c r="L94" s="6710"/>
      <c r="M94" s="6710"/>
      <c r="N94" s="6710"/>
      <c r="O94" s="6710"/>
      <c r="P94" s="6710"/>
    </row>
    <row r="95" spans="2:16">
      <c r="B95" s="6733" t="s">
        <v>2354</v>
      </c>
      <c r="C95" s="6734" t="s">
        <v>7706</v>
      </c>
      <c r="D95" s="6710"/>
      <c r="E95" s="6710"/>
      <c r="F95" s="6710"/>
      <c r="G95" s="6710"/>
      <c r="H95" s="6710"/>
      <c r="I95" s="6710"/>
      <c r="J95" s="6710"/>
      <c r="K95" s="6710"/>
      <c r="L95" s="6710"/>
      <c r="M95" s="6710"/>
      <c r="N95" s="6710"/>
      <c r="O95" s="6710"/>
      <c r="P95" s="6710"/>
    </row>
    <row r="96" spans="2:16">
      <c r="B96" s="6710"/>
      <c r="C96" s="6710"/>
      <c r="D96" s="6710"/>
      <c r="E96" s="6710"/>
      <c r="F96" s="6710"/>
      <c r="G96" s="6710"/>
      <c r="H96" s="6710"/>
      <c r="I96" s="6710"/>
      <c r="J96" s="6710"/>
      <c r="K96" s="6710"/>
      <c r="L96" s="6710"/>
      <c r="M96" s="6710"/>
      <c r="N96" s="6710"/>
      <c r="O96" s="6710"/>
      <c r="P96" s="6710"/>
    </row>
    <row r="97" spans="1:16" ht="18.75">
      <c r="B97" s="6709" t="s">
        <v>7707</v>
      </c>
      <c r="C97" s="6710"/>
      <c r="D97" s="6710"/>
      <c r="E97" s="6710"/>
      <c r="F97" s="6710"/>
      <c r="G97" s="6710"/>
      <c r="H97" s="6710"/>
      <c r="I97" s="6710"/>
      <c r="J97" s="6710"/>
      <c r="K97" s="6710"/>
      <c r="L97" s="6710"/>
      <c r="M97" s="6710"/>
      <c r="N97" s="6734"/>
      <c r="O97" s="6710"/>
      <c r="P97" s="6710"/>
    </row>
    <row r="98" spans="1:16">
      <c r="B98" s="6733" t="s">
        <v>2354</v>
      </c>
      <c r="C98" s="6734" t="s">
        <v>7708</v>
      </c>
      <c r="D98" s="6710"/>
      <c r="E98" s="6710"/>
      <c r="F98" s="6710"/>
      <c r="G98" s="6710"/>
      <c r="H98" s="6710"/>
      <c r="I98" s="6710"/>
      <c r="J98" s="6710"/>
      <c r="K98" s="6710"/>
      <c r="L98" s="6710"/>
      <c r="M98" s="6710"/>
      <c r="N98" s="6734"/>
      <c r="O98" s="6710"/>
      <c r="P98" s="6710"/>
    </row>
    <row r="99" spans="1:16">
      <c r="B99" s="6710"/>
      <c r="C99" s="6710"/>
      <c r="D99" s="6710"/>
      <c r="E99" s="6710"/>
      <c r="F99" s="6710"/>
      <c r="G99" s="6710"/>
      <c r="H99" s="6710"/>
      <c r="I99" s="6710"/>
      <c r="J99" s="6710"/>
      <c r="K99" s="6710"/>
      <c r="L99" s="6710"/>
      <c r="M99" s="6710"/>
      <c r="N99" s="6734"/>
      <c r="O99" s="6710"/>
      <c r="P99" s="6710"/>
    </row>
    <row r="100" spans="1:16" ht="18.75">
      <c r="B100" s="6709" t="s">
        <v>7703</v>
      </c>
      <c r="C100" s="6734"/>
      <c r="D100" s="6710"/>
      <c r="E100" s="6710"/>
      <c r="F100" s="6710"/>
      <c r="G100" s="6710"/>
      <c r="H100" s="6710"/>
      <c r="I100" s="6710"/>
      <c r="J100" s="6710"/>
      <c r="K100" s="6710"/>
      <c r="L100" s="6710"/>
      <c r="M100" s="6739"/>
      <c r="N100" s="6740"/>
      <c r="O100" s="6710"/>
      <c r="P100" s="6710"/>
    </row>
    <row r="101" spans="1:16">
      <c r="B101" s="6733" t="s">
        <v>2354</v>
      </c>
      <c r="C101" s="6734" t="s">
        <v>7704</v>
      </c>
      <c r="D101" s="6710"/>
      <c r="E101" s="6710"/>
      <c r="F101" s="6710"/>
      <c r="G101" s="6710"/>
      <c r="H101" s="6710"/>
      <c r="I101" s="6710"/>
      <c r="J101" s="6710"/>
      <c r="K101" s="6710"/>
      <c r="L101" s="6710"/>
      <c r="M101" s="6739"/>
      <c r="N101" s="6739"/>
      <c r="O101" s="6739"/>
      <c r="P101" s="6739"/>
    </row>
    <row r="102" spans="1:16">
      <c r="B102" s="6710"/>
      <c r="C102" s="6710"/>
      <c r="D102" s="6710"/>
      <c r="E102" s="6710"/>
      <c r="F102" s="6710"/>
      <c r="G102" s="6710"/>
      <c r="H102" s="6710"/>
      <c r="I102" s="6710"/>
      <c r="J102" s="6710"/>
      <c r="K102" s="6710"/>
      <c r="L102" s="6710"/>
      <c r="M102" s="6710"/>
      <c r="N102" s="6734"/>
      <c r="O102" s="6710"/>
      <c r="P102" s="6710"/>
    </row>
    <row r="103" spans="1:16" ht="18.75">
      <c r="B103" s="6733" t="s">
        <v>2354</v>
      </c>
      <c r="C103" s="6738" t="s">
        <v>3219</v>
      </c>
      <c r="D103" s="6710"/>
      <c r="E103" s="6710"/>
      <c r="F103" s="6710"/>
      <c r="G103" s="6710"/>
      <c r="H103" s="6710"/>
      <c r="I103" s="6710"/>
      <c r="J103" s="6710"/>
      <c r="K103" s="6710"/>
      <c r="L103" s="6710"/>
      <c r="M103" s="6710"/>
      <c r="N103" s="6710"/>
      <c r="O103" s="6710"/>
      <c r="P103" s="6710"/>
    </row>
    <row r="104" spans="1:16">
      <c r="B104" s="6710"/>
      <c r="C104" s="6710"/>
      <c r="D104" s="6710"/>
      <c r="E104" s="6710"/>
      <c r="F104" s="6710"/>
      <c r="G104" s="6710"/>
      <c r="H104" s="6710"/>
      <c r="I104" s="6710"/>
      <c r="J104" s="6710"/>
      <c r="K104" s="6710"/>
      <c r="L104" s="6710"/>
      <c r="M104" s="6710"/>
      <c r="N104" s="6734"/>
      <c r="O104" s="6710"/>
      <c r="P104" s="6710"/>
    </row>
    <row r="105" spans="1:16" ht="18.75">
      <c r="B105" s="6733" t="s">
        <v>2354</v>
      </c>
      <c r="C105" s="6738" t="s">
        <v>7709</v>
      </c>
      <c r="D105" s="6710"/>
      <c r="E105" s="6710"/>
      <c r="F105" s="6710"/>
      <c r="G105" s="6710"/>
      <c r="H105" s="6710"/>
      <c r="I105" s="6710"/>
      <c r="J105" s="6710"/>
      <c r="K105" s="6710"/>
      <c r="L105" s="6710"/>
      <c r="M105" s="6710"/>
      <c r="N105" s="6710"/>
      <c r="O105" s="6710"/>
      <c r="P105" s="6710"/>
    </row>
    <row r="106" spans="1:16">
      <c r="B106" s="6710"/>
      <c r="C106" s="6710"/>
      <c r="D106" s="6710"/>
      <c r="E106" s="6710"/>
      <c r="F106" s="6710"/>
      <c r="G106" s="6710"/>
      <c r="H106" s="6710"/>
      <c r="I106" s="6710"/>
      <c r="J106" s="6710"/>
      <c r="K106" s="6710"/>
      <c r="L106" s="6710"/>
      <c r="M106" s="6710"/>
      <c r="N106" s="6710"/>
      <c r="O106" s="6710"/>
      <c r="P106" s="6710"/>
    </row>
    <row r="107" spans="1:16" s="1103" customFormat="1" ht="21.75" customHeight="1">
      <c r="A107" s="6714"/>
      <c r="B107" s="6733" t="s">
        <v>2354</v>
      </c>
      <c r="C107" s="6738" t="s">
        <v>3226</v>
      </c>
      <c r="E107" s="3048"/>
      <c r="F107" s="3048"/>
      <c r="G107" s="3048"/>
      <c r="H107" s="3048"/>
      <c r="I107" s="3048"/>
      <c r="J107" s="3202"/>
      <c r="K107" s="3200"/>
      <c r="L107" s="3200"/>
      <c r="M107" s="3200"/>
      <c r="N107" s="6739"/>
      <c r="O107" s="6739"/>
      <c r="P107" s="6739"/>
    </row>
    <row r="108" spans="1:16">
      <c r="B108" s="6710"/>
      <c r="C108" s="6710"/>
      <c r="D108" s="6710"/>
      <c r="E108" s="6710"/>
      <c r="F108" s="6710"/>
      <c r="G108" s="6710"/>
      <c r="H108" s="6710"/>
      <c r="I108" s="6710"/>
      <c r="J108" s="6710"/>
      <c r="K108" s="6710"/>
      <c r="L108" s="6710"/>
      <c r="M108" s="6739"/>
      <c r="N108" s="6740"/>
      <c r="O108" s="6710"/>
      <c r="P108" s="6710"/>
    </row>
    <row r="109" spans="1:16" ht="18.75">
      <c r="B109" s="6709" t="s">
        <v>7710</v>
      </c>
      <c r="C109" s="6710"/>
      <c r="D109" s="6710"/>
      <c r="E109" s="6710"/>
      <c r="F109" s="6710"/>
      <c r="G109" s="6710"/>
      <c r="H109" s="6710"/>
      <c r="I109" s="6710"/>
      <c r="J109" s="6710"/>
      <c r="K109" s="6710"/>
      <c r="L109" s="6710"/>
      <c r="M109" s="6739"/>
      <c r="N109" s="6739"/>
      <c r="O109" s="6739"/>
      <c r="P109" s="6739"/>
    </row>
    <row r="110" spans="1:16">
      <c r="B110" s="6733" t="s">
        <v>2354</v>
      </c>
      <c r="C110" s="6734" t="s">
        <v>7711</v>
      </c>
      <c r="D110" s="6710"/>
      <c r="E110" s="6710"/>
      <c r="F110" s="6710"/>
      <c r="G110" s="6710"/>
      <c r="H110" s="6710"/>
      <c r="I110" s="6710"/>
      <c r="J110" s="6710"/>
      <c r="K110" s="6710"/>
      <c r="L110" s="6710"/>
      <c r="M110" s="6739"/>
      <c r="N110" s="6739"/>
      <c r="O110" s="6739"/>
      <c r="P110" s="6739"/>
    </row>
    <row r="111" spans="1:16">
      <c r="B111" s="6710"/>
      <c r="C111" s="6710"/>
      <c r="D111" s="6710"/>
      <c r="E111" s="6710"/>
      <c r="F111" s="6710"/>
      <c r="G111" s="6710"/>
      <c r="H111" s="6710"/>
      <c r="I111" s="6710"/>
      <c r="J111" s="6710"/>
      <c r="K111" s="6710"/>
      <c r="L111" s="6710"/>
      <c r="M111" s="6739"/>
      <c r="N111" s="6739"/>
      <c r="O111" s="6739"/>
      <c r="P111" s="6739"/>
    </row>
    <row r="112" spans="1:16">
      <c r="A112" s="6737"/>
      <c r="B112" s="6737"/>
      <c r="C112" s="6737"/>
      <c r="D112" s="6737"/>
      <c r="E112" s="6737"/>
      <c r="F112" s="6737"/>
      <c r="G112" s="6737"/>
      <c r="H112" s="6737"/>
      <c r="I112" s="6737"/>
      <c r="J112" s="6737"/>
      <c r="K112" s="6737"/>
      <c r="L112" s="6737"/>
      <c r="M112" s="6741"/>
      <c r="N112" s="6741"/>
      <c r="O112" s="6741"/>
      <c r="P112" s="6741"/>
    </row>
    <row r="113" spans="1:16">
      <c r="B113" s="6710"/>
      <c r="C113" s="6710"/>
      <c r="D113" s="6710"/>
      <c r="E113" s="6710"/>
      <c r="F113" s="6710"/>
      <c r="G113" s="6710"/>
      <c r="H113" s="6710"/>
      <c r="I113" s="6710"/>
      <c r="J113" s="6710"/>
      <c r="K113" s="6710"/>
      <c r="L113" s="6710"/>
      <c r="M113" s="6739"/>
      <c r="N113" s="6739"/>
      <c r="O113" s="6739"/>
      <c r="P113" s="6739"/>
    </row>
    <row r="114" spans="1:16" ht="18.75">
      <c r="B114" s="6709" t="s">
        <v>7712</v>
      </c>
      <c r="C114" s="6710"/>
      <c r="D114" s="6710"/>
      <c r="E114" s="6710"/>
      <c r="F114" s="6710"/>
      <c r="G114" s="6710"/>
      <c r="H114" s="6710"/>
      <c r="I114" s="6710"/>
      <c r="J114" s="6710"/>
      <c r="K114" s="6710"/>
      <c r="L114" s="6710"/>
      <c r="M114" s="6710"/>
      <c r="N114" s="6710"/>
      <c r="O114" s="6710"/>
      <c r="P114" s="6710"/>
    </row>
    <row r="115" spans="1:16">
      <c r="B115" s="6733" t="s">
        <v>2354</v>
      </c>
      <c r="C115" s="6734" t="s">
        <v>7713</v>
      </c>
      <c r="D115" s="6710"/>
      <c r="E115" s="6710"/>
      <c r="F115" s="6710"/>
      <c r="G115" s="6710"/>
      <c r="H115" s="6710"/>
      <c r="I115" s="6710"/>
      <c r="J115" s="6710"/>
      <c r="K115" s="6710"/>
      <c r="L115" s="6710"/>
      <c r="M115" s="6710"/>
      <c r="N115" s="6710"/>
      <c r="O115" s="6710"/>
      <c r="P115" s="6710"/>
    </row>
    <row r="116" spans="1:16">
      <c r="B116" s="6710"/>
      <c r="C116" s="6710"/>
      <c r="D116" s="6710"/>
      <c r="E116" s="6710"/>
      <c r="F116" s="6710"/>
      <c r="G116" s="6710"/>
      <c r="H116" s="6710"/>
      <c r="I116" s="6710"/>
      <c r="J116" s="6710"/>
      <c r="K116" s="6710"/>
      <c r="L116" s="6710"/>
      <c r="M116" s="6739"/>
      <c r="N116" s="6739"/>
      <c r="O116" s="6739"/>
      <c r="P116" s="6739"/>
    </row>
    <row r="117" spans="1:16" ht="18.75">
      <c r="B117" s="6709" t="s">
        <v>7714</v>
      </c>
      <c r="C117" s="6710"/>
      <c r="D117" s="6710"/>
      <c r="E117" s="6710"/>
      <c r="F117" s="6710"/>
      <c r="G117" s="6710"/>
      <c r="H117" s="6710"/>
      <c r="I117" s="6710"/>
      <c r="J117" s="6710"/>
      <c r="K117" s="6710"/>
      <c r="L117" s="6710"/>
      <c r="M117" s="6739"/>
      <c r="N117" s="6739"/>
      <c r="O117" s="6739"/>
      <c r="P117" s="6739"/>
    </row>
    <row r="118" spans="1:16">
      <c r="B118" s="6733" t="s">
        <v>2354</v>
      </c>
      <c r="C118" s="6734" t="s">
        <v>7715</v>
      </c>
      <c r="D118" s="6710"/>
      <c r="E118" s="6710"/>
      <c r="F118" s="6710"/>
      <c r="G118" s="6710"/>
      <c r="H118" s="6710"/>
      <c r="I118" s="6710"/>
      <c r="J118" s="6710"/>
      <c r="K118" s="6710"/>
      <c r="L118" s="6710"/>
      <c r="M118" s="6739"/>
      <c r="N118" s="6739"/>
      <c r="O118" s="6739"/>
      <c r="P118" s="6739"/>
    </row>
    <row r="119" spans="1:16">
      <c r="A119" s="6734"/>
      <c r="B119" s="6734"/>
      <c r="C119" s="6734"/>
      <c r="D119" s="6710"/>
      <c r="E119" s="6710"/>
      <c r="F119" s="6710"/>
      <c r="G119" s="6710"/>
      <c r="H119" s="6710"/>
      <c r="I119" s="6710"/>
      <c r="J119" s="6710"/>
      <c r="K119" s="6710"/>
      <c r="L119" s="6710"/>
      <c r="M119" s="6739"/>
      <c r="N119" s="6739"/>
      <c r="O119" s="6739"/>
      <c r="P119" s="6739"/>
    </row>
    <row r="120" spans="1:16" ht="18.75">
      <c r="B120" s="6709" t="s">
        <v>3225</v>
      </c>
      <c r="C120" s="6734"/>
      <c r="D120" s="6710"/>
      <c r="E120" s="6710"/>
      <c r="F120" s="6710"/>
      <c r="G120" s="6710"/>
      <c r="H120" s="6710"/>
      <c r="I120" s="6710"/>
      <c r="J120" s="6710"/>
      <c r="K120" s="6710"/>
      <c r="L120" s="6710"/>
      <c r="M120" s="6739"/>
      <c r="N120" s="6739"/>
      <c r="O120" s="6739"/>
      <c r="P120" s="6739"/>
    </row>
    <row r="121" spans="1:16">
      <c r="B121" s="6733" t="s">
        <v>2354</v>
      </c>
      <c r="C121" s="6734" t="s">
        <v>3224</v>
      </c>
      <c r="D121" s="6710"/>
      <c r="E121" s="6710"/>
      <c r="F121" s="6710"/>
      <c r="G121" s="6710"/>
      <c r="H121" s="6710"/>
      <c r="I121" s="6710"/>
      <c r="J121" s="6710"/>
      <c r="K121" s="6710"/>
      <c r="L121" s="6710"/>
      <c r="M121" s="6739"/>
      <c r="N121" s="6739"/>
      <c r="O121" s="6739"/>
      <c r="P121" s="6739"/>
    </row>
    <row r="122" spans="1:16" ht="18">
      <c r="A122" s="6734"/>
      <c r="B122" s="6734"/>
      <c r="C122" s="6742"/>
      <c r="D122" s="6710"/>
      <c r="E122" s="6710"/>
      <c r="F122" s="6710"/>
      <c r="G122" s="6710"/>
      <c r="H122" s="6710"/>
      <c r="I122" s="6710"/>
      <c r="J122" s="6710"/>
      <c r="K122" s="6710"/>
      <c r="L122" s="6710"/>
      <c r="M122" s="6739"/>
      <c r="N122" s="6739"/>
      <c r="O122" s="6739"/>
      <c r="P122" s="6739"/>
    </row>
    <row r="123" spans="1:16" ht="23.25">
      <c r="B123" s="6733" t="s">
        <v>2354</v>
      </c>
      <c r="C123" s="6738" t="s">
        <v>7716</v>
      </c>
      <c r="D123" s="6710"/>
      <c r="E123" s="6710"/>
      <c r="F123" s="3048"/>
      <c r="G123" s="6710"/>
      <c r="H123" s="6710"/>
      <c r="I123" s="6710"/>
      <c r="J123" s="6710"/>
      <c r="K123" s="6710"/>
      <c r="L123" s="6710"/>
      <c r="M123" s="6739"/>
      <c r="N123" s="6739"/>
      <c r="O123" s="6739"/>
      <c r="P123" s="6739"/>
    </row>
    <row r="124" spans="1:16" ht="18">
      <c r="B124" s="6710"/>
      <c r="C124" s="6742"/>
      <c r="D124" s="6710"/>
      <c r="E124" s="6710"/>
      <c r="F124" s="6710"/>
      <c r="G124" s="6710"/>
      <c r="H124" s="6710"/>
      <c r="I124" s="6710"/>
      <c r="J124" s="6710"/>
      <c r="K124" s="6710"/>
      <c r="L124" s="6710"/>
      <c r="M124" s="6739"/>
      <c r="N124" s="6739"/>
      <c r="O124" s="6739"/>
      <c r="P124" s="6739"/>
    </row>
    <row r="125" spans="1:16" ht="23.25">
      <c r="B125" s="6733" t="s">
        <v>2354</v>
      </c>
      <c r="C125" s="6738" t="s">
        <v>7717</v>
      </c>
      <c r="F125" s="3048"/>
      <c r="G125" s="6710"/>
      <c r="H125" s="6710"/>
      <c r="I125" s="6710"/>
      <c r="J125" s="6710"/>
      <c r="K125" s="6710"/>
      <c r="L125" s="6710"/>
      <c r="M125" s="6739"/>
      <c r="N125" s="6739"/>
      <c r="O125" s="6739"/>
      <c r="P125" s="6739"/>
    </row>
    <row r="126" spans="1:16">
      <c r="B126" s="6710"/>
      <c r="C126" s="6734"/>
      <c r="D126" s="6710"/>
      <c r="E126" s="6710"/>
      <c r="F126" s="6710"/>
      <c r="G126" s="6710"/>
      <c r="H126" s="6710"/>
      <c r="I126" s="6710"/>
      <c r="J126" s="6710"/>
      <c r="K126" s="6710"/>
      <c r="L126" s="6710"/>
      <c r="M126" s="6739"/>
      <c r="N126" s="6739"/>
      <c r="O126" s="6739"/>
      <c r="P126" s="6739"/>
    </row>
    <row r="127" spans="1:16" ht="18.75">
      <c r="B127" s="6709" t="s">
        <v>7718</v>
      </c>
      <c r="C127" s="6734"/>
      <c r="D127" s="6710"/>
      <c r="E127" s="6710"/>
      <c r="F127" s="6710"/>
      <c r="G127" s="6710"/>
      <c r="H127" s="6710"/>
      <c r="I127" s="6710"/>
      <c r="J127" s="6710"/>
      <c r="K127" s="6710"/>
      <c r="L127" s="6710"/>
      <c r="M127" s="6710"/>
      <c r="N127" s="6710"/>
      <c r="O127" s="6710"/>
      <c r="P127" s="6710"/>
    </row>
    <row r="128" spans="1:16">
      <c r="B128" s="6733" t="s">
        <v>2354</v>
      </c>
      <c r="C128" s="6734" t="s">
        <v>7719</v>
      </c>
      <c r="D128" s="6710"/>
      <c r="E128" s="6710"/>
      <c r="F128" s="6710"/>
      <c r="G128" s="6710"/>
      <c r="H128" s="6710"/>
      <c r="I128" s="6710"/>
      <c r="J128" s="6710"/>
      <c r="K128" s="6710"/>
      <c r="L128" s="6710"/>
      <c r="M128" s="6710"/>
      <c r="N128" s="6710"/>
      <c r="O128" s="6710"/>
      <c r="P128" s="6710"/>
    </row>
    <row r="129" spans="2:16">
      <c r="B129" s="6710"/>
      <c r="C129" s="6734"/>
      <c r="D129" s="6710"/>
      <c r="E129" s="6710"/>
      <c r="F129" s="6710"/>
      <c r="G129" s="6710"/>
      <c r="H129" s="6710"/>
      <c r="I129" s="6710"/>
      <c r="J129" s="6710"/>
      <c r="K129" s="6710"/>
      <c r="L129" s="6710"/>
      <c r="M129" s="6710"/>
      <c r="N129" s="6710"/>
      <c r="O129" s="6710"/>
      <c r="P129" s="6710"/>
    </row>
    <row r="130" spans="2:16" ht="18.75">
      <c r="B130" s="6709" t="s">
        <v>7720</v>
      </c>
      <c r="C130" s="6710"/>
      <c r="D130" s="6710"/>
      <c r="E130" s="6710"/>
      <c r="F130" s="6710"/>
      <c r="G130" s="6710"/>
      <c r="H130" s="6710"/>
      <c r="I130" s="6710"/>
      <c r="J130" s="6710"/>
      <c r="K130" s="6710"/>
      <c r="L130" s="6710"/>
      <c r="M130" s="6710"/>
      <c r="N130" s="6710"/>
      <c r="O130" s="6710"/>
      <c r="P130" s="6710"/>
    </row>
    <row r="131" spans="2:16">
      <c r="B131" s="6733" t="s">
        <v>2354</v>
      </c>
      <c r="C131" s="6734" t="s">
        <v>7721</v>
      </c>
      <c r="D131" s="6710"/>
      <c r="E131" s="6710"/>
      <c r="F131" s="6710"/>
      <c r="G131" s="6710"/>
      <c r="H131" s="6710"/>
      <c r="I131" s="6710"/>
      <c r="J131" s="6710"/>
      <c r="K131" s="6710"/>
      <c r="L131" s="6710"/>
      <c r="M131" s="6710"/>
      <c r="N131" s="6710"/>
      <c r="O131" s="6710"/>
      <c r="P131" s="6710"/>
    </row>
    <row r="132" spans="2:16">
      <c r="B132" s="6710"/>
      <c r="C132" s="6734"/>
      <c r="D132" s="6710"/>
      <c r="E132" s="6710"/>
      <c r="F132" s="6710"/>
      <c r="G132" s="6710"/>
      <c r="H132" s="6710"/>
      <c r="I132" s="6710"/>
      <c r="J132" s="6710"/>
      <c r="K132" s="6710"/>
      <c r="L132" s="6710"/>
      <c r="M132" s="6710"/>
      <c r="N132" s="6710"/>
      <c r="O132" s="6710"/>
      <c r="P132" s="6710"/>
    </row>
    <row r="133" spans="2:16" ht="18.75">
      <c r="B133" s="6709" t="s">
        <v>7722</v>
      </c>
      <c r="C133" s="6710"/>
      <c r="D133" s="6710"/>
      <c r="E133" s="6710"/>
      <c r="F133" s="6710"/>
      <c r="G133" s="6710"/>
      <c r="H133" s="6710"/>
      <c r="I133" s="6710"/>
      <c r="J133" s="6710"/>
      <c r="K133" s="6710"/>
      <c r="L133" s="6710"/>
      <c r="M133" s="6710"/>
      <c r="N133" s="6710"/>
      <c r="O133" s="6710"/>
      <c r="P133" s="6710"/>
    </row>
    <row r="134" spans="2:16">
      <c r="B134" s="6733" t="s">
        <v>2354</v>
      </c>
      <c r="C134" s="6734" t="s">
        <v>7723</v>
      </c>
      <c r="D134" s="6710"/>
      <c r="E134" s="6710"/>
      <c r="F134" s="6710"/>
      <c r="G134" s="6710"/>
      <c r="H134" s="6710"/>
      <c r="I134" s="6710"/>
      <c r="J134" s="6710"/>
      <c r="K134" s="6710"/>
      <c r="L134" s="6710"/>
      <c r="M134" s="6710"/>
      <c r="N134" s="6710"/>
      <c r="O134" s="6710"/>
      <c r="P134" s="6710"/>
    </row>
    <row r="135" spans="2:16">
      <c r="B135" s="6710"/>
      <c r="C135" s="6710"/>
      <c r="D135" s="6710"/>
      <c r="E135" s="6710"/>
      <c r="F135" s="6710"/>
      <c r="G135" s="6710"/>
      <c r="H135" s="6710"/>
      <c r="I135" s="6710"/>
      <c r="J135" s="6710"/>
      <c r="K135" s="6710"/>
      <c r="L135" s="6710"/>
      <c r="M135" s="6710"/>
      <c r="N135" s="6710"/>
      <c r="O135" s="6710"/>
      <c r="P135" s="6710"/>
    </row>
    <row r="136" spans="2:16" ht="18.75">
      <c r="B136" s="6709" t="s">
        <v>7724</v>
      </c>
      <c r="C136" s="6710"/>
      <c r="D136" s="6710"/>
      <c r="E136" s="6710"/>
      <c r="F136" s="6710"/>
      <c r="G136" s="6710"/>
      <c r="H136" s="6710"/>
      <c r="I136" s="6710"/>
      <c r="J136" s="6710"/>
      <c r="K136" s="6710"/>
      <c r="L136" s="6710"/>
      <c r="M136" s="6710"/>
      <c r="N136" s="6710"/>
      <c r="O136" s="6710"/>
      <c r="P136" s="6710"/>
    </row>
    <row r="137" spans="2:16">
      <c r="B137" s="6733" t="s">
        <v>2354</v>
      </c>
      <c r="C137" s="6734" t="s">
        <v>7725</v>
      </c>
      <c r="D137" s="6710"/>
      <c r="E137" s="6710"/>
      <c r="F137" s="6710"/>
      <c r="G137" s="6710"/>
      <c r="H137" s="6710"/>
      <c r="I137" s="6710"/>
      <c r="J137" s="6710"/>
      <c r="K137" s="6710"/>
      <c r="L137" s="6710"/>
      <c r="M137" s="6710"/>
      <c r="N137" s="6710"/>
      <c r="O137" s="6710"/>
      <c r="P137" s="6710"/>
    </row>
    <row r="138" spans="2:16">
      <c r="B138" s="6710"/>
      <c r="C138" s="6710"/>
      <c r="D138" s="6710"/>
      <c r="E138" s="6710"/>
      <c r="F138" s="6710"/>
      <c r="G138" s="6710"/>
      <c r="H138" s="6710"/>
      <c r="I138" s="6710"/>
      <c r="J138" s="6710"/>
      <c r="K138" s="6710"/>
      <c r="L138" s="6710"/>
      <c r="M138" s="6710"/>
      <c r="N138" s="6710"/>
      <c r="O138" s="6710"/>
      <c r="P138" s="6710"/>
    </row>
    <row r="139" spans="2:16" ht="18.75">
      <c r="B139" s="6709" t="s">
        <v>7726</v>
      </c>
      <c r="C139" s="6710"/>
      <c r="D139" s="6710"/>
      <c r="E139" s="6710"/>
      <c r="F139" s="6710"/>
      <c r="G139" s="6710"/>
      <c r="H139" s="6710"/>
      <c r="I139" s="6710"/>
      <c r="J139" s="6710"/>
      <c r="K139" s="6710"/>
      <c r="L139" s="6710"/>
      <c r="M139" s="6710"/>
      <c r="N139" s="6710"/>
      <c r="O139" s="6710"/>
      <c r="P139" s="6710"/>
    </row>
    <row r="140" spans="2:16">
      <c r="B140" s="6733" t="s">
        <v>2354</v>
      </c>
      <c r="C140" s="6734" t="s">
        <v>7727</v>
      </c>
      <c r="D140" s="6710"/>
      <c r="E140" s="6710"/>
      <c r="F140" s="6710"/>
      <c r="G140" s="6710"/>
      <c r="H140" s="6710"/>
      <c r="I140" s="6710"/>
      <c r="J140" s="6710"/>
      <c r="K140" s="6710"/>
      <c r="L140" s="6710"/>
      <c r="M140" s="6710"/>
      <c r="N140" s="6710"/>
      <c r="O140" s="6710"/>
      <c r="P140" s="6710"/>
    </row>
    <row r="141" spans="2:16">
      <c r="B141" s="6710"/>
      <c r="C141" s="6710"/>
      <c r="D141" s="6710"/>
      <c r="E141" s="6710"/>
      <c r="F141" s="6710"/>
      <c r="G141" s="6710"/>
      <c r="H141" s="6710"/>
      <c r="I141" s="6710"/>
      <c r="J141" s="6710"/>
      <c r="K141" s="6710"/>
      <c r="L141" s="6710"/>
      <c r="M141" s="6710"/>
      <c r="N141" s="6710"/>
      <c r="O141" s="6710"/>
      <c r="P141" s="6710"/>
    </row>
    <row r="142" spans="2:16" ht="18.75">
      <c r="B142" s="6709" t="s">
        <v>7728</v>
      </c>
      <c r="C142" s="6710"/>
      <c r="D142" s="6710"/>
      <c r="E142" s="6710"/>
      <c r="F142" s="6710"/>
      <c r="G142" s="6710"/>
      <c r="H142" s="6710"/>
      <c r="I142" s="6710"/>
      <c r="J142" s="6710"/>
      <c r="K142" s="6710"/>
      <c r="L142" s="6710"/>
      <c r="M142" s="6710"/>
      <c r="N142" s="6710"/>
      <c r="O142" s="6710"/>
      <c r="P142" s="6710"/>
    </row>
    <row r="143" spans="2:16">
      <c r="B143" s="6733" t="s">
        <v>2354</v>
      </c>
      <c r="C143" s="6734" t="s">
        <v>7729</v>
      </c>
      <c r="D143" s="6710"/>
      <c r="E143" s="6710"/>
      <c r="F143" s="6710"/>
      <c r="G143" s="6710"/>
      <c r="H143" s="6710"/>
      <c r="I143" s="6710"/>
      <c r="J143" s="6710"/>
      <c r="K143" s="6710"/>
      <c r="L143" s="6710"/>
      <c r="M143" s="6710"/>
      <c r="N143" s="6710"/>
      <c r="O143" s="6710"/>
      <c r="P143" s="6710"/>
    </row>
    <row r="144" spans="2:16">
      <c r="B144" s="6710"/>
      <c r="C144" s="6710"/>
      <c r="D144" s="6710"/>
      <c r="E144" s="6710"/>
      <c r="F144" s="6710"/>
      <c r="G144" s="6710"/>
      <c r="H144" s="6710"/>
      <c r="I144" s="6710"/>
      <c r="J144" s="6710"/>
      <c r="K144" s="6710"/>
      <c r="L144" s="6710"/>
      <c r="M144" s="6710"/>
      <c r="N144" s="6710"/>
      <c r="O144" s="6710"/>
      <c r="P144" s="6710"/>
    </row>
    <row r="145" spans="2:16" ht="18.75">
      <c r="B145" s="6709" t="s">
        <v>7730</v>
      </c>
      <c r="C145" s="6710"/>
      <c r="D145" s="6710"/>
      <c r="E145" s="6710"/>
      <c r="F145" s="6710"/>
      <c r="G145" s="6710"/>
      <c r="H145" s="6710"/>
      <c r="I145" s="6710"/>
      <c r="J145" s="6710"/>
      <c r="K145" s="6710"/>
      <c r="L145" s="6710"/>
      <c r="M145" s="6710"/>
      <c r="N145" s="6710"/>
      <c r="O145" s="6710"/>
      <c r="P145" s="6710"/>
    </row>
    <row r="146" spans="2:16">
      <c r="B146" s="6733" t="s">
        <v>2354</v>
      </c>
      <c r="C146" s="6734" t="s">
        <v>7731</v>
      </c>
      <c r="D146" s="6710"/>
      <c r="E146" s="6710"/>
      <c r="F146" s="6710"/>
      <c r="G146" s="6710"/>
      <c r="H146" s="6710"/>
      <c r="I146" s="6710"/>
      <c r="J146" s="6710"/>
      <c r="K146" s="6710"/>
      <c r="L146" s="6710"/>
      <c r="M146" s="6710"/>
      <c r="N146" s="6710"/>
      <c r="O146" s="6710"/>
      <c r="P146" s="6710"/>
    </row>
    <row r="147" spans="2:16">
      <c r="B147" s="6710"/>
      <c r="C147" s="6710"/>
      <c r="D147" s="6710"/>
      <c r="E147" s="6710"/>
      <c r="F147" s="6710"/>
      <c r="G147" s="6710"/>
      <c r="H147" s="6710"/>
      <c r="I147" s="6710"/>
      <c r="J147" s="6710"/>
      <c r="K147" s="6710"/>
      <c r="L147" s="6710"/>
      <c r="M147" s="6710"/>
      <c r="N147" s="6710"/>
      <c r="O147" s="6710"/>
      <c r="P147" s="6710"/>
    </row>
    <row r="148" spans="2:16" ht="18.75">
      <c r="B148" s="6709" t="s">
        <v>7732</v>
      </c>
      <c r="C148" s="6710"/>
      <c r="D148" s="6710"/>
      <c r="E148" s="6710"/>
      <c r="F148" s="6710"/>
      <c r="G148" s="6710"/>
      <c r="H148" s="6710"/>
      <c r="I148" s="6710"/>
      <c r="J148" s="6710"/>
      <c r="K148" s="6710"/>
      <c r="L148" s="6710"/>
      <c r="M148" s="6710"/>
      <c r="N148" s="6710"/>
      <c r="O148" s="6710"/>
      <c r="P148" s="6710"/>
    </row>
    <row r="149" spans="2:16">
      <c r="B149" s="6733" t="s">
        <v>2354</v>
      </c>
      <c r="C149" s="6734" t="s">
        <v>7733</v>
      </c>
      <c r="D149" s="6710"/>
      <c r="E149" s="6710"/>
      <c r="F149" s="6710"/>
      <c r="G149" s="6710"/>
      <c r="H149" s="6710"/>
      <c r="I149" s="6710"/>
      <c r="J149" s="6710"/>
      <c r="K149" s="6710"/>
      <c r="L149" s="6710"/>
      <c r="M149" s="6710"/>
      <c r="N149" s="6710"/>
      <c r="O149" s="6710"/>
      <c r="P149" s="6710"/>
    </row>
    <row r="150" spans="2:16">
      <c r="B150" s="6710"/>
      <c r="C150" s="6710"/>
      <c r="D150" s="6710"/>
      <c r="E150" s="6710"/>
      <c r="F150" s="6710"/>
      <c r="G150" s="6710"/>
      <c r="H150" s="6710"/>
      <c r="I150" s="6710"/>
      <c r="J150" s="6710"/>
      <c r="K150" s="6710"/>
      <c r="L150" s="6710"/>
      <c r="M150" s="6710"/>
      <c r="N150" s="6710"/>
      <c r="O150" s="6710"/>
      <c r="P150" s="6710"/>
    </row>
    <row r="151" spans="2:16" ht="18.75">
      <c r="B151" s="6709" t="s">
        <v>7734</v>
      </c>
      <c r="C151" s="6709"/>
      <c r="D151" s="6710"/>
      <c r="E151" s="6710"/>
      <c r="F151" s="6710"/>
      <c r="G151" s="6710"/>
      <c r="H151" s="6710"/>
      <c r="I151" s="6710"/>
      <c r="J151" s="6710"/>
      <c r="K151" s="6710"/>
      <c r="L151" s="6710"/>
      <c r="M151" s="6710"/>
      <c r="N151" s="6710"/>
      <c r="O151" s="6710"/>
      <c r="P151" s="6710"/>
    </row>
    <row r="152" spans="2:16">
      <c r="B152" s="6733" t="s">
        <v>2354</v>
      </c>
      <c r="C152" s="6734" t="s">
        <v>7735</v>
      </c>
      <c r="D152" s="6710"/>
      <c r="E152" s="6710"/>
      <c r="F152" s="6710"/>
      <c r="G152" s="6710"/>
      <c r="H152" s="6710"/>
      <c r="I152" s="6710"/>
      <c r="J152" s="6710"/>
      <c r="K152" s="6710"/>
      <c r="L152" s="6710"/>
      <c r="M152" s="6710"/>
      <c r="N152" s="6710"/>
      <c r="O152" s="6710"/>
      <c r="P152" s="6710"/>
    </row>
    <row r="153" spans="2:16">
      <c r="B153" s="6710"/>
      <c r="C153" s="6710"/>
      <c r="D153" s="6710"/>
      <c r="E153" s="6710"/>
      <c r="F153" s="6710"/>
      <c r="G153" s="6710"/>
      <c r="H153" s="6710"/>
      <c r="I153" s="6710"/>
      <c r="J153" s="6710"/>
      <c r="K153" s="6710"/>
      <c r="L153" s="6710"/>
      <c r="M153" s="6710"/>
      <c r="N153" s="6710"/>
      <c r="O153" s="6710"/>
      <c r="P153" s="6710"/>
    </row>
    <row r="154" spans="2:16" ht="18.75">
      <c r="B154" s="6709" t="s">
        <v>7736</v>
      </c>
      <c r="C154" s="6709"/>
      <c r="D154" s="6710"/>
      <c r="E154" s="6710"/>
      <c r="F154" s="6710"/>
      <c r="G154" s="6710"/>
      <c r="H154" s="6710"/>
      <c r="I154" s="6710"/>
      <c r="J154" s="6710"/>
      <c r="K154" s="6710"/>
      <c r="L154" s="6710"/>
      <c r="M154" s="6710"/>
      <c r="N154" s="6710"/>
      <c r="O154" s="6710"/>
      <c r="P154" s="6710"/>
    </row>
    <row r="155" spans="2:16">
      <c r="B155" s="6733" t="s">
        <v>2354</v>
      </c>
      <c r="C155" s="6734" t="s">
        <v>7737</v>
      </c>
      <c r="D155" s="6710"/>
      <c r="E155" s="6710"/>
      <c r="F155" s="6710"/>
      <c r="G155" s="6710"/>
      <c r="H155" s="6710"/>
      <c r="I155" s="6710"/>
      <c r="J155" s="6710"/>
      <c r="K155" s="6710"/>
      <c r="L155" s="6710"/>
      <c r="M155" s="6710"/>
      <c r="N155" s="6710"/>
      <c r="O155" s="6710"/>
      <c r="P155" s="6710"/>
    </row>
    <row r="156" spans="2:16">
      <c r="B156" s="6710"/>
      <c r="C156" s="6710"/>
      <c r="D156" s="6710"/>
      <c r="E156" s="6710"/>
      <c r="F156" s="6710"/>
      <c r="G156" s="6710"/>
      <c r="H156" s="6710"/>
      <c r="I156" s="6710"/>
      <c r="J156" s="6710"/>
      <c r="K156" s="6710"/>
      <c r="L156" s="6710"/>
      <c r="M156" s="6710"/>
      <c r="N156" s="6710"/>
      <c r="O156" s="6710"/>
      <c r="P156" s="6710"/>
    </row>
    <row r="157" spans="2:16" ht="18.75">
      <c r="B157" s="6709" t="s">
        <v>7738</v>
      </c>
      <c r="C157" s="6709"/>
      <c r="D157" s="6710"/>
      <c r="E157" s="6710"/>
      <c r="F157" s="6710"/>
      <c r="G157" s="6710"/>
      <c r="H157" s="6710"/>
      <c r="I157" s="6710"/>
      <c r="J157" s="6710"/>
      <c r="K157" s="6710"/>
      <c r="L157" s="6710"/>
      <c r="M157" s="6710"/>
      <c r="N157" s="6710"/>
      <c r="O157" s="6710"/>
      <c r="P157" s="6710"/>
    </row>
    <row r="158" spans="2:16">
      <c r="B158" s="6733" t="s">
        <v>2354</v>
      </c>
      <c r="C158" s="6734" t="s">
        <v>7739</v>
      </c>
      <c r="D158" s="6710"/>
      <c r="E158" s="6710"/>
      <c r="F158" s="6710"/>
      <c r="G158" s="6710"/>
      <c r="H158" s="6710"/>
      <c r="I158" s="6710"/>
      <c r="J158" s="6710"/>
      <c r="K158" s="6710"/>
      <c r="L158" s="6710"/>
      <c r="M158" s="6710"/>
      <c r="N158" s="6710"/>
      <c r="O158" s="6710"/>
      <c r="P158" s="6710"/>
    </row>
    <row r="159" spans="2:16">
      <c r="B159" s="6710"/>
      <c r="C159" s="6710"/>
      <c r="D159" s="6710"/>
      <c r="E159" s="6710"/>
      <c r="F159" s="6710"/>
      <c r="G159" s="6710"/>
      <c r="H159" s="6710"/>
      <c r="I159" s="6710"/>
      <c r="J159" s="6710"/>
      <c r="K159" s="6710"/>
      <c r="L159" s="6710"/>
      <c r="M159" s="6710"/>
      <c r="N159" s="6710"/>
      <c r="O159" s="6710"/>
      <c r="P159" s="6710"/>
    </row>
    <row r="160" spans="2:16" ht="18.75">
      <c r="B160" s="6709" t="s">
        <v>7740</v>
      </c>
      <c r="C160" s="6709"/>
      <c r="D160" s="6710"/>
      <c r="E160" s="6710"/>
      <c r="F160" s="6710"/>
      <c r="G160" s="6710"/>
      <c r="H160" s="6710"/>
      <c r="I160" s="6710"/>
      <c r="J160" s="6710"/>
      <c r="K160" s="6710"/>
      <c r="L160" s="6710"/>
      <c r="M160" s="6710"/>
      <c r="N160" s="6710"/>
      <c r="O160" s="6710"/>
      <c r="P160" s="6710"/>
    </row>
    <row r="161" spans="1:16">
      <c r="B161" s="6733" t="s">
        <v>2354</v>
      </c>
      <c r="C161" s="6734" t="s">
        <v>7741</v>
      </c>
      <c r="D161" s="6710"/>
      <c r="E161" s="6710"/>
      <c r="F161" s="6710"/>
      <c r="G161" s="6710"/>
      <c r="H161" s="6710"/>
      <c r="I161" s="6710"/>
      <c r="J161" s="6710"/>
      <c r="K161" s="6710"/>
      <c r="L161" s="6710"/>
      <c r="M161" s="6710"/>
      <c r="N161" s="6710"/>
      <c r="O161" s="6710"/>
      <c r="P161" s="6710"/>
    </row>
    <row r="162" spans="1:16">
      <c r="B162" s="6710"/>
      <c r="C162" s="6710"/>
      <c r="D162" s="6710"/>
      <c r="E162" s="6710"/>
      <c r="F162" s="6710"/>
      <c r="G162" s="6710"/>
      <c r="H162" s="6710"/>
      <c r="I162" s="6710"/>
      <c r="J162" s="6710"/>
      <c r="K162" s="6710"/>
      <c r="L162" s="6710"/>
      <c r="M162" s="6710"/>
      <c r="N162" s="6710"/>
      <c r="O162" s="6710"/>
      <c r="P162" s="6710"/>
    </row>
    <row r="163" spans="1:16">
      <c r="A163" s="6737"/>
      <c r="B163" s="6737"/>
      <c r="C163" s="6737"/>
      <c r="D163" s="6737"/>
      <c r="E163" s="6737"/>
      <c r="F163" s="6737"/>
      <c r="G163" s="6737"/>
      <c r="H163" s="6737"/>
      <c r="I163" s="6737"/>
      <c r="J163" s="6737"/>
      <c r="K163" s="6737"/>
      <c r="L163" s="6737"/>
      <c r="M163" s="6737"/>
      <c r="N163" s="6737"/>
      <c r="O163" s="6737"/>
      <c r="P163" s="6737"/>
    </row>
    <row r="164" spans="1:16">
      <c r="B164" s="6710"/>
      <c r="C164" s="6710"/>
      <c r="D164" s="6710"/>
      <c r="E164" s="6710"/>
      <c r="F164" s="6710"/>
      <c r="G164" s="6710"/>
      <c r="H164" s="6710"/>
      <c r="I164" s="6710"/>
      <c r="J164" s="6710"/>
      <c r="K164" s="6710"/>
      <c r="L164" s="6710"/>
      <c r="M164" s="6710"/>
      <c r="N164" s="6710"/>
      <c r="O164" s="6710"/>
      <c r="P164" s="6710"/>
    </row>
    <row r="165" spans="1:16" ht="18.75">
      <c r="B165" s="6709" t="s">
        <v>7742</v>
      </c>
      <c r="C165" s="6710"/>
      <c r="D165" s="6710"/>
      <c r="E165" s="6710"/>
      <c r="F165" s="6710"/>
      <c r="G165" s="6710"/>
      <c r="H165" s="6710"/>
      <c r="I165" s="6710"/>
      <c r="J165" s="6710"/>
      <c r="K165" s="6710"/>
      <c r="L165" s="6710"/>
      <c r="M165" s="6710"/>
      <c r="N165" s="6710"/>
      <c r="O165" s="6710"/>
      <c r="P165" s="6710"/>
    </row>
    <row r="166" spans="1:16">
      <c r="B166" s="6733" t="s">
        <v>2354</v>
      </c>
      <c r="C166" s="6734" t="s">
        <v>7743</v>
      </c>
      <c r="D166" s="6710"/>
      <c r="E166" s="6710"/>
      <c r="F166" s="6710"/>
      <c r="G166" s="6710"/>
      <c r="H166" s="6710"/>
      <c r="I166" s="6710"/>
      <c r="J166" s="6710"/>
      <c r="K166" s="6710"/>
      <c r="L166" s="6710"/>
      <c r="M166" s="6710"/>
      <c r="N166" s="6710"/>
      <c r="O166" s="6710"/>
      <c r="P166" s="6710"/>
    </row>
    <row r="167" spans="1:16">
      <c r="B167" s="6710"/>
      <c r="C167" s="6710"/>
      <c r="D167" s="6710"/>
      <c r="E167" s="6710"/>
      <c r="F167" s="6710"/>
      <c r="G167" s="6710"/>
      <c r="H167" s="6710"/>
      <c r="I167" s="6710"/>
      <c r="J167" s="6710"/>
      <c r="K167" s="6710"/>
      <c r="L167" s="6710"/>
      <c r="M167" s="6710"/>
      <c r="N167" s="6710"/>
      <c r="O167" s="6710"/>
      <c r="P167" s="6710"/>
    </row>
    <row r="168" spans="1:16" ht="18.75">
      <c r="B168" s="6709" t="s">
        <v>7744</v>
      </c>
      <c r="C168" s="6710"/>
      <c r="D168" s="6710"/>
      <c r="E168" s="6710"/>
      <c r="F168" s="6710"/>
      <c r="G168" s="6710"/>
      <c r="H168" s="6710"/>
      <c r="I168" s="6710"/>
      <c r="J168" s="6710"/>
      <c r="K168" s="6710"/>
      <c r="L168" s="6710"/>
      <c r="M168" s="6710"/>
      <c r="N168" s="6710"/>
      <c r="O168" s="6710"/>
      <c r="P168" s="6710"/>
    </row>
    <row r="169" spans="1:16">
      <c r="B169" s="6733" t="s">
        <v>2354</v>
      </c>
      <c r="C169" s="6734" t="s">
        <v>7745</v>
      </c>
      <c r="D169" s="6710"/>
      <c r="E169" s="6710"/>
      <c r="F169" s="6710"/>
      <c r="G169" s="6710"/>
      <c r="H169" s="6710"/>
      <c r="I169" s="6710"/>
      <c r="J169" s="6710"/>
      <c r="K169" s="6710"/>
      <c r="L169" s="6710"/>
      <c r="M169" s="6710"/>
      <c r="N169" s="6710"/>
      <c r="O169" s="6710"/>
      <c r="P169" s="6710"/>
    </row>
    <row r="170" spans="1:16" ht="18.75">
      <c r="B170" s="6709" t="s">
        <v>7746</v>
      </c>
      <c r="C170" s="6709"/>
      <c r="D170" s="6710"/>
      <c r="E170" s="6710"/>
      <c r="F170" s="6710"/>
      <c r="G170" s="6710"/>
      <c r="H170" s="6710"/>
      <c r="I170" s="6710"/>
      <c r="J170" s="6710"/>
      <c r="K170" s="6710"/>
      <c r="L170" s="6710"/>
      <c r="M170" s="6710"/>
      <c r="N170" s="6710"/>
      <c r="O170" s="6710"/>
      <c r="P170" s="6710"/>
    </row>
    <row r="171" spans="1:16">
      <c r="B171" s="6733" t="s">
        <v>2354</v>
      </c>
      <c r="C171" s="6734" t="s">
        <v>7747</v>
      </c>
      <c r="D171" s="6710"/>
      <c r="E171" s="6710"/>
      <c r="F171" s="6710"/>
      <c r="G171" s="6710"/>
      <c r="H171" s="6710"/>
      <c r="I171" s="6710"/>
      <c r="J171" s="6710"/>
      <c r="K171" s="6710"/>
      <c r="L171" s="6710"/>
      <c r="M171" s="6710"/>
      <c r="N171" s="6710"/>
      <c r="O171" s="6710"/>
      <c r="P171" s="6710"/>
    </row>
    <row r="172" spans="1:16">
      <c r="B172" s="6710"/>
      <c r="C172" s="6710"/>
      <c r="D172" s="6710"/>
      <c r="E172" s="6710"/>
      <c r="F172" s="6710"/>
      <c r="G172" s="6710"/>
      <c r="H172" s="6710"/>
      <c r="I172" s="6710"/>
      <c r="J172" s="6710"/>
      <c r="K172" s="6710"/>
      <c r="L172" s="6710"/>
      <c r="M172" s="6710"/>
      <c r="N172" s="6710"/>
      <c r="O172" s="6710"/>
      <c r="P172" s="6710"/>
    </row>
    <row r="173" spans="1:16" ht="18.75">
      <c r="B173" s="6709" t="s">
        <v>7748</v>
      </c>
      <c r="C173" s="6709"/>
      <c r="D173" s="6710"/>
      <c r="E173" s="6710"/>
      <c r="F173" s="6710"/>
      <c r="G173" s="6710"/>
      <c r="H173" s="6710"/>
      <c r="I173" s="6710"/>
      <c r="J173" s="6710"/>
      <c r="K173" s="6710"/>
      <c r="L173" s="6710"/>
      <c r="M173" s="6710"/>
      <c r="N173" s="6710"/>
      <c r="O173" s="6710"/>
      <c r="P173" s="6710"/>
    </row>
    <row r="174" spans="1:16">
      <c r="B174" s="6733" t="s">
        <v>2354</v>
      </c>
      <c r="C174" s="6734" t="s">
        <v>7749</v>
      </c>
      <c r="D174" s="6710"/>
      <c r="E174" s="6710"/>
      <c r="F174" s="6710"/>
      <c r="G174" s="6710"/>
      <c r="H174" s="6710"/>
      <c r="I174" s="6710"/>
      <c r="J174" s="6710"/>
      <c r="K174" s="6710"/>
      <c r="L174" s="6710"/>
      <c r="M174" s="6710"/>
      <c r="N174" s="6710"/>
      <c r="O174" s="6710"/>
      <c r="P174" s="6710"/>
    </row>
    <row r="175" spans="1:16">
      <c r="B175" s="6710"/>
      <c r="C175" s="6710"/>
      <c r="D175" s="6710"/>
      <c r="E175" s="6710"/>
      <c r="F175" s="6710"/>
      <c r="G175" s="6710"/>
      <c r="H175" s="6710"/>
      <c r="I175" s="6710"/>
      <c r="J175" s="6710"/>
      <c r="K175" s="6710"/>
      <c r="L175" s="6710"/>
      <c r="M175" s="6710"/>
      <c r="N175" s="6710"/>
      <c r="O175" s="6710"/>
      <c r="P175" s="6710"/>
    </row>
    <row r="176" spans="1:16" ht="18.75">
      <c r="B176" s="6709" t="s">
        <v>7750</v>
      </c>
      <c r="C176" s="6709"/>
      <c r="D176" s="6710"/>
      <c r="E176" s="6710"/>
      <c r="F176" s="6710"/>
      <c r="G176" s="6710"/>
      <c r="H176" s="6710"/>
      <c r="I176" s="6710"/>
      <c r="J176" s="6710"/>
      <c r="K176" s="6710"/>
      <c r="L176" s="6710"/>
      <c r="M176" s="6710"/>
      <c r="N176" s="6710"/>
      <c r="O176" s="6710"/>
      <c r="P176" s="6710"/>
    </row>
    <row r="177" spans="2:16">
      <c r="B177" s="6733" t="s">
        <v>2354</v>
      </c>
      <c r="C177" s="6734" t="s">
        <v>7751</v>
      </c>
      <c r="D177" s="6710"/>
      <c r="E177" s="6710"/>
      <c r="F177" s="6710"/>
      <c r="G177" s="6710"/>
      <c r="H177" s="6710"/>
      <c r="I177" s="6710"/>
      <c r="J177" s="6710"/>
      <c r="K177" s="6710"/>
      <c r="L177" s="6710"/>
      <c r="M177" s="6710"/>
      <c r="N177" s="6710"/>
      <c r="O177" s="6710"/>
      <c r="P177" s="6710"/>
    </row>
    <row r="178" spans="2:16">
      <c r="B178" s="6710"/>
      <c r="C178" s="6710"/>
      <c r="D178" s="6710"/>
      <c r="E178" s="6710"/>
      <c r="F178" s="6710"/>
      <c r="G178" s="6710"/>
      <c r="H178" s="6710"/>
      <c r="I178" s="6710"/>
      <c r="J178" s="6710"/>
      <c r="K178" s="6710"/>
      <c r="L178" s="6710"/>
      <c r="M178" s="6710"/>
      <c r="N178" s="6710"/>
      <c r="O178" s="6710"/>
      <c r="P178" s="6710"/>
    </row>
    <row r="179" spans="2:16" ht="18.75">
      <c r="B179" s="6709" t="s">
        <v>7752</v>
      </c>
      <c r="C179" s="6709"/>
      <c r="D179" s="6710"/>
      <c r="E179" s="6710"/>
      <c r="F179" s="6710"/>
      <c r="G179" s="6710"/>
      <c r="H179" s="6710"/>
      <c r="I179" s="6710"/>
      <c r="J179" s="6710"/>
      <c r="K179" s="6710"/>
      <c r="L179" s="6710"/>
      <c r="M179" s="6710"/>
      <c r="N179" s="6710"/>
      <c r="O179" s="6710"/>
      <c r="P179" s="6710"/>
    </row>
    <row r="180" spans="2:16">
      <c r="B180" s="6733" t="s">
        <v>2354</v>
      </c>
      <c r="C180" s="6734" t="s">
        <v>7753</v>
      </c>
      <c r="D180" s="6710"/>
      <c r="E180" s="6710"/>
      <c r="F180" s="6710"/>
      <c r="G180" s="6710"/>
      <c r="H180" s="6710"/>
      <c r="I180" s="6710"/>
      <c r="J180" s="6710"/>
      <c r="K180" s="6710"/>
      <c r="L180" s="6710"/>
      <c r="M180" s="6710"/>
      <c r="N180" s="6710"/>
      <c r="O180" s="6710"/>
      <c r="P180" s="6710"/>
    </row>
    <row r="181" spans="2:16">
      <c r="B181" s="6710"/>
      <c r="C181" s="6710"/>
      <c r="D181" s="6710"/>
      <c r="E181" s="6710"/>
      <c r="F181" s="6710"/>
      <c r="G181" s="6710"/>
      <c r="H181" s="6710"/>
      <c r="I181" s="6710"/>
      <c r="J181" s="6710"/>
      <c r="K181" s="6710"/>
      <c r="L181" s="6710"/>
      <c r="M181" s="6710"/>
      <c r="N181" s="6710"/>
      <c r="O181" s="6710"/>
      <c r="P181" s="6710"/>
    </row>
    <row r="182" spans="2:16" ht="18.75">
      <c r="B182" s="6709" t="s">
        <v>7754</v>
      </c>
      <c r="C182" s="6709"/>
      <c r="D182" s="6710"/>
      <c r="E182" s="6710"/>
      <c r="F182" s="6710"/>
      <c r="G182" s="6710"/>
      <c r="H182" s="6710"/>
      <c r="I182" s="6710"/>
      <c r="J182" s="6710"/>
      <c r="K182" s="6710"/>
      <c r="L182" s="6710"/>
      <c r="M182" s="6710"/>
      <c r="N182" s="6710"/>
      <c r="O182" s="6710"/>
      <c r="P182" s="6710"/>
    </row>
    <row r="183" spans="2:16">
      <c r="B183" s="6733" t="s">
        <v>2354</v>
      </c>
      <c r="C183" s="6734" t="s">
        <v>7755</v>
      </c>
      <c r="D183" s="6710"/>
      <c r="E183" s="6710"/>
      <c r="F183" s="6710"/>
      <c r="G183" s="6710"/>
      <c r="H183" s="6710"/>
      <c r="I183" s="6710"/>
      <c r="J183" s="6710"/>
      <c r="K183" s="6710"/>
      <c r="L183" s="6710"/>
      <c r="M183" s="6710"/>
      <c r="N183" s="6710"/>
      <c r="O183" s="6710"/>
      <c r="P183" s="6710"/>
    </row>
    <row r="184" spans="2:16">
      <c r="B184" s="6710"/>
      <c r="C184" s="6710"/>
      <c r="D184" s="6710"/>
      <c r="E184" s="6710"/>
      <c r="F184" s="6710"/>
      <c r="G184" s="6710"/>
      <c r="H184" s="6710"/>
      <c r="I184" s="6710"/>
      <c r="J184" s="6710"/>
      <c r="K184" s="6710"/>
      <c r="L184" s="6710"/>
      <c r="M184" s="6710"/>
      <c r="N184" s="6710"/>
      <c r="O184" s="6710"/>
      <c r="P184" s="6710"/>
    </row>
    <row r="185" spans="2:16">
      <c r="B185" s="6737"/>
      <c r="C185" s="6737"/>
      <c r="D185" s="6737"/>
      <c r="E185" s="6737"/>
      <c r="F185" s="6737"/>
      <c r="G185" s="6737"/>
      <c r="H185" s="6737"/>
      <c r="I185" s="6737"/>
      <c r="J185" s="6737"/>
      <c r="K185" s="6737"/>
      <c r="L185" s="6737"/>
      <c r="M185" s="6737"/>
      <c r="N185" s="6737"/>
      <c r="O185" s="6737"/>
      <c r="P185" s="6737"/>
    </row>
    <row r="186" spans="2:16">
      <c r="B186" s="6710"/>
      <c r="C186" s="6710"/>
      <c r="D186" s="6710"/>
      <c r="E186" s="6710"/>
      <c r="F186" s="6710"/>
      <c r="G186" s="6710"/>
      <c r="H186" s="6710"/>
      <c r="I186" s="6710"/>
      <c r="J186" s="6710"/>
      <c r="K186" s="6710"/>
      <c r="L186" s="6710"/>
      <c r="M186" s="6710"/>
      <c r="N186" s="6710"/>
      <c r="O186" s="6710"/>
      <c r="P186" s="6710"/>
    </row>
    <row r="187" spans="2:16" ht="18.75">
      <c r="B187" s="6709" t="s">
        <v>7756</v>
      </c>
      <c r="C187" s="6710"/>
      <c r="D187" s="6710"/>
      <c r="E187" s="6710"/>
      <c r="F187" s="6710"/>
      <c r="G187" s="6710"/>
      <c r="H187" s="6710"/>
      <c r="I187" s="6710"/>
      <c r="J187" s="6710"/>
      <c r="K187" s="6710"/>
      <c r="L187" s="6710"/>
      <c r="M187" s="6710"/>
      <c r="N187" s="6710"/>
      <c r="O187" s="6710"/>
      <c r="P187" s="6710"/>
    </row>
    <row r="188" spans="2:16">
      <c r="B188" s="6733" t="s">
        <v>2354</v>
      </c>
      <c r="C188" s="6735" t="s">
        <v>7757</v>
      </c>
      <c r="D188" s="6710"/>
      <c r="E188" s="6710"/>
      <c r="F188" s="6710"/>
      <c r="G188" s="6710"/>
      <c r="H188" s="6710"/>
      <c r="I188" s="6710"/>
      <c r="J188" s="6710"/>
      <c r="K188" s="6710"/>
      <c r="L188" s="6710"/>
      <c r="M188" s="6710"/>
      <c r="N188" s="6710"/>
      <c r="O188" s="6710"/>
      <c r="P188" s="6710"/>
    </row>
    <row r="189" spans="2:16">
      <c r="B189" s="6743" t="s">
        <v>7758</v>
      </c>
      <c r="C189" s="6743"/>
      <c r="D189" s="6735" t="s">
        <v>7759</v>
      </c>
      <c r="E189" s="6710"/>
      <c r="F189" s="6710"/>
      <c r="G189" s="6710"/>
      <c r="H189" s="6710"/>
      <c r="I189" s="6710"/>
      <c r="J189" s="6710"/>
      <c r="K189" s="6710"/>
      <c r="L189" s="6710"/>
      <c r="M189" s="6710"/>
      <c r="N189" s="6710"/>
      <c r="O189" s="6710"/>
      <c r="P189" s="6710"/>
    </row>
    <row r="190" spans="2:16">
      <c r="B190" s="6710"/>
      <c r="C190" s="6710"/>
      <c r="D190" s="6710"/>
      <c r="E190" s="6710"/>
      <c r="F190" s="6710"/>
      <c r="G190" s="6710"/>
      <c r="H190" s="6710"/>
      <c r="I190" s="6710"/>
      <c r="J190" s="6710"/>
      <c r="K190" s="6710"/>
      <c r="L190" s="6710"/>
      <c r="M190" s="6710"/>
      <c r="N190" s="6710"/>
      <c r="O190" s="6710"/>
      <c r="P190" s="6710"/>
    </row>
    <row r="191" spans="2:16" ht="18.75">
      <c r="B191" s="6709" t="s">
        <v>7760</v>
      </c>
      <c r="C191" s="6709"/>
      <c r="D191" s="6710"/>
      <c r="E191" s="6710"/>
      <c r="F191" s="6710"/>
      <c r="G191" s="6710"/>
      <c r="H191" s="6710"/>
      <c r="I191" s="6710"/>
      <c r="J191" s="6710"/>
      <c r="K191" s="6710"/>
      <c r="L191" s="6710"/>
      <c r="M191" s="6710"/>
      <c r="N191" s="6710"/>
      <c r="O191" s="6710"/>
      <c r="P191" s="6710"/>
    </row>
    <row r="192" spans="2:16">
      <c r="B192" s="6733" t="s">
        <v>2354</v>
      </c>
      <c r="C192" s="6734" t="s">
        <v>7761</v>
      </c>
      <c r="D192" s="6710"/>
      <c r="E192" s="6710"/>
      <c r="F192" s="6710"/>
      <c r="G192" s="6710"/>
      <c r="H192" s="6710"/>
      <c r="I192" s="6710"/>
      <c r="J192" s="6710"/>
      <c r="K192" s="6710"/>
      <c r="L192" s="6710"/>
      <c r="M192" s="6710"/>
      <c r="N192" s="6710"/>
      <c r="O192" s="6710"/>
      <c r="P192" s="6710"/>
    </row>
    <row r="193" spans="2:16">
      <c r="B193" s="6710"/>
      <c r="C193" s="6710"/>
      <c r="D193" s="6710"/>
      <c r="E193" s="6710"/>
      <c r="F193" s="6710"/>
      <c r="G193" s="6710"/>
      <c r="H193" s="6710"/>
      <c r="I193" s="6710"/>
      <c r="J193" s="6710"/>
      <c r="K193" s="6710"/>
      <c r="L193" s="6710"/>
      <c r="M193" s="6710"/>
      <c r="N193" s="6710"/>
      <c r="O193" s="6710"/>
      <c r="P193" s="6710"/>
    </row>
    <row r="194" spans="2:16" ht="18.75">
      <c r="B194" s="6709" t="s">
        <v>7762</v>
      </c>
      <c r="C194" s="6709"/>
      <c r="D194" s="6710"/>
      <c r="E194" s="6710"/>
      <c r="F194" s="6710"/>
      <c r="G194" s="6710"/>
      <c r="H194" s="6710"/>
      <c r="I194" s="6710"/>
      <c r="J194" s="6710"/>
      <c r="K194" s="6710"/>
      <c r="L194" s="6710"/>
      <c r="M194" s="6710"/>
      <c r="N194" s="6710"/>
      <c r="O194" s="6710"/>
      <c r="P194" s="6710"/>
    </row>
    <row r="195" spans="2:16">
      <c r="B195" s="6733" t="s">
        <v>2354</v>
      </c>
      <c r="C195" s="6734" t="s">
        <v>7763</v>
      </c>
      <c r="D195" s="6710"/>
      <c r="E195" s="6710"/>
      <c r="F195" s="6710"/>
      <c r="G195" s="6710"/>
      <c r="H195" s="6710"/>
      <c r="I195" s="6710"/>
      <c r="J195" s="6710"/>
      <c r="K195" s="6710"/>
      <c r="L195" s="6710"/>
      <c r="M195" s="6710"/>
      <c r="N195" s="6710"/>
      <c r="O195" s="6710"/>
      <c r="P195" s="6710"/>
    </row>
    <row r="196" spans="2:16">
      <c r="B196" s="6710"/>
      <c r="C196" s="6710"/>
      <c r="D196" s="6710"/>
      <c r="E196" s="6710"/>
      <c r="F196" s="6710"/>
      <c r="G196" s="6710"/>
      <c r="H196" s="6710"/>
      <c r="I196" s="6710"/>
      <c r="J196" s="6710"/>
      <c r="K196" s="6710"/>
      <c r="L196" s="6710"/>
      <c r="M196" s="6710"/>
      <c r="N196" s="6710"/>
      <c r="O196" s="6710"/>
      <c r="P196" s="6710"/>
    </row>
    <row r="197" spans="2:16" ht="18.75">
      <c r="B197" s="6709" t="s">
        <v>7764</v>
      </c>
      <c r="C197" s="6709"/>
      <c r="D197" s="6710"/>
      <c r="E197" s="6710"/>
      <c r="F197" s="6710"/>
      <c r="G197" s="6710"/>
      <c r="H197" s="6710"/>
      <c r="I197" s="6710"/>
      <c r="J197" s="6710"/>
      <c r="K197" s="6710"/>
      <c r="L197" s="6710"/>
      <c r="M197" s="6710"/>
      <c r="N197" s="6710"/>
      <c r="O197" s="6710"/>
      <c r="P197" s="6710"/>
    </row>
    <row r="198" spans="2:16">
      <c r="B198" s="6733" t="s">
        <v>2354</v>
      </c>
      <c r="C198" s="6734" t="s">
        <v>7765</v>
      </c>
      <c r="D198" s="6710"/>
      <c r="E198" s="6710"/>
      <c r="F198" s="6710"/>
      <c r="G198" s="6710"/>
      <c r="H198" s="6710"/>
      <c r="I198" s="6710"/>
      <c r="J198" s="6710"/>
      <c r="K198" s="6710"/>
      <c r="L198" s="6710"/>
      <c r="M198" s="6710"/>
      <c r="N198" s="6710"/>
      <c r="O198" s="6710"/>
      <c r="P198" s="6710"/>
    </row>
    <row r="199" spans="2:16">
      <c r="B199" s="6710"/>
      <c r="C199" s="6710"/>
      <c r="D199" s="6710"/>
      <c r="E199" s="6710"/>
      <c r="F199" s="6710"/>
      <c r="G199" s="6710"/>
      <c r="H199" s="6710"/>
      <c r="I199" s="6710"/>
      <c r="J199" s="6710"/>
      <c r="K199" s="6710"/>
      <c r="L199" s="6710"/>
      <c r="M199" s="6710"/>
      <c r="N199" s="6710"/>
      <c r="O199" s="6710"/>
      <c r="P199" s="6710"/>
    </row>
    <row r="200" spans="2:16" ht="18.75">
      <c r="B200" s="6709" t="s">
        <v>7766</v>
      </c>
      <c r="C200" s="6709"/>
      <c r="D200" s="6710"/>
      <c r="E200" s="6710"/>
      <c r="F200" s="6710"/>
      <c r="G200" s="6710"/>
      <c r="H200" s="6710"/>
      <c r="I200" s="6710"/>
      <c r="J200" s="6710"/>
      <c r="K200" s="6710"/>
      <c r="L200" s="6710"/>
      <c r="M200" s="6710"/>
      <c r="N200" s="6710"/>
      <c r="O200" s="6710"/>
      <c r="P200" s="6710"/>
    </row>
    <row r="201" spans="2:16">
      <c r="B201" s="6733" t="s">
        <v>2354</v>
      </c>
      <c r="C201" s="6734" t="s">
        <v>7767</v>
      </c>
      <c r="D201" s="6710"/>
      <c r="E201" s="6710"/>
      <c r="F201" s="6710"/>
      <c r="G201" s="6710"/>
      <c r="H201" s="6710"/>
      <c r="I201" s="6710"/>
      <c r="J201" s="6710"/>
      <c r="K201" s="6710"/>
      <c r="L201" s="6710"/>
      <c r="M201" s="6710"/>
      <c r="N201" s="6710"/>
      <c r="O201" s="6710"/>
      <c r="P201" s="6710"/>
    </row>
    <row r="202" spans="2:16">
      <c r="B202" s="6710"/>
      <c r="C202" s="6710"/>
      <c r="D202" s="6710"/>
      <c r="E202" s="6710"/>
      <c r="F202" s="6710"/>
      <c r="G202" s="6710"/>
      <c r="H202" s="6710"/>
      <c r="I202" s="6710"/>
      <c r="J202" s="6710"/>
      <c r="K202" s="6710"/>
      <c r="L202" s="6710"/>
      <c r="M202" s="6710"/>
      <c r="N202" s="6710"/>
      <c r="O202" s="6710"/>
      <c r="P202" s="6710"/>
    </row>
    <row r="203" spans="2:16">
      <c r="B203" s="6710" t="s">
        <v>7768</v>
      </c>
      <c r="C203" s="6710"/>
      <c r="D203" s="6710"/>
      <c r="E203" s="6710"/>
      <c r="F203" s="6710"/>
      <c r="G203" s="6710"/>
      <c r="H203" s="6710"/>
      <c r="I203" s="6710"/>
      <c r="J203" s="6710"/>
      <c r="K203" s="6710"/>
      <c r="L203" s="6710"/>
      <c r="M203" s="6710"/>
      <c r="N203" s="6710"/>
      <c r="O203" s="6710"/>
      <c r="P203" s="6710"/>
    </row>
    <row r="204" spans="2:16">
      <c r="B204" s="6710" t="s">
        <v>7769</v>
      </c>
      <c r="C204" s="6710"/>
      <c r="D204" s="6710"/>
      <c r="E204" s="6710"/>
      <c r="F204" s="6710"/>
      <c r="G204" s="6710"/>
      <c r="H204" s="6710"/>
      <c r="I204" s="6710"/>
      <c r="J204" s="6710"/>
      <c r="K204" s="6710"/>
      <c r="L204" s="6710"/>
      <c r="M204" s="6710"/>
      <c r="N204" s="6710"/>
      <c r="O204" s="6710"/>
      <c r="P204" s="6710"/>
    </row>
    <row r="205" spans="2:16">
      <c r="B205" s="6710" t="s">
        <v>7770</v>
      </c>
      <c r="C205" s="6710"/>
      <c r="D205" s="6710"/>
      <c r="E205" s="6734"/>
      <c r="F205" s="6710"/>
      <c r="G205" s="6710"/>
      <c r="H205" s="6710"/>
      <c r="I205" s="6710"/>
      <c r="J205" s="6710"/>
      <c r="K205" s="6710"/>
      <c r="L205" s="6710"/>
      <c r="M205" s="6710"/>
      <c r="N205" s="6710"/>
      <c r="O205" s="6710"/>
      <c r="P205" s="6710"/>
    </row>
    <row r="206" spans="2:16">
      <c r="B206" s="6710" t="s">
        <v>7771</v>
      </c>
      <c r="C206" s="6710"/>
      <c r="D206" s="6710"/>
      <c r="E206" s="6710"/>
      <c r="F206" s="6710"/>
      <c r="G206" s="6710"/>
      <c r="H206" s="6710"/>
      <c r="I206" s="6710"/>
      <c r="J206" s="6710"/>
      <c r="K206" s="6710"/>
      <c r="L206" s="6710"/>
      <c r="M206" s="6710"/>
      <c r="N206" s="6710"/>
      <c r="O206" s="6710"/>
      <c r="P206" s="6710"/>
    </row>
    <row r="207" spans="2:16">
      <c r="B207" s="6710"/>
      <c r="C207" s="6710"/>
      <c r="D207" s="6710"/>
      <c r="E207" s="6710"/>
      <c r="F207" s="6710"/>
      <c r="G207" s="6710"/>
      <c r="H207" s="6710"/>
      <c r="I207" s="6710"/>
      <c r="J207" s="6710"/>
      <c r="K207" s="6710"/>
      <c r="L207" s="6710"/>
      <c r="M207" s="6710"/>
      <c r="N207" s="6710"/>
      <c r="O207" s="6710"/>
      <c r="P207" s="6710"/>
    </row>
    <row r="208" spans="2:16" ht="18.75">
      <c r="B208" s="6709" t="s">
        <v>7772</v>
      </c>
      <c r="C208" s="6709"/>
      <c r="D208" s="6710"/>
      <c r="E208" s="6710"/>
      <c r="F208" s="6710"/>
      <c r="G208" s="6710"/>
      <c r="H208" s="6710"/>
      <c r="I208" s="6710"/>
      <c r="J208" s="6710"/>
      <c r="K208" s="6710"/>
      <c r="L208" s="6710"/>
      <c r="M208" s="6710"/>
      <c r="N208" s="6710"/>
      <c r="O208" s="6710"/>
      <c r="P208" s="6710"/>
    </row>
    <row r="209" spans="2:16">
      <c r="B209" s="6733" t="s">
        <v>2354</v>
      </c>
      <c r="C209" s="6734" t="s">
        <v>7773</v>
      </c>
      <c r="D209" s="6710"/>
      <c r="E209" s="6710"/>
      <c r="F209" s="6710"/>
      <c r="G209" s="6710"/>
      <c r="H209" s="6710"/>
      <c r="I209" s="6710"/>
      <c r="J209" s="6710"/>
      <c r="K209" s="6710"/>
      <c r="L209" s="6710"/>
      <c r="M209" s="6710"/>
      <c r="N209" s="6710"/>
      <c r="O209" s="6710"/>
      <c r="P209" s="6710"/>
    </row>
    <row r="210" spans="2:16">
      <c r="B210" s="6710"/>
      <c r="C210" s="6710"/>
      <c r="D210" s="6710"/>
      <c r="E210" s="6710"/>
      <c r="F210" s="6710"/>
      <c r="G210" s="6710"/>
      <c r="H210" s="6710"/>
      <c r="I210" s="6710"/>
      <c r="J210" s="6710"/>
      <c r="K210" s="6710"/>
      <c r="L210" s="6710"/>
      <c r="M210" s="6710"/>
      <c r="N210" s="6710"/>
      <c r="O210" s="6710"/>
      <c r="P210" s="6710"/>
    </row>
    <row r="211" spans="2:16" ht="18.75">
      <c r="B211" s="6709" t="s">
        <v>7760</v>
      </c>
      <c r="C211" s="6709"/>
      <c r="D211" s="6710"/>
      <c r="E211" s="6710"/>
      <c r="F211" s="6710"/>
      <c r="G211" s="6710"/>
      <c r="H211" s="6710"/>
      <c r="I211" s="6710"/>
      <c r="J211" s="6710"/>
      <c r="K211" s="6710"/>
      <c r="L211" s="6710"/>
      <c r="M211" s="6710"/>
      <c r="N211" s="6710"/>
      <c r="O211" s="6710"/>
      <c r="P211" s="6710"/>
    </row>
    <row r="212" spans="2:16">
      <c r="B212" s="6733" t="s">
        <v>2354</v>
      </c>
      <c r="C212" s="6734" t="s">
        <v>7761</v>
      </c>
      <c r="D212" s="6710"/>
      <c r="E212" s="6710"/>
      <c r="F212" s="6710"/>
      <c r="G212" s="6710"/>
      <c r="H212" s="6710"/>
      <c r="I212" s="6710"/>
      <c r="J212" s="6710"/>
      <c r="K212" s="6710"/>
      <c r="L212" s="6710"/>
      <c r="M212" s="6710"/>
      <c r="N212" s="6710"/>
      <c r="O212" s="6710"/>
      <c r="P212" s="6710"/>
    </row>
    <row r="213" spans="2:16">
      <c r="B213" s="6710"/>
      <c r="C213" s="6710"/>
      <c r="D213" s="6710"/>
      <c r="E213" s="6710"/>
      <c r="F213" s="6710"/>
      <c r="G213" s="6710"/>
      <c r="H213" s="6710"/>
      <c r="I213" s="6710"/>
      <c r="J213" s="6710"/>
      <c r="K213" s="6710"/>
      <c r="L213" s="6710"/>
      <c r="M213" s="6710"/>
      <c r="N213" s="6710"/>
      <c r="O213" s="6710"/>
      <c r="P213" s="6710"/>
    </row>
    <row r="214" spans="2:16" ht="18.75">
      <c r="B214" s="6709" t="s">
        <v>7774</v>
      </c>
      <c r="C214" s="6709"/>
      <c r="D214" s="6710"/>
      <c r="E214" s="6710"/>
      <c r="F214" s="6710"/>
      <c r="G214" s="6710"/>
      <c r="H214" s="6710"/>
      <c r="I214" s="6710"/>
      <c r="J214" s="6710"/>
      <c r="K214" s="6710"/>
      <c r="L214" s="6710"/>
      <c r="M214" s="6710"/>
      <c r="N214" s="6710"/>
      <c r="O214" s="6710"/>
      <c r="P214" s="6710"/>
    </row>
    <row r="215" spans="2:16">
      <c r="B215" s="6733" t="s">
        <v>2354</v>
      </c>
      <c r="C215" s="6734" t="s">
        <v>7775</v>
      </c>
      <c r="D215" s="6710"/>
      <c r="E215" s="6710"/>
      <c r="F215" s="6710"/>
      <c r="G215" s="6710"/>
      <c r="H215" s="6710"/>
      <c r="I215" s="6710"/>
      <c r="J215" s="6710"/>
      <c r="K215" s="6710"/>
      <c r="L215" s="6710"/>
      <c r="M215" s="6710"/>
      <c r="N215" s="6710"/>
      <c r="O215" s="6710"/>
      <c r="P215" s="6710"/>
    </row>
    <row r="216" spans="2:16">
      <c r="B216" s="6710"/>
      <c r="C216" s="6710"/>
      <c r="D216" s="6710"/>
      <c r="E216" s="6710"/>
      <c r="F216" s="6710"/>
      <c r="G216" s="6710"/>
      <c r="H216" s="6710"/>
      <c r="I216" s="6710"/>
      <c r="J216" s="6710"/>
      <c r="K216" s="6710"/>
      <c r="L216" s="6710"/>
      <c r="M216" s="6710"/>
      <c r="N216" s="6710"/>
      <c r="O216" s="6710"/>
      <c r="P216" s="6710"/>
    </row>
    <row r="217" spans="2:16" ht="18.75">
      <c r="B217" s="6709" t="s">
        <v>7776</v>
      </c>
      <c r="C217" s="6710"/>
      <c r="D217" s="6710"/>
      <c r="E217" s="6710"/>
      <c r="F217" s="6710"/>
      <c r="G217" s="6710"/>
      <c r="H217" s="6710"/>
      <c r="I217" s="6710"/>
      <c r="J217" s="6710"/>
      <c r="K217" s="6710"/>
      <c r="L217" s="6710"/>
      <c r="M217" s="6710"/>
      <c r="N217" s="6710"/>
      <c r="O217" s="6710"/>
      <c r="P217" s="6710"/>
    </row>
    <row r="218" spans="2:16">
      <c r="B218" s="6733" t="s">
        <v>2354</v>
      </c>
      <c r="C218" s="6735" t="s">
        <v>7777</v>
      </c>
      <c r="D218" s="6710"/>
      <c r="E218" s="6710"/>
      <c r="F218" s="6710"/>
      <c r="G218" s="6710"/>
      <c r="H218" s="6710"/>
      <c r="I218" s="6710"/>
      <c r="J218" s="6710"/>
      <c r="K218" s="6710"/>
      <c r="L218" s="6710"/>
      <c r="M218" s="6710"/>
      <c r="N218" s="6710"/>
      <c r="O218" s="6710"/>
      <c r="P218" s="6710"/>
    </row>
    <row r="219" spans="2:16">
      <c r="B219" s="6744" t="s">
        <v>7778</v>
      </c>
      <c r="C219" s="6744"/>
      <c r="D219" s="6734" t="s">
        <v>7779</v>
      </c>
      <c r="E219" s="6710"/>
      <c r="F219" s="6710"/>
      <c r="G219" s="6710"/>
      <c r="H219" s="6710"/>
      <c r="I219" s="6710"/>
      <c r="J219" s="6710"/>
      <c r="K219" s="6710"/>
      <c r="L219" s="6710"/>
      <c r="M219" s="6710"/>
      <c r="N219" s="6710"/>
      <c r="O219" s="6710"/>
      <c r="P219" s="6710"/>
    </row>
    <row r="220" spans="2:16">
      <c r="B220" s="6710"/>
      <c r="C220" s="6710"/>
      <c r="D220" s="6710"/>
      <c r="E220" s="6710"/>
      <c r="F220" s="6710"/>
      <c r="G220" s="6710"/>
      <c r="H220" s="6710"/>
      <c r="I220" s="6710"/>
      <c r="J220" s="6710"/>
      <c r="K220" s="6710"/>
      <c r="L220" s="6710"/>
      <c r="M220" s="6710"/>
      <c r="N220" s="6710"/>
      <c r="O220" s="6710"/>
      <c r="P220" s="6710"/>
    </row>
    <row r="221" spans="2:16" ht="18.75">
      <c r="B221" s="6709" t="s">
        <v>7780</v>
      </c>
      <c r="C221" s="6710"/>
      <c r="D221" s="6710"/>
      <c r="E221" s="6710"/>
      <c r="F221" s="6710"/>
      <c r="G221" s="6710"/>
      <c r="H221" s="6710"/>
      <c r="I221" s="6710"/>
      <c r="J221" s="6710"/>
      <c r="K221" s="6710"/>
      <c r="L221" s="6710"/>
      <c r="M221" s="6710"/>
      <c r="N221" s="6710"/>
      <c r="O221" s="6710"/>
      <c r="P221" s="6710"/>
    </row>
    <row r="222" spans="2:16">
      <c r="B222" s="6733" t="s">
        <v>2354</v>
      </c>
      <c r="C222" s="6734" t="s">
        <v>7781</v>
      </c>
      <c r="D222" s="6710"/>
      <c r="E222" s="6710"/>
      <c r="F222" s="6710"/>
      <c r="G222" s="6710"/>
      <c r="H222" s="6710"/>
      <c r="I222" s="6710"/>
      <c r="J222" s="6710"/>
      <c r="K222" s="6710"/>
      <c r="L222" s="6710"/>
      <c r="M222" s="6710"/>
      <c r="N222" s="6710"/>
      <c r="O222" s="6710"/>
      <c r="P222" s="6710"/>
    </row>
    <row r="223" spans="2:16">
      <c r="B223" s="6744" t="s">
        <v>7782</v>
      </c>
      <c r="C223" s="6744"/>
      <c r="D223" s="6734" t="s">
        <v>7783</v>
      </c>
      <c r="E223" s="6710"/>
      <c r="F223" s="6710"/>
      <c r="G223" s="6710"/>
      <c r="H223" s="6710"/>
      <c r="I223" s="6710"/>
      <c r="J223" s="6710"/>
      <c r="K223" s="6710"/>
      <c r="L223" s="6710"/>
      <c r="M223" s="6710"/>
      <c r="N223" s="6710"/>
      <c r="O223" s="6710"/>
      <c r="P223" s="6710"/>
    </row>
    <row r="224" spans="2:16">
      <c r="B224" s="6710"/>
      <c r="C224" s="6710"/>
      <c r="D224" s="6710"/>
      <c r="E224" s="6710"/>
      <c r="F224" s="6710"/>
      <c r="G224" s="6710"/>
      <c r="H224" s="6710"/>
      <c r="I224" s="6710"/>
      <c r="J224" s="6710"/>
      <c r="K224" s="6710"/>
      <c r="L224" s="6710"/>
      <c r="M224" s="6710"/>
      <c r="N224" s="6710"/>
      <c r="O224" s="6710"/>
      <c r="P224" s="6710"/>
    </row>
    <row r="225" spans="1:16" ht="18.75">
      <c r="B225" s="6709" t="s">
        <v>7784</v>
      </c>
      <c r="C225" s="6709"/>
      <c r="D225" s="6710"/>
      <c r="E225" s="6710"/>
      <c r="F225" s="6710"/>
      <c r="G225" s="6710"/>
      <c r="H225" s="6710"/>
      <c r="I225" s="6710"/>
      <c r="J225" s="6710"/>
      <c r="K225" s="6710"/>
      <c r="L225" s="6710"/>
      <c r="M225" s="6710"/>
      <c r="N225" s="6710"/>
      <c r="O225" s="6710"/>
      <c r="P225" s="6710"/>
    </row>
    <row r="226" spans="1:16">
      <c r="B226" s="6733" t="s">
        <v>2354</v>
      </c>
      <c r="C226" s="6734" t="s">
        <v>7785</v>
      </c>
      <c r="D226" s="6710"/>
      <c r="E226" s="6710"/>
      <c r="F226" s="6710"/>
      <c r="G226" s="6710"/>
      <c r="H226" s="6710"/>
      <c r="I226" s="6710"/>
      <c r="J226" s="6710"/>
      <c r="K226" s="6710"/>
      <c r="L226" s="6710"/>
      <c r="M226" s="6710"/>
      <c r="N226" s="6710"/>
      <c r="O226" s="6710"/>
      <c r="P226" s="6710"/>
    </row>
    <row r="227" spans="1:16">
      <c r="B227" s="6710"/>
      <c r="C227" s="6710"/>
      <c r="D227" s="6710"/>
      <c r="E227" s="6710"/>
      <c r="F227" s="6710"/>
      <c r="G227" s="6710"/>
      <c r="H227" s="6710"/>
      <c r="I227" s="6710"/>
      <c r="J227" s="6710"/>
      <c r="K227" s="6710"/>
      <c r="L227" s="6710"/>
      <c r="M227" s="6710"/>
      <c r="N227" s="6710"/>
      <c r="O227" s="6710"/>
      <c r="P227" s="6710"/>
    </row>
    <row r="228" spans="1:16" ht="18.75">
      <c r="A228" s="6710"/>
      <c r="B228" s="6709" t="s">
        <v>7786</v>
      </c>
      <c r="C228" s="6709"/>
      <c r="D228" s="6710"/>
      <c r="E228" s="6710"/>
      <c r="F228" s="6710"/>
      <c r="G228" s="6710"/>
      <c r="H228" s="6710"/>
      <c r="I228" s="6710"/>
      <c r="J228" s="6710"/>
      <c r="K228" s="6710"/>
      <c r="L228" s="6710"/>
      <c r="M228" s="6710"/>
      <c r="N228" s="6710"/>
      <c r="O228" s="6710"/>
      <c r="P228" s="6710"/>
    </row>
    <row r="229" spans="1:16">
      <c r="A229" s="6710"/>
      <c r="B229" s="6733" t="s">
        <v>2354</v>
      </c>
      <c r="C229" s="6734" t="s">
        <v>7787</v>
      </c>
      <c r="D229" s="6710"/>
      <c r="E229" s="6710"/>
      <c r="F229" s="6710"/>
      <c r="G229" s="6710"/>
      <c r="H229" s="6710"/>
      <c r="I229" s="6710"/>
      <c r="J229" s="6710"/>
      <c r="K229" s="6710"/>
      <c r="L229" s="6710"/>
      <c r="M229" s="6710"/>
      <c r="N229" s="6710"/>
      <c r="O229" s="6710"/>
      <c r="P229" s="6710"/>
    </row>
    <row r="230" spans="1:16">
      <c r="B230" s="6710"/>
      <c r="C230" s="6710"/>
      <c r="D230" s="6710"/>
      <c r="E230" s="6710"/>
      <c r="F230" s="6710"/>
      <c r="G230" s="6710"/>
      <c r="H230" s="6710"/>
      <c r="I230" s="6710"/>
      <c r="J230" s="6710"/>
      <c r="K230" s="6710"/>
      <c r="L230" s="6710"/>
      <c r="M230" s="6710"/>
      <c r="N230" s="6710"/>
      <c r="O230" s="6710"/>
      <c r="P230" s="6710"/>
    </row>
    <row r="231" spans="1:16" ht="18.75">
      <c r="B231" s="6709" t="s">
        <v>7788</v>
      </c>
      <c r="C231" s="6710"/>
      <c r="D231" s="6710"/>
      <c r="E231" s="6710"/>
      <c r="F231" s="6710"/>
      <c r="G231" s="6710"/>
      <c r="H231" s="6710"/>
      <c r="I231" s="6710"/>
      <c r="J231" s="6710"/>
      <c r="K231" s="6710"/>
      <c r="L231" s="6710"/>
      <c r="M231" s="6710"/>
      <c r="N231" s="6710"/>
      <c r="O231" s="6710"/>
      <c r="P231" s="6710"/>
    </row>
    <row r="232" spans="1:16">
      <c r="B232" s="6733" t="s">
        <v>2354</v>
      </c>
      <c r="C232" s="6734" t="s">
        <v>7789</v>
      </c>
      <c r="D232" s="6710"/>
      <c r="E232" s="6710"/>
      <c r="F232" s="6710"/>
      <c r="G232" s="6710"/>
      <c r="H232" s="6710"/>
      <c r="I232" s="6710"/>
      <c r="J232" s="6710"/>
      <c r="K232" s="6710"/>
      <c r="L232" s="6710"/>
      <c r="M232" s="6710"/>
      <c r="N232" s="6710"/>
      <c r="O232" s="6710"/>
      <c r="P232" s="6710"/>
    </row>
    <row r="233" spans="1:16">
      <c r="B233" s="6744" t="s">
        <v>7790</v>
      </c>
      <c r="C233" s="6744"/>
      <c r="D233" s="6734" t="s">
        <v>7791</v>
      </c>
      <c r="E233" s="6710"/>
      <c r="F233" s="6710"/>
      <c r="G233" s="6710"/>
      <c r="H233" s="6710"/>
      <c r="I233" s="6710"/>
      <c r="J233" s="6710"/>
      <c r="K233" s="6710"/>
      <c r="L233" s="6710"/>
      <c r="M233" s="6710"/>
      <c r="N233" s="6710"/>
      <c r="O233" s="6710"/>
      <c r="P233" s="6710"/>
    </row>
    <row r="234" spans="1:16">
      <c r="B234" s="6710"/>
      <c r="C234" s="6710"/>
      <c r="D234" s="6710"/>
      <c r="E234" s="6710"/>
      <c r="F234" s="6710"/>
      <c r="G234" s="6710"/>
      <c r="H234" s="6710"/>
      <c r="I234" s="6710"/>
      <c r="J234" s="6710"/>
      <c r="K234" s="6710"/>
      <c r="L234" s="6710"/>
      <c r="M234" s="6710"/>
      <c r="N234" s="6710"/>
      <c r="O234" s="6710"/>
      <c r="P234" s="6710"/>
    </row>
    <row r="235" spans="1:16">
      <c r="B235" s="6710" t="s">
        <v>7792</v>
      </c>
      <c r="C235" s="6710"/>
      <c r="D235" s="6710"/>
      <c r="E235" s="6710"/>
      <c r="F235" s="6710"/>
      <c r="G235" s="6710"/>
      <c r="H235" s="6710"/>
      <c r="I235" s="6710"/>
      <c r="J235" s="6710"/>
      <c r="K235" s="6710"/>
      <c r="L235" s="6710"/>
      <c r="M235" s="6710" t="s">
        <v>7741</v>
      </c>
      <c r="N235" s="6710"/>
      <c r="O235" s="6710"/>
      <c r="P235" s="6710"/>
    </row>
    <row r="236" spans="1:16">
      <c r="B236" s="6710" t="s">
        <v>7793</v>
      </c>
      <c r="C236" s="6710"/>
      <c r="D236" s="6710"/>
      <c r="E236" s="6710"/>
      <c r="F236" s="6710"/>
      <c r="G236" s="6710"/>
      <c r="H236" s="6710"/>
      <c r="I236" s="6710"/>
      <c r="J236" s="6710"/>
      <c r="K236" s="6710"/>
      <c r="L236" s="6710"/>
      <c r="M236" s="6710"/>
      <c r="N236" s="6710"/>
      <c r="O236" s="6710"/>
      <c r="P236" s="6710"/>
    </row>
    <row r="237" spans="1:16">
      <c r="B237" s="6710" t="s">
        <v>7794</v>
      </c>
      <c r="C237" s="6710"/>
      <c r="D237" s="6710"/>
      <c r="E237" s="6710"/>
      <c r="F237" s="6710"/>
      <c r="G237" s="6710"/>
      <c r="H237" s="6710"/>
      <c r="I237" s="6710"/>
      <c r="J237" s="6710"/>
      <c r="K237" s="6710"/>
      <c r="L237" s="6710"/>
      <c r="M237" s="6710"/>
      <c r="N237" s="6710"/>
      <c r="O237" s="6710"/>
      <c r="P237" s="6710"/>
    </row>
    <row r="238" spans="1:16">
      <c r="B238" s="6710" t="s">
        <v>7795</v>
      </c>
      <c r="C238" s="6710"/>
      <c r="D238" s="6710"/>
      <c r="E238" s="6710"/>
      <c r="F238" s="6710"/>
      <c r="G238" s="6710"/>
      <c r="H238" s="6710"/>
      <c r="I238" s="6710"/>
      <c r="J238" s="6710"/>
      <c r="K238" s="6710"/>
      <c r="L238" s="6710"/>
      <c r="M238" s="6710"/>
      <c r="N238" s="6710"/>
      <c r="O238" s="6710"/>
      <c r="P238" s="6710"/>
    </row>
    <row r="239" spans="1:16">
      <c r="B239" s="6710" t="s">
        <v>7796</v>
      </c>
      <c r="C239" s="6710"/>
      <c r="D239" s="6710"/>
      <c r="E239" s="6710"/>
      <c r="F239" s="6710"/>
      <c r="G239" s="6710"/>
      <c r="H239" s="6710"/>
      <c r="I239" s="6710"/>
      <c r="J239" s="6710"/>
      <c r="K239" s="6710"/>
      <c r="L239" s="6710"/>
      <c r="M239" s="6710"/>
      <c r="N239" s="6710"/>
      <c r="O239" s="6710"/>
      <c r="P239" s="6710"/>
    </row>
    <row r="240" spans="1:16">
      <c r="B240" s="6710" t="s">
        <v>7797</v>
      </c>
      <c r="C240" s="6710"/>
      <c r="D240" s="6710"/>
      <c r="E240" s="6710"/>
      <c r="F240" s="6710"/>
      <c r="G240" s="6710"/>
      <c r="H240" s="6710"/>
      <c r="I240" s="6710"/>
      <c r="J240" s="6710"/>
      <c r="K240" s="6710"/>
      <c r="L240" s="6710"/>
      <c r="M240" s="6710" t="s">
        <v>7783</v>
      </c>
      <c r="N240" s="6710"/>
      <c r="O240" s="6710"/>
      <c r="P240" s="6710"/>
    </row>
    <row r="241" spans="1:16">
      <c r="B241" s="6710"/>
      <c r="C241" s="6710"/>
      <c r="D241" s="6710"/>
      <c r="E241" s="6710"/>
      <c r="F241" s="6710"/>
      <c r="G241" s="6710"/>
      <c r="H241" s="6710"/>
      <c r="I241" s="6710"/>
      <c r="J241" s="6710"/>
      <c r="K241" s="6710"/>
      <c r="L241" s="6710"/>
      <c r="M241" s="6710"/>
      <c r="N241" s="6710"/>
      <c r="O241" s="6710"/>
      <c r="P241" s="6710"/>
    </row>
    <row r="242" spans="1:16">
      <c r="B242" s="6710"/>
      <c r="C242" s="6710"/>
      <c r="D242" s="6710"/>
      <c r="E242" s="6710"/>
      <c r="F242" s="6710"/>
      <c r="G242" s="6710"/>
      <c r="H242" s="6710"/>
      <c r="I242" s="6710"/>
      <c r="J242" s="6710"/>
      <c r="K242" s="6710"/>
      <c r="L242" s="6710"/>
      <c r="M242" s="6710"/>
      <c r="N242" s="6710"/>
      <c r="O242" s="6710"/>
      <c r="P242" s="6710"/>
    </row>
    <row r="243" spans="1:16" s="1103" customFormat="1" ht="21.75" customHeight="1">
      <c r="A243" s="6714"/>
      <c r="B243" s="6730"/>
      <c r="C243" s="6730" t="s">
        <v>2903</v>
      </c>
      <c r="D243" s="3180"/>
      <c r="E243" s="1102"/>
      <c r="F243" s="1102"/>
      <c r="G243" s="1102"/>
      <c r="H243" s="1102"/>
      <c r="I243" s="1102"/>
      <c r="J243" s="1102"/>
      <c r="K243" s="1102"/>
      <c r="L243" s="1102"/>
      <c r="M243" s="1102"/>
      <c r="N243" s="1102"/>
      <c r="O243" s="1102"/>
      <c r="P243" s="1102"/>
    </row>
    <row r="244" spans="1:16" ht="18">
      <c r="B244" s="6710"/>
      <c r="C244" s="6742"/>
      <c r="D244" s="6710"/>
      <c r="E244" s="6710"/>
      <c r="F244" s="6710"/>
      <c r="G244" s="6710"/>
      <c r="H244" s="6710"/>
      <c r="I244" s="6710"/>
      <c r="J244" s="6710"/>
      <c r="K244" s="6710"/>
      <c r="L244" s="6710"/>
      <c r="M244" s="6710"/>
      <c r="N244" s="6710"/>
      <c r="O244" s="6710"/>
      <c r="P244" s="6710"/>
    </row>
    <row r="245" spans="1:16" ht="18.75">
      <c r="B245" s="6709" t="s">
        <v>2824</v>
      </c>
      <c r="C245" s="6710"/>
      <c r="D245" s="6710"/>
      <c r="E245" s="6710"/>
      <c r="F245" s="6710"/>
      <c r="G245" s="6710"/>
      <c r="H245" s="6710"/>
      <c r="I245" s="6710"/>
      <c r="J245" s="6710"/>
      <c r="K245" s="6710"/>
      <c r="L245" s="6710"/>
      <c r="M245" s="6710"/>
      <c r="N245" s="6710"/>
      <c r="O245" s="6710"/>
      <c r="P245" s="6710"/>
    </row>
    <row r="246" spans="1:16" ht="18.75">
      <c r="B246" s="6733" t="s">
        <v>2904</v>
      </c>
      <c r="C246" s="6738" t="s">
        <v>7798</v>
      </c>
      <c r="D246" s="6710"/>
      <c r="E246" s="6710"/>
      <c r="F246" s="6710"/>
      <c r="G246" s="6710"/>
      <c r="H246" s="6710"/>
      <c r="I246" s="6710"/>
      <c r="J246" s="6710"/>
      <c r="K246" s="6710"/>
      <c r="L246" s="6710"/>
      <c r="M246" s="6710"/>
      <c r="N246" s="6710"/>
      <c r="O246" s="6710"/>
      <c r="P246" s="6710"/>
    </row>
    <row r="247" spans="1:16" ht="18">
      <c r="B247" s="6710"/>
      <c r="C247" s="6742"/>
      <c r="D247" s="6710"/>
      <c r="E247" s="6710"/>
      <c r="F247" s="6710"/>
      <c r="G247" s="6710"/>
      <c r="H247" s="6710"/>
      <c r="I247" s="6710"/>
      <c r="J247" s="6710"/>
      <c r="K247" s="6710"/>
      <c r="L247" s="6710"/>
      <c r="M247" s="6710"/>
      <c r="N247" s="6710"/>
      <c r="O247" s="6710"/>
      <c r="P247" s="6710"/>
    </row>
    <row r="248" spans="1:16" ht="18.75">
      <c r="B248" s="6709" t="s">
        <v>7799</v>
      </c>
      <c r="C248" s="6710"/>
      <c r="D248" s="6710"/>
      <c r="E248" s="6710"/>
      <c r="F248" s="6710"/>
      <c r="G248" s="6710"/>
      <c r="H248" s="6710"/>
      <c r="I248" s="6710"/>
      <c r="J248" s="6710"/>
      <c r="K248" s="6710"/>
      <c r="L248" s="6710"/>
      <c r="M248" s="6710"/>
      <c r="N248" s="6710"/>
      <c r="O248" s="6710"/>
      <c r="P248" s="6710"/>
    </row>
    <row r="249" spans="1:16" ht="18.75">
      <c r="B249" s="6733" t="s">
        <v>2904</v>
      </c>
      <c r="C249" s="6738" t="s">
        <v>7800</v>
      </c>
      <c r="D249" s="6710"/>
      <c r="E249" s="6710"/>
      <c r="F249" s="6710"/>
      <c r="G249" s="6710"/>
      <c r="H249" s="6710"/>
      <c r="I249" s="6710"/>
      <c r="J249" s="6710"/>
      <c r="K249" s="6710"/>
      <c r="L249" s="6710"/>
      <c r="M249" s="6710"/>
      <c r="N249" s="6710"/>
      <c r="O249" s="6710"/>
      <c r="P249" s="6710"/>
    </row>
    <row r="250" spans="1:16" ht="18">
      <c r="B250" s="6710"/>
      <c r="C250" s="6742"/>
      <c r="D250" s="6710"/>
      <c r="E250" s="6710"/>
      <c r="F250" s="6710"/>
      <c r="G250" s="6710"/>
      <c r="H250" s="6710"/>
      <c r="I250" s="6710"/>
      <c r="J250" s="6710"/>
      <c r="K250" s="6710"/>
      <c r="L250" s="6710"/>
      <c r="M250" s="6710"/>
      <c r="N250" s="6710"/>
      <c r="O250" s="6710"/>
      <c r="P250" s="6710"/>
    </row>
    <row r="251" spans="1:16" ht="18.75">
      <c r="B251" s="6733" t="s">
        <v>2904</v>
      </c>
      <c r="C251" s="6738" t="s">
        <v>2906</v>
      </c>
      <c r="D251" s="6710"/>
      <c r="E251" s="6710"/>
      <c r="F251" s="6710"/>
      <c r="G251" s="6710"/>
      <c r="H251" s="6710"/>
      <c r="I251" s="6710"/>
      <c r="J251" s="6710"/>
      <c r="K251" s="6710" t="s">
        <v>2905</v>
      </c>
      <c r="L251" s="6710"/>
      <c r="M251" s="6710"/>
      <c r="N251" s="6710"/>
      <c r="O251" s="6710"/>
      <c r="P251" s="6710"/>
    </row>
    <row r="252" spans="1:16" ht="18">
      <c r="B252" s="6710"/>
      <c r="C252" s="6742"/>
      <c r="D252" s="6710"/>
      <c r="E252" s="6710"/>
      <c r="F252" s="6710"/>
      <c r="G252" s="6710"/>
      <c r="H252" s="6710"/>
      <c r="I252" s="6710"/>
      <c r="J252" s="6710"/>
      <c r="K252" s="6710"/>
      <c r="L252" s="6710"/>
      <c r="M252" s="6710"/>
      <c r="N252" s="6710"/>
      <c r="O252" s="6710"/>
      <c r="P252" s="6710"/>
    </row>
    <row r="253" spans="1:16" ht="18.75">
      <c r="B253" s="6733" t="s">
        <v>2354</v>
      </c>
      <c r="C253" s="6738" t="s">
        <v>2907</v>
      </c>
      <c r="D253" s="6710"/>
      <c r="E253" s="6710"/>
      <c r="F253" s="6710"/>
      <c r="G253" s="6710"/>
      <c r="H253" s="6710"/>
      <c r="I253" s="6710"/>
      <c r="J253" s="6710"/>
      <c r="K253" s="6710"/>
      <c r="L253" s="6710"/>
      <c r="M253" s="6710"/>
      <c r="N253" s="6710"/>
      <c r="O253" s="6710"/>
      <c r="P253" s="6710"/>
    </row>
    <row r="254" spans="1:16" ht="18">
      <c r="B254" s="6710"/>
      <c r="C254" s="6742"/>
      <c r="D254" s="6710"/>
      <c r="E254" s="6710"/>
      <c r="F254" s="6710"/>
      <c r="G254" s="6710"/>
      <c r="H254" s="6710"/>
      <c r="I254" s="6710"/>
      <c r="J254" s="6710"/>
      <c r="K254" s="6710"/>
      <c r="L254" s="6710"/>
      <c r="M254" s="6710"/>
      <c r="N254" s="6710"/>
      <c r="O254" s="6710"/>
      <c r="P254" s="6710"/>
    </row>
    <row r="255" spans="1:16" ht="18.75">
      <c r="B255" s="6733" t="s">
        <v>2354</v>
      </c>
      <c r="C255" s="6738" t="s">
        <v>2911</v>
      </c>
      <c r="D255" s="6710"/>
      <c r="E255" s="6710"/>
      <c r="F255" s="6710"/>
      <c r="G255" s="6710"/>
      <c r="H255" s="6710"/>
      <c r="I255" s="6710"/>
      <c r="J255" s="6710"/>
      <c r="K255" s="6710" t="s">
        <v>2910</v>
      </c>
      <c r="L255" s="6710"/>
      <c r="M255" s="6710"/>
      <c r="N255" s="6710"/>
      <c r="O255" s="6710"/>
      <c r="P255" s="6710"/>
    </row>
    <row r="256" spans="1:16" ht="18">
      <c r="B256" s="6710"/>
      <c r="C256" s="6742"/>
      <c r="D256" s="6710"/>
      <c r="E256" s="6710"/>
      <c r="F256" s="6710"/>
      <c r="G256" s="6710"/>
      <c r="H256" s="6710"/>
      <c r="I256" s="6710"/>
      <c r="J256" s="6710"/>
      <c r="K256" s="6710"/>
      <c r="L256" s="6710"/>
      <c r="M256" s="6710"/>
      <c r="N256" s="6710"/>
      <c r="O256" s="6710"/>
      <c r="P256" s="6710"/>
    </row>
    <row r="257" spans="2:16" ht="18.75">
      <c r="B257" s="6733" t="s">
        <v>2354</v>
      </c>
      <c r="C257" s="6738" t="s">
        <v>2913</v>
      </c>
      <c r="D257" s="6710"/>
      <c r="E257" s="6710"/>
      <c r="F257" s="6710"/>
      <c r="G257" s="6710"/>
      <c r="H257" s="6710"/>
      <c r="I257" s="6710"/>
      <c r="J257" s="6710"/>
      <c r="K257" s="6710" t="s">
        <v>2912</v>
      </c>
      <c r="L257" s="6710"/>
      <c r="M257" s="6710"/>
      <c r="N257" s="6710"/>
      <c r="O257" s="6710"/>
      <c r="P257" s="6710"/>
    </row>
    <row r="258" spans="2:16" ht="18">
      <c r="B258" s="6710"/>
      <c r="C258" s="6742"/>
      <c r="D258" s="6710"/>
      <c r="E258" s="6710"/>
      <c r="F258" s="6710"/>
      <c r="G258" s="6710"/>
      <c r="H258" s="6710"/>
      <c r="I258" s="6710"/>
      <c r="J258" s="6710"/>
      <c r="K258" s="6710"/>
      <c r="L258" s="6710"/>
      <c r="M258" s="6710"/>
      <c r="N258" s="6710"/>
      <c r="O258" s="6710"/>
      <c r="P258" s="6710"/>
    </row>
    <row r="259" spans="2:16" ht="18.75">
      <c r="B259" s="6733" t="s">
        <v>2354</v>
      </c>
      <c r="C259" s="6738" t="s">
        <v>2915</v>
      </c>
      <c r="D259" s="6710"/>
      <c r="E259" s="6710"/>
      <c r="F259" s="6710"/>
      <c r="G259" s="6710"/>
      <c r="H259" s="6710"/>
      <c r="I259" s="6710"/>
      <c r="J259" s="6710"/>
      <c r="K259" s="6710" t="s">
        <v>2914</v>
      </c>
      <c r="L259" s="6710"/>
      <c r="M259" s="6710"/>
      <c r="N259" s="6710"/>
      <c r="O259" s="6710"/>
      <c r="P259" s="6710"/>
    </row>
    <row r="260" spans="2:16" ht="18">
      <c r="B260" s="6710"/>
      <c r="C260" s="6742"/>
      <c r="D260" s="6710"/>
      <c r="E260" s="6710"/>
      <c r="F260" s="6710"/>
      <c r="G260" s="6710"/>
      <c r="H260" s="6710"/>
      <c r="I260" s="6710"/>
      <c r="J260" s="6710"/>
      <c r="K260" s="6710"/>
      <c r="L260" s="6710"/>
      <c r="M260" s="6710"/>
      <c r="N260" s="6710"/>
      <c r="O260" s="6710"/>
      <c r="P260" s="6710"/>
    </row>
    <row r="261" spans="2:16" ht="18.75">
      <c r="B261" s="6733" t="s">
        <v>2354</v>
      </c>
      <c r="C261" s="6738" t="s">
        <v>2917</v>
      </c>
      <c r="D261" s="6710"/>
      <c r="E261" s="6710"/>
      <c r="F261" s="6710"/>
      <c r="G261" s="6710"/>
      <c r="H261" s="6710"/>
      <c r="I261" s="6710"/>
      <c r="J261" s="6710"/>
      <c r="K261" s="6710" t="s">
        <v>2916</v>
      </c>
      <c r="L261" s="6710"/>
      <c r="M261" s="6710"/>
      <c r="N261" s="6710"/>
      <c r="O261" s="6710"/>
      <c r="P261" s="6710"/>
    </row>
    <row r="262" spans="2:16" ht="18">
      <c r="B262" s="6710"/>
      <c r="C262" s="6742"/>
      <c r="D262" s="6710"/>
      <c r="E262" s="6710"/>
      <c r="F262" s="6710"/>
      <c r="G262" s="6710"/>
      <c r="H262" s="6710"/>
      <c r="I262" s="6710"/>
      <c r="J262" s="6710"/>
      <c r="K262" s="6710"/>
      <c r="L262" s="6710"/>
      <c r="M262" s="6710"/>
      <c r="N262" s="6710"/>
      <c r="O262" s="6710"/>
      <c r="P262" s="6710"/>
    </row>
    <row r="263" spans="2:16" ht="18.75">
      <c r="B263" s="6733" t="s">
        <v>2354</v>
      </c>
      <c r="C263" s="6738" t="s">
        <v>2909</v>
      </c>
      <c r="D263" s="6710"/>
      <c r="E263" s="6710"/>
      <c r="F263" s="6710"/>
      <c r="G263" s="6710"/>
      <c r="H263" s="6710"/>
      <c r="I263" s="6710"/>
      <c r="J263" s="6710"/>
      <c r="K263" s="6710" t="s">
        <v>2908</v>
      </c>
      <c r="L263" s="6710"/>
      <c r="M263" s="6710"/>
      <c r="N263" s="6710"/>
      <c r="O263" s="6710"/>
      <c r="P263" s="6710"/>
    </row>
    <row r="264" spans="2:16" ht="18">
      <c r="B264" s="6710"/>
      <c r="C264" s="6742"/>
      <c r="D264" s="6710"/>
      <c r="E264" s="6710"/>
      <c r="F264" s="6710"/>
      <c r="G264" s="6710"/>
      <c r="H264" s="6710"/>
      <c r="I264" s="6710"/>
      <c r="J264" s="6710"/>
      <c r="K264" s="6710"/>
      <c r="L264" s="6710"/>
      <c r="M264" s="6710"/>
      <c r="N264" s="6710"/>
      <c r="O264" s="6710"/>
      <c r="P264" s="6710"/>
    </row>
    <row r="265" spans="2:16" ht="18.75">
      <c r="B265" s="6733" t="s">
        <v>2354</v>
      </c>
      <c r="C265" s="6738" t="s">
        <v>2919</v>
      </c>
      <c r="D265" s="6710"/>
      <c r="E265" s="6710"/>
      <c r="F265" s="6710"/>
      <c r="G265" s="6710"/>
      <c r="H265" s="6710"/>
      <c r="I265" s="6710"/>
      <c r="J265" s="6710"/>
      <c r="K265" s="6710" t="s">
        <v>2918</v>
      </c>
      <c r="L265" s="6710"/>
      <c r="M265" s="6710"/>
      <c r="N265" s="6710"/>
      <c r="O265" s="6710"/>
      <c r="P265" s="6710"/>
    </row>
    <row r="266" spans="2:16" ht="18">
      <c r="B266" s="6710"/>
      <c r="C266" s="6742"/>
      <c r="D266" s="6710"/>
      <c r="E266" s="6710"/>
      <c r="F266" s="6710"/>
      <c r="G266" s="6710"/>
      <c r="H266" s="6710"/>
      <c r="I266" s="6710"/>
      <c r="J266" s="6710"/>
      <c r="K266" s="6710"/>
      <c r="L266" s="6710"/>
      <c r="M266" s="6710"/>
      <c r="N266" s="6710"/>
      <c r="O266" s="6710"/>
      <c r="P266" s="6710"/>
    </row>
    <row r="267" spans="2:16" ht="18.75">
      <c r="B267" s="6733" t="s">
        <v>2904</v>
      </c>
      <c r="C267" s="6738" t="s">
        <v>2921</v>
      </c>
      <c r="D267" s="6710"/>
      <c r="E267" s="6710"/>
      <c r="F267" s="6710"/>
      <c r="G267" s="6710"/>
      <c r="H267" s="6710"/>
      <c r="I267" s="6710"/>
      <c r="J267" s="6710"/>
      <c r="K267" s="6710"/>
      <c r="L267" s="6710"/>
      <c r="M267" s="6710"/>
      <c r="N267" s="6710"/>
      <c r="O267" s="6710"/>
      <c r="P267" s="6710"/>
    </row>
    <row r="268" spans="2:16" ht="18">
      <c r="B268" s="6710"/>
      <c r="C268" s="6742"/>
      <c r="D268" s="6710"/>
      <c r="E268" s="6710"/>
      <c r="F268" s="6710"/>
      <c r="G268" s="6710"/>
      <c r="H268" s="6710"/>
      <c r="I268" s="6710"/>
      <c r="J268" s="6710"/>
      <c r="K268" s="6710"/>
      <c r="L268" s="6710"/>
      <c r="M268" s="6710"/>
      <c r="N268" s="6710"/>
      <c r="O268" s="6710"/>
      <c r="P268" s="6710"/>
    </row>
    <row r="269" spans="2:16" ht="18.75">
      <c r="B269" s="6733" t="s">
        <v>2354</v>
      </c>
      <c r="C269" s="6738" t="s">
        <v>2922</v>
      </c>
      <c r="D269" s="6710"/>
      <c r="E269" s="6710"/>
      <c r="F269" s="6710"/>
      <c r="G269" s="6710"/>
      <c r="H269" s="6710"/>
      <c r="I269" s="6710"/>
      <c r="J269" s="6710"/>
      <c r="K269" s="6710"/>
      <c r="L269" s="6710"/>
      <c r="M269" s="6710"/>
      <c r="N269" s="6710"/>
      <c r="O269" s="6710"/>
      <c r="P269" s="6710"/>
    </row>
    <row r="270" spans="2:16" ht="18">
      <c r="B270" s="6710"/>
      <c r="C270" s="6742"/>
      <c r="D270" s="6710"/>
      <c r="E270" s="6710"/>
      <c r="F270" s="6710"/>
      <c r="G270" s="6710"/>
      <c r="H270" s="6710"/>
      <c r="I270" s="6710"/>
      <c r="J270" s="6710"/>
      <c r="K270" s="6710"/>
      <c r="L270" s="6710"/>
      <c r="M270" s="6710"/>
      <c r="N270" s="6710"/>
      <c r="O270" s="6710"/>
      <c r="P270" s="6710"/>
    </row>
    <row r="271" spans="2:16" ht="18.75">
      <c r="B271" s="6733" t="s">
        <v>2354</v>
      </c>
      <c r="C271" s="6738" t="s">
        <v>3217</v>
      </c>
      <c r="D271" s="6710"/>
      <c r="E271" s="6710"/>
      <c r="F271" s="6710"/>
      <c r="G271" s="6710"/>
      <c r="H271" s="6710"/>
      <c r="I271" s="6710"/>
      <c r="J271" s="6710"/>
      <c r="K271" s="6710"/>
      <c r="L271" s="6710"/>
      <c r="M271" s="6710"/>
      <c r="N271" s="6710"/>
      <c r="O271" s="6710"/>
      <c r="P271" s="6710"/>
    </row>
    <row r="272" spans="2:16" ht="18">
      <c r="B272" s="6710"/>
      <c r="C272" s="6742"/>
      <c r="D272" s="6710"/>
      <c r="E272" s="6710"/>
      <c r="F272" s="6710"/>
      <c r="G272" s="6710"/>
      <c r="H272" s="6710"/>
      <c r="I272" s="6710"/>
      <c r="J272" s="6710"/>
      <c r="K272" s="6710"/>
      <c r="L272" s="6710"/>
      <c r="M272" s="6710"/>
      <c r="N272" s="6710"/>
      <c r="O272" s="6710"/>
      <c r="P272" s="6710"/>
    </row>
    <row r="273" spans="1:16" ht="18.75">
      <c r="B273" s="6733" t="s">
        <v>2354</v>
      </c>
      <c r="C273" s="6738" t="s">
        <v>3218</v>
      </c>
      <c r="D273" s="6710"/>
      <c r="E273" s="6710"/>
      <c r="F273" s="6710"/>
      <c r="G273" s="6710"/>
      <c r="H273" s="6710"/>
      <c r="I273" s="6710"/>
      <c r="J273" s="6710"/>
      <c r="K273" s="6710"/>
      <c r="L273" s="6710"/>
      <c r="M273" s="6710"/>
      <c r="N273" s="6710"/>
      <c r="O273" s="6710"/>
      <c r="P273" s="6710"/>
    </row>
    <row r="274" spans="1:16" ht="18">
      <c r="B274" s="6710"/>
      <c r="C274" s="6742"/>
      <c r="D274" s="6710"/>
      <c r="E274" s="6710"/>
      <c r="F274" s="6710"/>
      <c r="G274" s="6710"/>
      <c r="H274" s="6710"/>
      <c r="I274" s="6710"/>
      <c r="J274" s="6710"/>
      <c r="K274" s="6710"/>
      <c r="L274" s="6710"/>
      <c r="M274" s="6710"/>
      <c r="N274" s="6710"/>
      <c r="O274" s="6710"/>
      <c r="P274" s="6710"/>
    </row>
    <row r="275" spans="1:16" ht="18.75">
      <c r="B275" s="6733" t="s">
        <v>2354</v>
      </c>
      <c r="C275" s="6738" t="s">
        <v>3220</v>
      </c>
      <c r="D275" s="6710"/>
      <c r="E275" s="6710"/>
      <c r="F275" s="6710"/>
      <c r="G275" s="6710"/>
      <c r="H275" s="6710"/>
      <c r="I275" s="6710"/>
      <c r="J275" s="6710"/>
      <c r="K275" s="6710"/>
      <c r="L275" s="6710"/>
      <c r="M275" s="6710"/>
      <c r="N275" s="6710"/>
      <c r="O275" s="6710"/>
      <c r="P275" s="6710"/>
    </row>
    <row r="276" spans="1:16" ht="18">
      <c r="B276" s="6710"/>
      <c r="C276" s="6742"/>
      <c r="D276" s="6710"/>
      <c r="E276" s="6710"/>
      <c r="F276" s="6710"/>
      <c r="G276" s="6710"/>
      <c r="H276" s="6710"/>
      <c r="I276" s="6710"/>
      <c r="J276" s="6710"/>
      <c r="K276" s="6710"/>
      <c r="L276" s="6710"/>
      <c r="M276" s="6710"/>
      <c r="N276" s="6710"/>
      <c r="O276" s="6710"/>
      <c r="P276" s="6710"/>
    </row>
    <row r="277" spans="1:16" ht="18.75">
      <c r="B277" s="6733" t="s">
        <v>2354</v>
      </c>
      <c r="C277" s="6738" t="s">
        <v>3221</v>
      </c>
      <c r="D277" s="6710"/>
      <c r="E277" s="6710"/>
      <c r="F277" s="6710"/>
      <c r="G277" s="6710"/>
      <c r="H277" s="6710"/>
      <c r="I277" s="6710"/>
      <c r="J277" s="6710"/>
      <c r="K277" s="6710"/>
      <c r="L277" s="6710"/>
      <c r="M277" s="6710"/>
      <c r="N277" s="6710" t="s">
        <v>1239</v>
      </c>
      <c r="O277" s="6710"/>
      <c r="P277" s="6710"/>
    </row>
    <row r="278" spans="1:16">
      <c r="B278" s="6710"/>
      <c r="C278" s="6710"/>
      <c r="D278" s="6710"/>
      <c r="E278" s="6710"/>
      <c r="F278" s="6710"/>
      <c r="G278" s="6710"/>
      <c r="H278" s="6710"/>
      <c r="I278" s="6710"/>
      <c r="J278" s="6710"/>
      <c r="K278" s="6710"/>
      <c r="L278" s="6710"/>
      <c r="M278" s="6710"/>
      <c r="N278" s="6710"/>
      <c r="O278" s="6710"/>
      <c r="P278" s="6710"/>
    </row>
    <row r="279" spans="1:16" ht="18">
      <c r="B279" s="6733" t="s">
        <v>2354</v>
      </c>
      <c r="C279" s="6742" t="s">
        <v>3222</v>
      </c>
      <c r="D279" s="6710"/>
      <c r="E279" s="6710"/>
      <c r="F279" s="6710"/>
      <c r="G279" s="6710"/>
      <c r="H279" s="6710"/>
      <c r="I279" s="6710"/>
      <c r="J279" s="6710"/>
      <c r="K279" s="6710"/>
      <c r="L279" s="6710"/>
      <c r="M279" s="6710" t="s">
        <v>3223</v>
      </c>
      <c r="N279" s="6710"/>
      <c r="O279" s="6710"/>
      <c r="P279" s="6710"/>
    </row>
    <row r="280" spans="1:16" ht="18">
      <c r="B280" s="6710"/>
      <c r="C280" s="6742"/>
      <c r="D280" s="6710"/>
      <c r="E280" s="6710"/>
      <c r="F280" s="6710"/>
      <c r="G280" s="6710"/>
      <c r="H280" s="6710"/>
      <c r="I280" s="6710"/>
      <c r="J280" s="6710"/>
      <c r="K280" s="6710"/>
      <c r="L280" s="6710"/>
      <c r="M280" s="6710"/>
      <c r="N280" s="6710"/>
      <c r="O280" s="6710"/>
      <c r="P280" s="6710"/>
    </row>
    <row r="281" spans="1:16" ht="18.75">
      <c r="B281" s="6733" t="s">
        <v>732</v>
      </c>
      <c r="C281" s="6738" t="s">
        <v>3157</v>
      </c>
      <c r="D281" s="6710"/>
      <c r="E281" s="6710"/>
      <c r="F281" s="6710"/>
      <c r="G281" s="6710"/>
      <c r="H281" s="6710"/>
      <c r="I281" s="6710"/>
      <c r="J281" s="6710"/>
      <c r="K281" s="6710"/>
      <c r="L281" s="6710"/>
      <c r="M281" s="6710"/>
      <c r="N281" s="6710"/>
      <c r="O281" s="6710"/>
      <c r="P281" s="6710"/>
    </row>
    <row r="282" spans="1:16">
      <c r="B282" s="6710"/>
      <c r="C282" s="6710"/>
      <c r="D282" s="6710"/>
      <c r="E282" s="6710"/>
      <c r="F282" s="6710"/>
      <c r="G282" s="6710"/>
      <c r="H282" s="6710"/>
      <c r="I282" s="6710"/>
      <c r="J282" s="6710"/>
      <c r="K282" s="6710"/>
      <c r="L282" s="6710"/>
      <c r="M282" s="6710"/>
      <c r="N282" s="6710"/>
      <c r="O282" s="6710"/>
      <c r="P282" s="6710"/>
    </row>
    <row r="283" spans="1:16" s="1103" customFormat="1" ht="39.950000000000003" customHeight="1">
      <c r="A283" s="1101"/>
      <c r="B283" s="6745" t="s">
        <v>5</v>
      </c>
      <c r="C283" s="1101"/>
      <c r="D283" s="1101"/>
      <c r="E283" s="1101"/>
      <c r="F283" s="1101"/>
      <c r="G283" s="1101"/>
      <c r="H283" s="1101"/>
      <c r="I283" s="1101"/>
      <c r="J283" s="1101"/>
      <c r="K283" s="1101"/>
      <c r="L283" s="1101"/>
      <c r="M283" s="1101"/>
      <c r="N283" s="1101"/>
      <c r="O283" s="1101"/>
      <c r="P283" s="1101"/>
    </row>
    <row r="284" spans="1:16" s="1103" customFormat="1" ht="24" customHeight="1">
      <c r="A284" s="1101"/>
      <c r="B284" s="6746" t="s">
        <v>6</v>
      </c>
      <c r="C284" s="1101"/>
      <c r="D284" s="1101"/>
      <c r="E284" s="1101"/>
      <c r="F284" s="1101"/>
      <c r="G284" s="1101"/>
      <c r="H284" s="1101"/>
      <c r="I284" s="1101"/>
      <c r="J284" s="1101"/>
      <c r="K284" s="1101"/>
      <c r="L284" s="1101"/>
      <c r="M284" s="1101"/>
      <c r="N284" s="1101"/>
      <c r="O284" s="1101"/>
      <c r="P284" s="1101"/>
    </row>
    <row r="285" spans="1:16" s="1104" customFormat="1" ht="39.950000000000003" customHeight="1">
      <c r="A285" s="1101"/>
      <c r="B285" s="6747" t="s">
        <v>2755</v>
      </c>
      <c r="C285" s="3167"/>
      <c r="D285" s="1101"/>
      <c r="E285" s="1101"/>
      <c r="F285" s="1101"/>
      <c r="G285" s="1101"/>
      <c r="H285" s="1101"/>
      <c r="I285" s="4893"/>
      <c r="J285" s="1101"/>
      <c r="K285" s="1101"/>
      <c r="L285" s="4893"/>
      <c r="M285" s="4893"/>
      <c r="N285" s="4893"/>
      <c r="O285" s="4893"/>
      <c r="P285" s="6748" t="s">
        <v>7801</v>
      </c>
    </row>
  </sheetData>
  <mergeCells count="6">
    <mergeCell ref="B2:P4"/>
    <mergeCell ref="B5:P7"/>
    <mergeCell ref="B189:C189"/>
    <mergeCell ref="B219:C219"/>
    <mergeCell ref="B223:C223"/>
    <mergeCell ref="B233:C233"/>
  </mergeCells>
  <hyperlinks>
    <hyperlink ref="C16" r:id="rId1" xr:uid="{9ED1D395-64C8-47D8-B614-F3855B84D60F}"/>
    <hyperlink ref="C36" r:id="rId2" xr:uid="{155869C5-4B2D-490E-9DA2-4E3D37F6371D}"/>
    <hyperlink ref="C39" r:id="rId3" xr:uid="{D4E34159-40C5-4F7D-BDB7-E356A77D20B0}"/>
    <hyperlink ref="C45" r:id="rId4" xr:uid="{C4FEA3E3-A711-4878-A98C-B4E7528A9B05}"/>
    <hyperlink ref="C18" r:id="rId5" xr:uid="{18F6B689-9FF3-4AF1-A828-F5BA7CD8F6B3}"/>
    <hyperlink ref="C188" r:id="rId6" xr:uid="{26C90027-F975-407D-9C30-6BD0726D947C}"/>
    <hyperlink ref="D189" r:id="rId7" xr:uid="{4E6A6B16-9F6C-4A7B-B10E-A59CFF7E40E2}"/>
    <hyperlink ref="C218" r:id="rId8" xr:uid="{ABE19A0E-6C0F-4B23-A642-9FAEE72F5468}"/>
    <hyperlink ref="D219" r:id="rId9" xr:uid="{BE6FC8D3-9957-41B0-A6A7-D3C15927F5F0}"/>
    <hyperlink ref="C222" r:id="rId10" xr:uid="{B160DE17-EEC3-4971-AE08-A3C556FFBDBB}"/>
    <hyperlink ref="C232" r:id="rId11" xr:uid="{A9A8FBEC-CB71-4FDC-A8FA-45468D097586}"/>
    <hyperlink ref="C149" r:id="rId12" xr:uid="{D4C4C804-D936-4DA8-8124-B966414B0415}"/>
    <hyperlink ref="C171" r:id="rId13" xr:uid="{1E02B22F-E292-40AA-AD7E-B770BD5B7B1D}"/>
    <hyperlink ref="C174" r:id="rId14" xr:uid="{E755681D-4B57-4B99-BEE8-FDEC7FD533D1}"/>
    <hyperlink ref="C177" r:id="rId15" xr:uid="{0C0FE1F4-5058-4A64-8608-36F349CA809F}"/>
    <hyperlink ref="C183" r:id="rId16" xr:uid="{77C6C5AA-7DAD-4455-9260-3C3082B3E63B}"/>
    <hyperlink ref="C201" r:id="rId17" xr:uid="{F7C5F903-D9E2-4170-B354-BDD851F84DF3}"/>
    <hyperlink ref="C195" r:id="rId18" xr:uid="{3DBDB5F7-B355-4178-BCE2-E697DCFB674C}"/>
    <hyperlink ref="C198" r:id="rId19" xr:uid="{C6FEC93F-0D7C-4AB8-AC13-ACE62447B33F}"/>
    <hyperlink ref="C13" r:id="rId20" xr:uid="{C240F008-FF27-4B5F-9DBF-5C9F499328C9}"/>
    <hyperlink ref="C180" r:id="rId21" xr:uid="{3AF70803-C608-4737-82BA-44E90F245C0C}"/>
    <hyperlink ref="C209" r:id="rId22" xr:uid="{EC2C2042-19A7-47A8-8354-2EF1C0F8BF84}"/>
    <hyperlink ref="C212" r:id="rId23" xr:uid="{DFF1293E-C089-47DE-A5D6-E1D76516EDB9}"/>
    <hyperlink ref="C215" r:id="rId24" xr:uid="{ABCD5F8A-3758-4B4D-84A1-EDEEF079CEAA}"/>
    <hyperlink ref="C134" r:id="rId25" xr:uid="{97F0A79D-48AC-49F2-ACAC-53AC28647830}"/>
    <hyperlink ref="C110" r:id="rId26" xr:uid="{DA435538-4BC9-44E9-92C6-D2BB1E6A73B9}"/>
    <hyperlink ref="C152" r:id="rId27" xr:uid="{5B752ADC-D425-4C57-B368-6D36A71B70A8}"/>
    <hyperlink ref="C226" r:id="rId28" xr:uid="{57715D4B-66D0-4E3B-9894-838CCEB9501C}"/>
    <hyperlink ref="C146" r:id="rId29" xr:uid="{87C22AA0-33E2-4C48-82EF-E4586DB93901}"/>
    <hyperlink ref="C140" r:id="rId30" xr:uid="{A11ED9D8-A6F2-4828-A1E6-D781E36E8FDF}"/>
    <hyperlink ref="C137" r:id="rId31" xr:uid="{B01B7B31-4F9B-4CE8-9A40-32F130E4CA4E}"/>
    <hyperlink ref="C92" r:id="rId32" xr:uid="{D9E49C5E-E792-43CF-A8C4-CEF20C8D28BC}"/>
    <hyperlink ref="C115" r:id="rId33" xr:uid="{14A472E0-2FA9-4BCA-BD4C-F55D1D3CFBAE}"/>
    <hyperlink ref="C95" r:id="rId34" xr:uid="{0F2D9D96-254A-4AF2-804D-E869C1E4E854}"/>
    <hyperlink ref="C101" r:id="rId35" xr:uid="{BBC79585-BD72-4ECD-BD97-FFE5EAFF027B}"/>
    <hyperlink ref="C128" r:id="rId36" xr:uid="{1CCF04F5-D78B-49C1-B7CC-B6CDA9D83E95}"/>
    <hyperlink ref="C169" r:id="rId37" xr:uid="{BB57EB9A-F8A2-4403-BA4E-D74805BE86C5}"/>
    <hyperlink ref="C192" r:id="rId38" xr:uid="{E948FA4A-414C-40DB-8593-F1926E2E3AB1}"/>
    <hyperlink ref="C143" r:id="rId39" xr:uid="{E2DD550D-6176-43F1-B22E-7D185444E8BC}"/>
    <hyperlink ref="C87" r:id="rId40" xr:uid="{998D77E2-CAFC-4499-A45E-86E71B4D1C61}"/>
    <hyperlink ref="C62" r:id="rId41" xr:uid="{92EAF071-ADED-4E69-8225-ABF49753C4E3}"/>
    <hyperlink ref="C166" r:id="rId42" xr:uid="{49D5CD35-852A-4661-A708-A2978AA7E848}"/>
    <hyperlink ref="D233" r:id="rId43" xr:uid="{473A65E4-7B5F-4D7B-980E-0752587F4408}"/>
    <hyperlink ref="C131" r:id="rId44" xr:uid="{B0A99A12-BF98-48A8-901B-DDBD714D82CA}"/>
    <hyperlink ref="D223" r:id="rId45" xr:uid="{6B57F035-A7DA-44B0-9057-FD572AF23C34}"/>
    <hyperlink ref="C42" r:id="rId46" xr:uid="{DAEB5767-4D9E-454F-9845-A350DEBF1454}"/>
    <hyperlink ref="C118" r:id="rId47" xr:uid="{A477BB87-836F-4127-A5A7-5A3F1B4AC410}"/>
    <hyperlink ref="C155" r:id="rId48" xr:uid="{CC696B0F-907E-4EC8-A1B8-39F331F08771}"/>
    <hyperlink ref="C158" r:id="rId49" xr:uid="{B98BF09C-7ECF-41AC-9C02-B9EC8B222EE8}"/>
    <hyperlink ref="C161" r:id="rId50" xr:uid="{810FE5E3-265D-4D09-8D47-1C50B4C73947}"/>
    <hyperlink ref="C105" r:id="rId51" display="Faire des SI imbriqués dans Excel" xr:uid="{9E7F3684-211E-4726-9F2E-2C36A7CB26E6}"/>
    <hyperlink ref="C251" r:id="rId52" xr:uid="{56F5FB3C-540C-4BE3-8BBC-55F3028F4AD1}"/>
    <hyperlink ref="C275" r:id="rId53" xr:uid="{66406ECC-7024-43EB-A1EA-E38D4FE2DD03}"/>
    <hyperlink ref="C103" r:id="rId54" xr:uid="{3EBE816F-FA5B-4823-B00F-1E19CD5F0E44}"/>
    <hyperlink ref="C273" r:id="rId55" xr:uid="{93E676C7-B716-4364-B334-AB5D037407D6}"/>
    <hyperlink ref="C271" r:id="rId56" xr:uid="{8C0CF96D-E0BA-4C63-B4F7-38BAEBE36191}"/>
    <hyperlink ref="C89" r:id="rId57" xr:uid="{BF8115A8-65F6-4F00-96C2-380652440A17}"/>
    <hyperlink ref="C269" r:id="rId58" xr:uid="{3088C084-8C6C-4A9A-B07D-87231F41EC14}"/>
    <hyperlink ref="C267" r:id="rId59" xr:uid="{672FE5C3-73BB-4B1A-97F9-3A87E38D252F}"/>
    <hyperlink ref="C281" r:id="rId60" xr:uid="{D2E84A9B-F7AA-4751-B4F7-F96828FBF889}"/>
    <hyperlink ref="C107" r:id="rId61" xr:uid="{CBA4CEC2-4080-4E86-900D-AF22F39326D9}"/>
    <hyperlink ref="C277" r:id="rId62" xr:uid="{FFD2E0DC-EC5A-4BD7-BAF7-520B9D765427}"/>
    <hyperlink ref="C121" r:id="rId63" xr:uid="{D6131129-0F44-4D57-A4AE-CFB82631A5A2}"/>
    <hyperlink ref="C279" r:id="rId64" xr:uid="{024317BB-420C-4320-B565-4462F92FA9F7}"/>
    <hyperlink ref="C263" r:id="rId65" xr:uid="{535ED0B4-D4BB-4EA8-95E1-2CAC899B5535}"/>
    <hyperlink ref="C253" r:id="rId66" xr:uid="{99C8AE17-FAED-4E1C-90A8-768F220012C1}"/>
    <hyperlink ref="C265" r:id="rId67" xr:uid="{2F6DC81D-047D-4DC2-B240-9C89928D88F0}"/>
    <hyperlink ref="C261" r:id="rId68" xr:uid="{C4A64FF1-75E5-45FB-86A6-6BBC8CF1350B}"/>
    <hyperlink ref="C259" r:id="rId69" xr:uid="{15DC2076-6707-4C51-B634-C69196F67820}"/>
    <hyperlink ref="C257" r:id="rId70" xr:uid="{3CCB49A9-8662-41E4-B0D1-D84AC6D39D79}"/>
    <hyperlink ref="C255" r:id="rId71" xr:uid="{163CDF32-FD13-4C5F-BB08-686AB250273F}"/>
    <hyperlink ref="C123" r:id="rId72" xr:uid="{3BB844CB-F7DF-4F40-8257-CA93AA2950D7}"/>
    <hyperlink ref="C125" r:id="rId73" xr:uid="{F2441B01-8FD1-4298-A821-4600CBC23FB2}"/>
    <hyperlink ref="C246" r:id="rId74" xr:uid="{794CE157-C8B5-4F1F-8972-F475053D1E55}"/>
    <hyperlink ref="C249" r:id="rId75" xr:uid="{C538D552-4104-4CE5-B181-63BE48450920}"/>
  </hyperlinks>
  <pageMargins left="0.7" right="0.7" top="0.75" bottom="0.75" header="0.3" footer="0.3"/>
  <pageSetup paperSize="9" orientation="portrait" r:id="rId7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69BC4-AD85-473E-B3A5-1D148C42A326}">
  <dimension ref="A1:X98"/>
  <sheetViews>
    <sheetView zoomScaleNormal="100" workbookViewId="0">
      <selection activeCell="L13" sqref="L13"/>
    </sheetView>
  </sheetViews>
  <sheetFormatPr baseColWidth="10" defaultRowHeight="15"/>
  <cols>
    <col min="1" max="1" width="4.85546875" style="4991" customWidth="1"/>
    <col min="2" max="37" width="11.7109375" style="4991" customWidth="1"/>
    <col min="38" max="16384" width="11.42578125" style="4991"/>
  </cols>
  <sheetData>
    <row r="1" spans="1:24">
      <c r="A1" s="1078"/>
      <c r="B1" s="1078"/>
      <c r="C1" s="1078"/>
      <c r="D1" s="1078"/>
      <c r="E1" s="1078"/>
      <c r="F1" s="1078"/>
      <c r="G1" s="1078"/>
      <c r="H1" s="1078"/>
      <c r="I1" s="1078"/>
      <c r="J1" s="1078"/>
      <c r="K1" s="1078"/>
      <c r="L1" s="1078"/>
      <c r="M1" s="1078"/>
      <c r="N1" s="1078"/>
      <c r="O1" s="1078"/>
      <c r="P1" s="1078"/>
    </row>
    <row r="2" spans="1:24" ht="26.25">
      <c r="A2" s="4886"/>
      <c r="B2" s="4886"/>
      <c r="C2" s="4886"/>
      <c r="D2" s="4886"/>
      <c r="E2" s="4886"/>
      <c r="F2" s="4886"/>
      <c r="G2" s="4886"/>
      <c r="H2" s="4886"/>
      <c r="I2" s="4886"/>
      <c r="J2" s="4886"/>
      <c r="K2" s="6436" t="s">
        <v>3259</v>
      </c>
      <c r="L2" s="1078"/>
      <c r="M2" s="1078"/>
      <c r="N2" s="1078"/>
      <c r="O2" s="1078"/>
      <c r="P2" s="4887"/>
    </row>
    <row r="3" spans="1:24" ht="26.25">
      <c r="A3" s="1078"/>
      <c r="B3" s="1078"/>
      <c r="C3" s="1078"/>
      <c r="D3" s="1078"/>
      <c r="E3" s="1078"/>
      <c r="F3" s="1078"/>
      <c r="G3" s="1078"/>
      <c r="H3" s="1078"/>
      <c r="I3" s="1078"/>
      <c r="J3" s="1078"/>
      <c r="K3" s="6436" t="s">
        <v>3149</v>
      </c>
      <c r="L3" s="1078"/>
      <c r="M3" s="1078"/>
      <c r="N3" s="1078"/>
      <c r="O3" s="1078"/>
      <c r="P3" s="4887"/>
    </row>
    <row r="4" spans="1:24">
      <c r="A4" s="1078"/>
      <c r="B4" s="1078"/>
      <c r="C4" s="1078"/>
      <c r="D4" s="1078"/>
      <c r="E4" s="1078"/>
      <c r="F4" s="1078"/>
      <c r="G4" s="1078"/>
      <c r="H4" s="1078"/>
      <c r="I4" s="1078"/>
      <c r="J4" s="1078"/>
      <c r="K4" s="1078"/>
      <c r="L4" s="1078"/>
      <c r="M4" s="1078"/>
      <c r="N4" s="1078"/>
      <c r="O4" s="1078"/>
      <c r="P4" s="1078"/>
    </row>
    <row r="6" spans="1:24" ht="18">
      <c r="B6" s="6749" t="s">
        <v>2585</v>
      </c>
      <c r="C6" s="6749"/>
      <c r="D6" s="6749"/>
      <c r="E6" s="6749"/>
      <c r="F6" s="6749"/>
      <c r="G6" s="6749"/>
      <c r="I6" s="6749" t="s">
        <v>2586</v>
      </c>
      <c r="J6" s="6749"/>
      <c r="K6" s="6749"/>
      <c r="L6" s="6749"/>
      <c r="M6" s="6749"/>
      <c r="N6" s="6749"/>
      <c r="O6" s="6749"/>
      <c r="P6" s="6749"/>
      <c r="R6" s="5002" t="s">
        <v>7802</v>
      </c>
      <c r="S6" s="5002"/>
      <c r="T6" s="5002"/>
      <c r="U6" s="5002"/>
      <c r="V6" s="5002"/>
    </row>
    <row r="7" spans="1:24" ht="18.75">
      <c r="I7" s="6750"/>
      <c r="J7" s="6750"/>
      <c r="K7" s="6750"/>
      <c r="L7" s="6750"/>
      <c r="M7" s="6750"/>
      <c r="N7" s="6750"/>
      <c r="O7" s="6751" t="str">
        <f ca="1">"Page "&amp;_xlfn.SHEET()&amp;" sur "&amp;_xlfn.SHEETS()</f>
        <v>Page 38 sur 38</v>
      </c>
      <c r="P7" s="6751"/>
      <c r="R7" s="6752" t="s">
        <v>2354</v>
      </c>
      <c r="S7" s="6753" t="s">
        <v>7803</v>
      </c>
    </row>
    <row r="8" spans="1:24" ht="15.75">
      <c r="B8" s="4860" t="s">
        <v>2587</v>
      </c>
      <c r="C8" s="4860"/>
      <c r="E8" s="6754" t="s">
        <v>2588</v>
      </c>
      <c r="F8" s="6754"/>
      <c r="G8" s="6754"/>
      <c r="I8" s="819">
        <v>1</v>
      </c>
      <c r="J8" s="820">
        <v>2</v>
      </c>
      <c r="K8" s="821">
        <v>3</v>
      </c>
      <c r="L8" s="822">
        <v>4</v>
      </c>
      <c r="M8" s="823">
        <v>5</v>
      </c>
      <c r="N8" s="824">
        <v>6</v>
      </c>
      <c r="O8" s="825">
        <v>7</v>
      </c>
      <c r="P8" s="826">
        <v>8</v>
      </c>
      <c r="R8" s="5002"/>
      <c r="S8" s="5002"/>
      <c r="T8" s="5002"/>
      <c r="U8" s="5002"/>
      <c r="V8" s="5002"/>
    </row>
    <row r="9" spans="1:24">
      <c r="I9" s="827">
        <v>9</v>
      </c>
      <c r="J9" s="828">
        <v>10</v>
      </c>
      <c r="K9" s="829">
        <v>11</v>
      </c>
      <c r="L9" s="830">
        <v>12</v>
      </c>
      <c r="M9" s="831">
        <v>13</v>
      </c>
      <c r="N9" s="832">
        <v>14</v>
      </c>
      <c r="O9" s="833">
        <v>15</v>
      </c>
      <c r="P9" s="834">
        <v>16</v>
      </c>
      <c r="R9" s="5002" t="s">
        <v>7804</v>
      </c>
      <c r="S9" s="5002"/>
      <c r="T9" s="5002"/>
      <c r="U9" s="5002"/>
      <c r="V9" s="5002"/>
      <c r="W9" s="835"/>
      <c r="X9" s="835"/>
    </row>
    <row r="10" spans="1:24" ht="15.75">
      <c r="B10" s="4861" t="s">
        <v>2589</v>
      </c>
      <c r="C10" s="4861"/>
      <c r="E10" s="6755" t="s">
        <v>2590</v>
      </c>
      <c r="F10" s="6755"/>
      <c r="G10" s="6755"/>
      <c r="I10" s="836">
        <v>17</v>
      </c>
      <c r="J10" s="837">
        <v>18</v>
      </c>
      <c r="K10" s="838">
        <v>19</v>
      </c>
      <c r="L10" s="839">
        <v>20</v>
      </c>
      <c r="M10" s="840">
        <v>21</v>
      </c>
      <c r="N10" s="841">
        <v>22</v>
      </c>
      <c r="O10" s="842">
        <v>23</v>
      </c>
      <c r="P10" s="843">
        <v>24</v>
      </c>
      <c r="R10" s="6752" t="s">
        <v>2354</v>
      </c>
      <c r="S10" s="6753" t="s">
        <v>7805</v>
      </c>
      <c r="T10" s="5002"/>
      <c r="U10" s="5002"/>
      <c r="V10" s="5002"/>
    </row>
    <row r="11" spans="1:24" ht="15.75">
      <c r="E11" s="6756" t="s">
        <v>2591</v>
      </c>
      <c r="F11" s="6756"/>
      <c r="G11" s="6756"/>
      <c r="I11" s="844">
        <v>25</v>
      </c>
      <c r="J11" s="845">
        <v>26</v>
      </c>
      <c r="K11" s="846">
        <v>27</v>
      </c>
      <c r="L11" s="847">
        <v>28</v>
      </c>
      <c r="M11" s="848">
        <v>29</v>
      </c>
      <c r="N11" s="849">
        <v>30</v>
      </c>
      <c r="O11" s="850">
        <v>31</v>
      </c>
      <c r="P11" s="851">
        <v>32</v>
      </c>
      <c r="R11" s="5002"/>
      <c r="S11" s="5002"/>
      <c r="T11" s="5002"/>
      <c r="U11" s="5002"/>
      <c r="V11" s="5002"/>
    </row>
    <row r="12" spans="1:24" ht="15.75">
      <c r="B12" s="4862" t="s">
        <v>2592</v>
      </c>
      <c r="C12" s="4862"/>
      <c r="E12" s="6757" t="s">
        <v>2593</v>
      </c>
      <c r="F12" s="6757"/>
      <c r="G12" s="6757"/>
      <c r="I12" s="852">
        <v>33</v>
      </c>
      <c r="J12" s="853">
        <v>34</v>
      </c>
      <c r="K12" s="854">
        <v>35</v>
      </c>
      <c r="L12" s="855">
        <v>36</v>
      </c>
      <c r="M12" s="856">
        <v>37</v>
      </c>
      <c r="N12" s="857">
        <v>38</v>
      </c>
      <c r="O12" s="858">
        <v>39</v>
      </c>
      <c r="P12" s="859">
        <v>40</v>
      </c>
      <c r="R12" s="5002" t="s">
        <v>7806</v>
      </c>
      <c r="S12" s="5002"/>
      <c r="T12" s="5002"/>
      <c r="U12" s="5002"/>
      <c r="V12" s="5002"/>
    </row>
    <row r="13" spans="1:24" ht="15.75">
      <c r="E13" s="6758" t="s">
        <v>2594</v>
      </c>
      <c r="F13" s="6758"/>
      <c r="G13" s="6758"/>
      <c r="I13" s="860">
        <v>41</v>
      </c>
      <c r="J13" s="861">
        <v>42</v>
      </c>
      <c r="K13" s="862">
        <v>43</v>
      </c>
      <c r="L13" s="863">
        <v>44</v>
      </c>
      <c r="M13" s="864">
        <v>45</v>
      </c>
      <c r="N13" s="865">
        <v>46</v>
      </c>
      <c r="O13" s="866">
        <v>47</v>
      </c>
      <c r="P13" s="867">
        <v>48</v>
      </c>
      <c r="R13" s="6752" t="s">
        <v>2354</v>
      </c>
      <c r="S13" s="6753" t="s">
        <v>7807</v>
      </c>
      <c r="T13" s="5002"/>
      <c r="U13" s="5002"/>
      <c r="V13" s="5002"/>
    </row>
    <row r="14" spans="1:24" ht="15.75">
      <c r="B14" s="4863" t="s">
        <v>2595</v>
      </c>
      <c r="C14" s="4863"/>
      <c r="E14" s="6759" t="s">
        <v>2596</v>
      </c>
      <c r="F14" s="6759"/>
      <c r="G14" s="6759"/>
      <c r="I14" s="868">
        <v>49</v>
      </c>
      <c r="J14" s="869">
        <v>50</v>
      </c>
      <c r="K14" s="870">
        <v>51</v>
      </c>
      <c r="L14" s="871">
        <v>52</v>
      </c>
      <c r="M14" s="872">
        <v>53</v>
      </c>
      <c r="N14" s="873">
        <v>54</v>
      </c>
      <c r="O14" s="874">
        <v>55</v>
      </c>
      <c r="P14" s="875">
        <v>56</v>
      </c>
      <c r="R14" s="5002"/>
      <c r="S14" s="5002"/>
      <c r="T14" s="5002"/>
      <c r="U14" s="5002"/>
      <c r="V14" s="5002"/>
    </row>
    <row r="15" spans="1:24" ht="15.75">
      <c r="E15" s="6760" t="s">
        <v>2597</v>
      </c>
      <c r="F15" s="6760"/>
      <c r="G15" s="6760"/>
      <c r="I15" s="4864" t="s">
        <v>2598</v>
      </c>
      <c r="J15" s="4864"/>
      <c r="K15" s="4864"/>
      <c r="L15" s="4864"/>
      <c r="M15" s="4864"/>
      <c r="N15" s="4864"/>
      <c r="O15" s="4864"/>
      <c r="P15" s="4864"/>
      <c r="Q15" s="6761"/>
      <c r="R15" s="5002" t="s">
        <v>7808</v>
      </c>
      <c r="S15" s="5002"/>
      <c r="T15" s="5002"/>
      <c r="U15" s="5002"/>
      <c r="V15" s="5002"/>
    </row>
    <row r="16" spans="1:24" ht="15.75">
      <c r="B16" s="4866" t="s">
        <v>2599</v>
      </c>
      <c r="C16" s="4866"/>
      <c r="E16" s="6762" t="s">
        <v>2600</v>
      </c>
      <c r="F16" s="6762"/>
      <c r="G16" s="6762"/>
      <c r="I16" s="4865"/>
      <c r="J16" s="4865"/>
      <c r="K16" s="4865"/>
      <c r="L16" s="4865"/>
      <c r="M16" s="4865"/>
      <c r="N16" s="4865"/>
      <c r="O16" s="4865"/>
      <c r="P16" s="4865"/>
      <c r="R16" s="6752" t="s">
        <v>2354</v>
      </c>
      <c r="S16" s="6753" t="s">
        <v>7809</v>
      </c>
      <c r="T16" s="5002"/>
      <c r="U16" s="5002"/>
      <c r="V16" s="5002"/>
    </row>
    <row r="17" spans="2:22" ht="15.75">
      <c r="E17" s="6754" t="s">
        <v>2588</v>
      </c>
      <c r="F17" s="6754"/>
      <c r="G17" s="6754"/>
      <c r="I17" s="4867" t="s">
        <v>2586</v>
      </c>
      <c r="J17" s="4868"/>
      <c r="K17" s="4868"/>
      <c r="L17" s="4868"/>
      <c r="M17" s="4868"/>
      <c r="N17" s="4868"/>
      <c r="O17" s="4868"/>
      <c r="P17" s="4869"/>
      <c r="R17" s="5002"/>
      <c r="S17" s="5002"/>
      <c r="T17" s="5002"/>
      <c r="U17" s="5002"/>
      <c r="V17" s="5002"/>
    </row>
    <row r="18" spans="2:22" ht="18">
      <c r="B18" s="4870" t="s">
        <v>2601</v>
      </c>
      <c r="C18" s="4870"/>
      <c r="E18" s="6763" t="s">
        <v>2602</v>
      </c>
      <c r="F18" s="6763"/>
      <c r="G18" s="6763"/>
      <c r="I18" s="876" t="s">
        <v>2603</v>
      </c>
      <c r="J18" s="876" t="s">
        <v>2604</v>
      </c>
      <c r="K18" s="877" t="s">
        <v>2605</v>
      </c>
      <c r="L18" s="878" t="s">
        <v>2605</v>
      </c>
      <c r="M18" s="879" t="s">
        <v>2606</v>
      </c>
      <c r="N18" s="880" t="s">
        <v>2606</v>
      </c>
      <c r="O18" s="881" t="s">
        <v>2607</v>
      </c>
      <c r="P18" s="882" t="s">
        <v>2607</v>
      </c>
      <c r="R18" s="6764" t="s">
        <v>7810</v>
      </c>
      <c r="S18" s="6765"/>
    </row>
    <row r="19" spans="2:22" ht="15.75">
      <c r="E19" s="6766" t="s">
        <v>2589</v>
      </c>
      <c r="F19" s="6766"/>
      <c r="G19" s="6766"/>
      <c r="I19" s="883" t="s">
        <v>2608</v>
      </c>
      <c r="J19" s="876" t="s">
        <v>2608</v>
      </c>
      <c r="K19" s="884" t="s">
        <v>2609</v>
      </c>
      <c r="L19" s="885" t="s">
        <v>2609</v>
      </c>
      <c r="M19" s="886" t="s">
        <v>2610</v>
      </c>
      <c r="N19" s="887" t="s">
        <v>2610</v>
      </c>
      <c r="O19" s="888" t="s">
        <v>2611</v>
      </c>
      <c r="P19" s="889" t="s">
        <v>2611</v>
      </c>
      <c r="R19" s="6767"/>
      <c r="S19" s="6768"/>
    </row>
    <row r="20" spans="2:22" ht="15.75">
      <c r="B20" s="4871" t="s">
        <v>1183</v>
      </c>
      <c r="C20" s="4871"/>
      <c r="E20" s="6769" t="s">
        <v>2599</v>
      </c>
      <c r="F20" s="6769"/>
      <c r="G20" s="6769"/>
      <c r="I20" s="876" t="s">
        <v>2612</v>
      </c>
      <c r="J20" s="890" t="s">
        <v>2612</v>
      </c>
      <c r="K20" s="891" t="s">
        <v>2613</v>
      </c>
      <c r="L20" s="892" t="s">
        <v>2613</v>
      </c>
      <c r="M20" s="893" t="s">
        <v>2614</v>
      </c>
      <c r="N20" s="894" t="s">
        <v>2614</v>
      </c>
      <c r="O20" s="895" t="s">
        <v>2615</v>
      </c>
      <c r="P20" s="896" t="s">
        <v>2615</v>
      </c>
      <c r="R20" s="6752" t="s">
        <v>2354</v>
      </c>
      <c r="S20" s="6770" t="s">
        <v>7811</v>
      </c>
    </row>
    <row r="21" spans="2:22" ht="15.75">
      <c r="E21" s="6771" t="s">
        <v>2616</v>
      </c>
      <c r="F21" s="6771"/>
      <c r="G21" s="6771"/>
      <c r="I21" s="897" t="s">
        <v>2617</v>
      </c>
      <c r="J21" s="898" t="s">
        <v>2617</v>
      </c>
      <c r="K21" s="899" t="s">
        <v>2618</v>
      </c>
      <c r="L21" s="900" t="s">
        <v>2618</v>
      </c>
      <c r="M21" s="901" t="s">
        <v>2619</v>
      </c>
      <c r="N21" s="902" t="s">
        <v>2619</v>
      </c>
      <c r="O21" s="903" t="s">
        <v>2620</v>
      </c>
      <c r="P21" s="904" t="s">
        <v>2620</v>
      </c>
      <c r="R21" s="6767"/>
      <c r="S21" s="6768"/>
    </row>
    <row r="22" spans="2:22" ht="15.75">
      <c r="B22" s="4872" t="s">
        <v>2621</v>
      </c>
      <c r="C22" s="4872"/>
      <c r="E22" s="6760" t="s">
        <v>2622</v>
      </c>
      <c r="F22" s="6760"/>
      <c r="G22" s="6760"/>
      <c r="I22" s="905" t="s">
        <v>2623</v>
      </c>
      <c r="J22" s="906" t="s">
        <v>2623</v>
      </c>
      <c r="K22" s="907" t="s">
        <v>2624</v>
      </c>
      <c r="L22" s="908" t="s">
        <v>2624</v>
      </c>
      <c r="M22" s="909" t="s">
        <v>2625</v>
      </c>
      <c r="N22" s="910" t="s">
        <v>2625</v>
      </c>
      <c r="O22" s="911" t="s">
        <v>2626</v>
      </c>
      <c r="P22" s="912" t="s">
        <v>2626</v>
      </c>
      <c r="R22" s="6752" t="s">
        <v>2354</v>
      </c>
      <c r="S22" s="6770" t="s">
        <v>7812</v>
      </c>
    </row>
    <row r="23" spans="2:22" ht="15.75">
      <c r="E23" s="6772" t="s">
        <v>2627</v>
      </c>
      <c r="F23" s="6772"/>
      <c r="G23" s="6772"/>
      <c r="I23" s="893" t="s">
        <v>2628</v>
      </c>
      <c r="J23" s="894" t="s">
        <v>2628</v>
      </c>
      <c r="K23" s="909" t="s">
        <v>2629</v>
      </c>
      <c r="L23" s="910" t="s">
        <v>2629</v>
      </c>
      <c r="M23" s="913" t="s">
        <v>2630</v>
      </c>
      <c r="N23" s="914" t="s">
        <v>2630</v>
      </c>
      <c r="O23" s="915" t="s">
        <v>2631</v>
      </c>
      <c r="P23" s="916" t="s">
        <v>2631</v>
      </c>
      <c r="R23" s="6767"/>
      <c r="S23" s="6768"/>
    </row>
    <row r="24" spans="2:22" ht="15.75">
      <c r="E24" s="6773" t="s">
        <v>2632</v>
      </c>
      <c r="F24" s="6773"/>
      <c r="G24" s="6773"/>
      <c r="I24" s="917" t="s">
        <v>2633</v>
      </c>
      <c r="J24" s="918" t="s">
        <v>2633</v>
      </c>
      <c r="K24" s="919" t="s">
        <v>2634</v>
      </c>
      <c r="L24" s="920" t="s">
        <v>2634</v>
      </c>
      <c r="M24" s="921" t="s">
        <v>2635</v>
      </c>
      <c r="N24" s="922" t="s">
        <v>2635</v>
      </c>
      <c r="O24" s="923" t="s">
        <v>2636</v>
      </c>
      <c r="P24" s="924" t="s">
        <v>2636</v>
      </c>
      <c r="R24" s="6752" t="s">
        <v>2354</v>
      </c>
      <c r="S24" s="6770" t="s">
        <v>7813</v>
      </c>
    </row>
    <row r="25" spans="2:22" ht="15.75">
      <c r="E25" s="6774" t="s">
        <v>36</v>
      </c>
      <c r="F25" s="6774"/>
      <c r="G25" s="6774"/>
      <c r="I25" s="925" t="s">
        <v>2637</v>
      </c>
      <c r="J25" s="926" t="s">
        <v>2637</v>
      </c>
      <c r="K25" s="927" t="s">
        <v>2638</v>
      </c>
      <c r="L25" s="928" t="s">
        <v>2638</v>
      </c>
      <c r="M25" s="929" t="s">
        <v>2639</v>
      </c>
      <c r="N25" s="930" t="s">
        <v>2639</v>
      </c>
      <c r="O25" s="931" t="s">
        <v>2640</v>
      </c>
      <c r="P25" s="932" t="s">
        <v>2640</v>
      </c>
      <c r="R25" s="6767"/>
      <c r="S25" s="6768"/>
    </row>
    <row r="26" spans="2:22" ht="15.75">
      <c r="E26" s="6775" t="s">
        <v>2641</v>
      </c>
      <c r="F26" s="6775"/>
      <c r="G26" s="6775"/>
      <c r="I26" s="933" t="s">
        <v>2642</v>
      </c>
      <c r="J26" s="934" t="s">
        <v>2642</v>
      </c>
      <c r="K26" s="935" t="s">
        <v>2643</v>
      </c>
      <c r="L26" s="936" t="s">
        <v>2643</v>
      </c>
      <c r="M26" s="937" t="s">
        <v>2644</v>
      </c>
      <c r="N26" s="938" t="s">
        <v>2644</v>
      </c>
      <c r="O26" s="939" t="s">
        <v>2645</v>
      </c>
      <c r="P26" s="940" t="s">
        <v>2645</v>
      </c>
      <c r="R26" s="6752" t="s">
        <v>2354</v>
      </c>
      <c r="S26" s="6770" t="s">
        <v>7814</v>
      </c>
    </row>
    <row r="27" spans="2:22">
      <c r="I27" s="879" t="s">
        <v>2646</v>
      </c>
      <c r="J27" s="880" t="s">
        <v>2646</v>
      </c>
      <c r="K27" s="941" t="s">
        <v>2647</v>
      </c>
      <c r="L27" s="942" t="s">
        <v>2647</v>
      </c>
      <c r="M27" s="943" t="s">
        <v>2648</v>
      </c>
      <c r="N27" s="944" t="s">
        <v>2648</v>
      </c>
      <c r="O27" s="899" t="s">
        <v>2649</v>
      </c>
      <c r="P27" s="900" t="s">
        <v>2649</v>
      </c>
      <c r="R27" s="6767"/>
      <c r="S27" s="6768"/>
    </row>
    <row r="28" spans="2:22" ht="18.75">
      <c r="C28" s="945"/>
      <c r="F28" s="945"/>
      <c r="G28" s="945" t="s">
        <v>2650</v>
      </c>
      <c r="I28" s="946" t="s">
        <v>2651</v>
      </c>
      <c r="J28" s="947" t="s">
        <v>2651</v>
      </c>
      <c r="K28" s="948" t="s">
        <v>2652</v>
      </c>
      <c r="L28" s="949" t="s">
        <v>2652</v>
      </c>
      <c r="M28" s="950" t="s">
        <v>2653</v>
      </c>
      <c r="N28" s="951" t="s">
        <v>2653</v>
      </c>
      <c r="O28" s="952" t="s">
        <v>2654</v>
      </c>
      <c r="P28" s="953" t="s">
        <v>2654</v>
      </c>
      <c r="R28" s="6752" t="s">
        <v>2354</v>
      </c>
      <c r="S28" s="6770" t="s">
        <v>7815</v>
      </c>
    </row>
    <row r="29" spans="2:22" ht="15.75">
      <c r="E29" s="6755" t="s">
        <v>2655</v>
      </c>
      <c r="F29" s="6755"/>
      <c r="G29" s="6755"/>
      <c r="I29" s="948" t="s">
        <v>2656</v>
      </c>
      <c r="J29" s="949" t="s">
        <v>2656</v>
      </c>
      <c r="K29" s="925" t="s">
        <v>2657</v>
      </c>
      <c r="L29" s="926" t="s">
        <v>2657</v>
      </c>
      <c r="M29" s="954" t="s">
        <v>2658</v>
      </c>
      <c r="N29" s="955" t="s">
        <v>2658</v>
      </c>
      <c r="O29" s="956" t="s">
        <v>2659</v>
      </c>
      <c r="P29" s="957" t="s">
        <v>2659</v>
      </c>
      <c r="R29" s="6767"/>
      <c r="S29" s="6768"/>
    </row>
    <row r="30" spans="2:22" ht="15.75">
      <c r="E30" s="6756" t="s">
        <v>2660</v>
      </c>
      <c r="F30" s="6756"/>
      <c r="G30" s="6756"/>
      <c r="I30" s="958" t="s">
        <v>2661</v>
      </c>
      <c r="J30" s="959" t="s">
        <v>2661</v>
      </c>
      <c r="K30" s="917" t="s">
        <v>2662</v>
      </c>
      <c r="L30" s="918" t="s">
        <v>2662</v>
      </c>
      <c r="M30" s="960" t="s">
        <v>2663</v>
      </c>
      <c r="N30" s="961" t="s">
        <v>2663</v>
      </c>
      <c r="O30" s="876"/>
      <c r="P30" s="876"/>
      <c r="R30" s="6752" t="s">
        <v>2354</v>
      </c>
      <c r="S30" s="6770" t="s">
        <v>7816</v>
      </c>
    </row>
    <row r="31" spans="2:22" ht="15.75">
      <c r="E31" s="6757" t="s">
        <v>2664</v>
      </c>
      <c r="F31" s="6757"/>
      <c r="G31" s="6757"/>
      <c r="I31" s="962" t="s">
        <v>2665</v>
      </c>
      <c r="J31" s="963" t="s">
        <v>2665</v>
      </c>
      <c r="K31" s="933" t="s">
        <v>2666</v>
      </c>
      <c r="L31" s="934" t="s">
        <v>2666</v>
      </c>
      <c r="M31" s="964" t="s">
        <v>2667</v>
      </c>
      <c r="N31" s="965" t="s">
        <v>2667</v>
      </c>
      <c r="O31" s="876"/>
      <c r="P31" s="876"/>
      <c r="R31" s="6767"/>
      <c r="S31" s="6768"/>
    </row>
    <row r="32" spans="2:22" ht="15.75">
      <c r="E32" s="6758" t="s">
        <v>2668</v>
      </c>
      <c r="F32" s="6758"/>
      <c r="G32" s="6758"/>
      <c r="I32" s="886" t="s">
        <v>2669</v>
      </c>
      <c r="J32" s="887" t="s">
        <v>2669</v>
      </c>
      <c r="K32" s="962" t="s">
        <v>2670</v>
      </c>
      <c r="L32" s="963" t="s">
        <v>2670</v>
      </c>
      <c r="M32" s="966" t="s">
        <v>2671</v>
      </c>
      <c r="N32" s="967" t="s">
        <v>2671</v>
      </c>
      <c r="O32" s="876"/>
      <c r="P32" s="968"/>
      <c r="R32" s="6752" t="s">
        <v>2354</v>
      </c>
      <c r="S32" s="6770" t="s">
        <v>7815</v>
      </c>
    </row>
    <row r="33" spans="1:19" ht="15.75">
      <c r="E33" s="6759" t="s">
        <v>2672</v>
      </c>
      <c r="F33" s="6759"/>
      <c r="G33" s="6759"/>
      <c r="I33" s="969"/>
      <c r="J33" s="969"/>
      <c r="K33" s="969"/>
      <c r="L33" s="969"/>
      <c r="M33" s="969"/>
      <c r="N33" s="969"/>
      <c r="O33" s="969"/>
      <c r="P33" s="969"/>
      <c r="R33" s="6767"/>
      <c r="S33" s="6768"/>
    </row>
    <row r="34" spans="1:19" ht="15.75">
      <c r="E34" s="6760" t="s">
        <v>2673</v>
      </c>
      <c r="F34" s="6760"/>
      <c r="G34" s="6760"/>
      <c r="I34" s="876" t="s">
        <v>2674</v>
      </c>
      <c r="J34" s="876" t="s">
        <v>2675</v>
      </c>
      <c r="K34" s="876" t="s">
        <v>2676</v>
      </c>
      <c r="L34" s="970" t="s">
        <v>2677</v>
      </c>
      <c r="M34" s="971" t="s">
        <v>2678</v>
      </c>
      <c r="N34" s="972" t="s">
        <v>2679</v>
      </c>
      <c r="O34" s="973" t="s">
        <v>2680</v>
      </c>
      <c r="P34" s="974" t="s">
        <v>2681</v>
      </c>
      <c r="R34" s="6752" t="s">
        <v>2354</v>
      </c>
      <c r="S34" s="6770" t="s">
        <v>7817</v>
      </c>
    </row>
    <row r="35" spans="1:19" ht="15.75">
      <c r="E35" s="6762" t="s">
        <v>2682</v>
      </c>
      <c r="F35" s="6762"/>
      <c r="G35" s="6762"/>
      <c r="I35" s="975" t="s">
        <v>2683</v>
      </c>
      <c r="J35" s="876" t="s">
        <v>2608</v>
      </c>
      <c r="K35" s="876" t="s">
        <v>2684</v>
      </c>
      <c r="L35" s="975" t="s">
        <v>2684</v>
      </c>
      <c r="M35" s="976">
        <v>0</v>
      </c>
      <c r="N35" s="976">
        <v>0</v>
      </c>
      <c r="O35" s="976">
        <v>0</v>
      </c>
      <c r="P35" s="974" t="s">
        <v>2685</v>
      </c>
      <c r="R35" s="6776"/>
      <c r="S35" s="6777"/>
    </row>
    <row r="36" spans="1:19" ht="15.75">
      <c r="E36" s="6754" t="s">
        <v>2686</v>
      </c>
      <c r="F36" s="6754"/>
      <c r="G36" s="6754"/>
      <c r="I36" s="876" t="s">
        <v>2687</v>
      </c>
      <c r="J36" s="890" t="s">
        <v>2612</v>
      </c>
      <c r="K36" s="876" t="s">
        <v>2688</v>
      </c>
      <c r="L36" s="876" t="s">
        <v>2688</v>
      </c>
      <c r="M36" s="976">
        <v>255</v>
      </c>
      <c r="N36" s="976">
        <v>255</v>
      </c>
      <c r="O36" s="976">
        <v>255</v>
      </c>
      <c r="P36" s="974" t="s">
        <v>2689</v>
      </c>
      <c r="R36" s="6752" t="s">
        <v>2354</v>
      </c>
      <c r="S36" s="6770" t="s">
        <v>7818</v>
      </c>
    </row>
    <row r="37" spans="1:19" ht="15.75">
      <c r="E37" s="6763" t="s">
        <v>2690</v>
      </c>
      <c r="F37" s="6763"/>
      <c r="G37" s="6763"/>
      <c r="I37" s="897" t="s">
        <v>2691</v>
      </c>
      <c r="J37" s="898" t="s">
        <v>2617</v>
      </c>
      <c r="K37" s="876" t="s">
        <v>2692</v>
      </c>
      <c r="L37" s="897" t="s">
        <v>2692</v>
      </c>
      <c r="M37" s="976">
        <v>255</v>
      </c>
      <c r="N37" s="976">
        <v>0</v>
      </c>
      <c r="O37" s="976">
        <v>0</v>
      </c>
      <c r="P37" s="974" t="s">
        <v>2693</v>
      </c>
      <c r="R37" s="6767"/>
      <c r="S37" s="6768"/>
    </row>
    <row r="38" spans="1:19" ht="15.75">
      <c r="E38" s="6766" t="s">
        <v>2694</v>
      </c>
      <c r="F38" s="6766"/>
      <c r="G38" s="6766"/>
      <c r="I38" s="905" t="s">
        <v>2679</v>
      </c>
      <c r="J38" s="906" t="s">
        <v>2623</v>
      </c>
      <c r="K38" s="876" t="s">
        <v>2695</v>
      </c>
      <c r="L38" s="905" t="s">
        <v>2695</v>
      </c>
      <c r="M38" s="976">
        <v>0</v>
      </c>
      <c r="N38" s="976">
        <v>255</v>
      </c>
      <c r="O38" s="976">
        <v>0</v>
      </c>
      <c r="P38" s="974" t="s">
        <v>2696</v>
      </c>
      <c r="R38" s="6752" t="s">
        <v>2354</v>
      </c>
      <c r="S38" s="6770" t="s">
        <v>7819</v>
      </c>
    </row>
    <row r="39" spans="1:19" ht="15.75">
      <c r="E39" s="6769" t="s">
        <v>2697</v>
      </c>
      <c r="F39" s="6769"/>
      <c r="G39" s="6769"/>
      <c r="I39" s="893" t="s">
        <v>2680</v>
      </c>
      <c r="J39" s="894" t="s">
        <v>2628</v>
      </c>
      <c r="K39" s="876" t="s">
        <v>2698</v>
      </c>
      <c r="L39" s="893" t="s">
        <v>2698</v>
      </c>
      <c r="M39" s="976">
        <v>0</v>
      </c>
      <c r="N39" s="976">
        <v>0</v>
      </c>
      <c r="O39" s="976">
        <v>255</v>
      </c>
      <c r="P39" s="974" t="s">
        <v>2699</v>
      </c>
      <c r="R39" s="6767"/>
      <c r="S39" s="6768"/>
    </row>
    <row r="40" spans="1:19" ht="15.75">
      <c r="E40" s="6771" t="s">
        <v>2700</v>
      </c>
      <c r="F40" s="6771"/>
      <c r="G40" s="6771"/>
      <c r="I40" s="917" t="s">
        <v>2701</v>
      </c>
      <c r="J40" s="918" t="s">
        <v>2633</v>
      </c>
      <c r="K40" s="876" t="s">
        <v>2702</v>
      </c>
      <c r="L40" s="917" t="s">
        <v>2702</v>
      </c>
      <c r="M40" s="976">
        <v>255</v>
      </c>
      <c r="N40" s="976">
        <v>255</v>
      </c>
      <c r="O40" s="976">
        <v>0</v>
      </c>
      <c r="P40" s="974" t="s">
        <v>2703</v>
      </c>
      <c r="R40" s="6778">
        <v>0</v>
      </c>
      <c r="S40" s="6779">
        <v>0</v>
      </c>
    </row>
    <row r="41" spans="1:19" ht="15.75">
      <c r="E41" s="6760" t="s">
        <v>2673</v>
      </c>
      <c r="F41" s="6760"/>
      <c r="G41" s="6760"/>
      <c r="I41" s="925" t="s">
        <v>2704</v>
      </c>
      <c r="J41" s="926" t="s">
        <v>2637</v>
      </c>
      <c r="K41" s="876" t="s">
        <v>2705</v>
      </c>
      <c r="L41" s="925" t="s">
        <v>2705</v>
      </c>
      <c r="M41" s="976">
        <v>255</v>
      </c>
      <c r="N41" s="976">
        <v>0</v>
      </c>
      <c r="O41" s="976">
        <v>255</v>
      </c>
      <c r="P41" s="974" t="s">
        <v>2706</v>
      </c>
      <c r="R41" s="6752" t="s">
        <v>2354</v>
      </c>
      <c r="S41" s="6770" t="s">
        <v>7820</v>
      </c>
    </row>
    <row r="42" spans="1:19" ht="15.75">
      <c r="E42" s="6772" t="s">
        <v>2707</v>
      </c>
      <c r="F42" s="6772"/>
      <c r="G42" s="6772"/>
      <c r="I42" s="933" t="s">
        <v>2708</v>
      </c>
      <c r="J42" s="934" t="s">
        <v>2642</v>
      </c>
      <c r="K42" s="876" t="s">
        <v>2709</v>
      </c>
      <c r="L42" s="933" t="s">
        <v>2709</v>
      </c>
      <c r="M42" s="976">
        <v>0</v>
      </c>
      <c r="N42" s="976">
        <v>255</v>
      </c>
      <c r="O42" s="976">
        <v>255</v>
      </c>
      <c r="P42" s="974" t="s">
        <v>2710</v>
      </c>
      <c r="R42" s="6778">
        <v>0</v>
      </c>
      <c r="S42" s="6779">
        <v>0</v>
      </c>
    </row>
    <row r="43" spans="1:19" ht="15.75">
      <c r="E43" s="6773" t="s">
        <v>2711</v>
      </c>
      <c r="F43" s="6773"/>
      <c r="G43" s="6773"/>
      <c r="I43" s="879" t="s">
        <v>2646</v>
      </c>
      <c r="J43" s="880" t="s">
        <v>2646</v>
      </c>
      <c r="K43" s="876" t="s">
        <v>2712</v>
      </c>
      <c r="L43" s="879" t="s">
        <v>2712</v>
      </c>
      <c r="M43" s="976">
        <v>128</v>
      </c>
      <c r="N43" s="976">
        <v>0</v>
      </c>
      <c r="O43" s="976">
        <v>0</v>
      </c>
      <c r="P43" s="876" t="s">
        <v>2646</v>
      </c>
      <c r="R43" s="6752" t="s">
        <v>2354</v>
      </c>
      <c r="S43" s="6770" t="s">
        <v>7821</v>
      </c>
    </row>
    <row r="44" spans="1:19" ht="15.75">
      <c r="E44" s="6774" t="s">
        <v>2713</v>
      </c>
      <c r="F44" s="6774"/>
      <c r="G44" s="6774"/>
      <c r="I44" s="946" t="s">
        <v>2651</v>
      </c>
      <c r="J44" s="947" t="s">
        <v>2651</v>
      </c>
      <c r="K44" s="876" t="s">
        <v>2714</v>
      </c>
      <c r="L44" s="946" t="s">
        <v>2714</v>
      </c>
      <c r="M44" s="976">
        <v>0</v>
      </c>
      <c r="N44" s="976">
        <v>128</v>
      </c>
      <c r="O44" s="976">
        <v>0</v>
      </c>
      <c r="P44" s="876" t="s">
        <v>2651</v>
      </c>
      <c r="R44" s="6778">
        <v>0</v>
      </c>
      <c r="S44" s="6779">
        <v>0</v>
      </c>
    </row>
    <row r="45" spans="1:19" ht="15.75">
      <c r="E45" s="6775" t="s">
        <v>2715</v>
      </c>
      <c r="F45" s="6775"/>
      <c r="G45" s="6775"/>
      <c r="I45" s="948" t="s">
        <v>2656</v>
      </c>
      <c r="J45" s="949" t="s">
        <v>2656</v>
      </c>
      <c r="K45" s="876" t="s">
        <v>2716</v>
      </c>
      <c r="L45" s="948" t="s">
        <v>2716</v>
      </c>
      <c r="M45" s="976">
        <v>0</v>
      </c>
      <c r="N45" s="976">
        <v>0</v>
      </c>
      <c r="O45" s="976">
        <v>128</v>
      </c>
      <c r="P45" s="876" t="s">
        <v>2656</v>
      </c>
      <c r="R45" s="6752" t="s">
        <v>2354</v>
      </c>
      <c r="S45" s="6770" t="s">
        <v>7822</v>
      </c>
    </row>
    <row r="46" spans="1:19">
      <c r="A46" s="5002"/>
      <c r="B46" s="5002"/>
      <c r="C46" s="5002"/>
      <c r="D46" s="5002"/>
      <c r="E46" s="5002"/>
      <c r="F46" s="5002"/>
      <c r="G46" s="5002"/>
      <c r="I46" s="958" t="s">
        <v>2661</v>
      </c>
      <c r="J46" s="959" t="s">
        <v>2661</v>
      </c>
      <c r="K46" s="876" t="s">
        <v>2717</v>
      </c>
      <c r="L46" s="958" t="s">
        <v>2717</v>
      </c>
      <c r="M46" s="976">
        <v>128</v>
      </c>
      <c r="N46" s="976">
        <v>128</v>
      </c>
      <c r="O46" s="976">
        <v>0</v>
      </c>
      <c r="P46" s="876" t="s">
        <v>2661</v>
      </c>
      <c r="R46" s="6778">
        <v>0</v>
      </c>
      <c r="S46" s="6779">
        <v>0</v>
      </c>
    </row>
    <row r="47" spans="1:19">
      <c r="A47" s="5002"/>
      <c r="I47" s="977" t="s">
        <v>2665</v>
      </c>
      <c r="J47" s="978" t="s">
        <v>2665</v>
      </c>
      <c r="K47" s="979" t="s">
        <v>2718</v>
      </c>
      <c r="L47" s="977" t="s">
        <v>2718</v>
      </c>
      <c r="M47" s="980">
        <v>128</v>
      </c>
      <c r="N47" s="980">
        <v>0</v>
      </c>
      <c r="O47" s="980">
        <v>128</v>
      </c>
      <c r="P47" s="979" t="s">
        <v>2665</v>
      </c>
      <c r="R47" s="6752" t="s">
        <v>2354</v>
      </c>
      <c r="S47" s="6770" t="s">
        <v>7823</v>
      </c>
    </row>
    <row r="48" spans="1:19">
      <c r="I48" s="981" t="s">
        <v>2669</v>
      </c>
      <c r="J48" s="982" t="s">
        <v>2669</v>
      </c>
      <c r="K48" s="979" t="s">
        <v>2719</v>
      </c>
      <c r="L48" s="981" t="s">
        <v>2719</v>
      </c>
      <c r="M48" s="980">
        <v>0</v>
      </c>
      <c r="N48" s="980">
        <v>128</v>
      </c>
      <c r="O48" s="980">
        <v>128</v>
      </c>
      <c r="P48" s="979" t="s">
        <v>2669</v>
      </c>
      <c r="S48" s="6780"/>
    </row>
    <row r="49" spans="1:16">
      <c r="A49" s="5002"/>
      <c r="I49" s="983" t="s">
        <v>2605</v>
      </c>
      <c r="J49" s="984" t="s">
        <v>2605</v>
      </c>
      <c r="K49" s="979" t="s">
        <v>2720</v>
      </c>
      <c r="L49" s="983" t="s">
        <v>2720</v>
      </c>
      <c r="M49" s="980">
        <v>192</v>
      </c>
      <c r="N49" s="980">
        <v>192</v>
      </c>
      <c r="O49" s="980">
        <v>192</v>
      </c>
      <c r="P49" s="979" t="s">
        <v>2605</v>
      </c>
    </row>
    <row r="50" spans="1:16">
      <c r="A50" s="5002"/>
      <c r="I50" s="985" t="s">
        <v>2609</v>
      </c>
      <c r="J50" s="986" t="s">
        <v>2609</v>
      </c>
      <c r="K50" s="979" t="s">
        <v>2721</v>
      </c>
      <c r="L50" s="985" t="s">
        <v>2721</v>
      </c>
      <c r="M50" s="980">
        <v>128</v>
      </c>
      <c r="N50" s="980">
        <v>128</v>
      </c>
      <c r="O50" s="980">
        <v>128</v>
      </c>
      <c r="P50" s="979" t="s">
        <v>2609</v>
      </c>
    </row>
    <row r="51" spans="1:16">
      <c r="A51" s="5002"/>
      <c r="I51" s="987" t="s">
        <v>2613</v>
      </c>
      <c r="J51" s="988" t="s">
        <v>2613</v>
      </c>
      <c r="K51" s="979" t="s">
        <v>2722</v>
      </c>
      <c r="L51" s="987" t="s">
        <v>2722</v>
      </c>
      <c r="M51" s="980">
        <v>153</v>
      </c>
      <c r="N51" s="980">
        <v>153</v>
      </c>
      <c r="O51" s="980">
        <v>255</v>
      </c>
      <c r="P51" s="979" t="s">
        <v>2613</v>
      </c>
    </row>
    <row r="52" spans="1:16">
      <c r="A52" s="5002"/>
      <c r="I52" s="989" t="s">
        <v>2618</v>
      </c>
      <c r="J52" s="990" t="s">
        <v>2618</v>
      </c>
      <c r="K52" s="979" t="s">
        <v>2723</v>
      </c>
      <c r="L52" s="989" t="s">
        <v>2723</v>
      </c>
      <c r="M52" s="980">
        <v>153</v>
      </c>
      <c r="N52" s="980">
        <v>51</v>
      </c>
      <c r="O52" s="980">
        <v>102</v>
      </c>
      <c r="P52" s="979" t="s">
        <v>2618</v>
      </c>
    </row>
    <row r="53" spans="1:16">
      <c r="A53" s="5002"/>
      <c r="I53" s="835"/>
      <c r="J53" s="835"/>
      <c r="K53" s="835"/>
      <c r="L53" s="835"/>
      <c r="M53" s="835"/>
      <c r="N53" s="835"/>
      <c r="O53" s="835"/>
      <c r="P53" s="835"/>
    </row>
    <row r="54" spans="1:16">
      <c r="A54" s="5002"/>
      <c r="I54" s="991" t="s">
        <v>2629</v>
      </c>
      <c r="J54" s="992" t="s">
        <v>2629</v>
      </c>
      <c r="K54" s="979" t="s">
        <v>2724</v>
      </c>
      <c r="L54" s="991" t="s">
        <v>2724</v>
      </c>
      <c r="M54" s="980">
        <v>204</v>
      </c>
      <c r="N54" s="980">
        <v>255</v>
      </c>
      <c r="O54" s="980">
        <v>255</v>
      </c>
      <c r="P54" s="979" t="s">
        <v>2629</v>
      </c>
    </row>
    <row r="55" spans="1:16">
      <c r="A55" s="5002"/>
      <c r="I55" s="993" t="s">
        <v>2634</v>
      </c>
      <c r="J55" s="994" t="s">
        <v>2634</v>
      </c>
      <c r="K55" s="979" t="s">
        <v>2725</v>
      </c>
      <c r="L55" s="993" t="s">
        <v>2725</v>
      </c>
      <c r="M55" s="980">
        <v>102</v>
      </c>
      <c r="N55" s="980">
        <v>0</v>
      </c>
      <c r="O55" s="980">
        <v>102</v>
      </c>
      <c r="P55" s="979" t="s">
        <v>2634</v>
      </c>
    </row>
    <row r="56" spans="1:16">
      <c r="A56" s="5002"/>
      <c r="I56" s="995" t="s">
        <v>2638</v>
      </c>
      <c r="J56" s="996" t="s">
        <v>2638</v>
      </c>
      <c r="K56" s="979" t="s">
        <v>2726</v>
      </c>
      <c r="L56" s="995" t="s">
        <v>2726</v>
      </c>
      <c r="M56" s="980">
        <v>255</v>
      </c>
      <c r="N56" s="980">
        <v>128</v>
      </c>
      <c r="O56" s="980">
        <v>128</v>
      </c>
      <c r="P56" s="979" t="s">
        <v>2638</v>
      </c>
    </row>
    <row r="57" spans="1:16">
      <c r="A57" s="5002"/>
      <c r="I57" s="997" t="s">
        <v>2643</v>
      </c>
      <c r="J57" s="998" t="s">
        <v>2643</v>
      </c>
      <c r="K57" s="979" t="s">
        <v>2727</v>
      </c>
      <c r="L57" s="997" t="s">
        <v>2727</v>
      </c>
      <c r="M57" s="980">
        <v>0</v>
      </c>
      <c r="N57" s="980">
        <v>102</v>
      </c>
      <c r="O57" s="980">
        <v>204</v>
      </c>
      <c r="P57" s="979" t="s">
        <v>2643</v>
      </c>
    </row>
    <row r="58" spans="1:16">
      <c r="A58" s="5002"/>
      <c r="I58" s="999" t="s">
        <v>2647</v>
      </c>
      <c r="J58" s="1000" t="s">
        <v>2647</v>
      </c>
      <c r="K58" s="979" t="s">
        <v>2728</v>
      </c>
      <c r="L58" s="999" t="s">
        <v>2728</v>
      </c>
      <c r="M58" s="980">
        <v>204</v>
      </c>
      <c r="N58" s="980">
        <v>204</v>
      </c>
      <c r="O58" s="980">
        <v>255</v>
      </c>
      <c r="P58" s="979" t="s">
        <v>2647</v>
      </c>
    </row>
    <row r="59" spans="1:16">
      <c r="I59" s="1001" t="s">
        <v>2652</v>
      </c>
      <c r="J59" s="1002" t="s">
        <v>2652</v>
      </c>
      <c r="K59" s="979" t="s">
        <v>2716</v>
      </c>
      <c r="L59" s="1001" t="s">
        <v>2716</v>
      </c>
      <c r="M59" s="980">
        <v>0</v>
      </c>
      <c r="N59" s="980">
        <v>0</v>
      </c>
      <c r="O59" s="980">
        <v>128</v>
      </c>
      <c r="P59" s="979" t="s">
        <v>2652</v>
      </c>
    </row>
    <row r="60" spans="1:16">
      <c r="I60" s="1003" t="s">
        <v>2657</v>
      </c>
      <c r="J60" s="1004" t="s">
        <v>2657</v>
      </c>
      <c r="K60" s="979" t="s">
        <v>2705</v>
      </c>
      <c r="L60" s="1003" t="s">
        <v>2705</v>
      </c>
      <c r="M60" s="980">
        <v>255</v>
      </c>
      <c r="N60" s="980">
        <v>0</v>
      </c>
      <c r="O60" s="980">
        <v>255</v>
      </c>
      <c r="P60" s="979" t="s">
        <v>2657</v>
      </c>
    </row>
    <row r="61" spans="1:16">
      <c r="I61" s="1005" t="s">
        <v>2662</v>
      </c>
      <c r="J61" s="1006" t="s">
        <v>2662</v>
      </c>
      <c r="K61" s="979" t="s">
        <v>2702</v>
      </c>
      <c r="L61" s="1005" t="s">
        <v>2702</v>
      </c>
      <c r="M61" s="980">
        <v>255</v>
      </c>
      <c r="N61" s="980">
        <v>255</v>
      </c>
      <c r="O61" s="980">
        <v>0</v>
      </c>
      <c r="P61" s="979" t="s">
        <v>2662</v>
      </c>
    </row>
    <row r="62" spans="1:16">
      <c r="I62" s="1007" t="s">
        <v>2666</v>
      </c>
      <c r="J62" s="1008" t="s">
        <v>2666</v>
      </c>
      <c r="K62" s="979" t="s">
        <v>2709</v>
      </c>
      <c r="L62" s="1007" t="s">
        <v>2709</v>
      </c>
      <c r="M62" s="980">
        <v>0</v>
      </c>
      <c r="N62" s="980">
        <v>255</v>
      </c>
      <c r="O62" s="980">
        <v>255</v>
      </c>
      <c r="P62" s="979" t="s">
        <v>2666</v>
      </c>
    </row>
    <row r="63" spans="1:16">
      <c r="I63" s="977" t="s">
        <v>2670</v>
      </c>
      <c r="J63" s="978" t="s">
        <v>2670</v>
      </c>
      <c r="K63" s="979" t="s">
        <v>2718</v>
      </c>
      <c r="L63" s="977" t="s">
        <v>2718</v>
      </c>
      <c r="M63" s="980">
        <v>128</v>
      </c>
      <c r="N63" s="980">
        <v>0</v>
      </c>
      <c r="O63" s="980">
        <v>128</v>
      </c>
      <c r="P63" s="979" t="s">
        <v>2670</v>
      </c>
    </row>
    <row r="64" spans="1:16">
      <c r="I64" s="1009" t="s">
        <v>2606</v>
      </c>
      <c r="J64" s="1010" t="s">
        <v>2606</v>
      </c>
      <c r="K64" s="979" t="s">
        <v>2712</v>
      </c>
      <c r="L64" s="1009" t="s">
        <v>2712</v>
      </c>
      <c r="M64" s="980">
        <v>128</v>
      </c>
      <c r="N64" s="980">
        <v>0</v>
      </c>
      <c r="O64" s="980">
        <v>0</v>
      </c>
      <c r="P64" s="979" t="s">
        <v>2606</v>
      </c>
    </row>
    <row r="65" spans="9:16">
      <c r="I65" s="981" t="s">
        <v>2610</v>
      </c>
      <c r="J65" s="982" t="s">
        <v>2610</v>
      </c>
      <c r="K65" s="979" t="s">
        <v>2719</v>
      </c>
      <c r="L65" s="981" t="s">
        <v>2719</v>
      </c>
      <c r="M65" s="980">
        <v>0</v>
      </c>
      <c r="N65" s="980">
        <v>128</v>
      </c>
      <c r="O65" s="980">
        <v>128</v>
      </c>
      <c r="P65" s="979" t="s">
        <v>2610</v>
      </c>
    </row>
    <row r="66" spans="9:16">
      <c r="I66" s="1011" t="s">
        <v>2614</v>
      </c>
      <c r="J66" s="1012" t="s">
        <v>2614</v>
      </c>
      <c r="K66" s="979" t="s">
        <v>2698</v>
      </c>
      <c r="L66" s="1011" t="s">
        <v>2698</v>
      </c>
      <c r="M66" s="980">
        <v>0</v>
      </c>
      <c r="N66" s="980">
        <v>0</v>
      </c>
      <c r="O66" s="980">
        <v>255</v>
      </c>
      <c r="P66" s="979" t="s">
        <v>2614</v>
      </c>
    </row>
    <row r="67" spans="9:16">
      <c r="I67" s="1013" t="s">
        <v>2619</v>
      </c>
      <c r="J67" s="1014" t="s">
        <v>2619</v>
      </c>
      <c r="K67" s="979" t="s">
        <v>2729</v>
      </c>
      <c r="L67" s="1013" t="s">
        <v>2729</v>
      </c>
      <c r="M67" s="980">
        <v>0</v>
      </c>
      <c r="N67" s="980">
        <v>204</v>
      </c>
      <c r="O67" s="980">
        <v>255</v>
      </c>
      <c r="P67" s="979" t="s">
        <v>2619</v>
      </c>
    </row>
    <row r="68" spans="9:16">
      <c r="I68" s="991" t="s">
        <v>2625</v>
      </c>
      <c r="J68" s="992" t="s">
        <v>2625</v>
      </c>
      <c r="K68" s="979" t="s">
        <v>2724</v>
      </c>
      <c r="L68" s="991" t="s">
        <v>2724</v>
      </c>
      <c r="M68" s="980">
        <v>204</v>
      </c>
      <c r="N68" s="980">
        <v>255</v>
      </c>
      <c r="O68" s="980">
        <v>255</v>
      </c>
      <c r="P68" s="979" t="s">
        <v>2625</v>
      </c>
    </row>
    <row r="69" spans="9:16">
      <c r="I69" s="1015" t="s">
        <v>2630</v>
      </c>
      <c r="J69" s="1016" t="s">
        <v>2630</v>
      </c>
      <c r="K69" s="979" t="s">
        <v>2730</v>
      </c>
      <c r="L69" s="1015" t="s">
        <v>2730</v>
      </c>
      <c r="M69" s="980">
        <v>204</v>
      </c>
      <c r="N69" s="980">
        <v>255</v>
      </c>
      <c r="O69" s="980">
        <v>204</v>
      </c>
      <c r="P69" s="979" t="s">
        <v>2630</v>
      </c>
    </row>
    <row r="70" spans="9:16">
      <c r="I70" s="1017" t="s">
        <v>2635</v>
      </c>
      <c r="J70" s="1018" t="s">
        <v>2635</v>
      </c>
      <c r="K70" s="979" t="s">
        <v>2731</v>
      </c>
      <c r="L70" s="1017" t="s">
        <v>2731</v>
      </c>
      <c r="M70" s="980">
        <v>255</v>
      </c>
      <c r="N70" s="980">
        <v>255</v>
      </c>
      <c r="O70" s="980">
        <v>153</v>
      </c>
      <c r="P70" s="979" t="s">
        <v>2635</v>
      </c>
    </row>
    <row r="71" spans="9:16">
      <c r="I71" s="1019" t="s">
        <v>2639</v>
      </c>
      <c r="J71" s="1020" t="s">
        <v>2639</v>
      </c>
      <c r="K71" s="979" t="s">
        <v>2732</v>
      </c>
      <c r="L71" s="1019" t="s">
        <v>2732</v>
      </c>
      <c r="M71" s="980">
        <v>153</v>
      </c>
      <c r="N71" s="980">
        <v>204</v>
      </c>
      <c r="O71" s="980">
        <v>255</v>
      </c>
      <c r="P71" s="979" t="s">
        <v>2639</v>
      </c>
    </row>
    <row r="72" spans="9:16">
      <c r="I72" s="1021" t="s">
        <v>2644</v>
      </c>
      <c r="J72" s="1022" t="s">
        <v>2644</v>
      </c>
      <c r="K72" s="979" t="s">
        <v>2733</v>
      </c>
      <c r="L72" s="1021" t="s">
        <v>2733</v>
      </c>
      <c r="M72" s="980">
        <v>255</v>
      </c>
      <c r="N72" s="980">
        <v>153</v>
      </c>
      <c r="O72" s="980">
        <v>204</v>
      </c>
      <c r="P72" s="979" t="s">
        <v>2644</v>
      </c>
    </row>
    <row r="73" spans="9:16">
      <c r="I73" s="1023" t="s">
        <v>2648</v>
      </c>
      <c r="J73" s="1024" t="s">
        <v>2648</v>
      </c>
      <c r="K73" s="979" t="s">
        <v>2734</v>
      </c>
      <c r="L73" s="1023" t="s">
        <v>2734</v>
      </c>
      <c r="M73" s="980">
        <v>204</v>
      </c>
      <c r="N73" s="980">
        <v>153</v>
      </c>
      <c r="O73" s="980">
        <v>255</v>
      </c>
      <c r="P73" s="979" t="s">
        <v>2648</v>
      </c>
    </row>
    <row r="74" spans="9:16">
      <c r="I74" s="1025" t="s">
        <v>2653</v>
      </c>
      <c r="J74" s="1026" t="s">
        <v>2653</v>
      </c>
      <c r="K74" s="979" t="s">
        <v>2735</v>
      </c>
      <c r="L74" s="1025" t="s">
        <v>2735</v>
      </c>
      <c r="M74" s="980">
        <v>255</v>
      </c>
      <c r="N74" s="980">
        <v>204</v>
      </c>
      <c r="O74" s="980">
        <v>153</v>
      </c>
      <c r="P74" s="979" t="s">
        <v>2653</v>
      </c>
    </row>
    <row r="75" spans="9:16">
      <c r="I75" s="1027" t="s">
        <v>2658</v>
      </c>
      <c r="J75" s="1028" t="s">
        <v>2658</v>
      </c>
      <c r="K75" s="979" t="s">
        <v>2736</v>
      </c>
      <c r="L75" s="1027" t="s">
        <v>2736</v>
      </c>
      <c r="M75" s="980">
        <v>51</v>
      </c>
      <c r="N75" s="980">
        <v>102</v>
      </c>
      <c r="O75" s="980">
        <v>255</v>
      </c>
      <c r="P75" s="979" t="s">
        <v>2658</v>
      </c>
    </row>
    <row r="76" spans="9:16">
      <c r="I76" s="1029" t="s">
        <v>2663</v>
      </c>
      <c r="J76" s="1030" t="s">
        <v>2663</v>
      </c>
      <c r="K76" s="979" t="s">
        <v>2737</v>
      </c>
      <c r="L76" s="1029" t="s">
        <v>2737</v>
      </c>
      <c r="M76" s="980">
        <v>51</v>
      </c>
      <c r="N76" s="980">
        <v>204</v>
      </c>
      <c r="O76" s="980">
        <v>204</v>
      </c>
      <c r="P76" s="979" t="s">
        <v>2663</v>
      </c>
    </row>
    <row r="77" spans="9:16">
      <c r="I77" s="1031" t="s">
        <v>2667</v>
      </c>
      <c r="J77" s="1032" t="s">
        <v>2667</v>
      </c>
      <c r="K77" s="979" t="s">
        <v>2738</v>
      </c>
      <c r="L77" s="1031" t="s">
        <v>2738</v>
      </c>
      <c r="M77" s="980">
        <v>153</v>
      </c>
      <c r="N77" s="980">
        <v>204</v>
      </c>
      <c r="O77" s="980">
        <v>0</v>
      </c>
      <c r="P77" s="979" t="s">
        <v>2667</v>
      </c>
    </row>
    <row r="78" spans="9:16">
      <c r="I78" s="1033" t="s">
        <v>2671</v>
      </c>
      <c r="J78" s="1034" t="s">
        <v>2671</v>
      </c>
      <c r="K78" s="979" t="s">
        <v>2739</v>
      </c>
      <c r="L78" s="1033" t="s">
        <v>2739</v>
      </c>
      <c r="M78" s="980">
        <v>255</v>
      </c>
      <c r="N78" s="980">
        <v>204</v>
      </c>
      <c r="O78" s="980">
        <v>0</v>
      </c>
      <c r="P78" s="979" t="s">
        <v>2671</v>
      </c>
    </row>
    <row r="79" spans="9:16">
      <c r="I79" s="1035" t="s">
        <v>2607</v>
      </c>
      <c r="J79" s="1036" t="s">
        <v>2607</v>
      </c>
      <c r="K79" s="979" t="s">
        <v>2740</v>
      </c>
      <c r="L79" s="1035" t="s">
        <v>2740</v>
      </c>
      <c r="M79" s="980">
        <v>255</v>
      </c>
      <c r="N79" s="980">
        <v>153</v>
      </c>
      <c r="O79" s="980">
        <v>0</v>
      </c>
      <c r="P79" s="979" t="s">
        <v>2607</v>
      </c>
    </row>
    <row r="80" spans="9:16">
      <c r="I80" s="1037" t="s">
        <v>2611</v>
      </c>
      <c r="J80" s="1038" t="s">
        <v>2611</v>
      </c>
      <c r="K80" s="979" t="s">
        <v>2741</v>
      </c>
      <c r="L80" s="1037" t="s">
        <v>2741</v>
      </c>
      <c r="M80" s="980">
        <v>255</v>
      </c>
      <c r="N80" s="980">
        <v>102</v>
      </c>
      <c r="O80" s="980">
        <v>0</v>
      </c>
      <c r="P80" s="979" t="s">
        <v>2611</v>
      </c>
    </row>
    <row r="81" spans="9:19">
      <c r="I81" s="1039" t="s">
        <v>2615</v>
      </c>
      <c r="J81" s="1040" t="s">
        <v>2615</v>
      </c>
      <c r="K81" s="979" t="s">
        <v>2742</v>
      </c>
      <c r="L81" s="1039" t="s">
        <v>2742</v>
      </c>
      <c r="M81" s="980">
        <v>102</v>
      </c>
      <c r="N81" s="980">
        <v>102</v>
      </c>
      <c r="O81" s="980">
        <v>153</v>
      </c>
      <c r="P81" s="979" t="s">
        <v>2615</v>
      </c>
    </row>
    <row r="82" spans="9:19">
      <c r="I82" s="1041" t="s">
        <v>2620</v>
      </c>
      <c r="J82" s="1042" t="s">
        <v>2620</v>
      </c>
      <c r="K82" s="979" t="s">
        <v>2743</v>
      </c>
      <c r="L82" s="1041" t="s">
        <v>2743</v>
      </c>
      <c r="M82" s="980">
        <v>150</v>
      </c>
      <c r="N82" s="980">
        <v>150</v>
      </c>
      <c r="O82" s="980">
        <v>150</v>
      </c>
      <c r="P82" s="979" t="s">
        <v>2620</v>
      </c>
    </row>
    <row r="83" spans="9:19">
      <c r="I83" s="1043" t="s">
        <v>2626</v>
      </c>
      <c r="J83" s="1044" t="s">
        <v>2626</v>
      </c>
      <c r="K83" s="979" t="s">
        <v>2744</v>
      </c>
      <c r="L83" s="1043" t="s">
        <v>2744</v>
      </c>
      <c r="M83" s="980">
        <v>0</v>
      </c>
      <c r="N83" s="980">
        <v>51</v>
      </c>
      <c r="O83" s="980">
        <v>102</v>
      </c>
      <c r="P83" s="979" t="s">
        <v>2626</v>
      </c>
    </row>
    <row r="84" spans="9:19">
      <c r="I84" s="1045" t="s">
        <v>2631</v>
      </c>
      <c r="J84" s="1046" t="s">
        <v>2631</v>
      </c>
      <c r="K84" s="979" t="s">
        <v>2745</v>
      </c>
      <c r="L84" s="1045" t="s">
        <v>2745</v>
      </c>
      <c r="M84" s="980">
        <v>51</v>
      </c>
      <c r="N84" s="980">
        <v>153</v>
      </c>
      <c r="O84" s="980">
        <v>102</v>
      </c>
      <c r="P84" s="979" t="s">
        <v>2631</v>
      </c>
    </row>
    <row r="85" spans="9:19">
      <c r="I85" s="1047" t="s">
        <v>2636</v>
      </c>
      <c r="J85" s="1048" t="s">
        <v>2636</v>
      </c>
      <c r="K85" s="979" t="s">
        <v>2746</v>
      </c>
      <c r="L85" s="1047" t="s">
        <v>2746</v>
      </c>
      <c r="M85" s="980">
        <v>0</v>
      </c>
      <c r="N85" s="980">
        <v>51</v>
      </c>
      <c r="O85" s="980">
        <v>0</v>
      </c>
      <c r="P85" s="979" t="s">
        <v>2636</v>
      </c>
      <c r="S85" s="6761"/>
    </row>
    <row r="86" spans="9:19">
      <c r="I86" s="1049" t="s">
        <v>2640</v>
      </c>
      <c r="J86" s="1050" t="s">
        <v>2640</v>
      </c>
      <c r="K86" s="979" t="s">
        <v>2747</v>
      </c>
      <c r="L86" s="1049" t="s">
        <v>2747</v>
      </c>
      <c r="M86" s="980">
        <v>51</v>
      </c>
      <c r="N86" s="980">
        <v>51</v>
      </c>
      <c r="O86" s="980">
        <v>0</v>
      </c>
      <c r="P86" s="979" t="s">
        <v>2640</v>
      </c>
    </row>
    <row r="87" spans="9:19">
      <c r="I87" s="1051" t="s">
        <v>2645</v>
      </c>
      <c r="J87" s="1052" t="s">
        <v>2645</v>
      </c>
      <c r="K87" s="979" t="s">
        <v>2748</v>
      </c>
      <c r="L87" s="1051" t="s">
        <v>2748</v>
      </c>
      <c r="M87" s="980">
        <v>153</v>
      </c>
      <c r="N87" s="980">
        <v>51</v>
      </c>
      <c r="O87" s="980">
        <v>0</v>
      </c>
      <c r="P87" s="979" t="s">
        <v>2645</v>
      </c>
    </row>
    <row r="88" spans="9:19">
      <c r="I88" s="989" t="s">
        <v>2649</v>
      </c>
      <c r="J88" s="990" t="s">
        <v>2649</v>
      </c>
      <c r="K88" s="979" t="s">
        <v>2723</v>
      </c>
      <c r="L88" s="989" t="s">
        <v>2723</v>
      </c>
      <c r="M88" s="980">
        <v>153</v>
      </c>
      <c r="N88" s="980">
        <v>51</v>
      </c>
      <c r="O88" s="980">
        <v>102</v>
      </c>
      <c r="P88" s="979" t="s">
        <v>2649</v>
      </c>
    </row>
    <row r="89" spans="9:19">
      <c r="I89" s="1053" t="s">
        <v>2654</v>
      </c>
      <c r="J89" s="1054" t="s">
        <v>2654</v>
      </c>
      <c r="K89" s="979" t="s">
        <v>2749</v>
      </c>
      <c r="L89" s="1053" t="s">
        <v>2749</v>
      </c>
      <c r="M89" s="980">
        <v>51</v>
      </c>
      <c r="N89" s="980">
        <v>51</v>
      </c>
      <c r="O89" s="980">
        <v>153</v>
      </c>
      <c r="P89" s="979" t="s">
        <v>2654</v>
      </c>
    </row>
    <row r="90" spans="9:19">
      <c r="I90" s="1055" t="s">
        <v>2659</v>
      </c>
      <c r="J90" s="1056" t="s">
        <v>2659</v>
      </c>
      <c r="K90" s="979" t="s">
        <v>2750</v>
      </c>
      <c r="L90" s="1055" t="s">
        <v>2750</v>
      </c>
      <c r="M90" s="980">
        <v>51</v>
      </c>
      <c r="N90" s="980">
        <v>51</v>
      </c>
      <c r="O90" s="980">
        <v>51</v>
      </c>
      <c r="P90" s="979" t="s">
        <v>2659</v>
      </c>
    </row>
    <row r="91" spans="9:19" ht="15" customHeight="1">
      <c r="I91" s="4879" t="s">
        <v>2751</v>
      </c>
      <c r="J91" s="4880"/>
      <c r="K91" s="4880"/>
      <c r="L91" s="4880"/>
      <c r="M91" s="4880"/>
      <c r="N91" s="4880"/>
      <c r="O91" s="4880"/>
      <c r="P91" s="4881"/>
    </row>
    <row r="92" spans="9:19">
      <c r="I92" s="4882"/>
      <c r="J92" s="4883"/>
      <c r="K92" s="4883"/>
      <c r="L92" s="4883"/>
      <c r="M92" s="4883"/>
      <c r="N92" s="4883"/>
      <c r="O92" s="4883"/>
      <c r="P92" s="4884"/>
    </row>
    <row r="93" spans="9:19">
      <c r="I93" s="4873" t="s">
        <v>2752</v>
      </c>
      <c r="J93" s="4874"/>
      <c r="K93" s="4874"/>
      <c r="L93" s="4874"/>
      <c r="M93" s="4874"/>
      <c r="N93" s="4874"/>
      <c r="O93" s="4874"/>
      <c r="P93" s="4875"/>
    </row>
    <row r="94" spans="9:19">
      <c r="I94" s="4873"/>
      <c r="J94" s="4874"/>
      <c r="K94" s="4874"/>
      <c r="L94" s="4874"/>
      <c r="M94" s="4874"/>
      <c r="N94" s="4874"/>
      <c r="O94" s="4874"/>
      <c r="P94" s="4875"/>
    </row>
    <row r="95" spans="9:19">
      <c r="I95" s="4876"/>
      <c r="J95" s="4877"/>
      <c r="K95" s="4877"/>
      <c r="L95" s="4877"/>
      <c r="M95" s="4877"/>
      <c r="N95" s="4877"/>
      <c r="O95" s="4877"/>
      <c r="P95" s="4878"/>
    </row>
    <row r="97" spans="9:16" ht="18.75">
      <c r="I97" s="1057" t="s">
        <v>2753</v>
      </c>
      <c r="J97" s="835"/>
      <c r="K97" s="835"/>
      <c r="L97" s="835"/>
      <c r="M97" s="835"/>
      <c r="N97" s="835"/>
      <c r="O97" s="835"/>
      <c r="P97" s="835"/>
    </row>
    <row r="98" spans="9:16" ht="18.75">
      <c r="I98" s="1057" t="s">
        <v>2754</v>
      </c>
      <c r="J98" s="835"/>
      <c r="K98" s="835"/>
      <c r="L98" s="835"/>
      <c r="M98" s="835"/>
      <c r="N98" s="835"/>
      <c r="O98" s="835"/>
      <c r="P98" s="835"/>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99BAB767-264B-46E0-B4E7-C5F0D79321B1}"/>
    <hyperlink ref="I91" r:id="rId2" location="dpalette" display="http://dmcritchie.mvps.org/excel/colors.htm - dpalette" xr:uid="{A66E2764-7736-455E-93AE-9DB9AFB776FE}"/>
    <hyperlink ref="S7" r:id="rId3" xr:uid="{7A52C416-831E-49D4-80FE-BD0638A3A97D}"/>
    <hyperlink ref="S10" r:id="rId4" xr:uid="{DBA5C543-43F9-4FFD-9DDB-8D9C93B34480}"/>
    <hyperlink ref="S13" r:id="rId5" xr:uid="{F12A3166-D3DB-4DC5-9598-0FF14D70665B}"/>
    <hyperlink ref="S16" r:id="rId6" xr:uid="{C59121A2-62F0-44AF-B5B7-6672E319AD3E}"/>
    <hyperlink ref="S38" r:id="rId7" xr:uid="{D69D2581-B844-4FD5-9B43-5900D9542B4F}"/>
    <hyperlink ref="S47" r:id="rId8" xr:uid="{10CEA7AD-FFE3-49CC-8D4E-8971169EDA0C}"/>
    <hyperlink ref="S32" r:id="rId9" xr:uid="{D9F8D271-8BF1-487F-9FC3-3AA8F0D92A09}"/>
    <hyperlink ref="S26" r:id="rId10" xr:uid="{485A0CE8-A2D6-44BD-8D38-202DF536AC47}"/>
    <hyperlink ref="S28" r:id="rId11" xr:uid="{AD1FC925-D586-4DDB-AF38-A4A1DC7D63BC}"/>
    <hyperlink ref="S30" r:id="rId12" xr:uid="{FFB55D33-5346-456E-A0E3-0FC6818DAB86}"/>
    <hyperlink ref="S34" r:id="rId13" xr:uid="{18657787-8216-4F98-B8AC-DB88758AF8A7}"/>
    <hyperlink ref="S20" r:id="rId14" display="Trouver n'Importe quel Code Couleur HTML en 2 clics [Images, Vidéos, PDF...]" xr:uid="{4064D8F2-3773-4ADC-9884-A51E5128283B}"/>
    <hyperlink ref="S22" r:id="rId15" xr:uid="{11A64E87-82B6-428A-A2E1-578245279143}"/>
    <hyperlink ref="S36" r:id="rId16" xr:uid="{3ED83216-9785-45CD-B4AF-152A208DBED6}"/>
    <hyperlink ref="S24" r:id="rId17" display="Téléchargez votre image Cliquez sur l'image pour obtenir le code couleur. https://www.ginifab.com/feeds/pms/color_picker_from_image.fr.php" xr:uid="{F5B703AD-DF5D-478C-9A12-B0CD396DE489}"/>
    <hyperlink ref="S41" r:id="rId18" xr:uid="{B34E027C-D642-417A-886B-016D1FCABC64}"/>
    <hyperlink ref="S43" r:id="rId19" xr:uid="{29B7D211-38B4-41BF-A0F2-5F9BC8D88784}"/>
    <hyperlink ref="S45" r:id="rId20" xr:uid="{E6A75B53-DE96-4A36-AFAA-9086244C60F9}"/>
  </hyperlinks>
  <pageMargins left="0.7" right="0.7" top="0.75" bottom="0.75" header="0.3" footer="0.3"/>
  <pageSetup paperSize="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15"/>
  <sheetViews>
    <sheetView showZeros="0" showWhiteSpace="0" zoomScale="61" zoomScaleNormal="61" zoomScalePageLayoutView="58" workbookViewId="0">
      <selection activeCell="AB100" sqref="AB100"/>
    </sheetView>
  </sheetViews>
  <sheetFormatPr baseColWidth="10" defaultRowHeight="15"/>
  <cols>
    <col min="1" max="1" width="18.85546875" style="1178" customWidth="1"/>
    <col min="2" max="2" width="10.42578125" style="1178" customWidth="1"/>
    <col min="3" max="4" width="11.42578125" style="1178"/>
    <col min="5" max="5" width="18" style="1178" customWidth="1"/>
    <col min="6" max="7" width="11.42578125" style="1178"/>
    <col min="8" max="8" width="8" style="1178" customWidth="1"/>
    <col min="9" max="9" width="11.42578125" style="1178"/>
    <col min="10" max="10" width="20.85546875" style="1178" customWidth="1"/>
    <col min="11" max="11" width="11.42578125" style="1178"/>
    <col min="12" max="12" width="36.7109375" style="1178" customWidth="1"/>
    <col min="13" max="17" width="11.42578125" style="1180"/>
    <col min="18" max="256" width="11.42578125" style="1177"/>
    <col min="257" max="257" width="18.85546875" style="1177" customWidth="1"/>
    <col min="258" max="258" width="10.42578125" style="1177" customWidth="1"/>
    <col min="259" max="260" width="11.42578125" style="1177"/>
    <col min="261" max="261" width="18" style="1177" customWidth="1"/>
    <col min="262" max="263" width="11.42578125" style="1177"/>
    <col min="264" max="264" width="8" style="1177" customWidth="1"/>
    <col min="265" max="265" width="11.42578125" style="1177"/>
    <col min="266" max="266" width="20.85546875" style="1177" customWidth="1"/>
    <col min="267" max="267" width="11.42578125" style="1177"/>
    <col min="268" max="268" width="36.7109375" style="1177" customWidth="1"/>
    <col min="269" max="512" width="11.42578125" style="1177"/>
    <col min="513" max="513" width="18.85546875" style="1177" customWidth="1"/>
    <col min="514" max="514" width="10.42578125" style="1177" customWidth="1"/>
    <col min="515" max="516" width="11.42578125" style="1177"/>
    <col min="517" max="517" width="18" style="1177" customWidth="1"/>
    <col min="518" max="519" width="11.42578125" style="1177"/>
    <col min="520" max="520" width="8" style="1177" customWidth="1"/>
    <col min="521" max="521" width="11.42578125" style="1177"/>
    <col min="522" max="522" width="20.85546875" style="1177" customWidth="1"/>
    <col min="523" max="523" width="11.42578125" style="1177"/>
    <col min="524" max="524" width="36.7109375" style="1177" customWidth="1"/>
    <col min="525" max="768" width="11.42578125" style="1177"/>
    <col min="769" max="769" width="18.85546875" style="1177" customWidth="1"/>
    <col min="770" max="770" width="10.42578125" style="1177" customWidth="1"/>
    <col min="771" max="772" width="11.42578125" style="1177"/>
    <col min="773" max="773" width="18" style="1177" customWidth="1"/>
    <col min="774" max="775" width="11.42578125" style="1177"/>
    <col min="776" max="776" width="8" style="1177" customWidth="1"/>
    <col min="777" max="777" width="11.42578125" style="1177"/>
    <col min="778" max="778" width="20.85546875" style="1177" customWidth="1"/>
    <col min="779" max="779" width="11.42578125" style="1177"/>
    <col min="780" max="780" width="36.7109375" style="1177" customWidth="1"/>
    <col min="781" max="1024" width="11.42578125" style="1177"/>
    <col min="1025" max="1025" width="18.85546875" style="1177" customWidth="1"/>
    <col min="1026" max="1026" width="10.42578125" style="1177" customWidth="1"/>
    <col min="1027" max="1028" width="11.42578125" style="1177"/>
    <col min="1029" max="1029" width="18" style="1177" customWidth="1"/>
    <col min="1030" max="1031" width="11.42578125" style="1177"/>
    <col min="1032" max="1032" width="8" style="1177" customWidth="1"/>
    <col min="1033" max="1033" width="11.42578125" style="1177"/>
    <col min="1034" max="1034" width="20.85546875" style="1177" customWidth="1"/>
    <col min="1035" max="1035" width="11.42578125" style="1177"/>
    <col min="1036" max="1036" width="36.7109375" style="1177" customWidth="1"/>
    <col min="1037" max="1280" width="11.42578125" style="1177"/>
    <col min="1281" max="1281" width="18.85546875" style="1177" customWidth="1"/>
    <col min="1282" max="1282" width="10.42578125" style="1177" customWidth="1"/>
    <col min="1283" max="1284" width="11.42578125" style="1177"/>
    <col min="1285" max="1285" width="18" style="1177" customWidth="1"/>
    <col min="1286" max="1287" width="11.42578125" style="1177"/>
    <col min="1288" max="1288" width="8" style="1177" customWidth="1"/>
    <col min="1289" max="1289" width="11.42578125" style="1177"/>
    <col min="1290" max="1290" width="20.85546875" style="1177" customWidth="1"/>
    <col min="1291" max="1291" width="11.42578125" style="1177"/>
    <col min="1292" max="1292" width="36.7109375" style="1177" customWidth="1"/>
    <col min="1293" max="1536" width="11.42578125" style="1177"/>
    <col min="1537" max="1537" width="18.85546875" style="1177" customWidth="1"/>
    <col min="1538" max="1538" width="10.42578125" style="1177" customWidth="1"/>
    <col min="1539" max="1540" width="11.42578125" style="1177"/>
    <col min="1541" max="1541" width="18" style="1177" customWidth="1"/>
    <col min="1542" max="1543" width="11.42578125" style="1177"/>
    <col min="1544" max="1544" width="8" style="1177" customWidth="1"/>
    <col min="1545" max="1545" width="11.42578125" style="1177"/>
    <col min="1546" max="1546" width="20.85546875" style="1177" customWidth="1"/>
    <col min="1547" max="1547" width="11.42578125" style="1177"/>
    <col min="1548" max="1548" width="36.7109375" style="1177" customWidth="1"/>
    <col min="1549" max="1792" width="11.42578125" style="1177"/>
    <col min="1793" max="1793" width="18.85546875" style="1177" customWidth="1"/>
    <col min="1794" max="1794" width="10.42578125" style="1177" customWidth="1"/>
    <col min="1795" max="1796" width="11.42578125" style="1177"/>
    <col min="1797" max="1797" width="18" style="1177" customWidth="1"/>
    <col min="1798" max="1799" width="11.42578125" style="1177"/>
    <col min="1800" max="1800" width="8" style="1177" customWidth="1"/>
    <col min="1801" max="1801" width="11.42578125" style="1177"/>
    <col min="1802" max="1802" width="20.85546875" style="1177" customWidth="1"/>
    <col min="1803" max="1803" width="11.42578125" style="1177"/>
    <col min="1804" max="1804" width="36.7109375" style="1177" customWidth="1"/>
    <col min="1805" max="2048" width="11.42578125" style="1177"/>
    <col min="2049" max="2049" width="18.85546875" style="1177" customWidth="1"/>
    <col min="2050" max="2050" width="10.42578125" style="1177" customWidth="1"/>
    <col min="2051" max="2052" width="11.42578125" style="1177"/>
    <col min="2053" max="2053" width="18" style="1177" customWidth="1"/>
    <col min="2054" max="2055" width="11.42578125" style="1177"/>
    <col min="2056" max="2056" width="8" style="1177" customWidth="1"/>
    <col min="2057" max="2057" width="11.42578125" style="1177"/>
    <col min="2058" max="2058" width="20.85546875" style="1177" customWidth="1"/>
    <col min="2059" max="2059" width="11.42578125" style="1177"/>
    <col min="2060" max="2060" width="36.7109375" style="1177" customWidth="1"/>
    <col min="2061" max="2304" width="11.42578125" style="1177"/>
    <col min="2305" max="2305" width="18.85546875" style="1177" customWidth="1"/>
    <col min="2306" max="2306" width="10.42578125" style="1177" customWidth="1"/>
    <col min="2307" max="2308" width="11.42578125" style="1177"/>
    <col min="2309" max="2309" width="18" style="1177" customWidth="1"/>
    <col min="2310" max="2311" width="11.42578125" style="1177"/>
    <col min="2312" max="2312" width="8" style="1177" customWidth="1"/>
    <col min="2313" max="2313" width="11.42578125" style="1177"/>
    <col min="2314" max="2314" width="20.85546875" style="1177" customWidth="1"/>
    <col min="2315" max="2315" width="11.42578125" style="1177"/>
    <col min="2316" max="2316" width="36.7109375" style="1177" customWidth="1"/>
    <col min="2317" max="2560" width="11.42578125" style="1177"/>
    <col min="2561" max="2561" width="18.85546875" style="1177" customWidth="1"/>
    <col min="2562" max="2562" width="10.42578125" style="1177" customWidth="1"/>
    <col min="2563" max="2564" width="11.42578125" style="1177"/>
    <col min="2565" max="2565" width="18" style="1177" customWidth="1"/>
    <col min="2566" max="2567" width="11.42578125" style="1177"/>
    <col min="2568" max="2568" width="8" style="1177" customWidth="1"/>
    <col min="2569" max="2569" width="11.42578125" style="1177"/>
    <col min="2570" max="2570" width="20.85546875" style="1177" customWidth="1"/>
    <col min="2571" max="2571" width="11.42578125" style="1177"/>
    <col min="2572" max="2572" width="36.7109375" style="1177" customWidth="1"/>
    <col min="2573" max="2816" width="11.42578125" style="1177"/>
    <col min="2817" max="2817" width="18.85546875" style="1177" customWidth="1"/>
    <col min="2818" max="2818" width="10.42578125" style="1177" customWidth="1"/>
    <col min="2819" max="2820" width="11.42578125" style="1177"/>
    <col min="2821" max="2821" width="18" style="1177" customWidth="1"/>
    <col min="2822" max="2823" width="11.42578125" style="1177"/>
    <col min="2824" max="2824" width="8" style="1177" customWidth="1"/>
    <col min="2825" max="2825" width="11.42578125" style="1177"/>
    <col min="2826" max="2826" width="20.85546875" style="1177" customWidth="1"/>
    <col min="2827" max="2827" width="11.42578125" style="1177"/>
    <col min="2828" max="2828" width="36.7109375" style="1177" customWidth="1"/>
    <col min="2829" max="3072" width="11.42578125" style="1177"/>
    <col min="3073" max="3073" width="18.85546875" style="1177" customWidth="1"/>
    <col min="3074" max="3074" width="10.42578125" style="1177" customWidth="1"/>
    <col min="3075" max="3076" width="11.42578125" style="1177"/>
    <col min="3077" max="3077" width="18" style="1177" customWidth="1"/>
    <col min="3078" max="3079" width="11.42578125" style="1177"/>
    <col min="3080" max="3080" width="8" style="1177" customWidth="1"/>
    <col min="3081" max="3081" width="11.42578125" style="1177"/>
    <col min="3082" max="3082" width="20.85546875" style="1177" customWidth="1"/>
    <col min="3083" max="3083" width="11.42578125" style="1177"/>
    <col min="3084" max="3084" width="36.7109375" style="1177" customWidth="1"/>
    <col min="3085" max="3328" width="11.42578125" style="1177"/>
    <col min="3329" max="3329" width="18.85546875" style="1177" customWidth="1"/>
    <col min="3330" max="3330" width="10.42578125" style="1177" customWidth="1"/>
    <col min="3331" max="3332" width="11.42578125" style="1177"/>
    <col min="3333" max="3333" width="18" style="1177" customWidth="1"/>
    <col min="3334" max="3335" width="11.42578125" style="1177"/>
    <col min="3336" max="3336" width="8" style="1177" customWidth="1"/>
    <col min="3337" max="3337" width="11.42578125" style="1177"/>
    <col min="3338" max="3338" width="20.85546875" style="1177" customWidth="1"/>
    <col min="3339" max="3339" width="11.42578125" style="1177"/>
    <col min="3340" max="3340" width="36.7109375" style="1177" customWidth="1"/>
    <col min="3341" max="3584" width="11.42578125" style="1177"/>
    <col min="3585" max="3585" width="18.85546875" style="1177" customWidth="1"/>
    <col min="3586" max="3586" width="10.42578125" style="1177" customWidth="1"/>
    <col min="3587" max="3588" width="11.42578125" style="1177"/>
    <col min="3589" max="3589" width="18" style="1177" customWidth="1"/>
    <col min="3590" max="3591" width="11.42578125" style="1177"/>
    <col min="3592" max="3592" width="8" style="1177" customWidth="1"/>
    <col min="3593" max="3593" width="11.42578125" style="1177"/>
    <col min="3594" max="3594" width="20.85546875" style="1177" customWidth="1"/>
    <col min="3595" max="3595" width="11.42578125" style="1177"/>
    <col min="3596" max="3596" width="36.7109375" style="1177" customWidth="1"/>
    <col min="3597" max="3840" width="11.42578125" style="1177"/>
    <col min="3841" max="3841" width="18.85546875" style="1177" customWidth="1"/>
    <col min="3842" max="3842" width="10.42578125" style="1177" customWidth="1"/>
    <col min="3843" max="3844" width="11.42578125" style="1177"/>
    <col min="3845" max="3845" width="18" style="1177" customWidth="1"/>
    <col min="3846" max="3847" width="11.42578125" style="1177"/>
    <col min="3848" max="3848" width="8" style="1177" customWidth="1"/>
    <col min="3849" max="3849" width="11.42578125" style="1177"/>
    <col min="3850" max="3850" width="20.85546875" style="1177" customWidth="1"/>
    <col min="3851" max="3851" width="11.42578125" style="1177"/>
    <col min="3852" max="3852" width="36.7109375" style="1177" customWidth="1"/>
    <col min="3853" max="4096" width="11.42578125" style="1177"/>
    <col min="4097" max="4097" width="18.85546875" style="1177" customWidth="1"/>
    <col min="4098" max="4098" width="10.42578125" style="1177" customWidth="1"/>
    <col min="4099" max="4100" width="11.42578125" style="1177"/>
    <col min="4101" max="4101" width="18" style="1177" customWidth="1"/>
    <col min="4102" max="4103" width="11.42578125" style="1177"/>
    <col min="4104" max="4104" width="8" style="1177" customWidth="1"/>
    <col min="4105" max="4105" width="11.42578125" style="1177"/>
    <col min="4106" max="4106" width="20.85546875" style="1177" customWidth="1"/>
    <col min="4107" max="4107" width="11.42578125" style="1177"/>
    <col min="4108" max="4108" width="36.7109375" style="1177" customWidth="1"/>
    <col min="4109" max="4352" width="11.42578125" style="1177"/>
    <col min="4353" max="4353" width="18.85546875" style="1177" customWidth="1"/>
    <col min="4354" max="4354" width="10.42578125" style="1177" customWidth="1"/>
    <col min="4355" max="4356" width="11.42578125" style="1177"/>
    <col min="4357" max="4357" width="18" style="1177" customWidth="1"/>
    <col min="4358" max="4359" width="11.42578125" style="1177"/>
    <col min="4360" max="4360" width="8" style="1177" customWidth="1"/>
    <col min="4361" max="4361" width="11.42578125" style="1177"/>
    <col min="4362" max="4362" width="20.85546875" style="1177" customWidth="1"/>
    <col min="4363" max="4363" width="11.42578125" style="1177"/>
    <col min="4364" max="4364" width="36.7109375" style="1177" customWidth="1"/>
    <col min="4365" max="4608" width="11.42578125" style="1177"/>
    <col min="4609" max="4609" width="18.85546875" style="1177" customWidth="1"/>
    <col min="4610" max="4610" width="10.42578125" style="1177" customWidth="1"/>
    <col min="4611" max="4612" width="11.42578125" style="1177"/>
    <col min="4613" max="4613" width="18" style="1177" customWidth="1"/>
    <col min="4614" max="4615" width="11.42578125" style="1177"/>
    <col min="4616" max="4616" width="8" style="1177" customWidth="1"/>
    <col min="4617" max="4617" width="11.42578125" style="1177"/>
    <col min="4618" max="4618" width="20.85546875" style="1177" customWidth="1"/>
    <col min="4619" max="4619" width="11.42578125" style="1177"/>
    <col min="4620" max="4620" width="36.7109375" style="1177" customWidth="1"/>
    <col min="4621" max="4864" width="11.42578125" style="1177"/>
    <col min="4865" max="4865" width="18.85546875" style="1177" customWidth="1"/>
    <col min="4866" max="4866" width="10.42578125" style="1177" customWidth="1"/>
    <col min="4867" max="4868" width="11.42578125" style="1177"/>
    <col min="4869" max="4869" width="18" style="1177" customWidth="1"/>
    <col min="4870" max="4871" width="11.42578125" style="1177"/>
    <col min="4872" max="4872" width="8" style="1177" customWidth="1"/>
    <col min="4873" max="4873" width="11.42578125" style="1177"/>
    <col min="4874" max="4874" width="20.85546875" style="1177" customWidth="1"/>
    <col min="4875" max="4875" width="11.42578125" style="1177"/>
    <col min="4876" max="4876" width="36.7109375" style="1177" customWidth="1"/>
    <col min="4877" max="5120" width="11.42578125" style="1177"/>
    <col min="5121" max="5121" width="18.85546875" style="1177" customWidth="1"/>
    <col min="5122" max="5122" width="10.42578125" style="1177" customWidth="1"/>
    <col min="5123" max="5124" width="11.42578125" style="1177"/>
    <col min="5125" max="5125" width="18" style="1177" customWidth="1"/>
    <col min="5126" max="5127" width="11.42578125" style="1177"/>
    <col min="5128" max="5128" width="8" style="1177" customWidth="1"/>
    <col min="5129" max="5129" width="11.42578125" style="1177"/>
    <col min="5130" max="5130" width="20.85546875" style="1177" customWidth="1"/>
    <col min="5131" max="5131" width="11.42578125" style="1177"/>
    <col min="5132" max="5132" width="36.7109375" style="1177" customWidth="1"/>
    <col min="5133" max="5376" width="11.42578125" style="1177"/>
    <col min="5377" max="5377" width="18.85546875" style="1177" customWidth="1"/>
    <col min="5378" max="5378" width="10.42578125" style="1177" customWidth="1"/>
    <col min="5379" max="5380" width="11.42578125" style="1177"/>
    <col min="5381" max="5381" width="18" style="1177" customWidth="1"/>
    <col min="5382" max="5383" width="11.42578125" style="1177"/>
    <col min="5384" max="5384" width="8" style="1177" customWidth="1"/>
    <col min="5385" max="5385" width="11.42578125" style="1177"/>
    <col min="5386" max="5386" width="20.85546875" style="1177" customWidth="1"/>
    <col min="5387" max="5387" width="11.42578125" style="1177"/>
    <col min="5388" max="5388" width="36.7109375" style="1177" customWidth="1"/>
    <col min="5389" max="5632" width="11.42578125" style="1177"/>
    <col min="5633" max="5633" width="18.85546875" style="1177" customWidth="1"/>
    <col min="5634" max="5634" width="10.42578125" style="1177" customWidth="1"/>
    <col min="5635" max="5636" width="11.42578125" style="1177"/>
    <col min="5637" max="5637" width="18" style="1177" customWidth="1"/>
    <col min="5638" max="5639" width="11.42578125" style="1177"/>
    <col min="5640" max="5640" width="8" style="1177" customWidth="1"/>
    <col min="5641" max="5641" width="11.42578125" style="1177"/>
    <col min="5642" max="5642" width="20.85546875" style="1177" customWidth="1"/>
    <col min="5643" max="5643" width="11.42578125" style="1177"/>
    <col min="5644" max="5644" width="36.7109375" style="1177" customWidth="1"/>
    <col min="5645" max="5888" width="11.42578125" style="1177"/>
    <col min="5889" max="5889" width="18.85546875" style="1177" customWidth="1"/>
    <col min="5890" max="5890" width="10.42578125" style="1177" customWidth="1"/>
    <col min="5891" max="5892" width="11.42578125" style="1177"/>
    <col min="5893" max="5893" width="18" style="1177" customWidth="1"/>
    <col min="5894" max="5895" width="11.42578125" style="1177"/>
    <col min="5896" max="5896" width="8" style="1177" customWidth="1"/>
    <col min="5897" max="5897" width="11.42578125" style="1177"/>
    <col min="5898" max="5898" width="20.85546875" style="1177" customWidth="1"/>
    <col min="5899" max="5899" width="11.42578125" style="1177"/>
    <col min="5900" max="5900" width="36.7109375" style="1177" customWidth="1"/>
    <col min="5901" max="6144" width="11.42578125" style="1177"/>
    <col min="6145" max="6145" width="18.85546875" style="1177" customWidth="1"/>
    <col min="6146" max="6146" width="10.42578125" style="1177" customWidth="1"/>
    <col min="6147" max="6148" width="11.42578125" style="1177"/>
    <col min="6149" max="6149" width="18" style="1177" customWidth="1"/>
    <col min="6150" max="6151" width="11.42578125" style="1177"/>
    <col min="6152" max="6152" width="8" style="1177" customWidth="1"/>
    <col min="6153" max="6153" width="11.42578125" style="1177"/>
    <col min="6154" max="6154" width="20.85546875" style="1177" customWidth="1"/>
    <col min="6155" max="6155" width="11.42578125" style="1177"/>
    <col min="6156" max="6156" width="36.7109375" style="1177" customWidth="1"/>
    <col min="6157" max="6400" width="11.42578125" style="1177"/>
    <col min="6401" max="6401" width="18.85546875" style="1177" customWidth="1"/>
    <col min="6402" max="6402" width="10.42578125" style="1177" customWidth="1"/>
    <col min="6403" max="6404" width="11.42578125" style="1177"/>
    <col min="6405" max="6405" width="18" style="1177" customWidth="1"/>
    <col min="6406" max="6407" width="11.42578125" style="1177"/>
    <col min="6408" max="6408" width="8" style="1177" customWidth="1"/>
    <col min="6409" max="6409" width="11.42578125" style="1177"/>
    <col min="6410" max="6410" width="20.85546875" style="1177" customWidth="1"/>
    <col min="6411" max="6411" width="11.42578125" style="1177"/>
    <col min="6412" max="6412" width="36.7109375" style="1177" customWidth="1"/>
    <col min="6413" max="6656" width="11.42578125" style="1177"/>
    <col min="6657" max="6657" width="18.85546875" style="1177" customWidth="1"/>
    <col min="6658" max="6658" width="10.42578125" style="1177" customWidth="1"/>
    <col min="6659" max="6660" width="11.42578125" style="1177"/>
    <col min="6661" max="6661" width="18" style="1177" customWidth="1"/>
    <col min="6662" max="6663" width="11.42578125" style="1177"/>
    <col min="6664" max="6664" width="8" style="1177" customWidth="1"/>
    <col min="6665" max="6665" width="11.42578125" style="1177"/>
    <col min="6666" max="6666" width="20.85546875" style="1177" customWidth="1"/>
    <col min="6667" max="6667" width="11.42578125" style="1177"/>
    <col min="6668" max="6668" width="36.7109375" style="1177" customWidth="1"/>
    <col min="6669" max="6912" width="11.42578125" style="1177"/>
    <col min="6913" max="6913" width="18.85546875" style="1177" customWidth="1"/>
    <col min="6914" max="6914" width="10.42578125" style="1177" customWidth="1"/>
    <col min="6915" max="6916" width="11.42578125" style="1177"/>
    <col min="6917" max="6917" width="18" style="1177" customWidth="1"/>
    <col min="6918" max="6919" width="11.42578125" style="1177"/>
    <col min="6920" max="6920" width="8" style="1177" customWidth="1"/>
    <col min="6921" max="6921" width="11.42578125" style="1177"/>
    <col min="6922" max="6922" width="20.85546875" style="1177" customWidth="1"/>
    <col min="6923" max="6923" width="11.42578125" style="1177"/>
    <col min="6924" max="6924" width="36.7109375" style="1177" customWidth="1"/>
    <col min="6925" max="7168" width="11.42578125" style="1177"/>
    <col min="7169" max="7169" width="18.85546875" style="1177" customWidth="1"/>
    <col min="7170" max="7170" width="10.42578125" style="1177" customWidth="1"/>
    <col min="7171" max="7172" width="11.42578125" style="1177"/>
    <col min="7173" max="7173" width="18" style="1177" customWidth="1"/>
    <col min="7174" max="7175" width="11.42578125" style="1177"/>
    <col min="7176" max="7176" width="8" style="1177" customWidth="1"/>
    <col min="7177" max="7177" width="11.42578125" style="1177"/>
    <col min="7178" max="7178" width="20.85546875" style="1177" customWidth="1"/>
    <col min="7179" max="7179" width="11.42578125" style="1177"/>
    <col min="7180" max="7180" width="36.7109375" style="1177" customWidth="1"/>
    <col min="7181" max="7424" width="11.42578125" style="1177"/>
    <col min="7425" max="7425" width="18.85546875" style="1177" customWidth="1"/>
    <col min="7426" max="7426" width="10.42578125" style="1177" customWidth="1"/>
    <col min="7427" max="7428" width="11.42578125" style="1177"/>
    <col min="7429" max="7429" width="18" style="1177" customWidth="1"/>
    <col min="7430" max="7431" width="11.42578125" style="1177"/>
    <col min="7432" max="7432" width="8" style="1177" customWidth="1"/>
    <col min="7433" max="7433" width="11.42578125" style="1177"/>
    <col min="7434" max="7434" width="20.85546875" style="1177" customWidth="1"/>
    <col min="7435" max="7435" width="11.42578125" style="1177"/>
    <col min="7436" max="7436" width="36.7109375" style="1177" customWidth="1"/>
    <col min="7437" max="7680" width="11.42578125" style="1177"/>
    <col min="7681" max="7681" width="18.85546875" style="1177" customWidth="1"/>
    <col min="7682" max="7682" width="10.42578125" style="1177" customWidth="1"/>
    <col min="7683" max="7684" width="11.42578125" style="1177"/>
    <col min="7685" max="7685" width="18" style="1177" customWidth="1"/>
    <col min="7686" max="7687" width="11.42578125" style="1177"/>
    <col min="7688" max="7688" width="8" style="1177" customWidth="1"/>
    <col min="7689" max="7689" width="11.42578125" style="1177"/>
    <col min="7690" max="7690" width="20.85546875" style="1177" customWidth="1"/>
    <col min="7691" max="7691" width="11.42578125" style="1177"/>
    <col min="7692" max="7692" width="36.7109375" style="1177" customWidth="1"/>
    <col min="7693" max="7936" width="11.42578125" style="1177"/>
    <col min="7937" max="7937" width="18.85546875" style="1177" customWidth="1"/>
    <col min="7938" max="7938" width="10.42578125" style="1177" customWidth="1"/>
    <col min="7939" max="7940" width="11.42578125" style="1177"/>
    <col min="7941" max="7941" width="18" style="1177" customWidth="1"/>
    <col min="7942" max="7943" width="11.42578125" style="1177"/>
    <col min="7944" max="7944" width="8" style="1177" customWidth="1"/>
    <col min="7945" max="7945" width="11.42578125" style="1177"/>
    <col min="7946" max="7946" width="20.85546875" style="1177" customWidth="1"/>
    <col min="7947" max="7947" width="11.42578125" style="1177"/>
    <col min="7948" max="7948" width="36.7109375" style="1177" customWidth="1"/>
    <col min="7949" max="8192" width="11.42578125" style="1177"/>
    <col min="8193" max="8193" width="18.85546875" style="1177" customWidth="1"/>
    <col min="8194" max="8194" width="10.42578125" style="1177" customWidth="1"/>
    <col min="8195" max="8196" width="11.42578125" style="1177"/>
    <col min="8197" max="8197" width="18" style="1177" customWidth="1"/>
    <col min="8198" max="8199" width="11.42578125" style="1177"/>
    <col min="8200" max="8200" width="8" style="1177" customWidth="1"/>
    <col min="8201" max="8201" width="11.42578125" style="1177"/>
    <col min="8202" max="8202" width="20.85546875" style="1177" customWidth="1"/>
    <col min="8203" max="8203" width="11.42578125" style="1177"/>
    <col min="8204" max="8204" width="36.7109375" style="1177" customWidth="1"/>
    <col min="8205" max="8448" width="11.42578125" style="1177"/>
    <col min="8449" max="8449" width="18.85546875" style="1177" customWidth="1"/>
    <col min="8450" max="8450" width="10.42578125" style="1177" customWidth="1"/>
    <col min="8451" max="8452" width="11.42578125" style="1177"/>
    <col min="8453" max="8453" width="18" style="1177" customWidth="1"/>
    <col min="8454" max="8455" width="11.42578125" style="1177"/>
    <col min="8456" max="8456" width="8" style="1177" customWidth="1"/>
    <col min="8457" max="8457" width="11.42578125" style="1177"/>
    <col min="8458" max="8458" width="20.85546875" style="1177" customWidth="1"/>
    <col min="8459" max="8459" width="11.42578125" style="1177"/>
    <col min="8460" max="8460" width="36.7109375" style="1177" customWidth="1"/>
    <col min="8461" max="8704" width="11.42578125" style="1177"/>
    <col min="8705" max="8705" width="18.85546875" style="1177" customWidth="1"/>
    <col min="8706" max="8706" width="10.42578125" style="1177" customWidth="1"/>
    <col min="8707" max="8708" width="11.42578125" style="1177"/>
    <col min="8709" max="8709" width="18" style="1177" customWidth="1"/>
    <col min="8710" max="8711" width="11.42578125" style="1177"/>
    <col min="8712" max="8712" width="8" style="1177" customWidth="1"/>
    <col min="8713" max="8713" width="11.42578125" style="1177"/>
    <col min="8714" max="8714" width="20.85546875" style="1177" customWidth="1"/>
    <col min="8715" max="8715" width="11.42578125" style="1177"/>
    <col min="8716" max="8716" width="36.7109375" style="1177" customWidth="1"/>
    <col min="8717" max="8960" width="11.42578125" style="1177"/>
    <col min="8961" max="8961" width="18.85546875" style="1177" customWidth="1"/>
    <col min="8962" max="8962" width="10.42578125" style="1177" customWidth="1"/>
    <col min="8963" max="8964" width="11.42578125" style="1177"/>
    <col min="8965" max="8965" width="18" style="1177" customWidth="1"/>
    <col min="8966" max="8967" width="11.42578125" style="1177"/>
    <col min="8968" max="8968" width="8" style="1177" customWidth="1"/>
    <col min="8969" max="8969" width="11.42578125" style="1177"/>
    <col min="8970" max="8970" width="20.85546875" style="1177" customWidth="1"/>
    <col min="8971" max="8971" width="11.42578125" style="1177"/>
    <col min="8972" max="8972" width="36.7109375" style="1177" customWidth="1"/>
    <col min="8973" max="9216" width="11.42578125" style="1177"/>
    <col min="9217" max="9217" width="18.85546875" style="1177" customWidth="1"/>
    <col min="9218" max="9218" width="10.42578125" style="1177" customWidth="1"/>
    <col min="9219" max="9220" width="11.42578125" style="1177"/>
    <col min="9221" max="9221" width="18" style="1177" customWidth="1"/>
    <col min="9222" max="9223" width="11.42578125" style="1177"/>
    <col min="9224" max="9224" width="8" style="1177" customWidth="1"/>
    <col min="9225" max="9225" width="11.42578125" style="1177"/>
    <col min="9226" max="9226" width="20.85546875" style="1177" customWidth="1"/>
    <col min="9227" max="9227" width="11.42578125" style="1177"/>
    <col min="9228" max="9228" width="36.7109375" style="1177" customWidth="1"/>
    <col min="9229" max="9472" width="11.42578125" style="1177"/>
    <col min="9473" max="9473" width="18.85546875" style="1177" customWidth="1"/>
    <col min="9474" max="9474" width="10.42578125" style="1177" customWidth="1"/>
    <col min="9475" max="9476" width="11.42578125" style="1177"/>
    <col min="9477" max="9477" width="18" style="1177" customWidth="1"/>
    <col min="9478" max="9479" width="11.42578125" style="1177"/>
    <col min="9480" max="9480" width="8" style="1177" customWidth="1"/>
    <col min="9481" max="9481" width="11.42578125" style="1177"/>
    <col min="9482" max="9482" width="20.85546875" style="1177" customWidth="1"/>
    <col min="9483" max="9483" width="11.42578125" style="1177"/>
    <col min="9484" max="9484" width="36.7109375" style="1177" customWidth="1"/>
    <col min="9485" max="9728" width="11.42578125" style="1177"/>
    <col min="9729" max="9729" width="18.85546875" style="1177" customWidth="1"/>
    <col min="9730" max="9730" width="10.42578125" style="1177" customWidth="1"/>
    <col min="9731" max="9732" width="11.42578125" style="1177"/>
    <col min="9733" max="9733" width="18" style="1177" customWidth="1"/>
    <col min="9734" max="9735" width="11.42578125" style="1177"/>
    <col min="9736" max="9736" width="8" style="1177" customWidth="1"/>
    <col min="9737" max="9737" width="11.42578125" style="1177"/>
    <col min="9738" max="9738" width="20.85546875" style="1177" customWidth="1"/>
    <col min="9739" max="9739" width="11.42578125" style="1177"/>
    <col min="9740" max="9740" width="36.7109375" style="1177" customWidth="1"/>
    <col min="9741" max="9984" width="11.42578125" style="1177"/>
    <col min="9985" max="9985" width="18.85546875" style="1177" customWidth="1"/>
    <col min="9986" max="9986" width="10.42578125" style="1177" customWidth="1"/>
    <col min="9987" max="9988" width="11.42578125" style="1177"/>
    <col min="9989" max="9989" width="18" style="1177" customWidth="1"/>
    <col min="9990" max="9991" width="11.42578125" style="1177"/>
    <col min="9992" max="9992" width="8" style="1177" customWidth="1"/>
    <col min="9993" max="9993" width="11.42578125" style="1177"/>
    <col min="9994" max="9994" width="20.85546875" style="1177" customWidth="1"/>
    <col min="9995" max="9995" width="11.42578125" style="1177"/>
    <col min="9996" max="9996" width="36.7109375" style="1177" customWidth="1"/>
    <col min="9997" max="10240" width="11.42578125" style="1177"/>
    <col min="10241" max="10241" width="18.85546875" style="1177" customWidth="1"/>
    <col min="10242" max="10242" width="10.42578125" style="1177" customWidth="1"/>
    <col min="10243" max="10244" width="11.42578125" style="1177"/>
    <col min="10245" max="10245" width="18" style="1177" customWidth="1"/>
    <col min="10246" max="10247" width="11.42578125" style="1177"/>
    <col min="10248" max="10248" width="8" style="1177" customWidth="1"/>
    <col min="10249" max="10249" width="11.42578125" style="1177"/>
    <col min="10250" max="10250" width="20.85546875" style="1177" customWidth="1"/>
    <col min="10251" max="10251" width="11.42578125" style="1177"/>
    <col min="10252" max="10252" width="36.7109375" style="1177" customWidth="1"/>
    <col min="10253" max="10496" width="11.42578125" style="1177"/>
    <col min="10497" max="10497" width="18.85546875" style="1177" customWidth="1"/>
    <col min="10498" max="10498" width="10.42578125" style="1177" customWidth="1"/>
    <col min="10499" max="10500" width="11.42578125" style="1177"/>
    <col min="10501" max="10501" width="18" style="1177" customWidth="1"/>
    <col min="10502" max="10503" width="11.42578125" style="1177"/>
    <col min="10504" max="10504" width="8" style="1177" customWidth="1"/>
    <col min="10505" max="10505" width="11.42578125" style="1177"/>
    <col min="10506" max="10506" width="20.85546875" style="1177" customWidth="1"/>
    <col min="10507" max="10507" width="11.42578125" style="1177"/>
    <col min="10508" max="10508" width="36.7109375" style="1177" customWidth="1"/>
    <col min="10509" max="10752" width="11.42578125" style="1177"/>
    <col min="10753" max="10753" width="18.85546875" style="1177" customWidth="1"/>
    <col min="10754" max="10754" width="10.42578125" style="1177" customWidth="1"/>
    <col min="10755" max="10756" width="11.42578125" style="1177"/>
    <col min="10757" max="10757" width="18" style="1177" customWidth="1"/>
    <col min="10758" max="10759" width="11.42578125" style="1177"/>
    <col min="10760" max="10760" width="8" style="1177" customWidth="1"/>
    <col min="10761" max="10761" width="11.42578125" style="1177"/>
    <col min="10762" max="10762" width="20.85546875" style="1177" customWidth="1"/>
    <col min="10763" max="10763" width="11.42578125" style="1177"/>
    <col min="10764" max="10764" width="36.7109375" style="1177" customWidth="1"/>
    <col min="10765" max="11008" width="11.42578125" style="1177"/>
    <col min="11009" max="11009" width="18.85546875" style="1177" customWidth="1"/>
    <col min="11010" max="11010" width="10.42578125" style="1177" customWidth="1"/>
    <col min="11011" max="11012" width="11.42578125" style="1177"/>
    <col min="11013" max="11013" width="18" style="1177" customWidth="1"/>
    <col min="11014" max="11015" width="11.42578125" style="1177"/>
    <col min="11016" max="11016" width="8" style="1177" customWidth="1"/>
    <col min="11017" max="11017" width="11.42578125" style="1177"/>
    <col min="11018" max="11018" width="20.85546875" style="1177" customWidth="1"/>
    <col min="11019" max="11019" width="11.42578125" style="1177"/>
    <col min="11020" max="11020" width="36.7109375" style="1177" customWidth="1"/>
    <col min="11021" max="11264" width="11.42578125" style="1177"/>
    <col min="11265" max="11265" width="18.85546875" style="1177" customWidth="1"/>
    <col min="11266" max="11266" width="10.42578125" style="1177" customWidth="1"/>
    <col min="11267" max="11268" width="11.42578125" style="1177"/>
    <col min="11269" max="11269" width="18" style="1177" customWidth="1"/>
    <col min="11270" max="11271" width="11.42578125" style="1177"/>
    <col min="11272" max="11272" width="8" style="1177" customWidth="1"/>
    <col min="11273" max="11273" width="11.42578125" style="1177"/>
    <col min="11274" max="11274" width="20.85546875" style="1177" customWidth="1"/>
    <col min="11275" max="11275" width="11.42578125" style="1177"/>
    <col min="11276" max="11276" width="36.7109375" style="1177" customWidth="1"/>
    <col min="11277" max="11520" width="11.42578125" style="1177"/>
    <col min="11521" max="11521" width="18.85546875" style="1177" customWidth="1"/>
    <col min="11522" max="11522" width="10.42578125" style="1177" customWidth="1"/>
    <col min="11523" max="11524" width="11.42578125" style="1177"/>
    <col min="11525" max="11525" width="18" style="1177" customWidth="1"/>
    <col min="11526" max="11527" width="11.42578125" style="1177"/>
    <col min="11528" max="11528" width="8" style="1177" customWidth="1"/>
    <col min="11529" max="11529" width="11.42578125" style="1177"/>
    <col min="11530" max="11530" width="20.85546875" style="1177" customWidth="1"/>
    <col min="11531" max="11531" width="11.42578125" style="1177"/>
    <col min="11532" max="11532" width="36.7109375" style="1177" customWidth="1"/>
    <col min="11533" max="11776" width="11.42578125" style="1177"/>
    <col min="11777" max="11777" width="18.85546875" style="1177" customWidth="1"/>
    <col min="11778" max="11778" width="10.42578125" style="1177" customWidth="1"/>
    <col min="11779" max="11780" width="11.42578125" style="1177"/>
    <col min="11781" max="11781" width="18" style="1177" customWidth="1"/>
    <col min="11782" max="11783" width="11.42578125" style="1177"/>
    <col min="11784" max="11784" width="8" style="1177" customWidth="1"/>
    <col min="11785" max="11785" width="11.42578125" style="1177"/>
    <col min="11786" max="11786" width="20.85546875" style="1177" customWidth="1"/>
    <col min="11787" max="11787" width="11.42578125" style="1177"/>
    <col min="11788" max="11788" width="36.7109375" style="1177" customWidth="1"/>
    <col min="11789" max="12032" width="11.42578125" style="1177"/>
    <col min="12033" max="12033" width="18.85546875" style="1177" customWidth="1"/>
    <col min="12034" max="12034" width="10.42578125" style="1177" customWidth="1"/>
    <col min="12035" max="12036" width="11.42578125" style="1177"/>
    <col min="12037" max="12037" width="18" style="1177" customWidth="1"/>
    <col min="12038" max="12039" width="11.42578125" style="1177"/>
    <col min="12040" max="12040" width="8" style="1177" customWidth="1"/>
    <col min="12041" max="12041" width="11.42578125" style="1177"/>
    <col min="12042" max="12042" width="20.85546875" style="1177" customWidth="1"/>
    <col min="12043" max="12043" width="11.42578125" style="1177"/>
    <col min="12044" max="12044" width="36.7109375" style="1177" customWidth="1"/>
    <col min="12045" max="12288" width="11.42578125" style="1177"/>
    <col min="12289" max="12289" width="18.85546875" style="1177" customWidth="1"/>
    <col min="12290" max="12290" width="10.42578125" style="1177" customWidth="1"/>
    <col min="12291" max="12292" width="11.42578125" style="1177"/>
    <col min="12293" max="12293" width="18" style="1177" customWidth="1"/>
    <col min="12294" max="12295" width="11.42578125" style="1177"/>
    <col min="12296" max="12296" width="8" style="1177" customWidth="1"/>
    <col min="12297" max="12297" width="11.42578125" style="1177"/>
    <col min="12298" max="12298" width="20.85546875" style="1177" customWidth="1"/>
    <col min="12299" max="12299" width="11.42578125" style="1177"/>
    <col min="12300" max="12300" width="36.7109375" style="1177" customWidth="1"/>
    <col min="12301" max="12544" width="11.42578125" style="1177"/>
    <col min="12545" max="12545" width="18.85546875" style="1177" customWidth="1"/>
    <col min="12546" max="12546" width="10.42578125" style="1177" customWidth="1"/>
    <col min="12547" max="12548" width="11.42578125" style="1177"/>
    <col min="12549" max="12549" width="18" style="1177" customWidth="1"/>
    <col min="12550" max="12551" width="11.42578125" style="1177"/>
    <col min="12552" max="12552" width="8" style="1177" customWidth="1"/>
    <col min="12553" max="12553" width="11.42578125" style="1177"/>
    <col min="12554" max="12554" width="20.85546875" style="1177" customWidth="1"/>
    <col min="12555" max="12555" width="11.42578125" style="1177"/>
    <col min="12556" max="12556" width="36.7109375" style="1177" customWidth="1"/>
    <col min="12557" max="12800" width="11.42578125" style="1177"/>
    <col min="12801" max="12801" width="18.85546875" style="1177" customWidth="1"/>
    <col min="12802" max="12802" width="10.42578125" style="1177" customWidth="1"/>
    <col min="12803" max="12804" width="11.42578125" style="1177"/>
    <col min="12805" max="12805" width="18" style="1177" customWidth="1"/>
    <col min="12806" max="12807" width="11.42578125" style="1177"/>
    <col min="12808" max="12808" width="8" style="1177" customWidth="1"/>
    <col min="12809" max="12809" width="11.42578125" style="1177"/>
    <col min="12810" max="12810" width="20.85546875" style="1177" customWidth="1"/>
    <col min="12811" max="12811" width="11.42578125" style="1177"/>
    <col min="12812" max="12812" width="36.7109375" style="1177" customWidth="1"/>
    <col min="12813" max="13056" width="11.42578125" style="1177"/>
    <col min="13057" max="13057" width="18.85546875" style="1177" customWidth="1"/>
    <col min="13058" max="13058" width="10.42578125" style="1177" customWidth="1"/>
    <col min="13059" max="13060" width="11.42578125" style="1177"/>
    <col min="13061" max="13061" width="18" style="1177" customWidth="1"/>
    <col min="13062" max="13063" width="11.42578125" style="1177"/>
    <col min="13064" max="13064" width="8" style="1177" customWidth="1"/>
    <col min="13065" max="13065" width="11.42578125" style="1177"/>
    <col min="13066" max="13066" width="20.85546875" style="1177" customWidth="1"/>
    <col min="13067" max="13067" width="11.42578125" style="1177"/>
    <col min="13068" max="13068" width="36.7109375" style="1177" customWidth="1"/>
    <col min="13069" max="13312" width="11.42578125" style="1177"/>
    <col min="13313" max="13313" width="18.85546875" style="1177" customWidth="1"/>
    <col min="13314" max="13314" width="10.42578125" style="1177" customWidth="1"/>
    <col min="13315" max="13316" width="11.42578125" style="1177"/>
    <col min="13317" max="13317" width="18" style="1177" customWidth="1"/>
    <col min="13318" max="13319" width="11.42578125" style="1177"/>
    <col min="13320" max="13320" width="8" style="1177" customWidth="1"/>
    <col min="13321" max="13321" width="11.42578125" style="1177"/>
    <col min="13322" max="13322" width="20.85546875" style="1177" customWidth="1"/>
    <col min="13323" max="13323" width="11.42578125" style="1177"/>
    <col min="13324" max="13324" width="36.7109375" style="1177" customWidth="1"/>
    <col min="13325" max="13568" width="11.42578125" style="1177"/>
    <col min="13569" max="13569" width="18.85546875" style="1177" customWidth="1"/>
    <col min="13570" max="13570" width="10.42578125" style="1177" customWidth="1"/>
    <col min="13571" max="13572" width="11.42578125" style="1177"/>
    <col min="13573" max="13573" width="18" style="1177" customWidth="1"/>
    <col min="13574" max="13575" width="11.42578125" style="1177"/>
    <col min="13576" max="13576" width="8" style="1177" customWidth="1"/>
    <col min="13577" max="13577" width="11.42578125" style="1177"/>
    <col min="13578" max="13578" width="20.85546875" style="1177" customWidth="1"/>
    <col min="13579" max="13579" width="11.42578125" style="1177"/>
    <col min="13580" max="13580" width="36.7109375" style="1177" customWidth="1"/>
    <col min="13581" max="13824" width="11.42578125" style="1177"/>
    <col min="13825" max="13825" width="18.85546875" style="1177" customWidth="1"/>
    <col min="13826" max="13826" width="10.42578125" style="1177" customWidth="1"/>
    <col min="13827" max="13828" width="11.42578125" style="1177"/>
    <col min="13829" max="13829" width="18" style="1177" customWidth="1"/>
    <col min="13830" max="13831" width="11.42578125" style="1177"/>
    <col min="13832" max="13832" width="8" style="1177" customWidth="1"/>
    <col min="13833" max="13833" width="11.42578125" style="1177"/>
    <col min="13834" max="13834" width="20.85546875" style="1177" customWidth="1"/>
    <col min="13835" max="13835" width="11.42578125" style="1177"/>
    <col min="13836" max="13836" width="36.7109375" style="1177" customWidth="1"/>
    <col min="13837" max="14080" width="11.42578125" style="1177"/>
    <col min="14081" max="14081" width="18.85546875" style="1177" customWidth="1"/>
    <col min="14082" max="14082" width="10.42578125" style="1177" customWidth="1"/>
    <col min="14083" max="14084" width="11.42578125" style="1177"/>
    <col min="14085" max="14085" width="18" style="1177" customWidth="1"/>
    <col min="14086" max="14087" width="11.42578125" style="1177"/>
    <col min="14088" max="14088" width="8" style="1177" customWidth="1"/>
    <col min="14089" max="14089" width="11.42578125" style="1177"/>
    <col min="14090" max="14090" width="20.85546875" style="1177" customWidth="1"/>
    <col min="14091" max="14091" width="11.42578125" style="1177"/>
    <col min="14092" max="14092" width="36.7109375" style="1177" customWidth="1"/>
    <col min="14093" max="14336" width="11.42578125" style="1177"/>
    <col min="14337" max="14337" width="18.85546875" style="1177" customWidth="1"/>
    <col min="14338" max="14338" width="10.42578125" style="1177" customWidth="1"/>
    <col min="14339" max="14340" width="11.42578125" style="1177"/>
    <col min="14341" max="14341" width="18" style="1177" customWidth="1"/>
    <col min="14342" max="14343" width="11.42578125" style="1177"/>
    <col min="14344" max="14344" width="8" style="1177" customWidth="1"/>
    <col min="14345" max="14345" width="11.42578125" style="1177"/>
    <col min="14346" max="14346" width="20.85546875" style="1177" customWidth="1"/>
    <col min="14347" max="14347" width="11.42578125" style="1177"/>
    <col min="14348" max="14348" width="36.7109375" style="1177" customWidth="1"/>
    <col min="14349" max="14592" width="11.42578125" style="1177"/>
    <col min="14593" max="14593" width="18.85546875" style="1177" customWidth="1"/>
    <col min="14594" max="14594" width="10.42578125" style="1177" customWidth="1"/>
    <col min="14595" max="14596" width="11.42578125" style="1177"/>
    <col min="14597" max="14597" width="18" style="1177" customWidth="1"/>
    <col min="14598" max="14599" width="11.42578125" style="1177"/>
    <col min="14600" max="14600" width="8" style="1177" customWidth="1"/>
    <col min="14601" max="14601" width="11.42578125" style="1177"/>
    <col min="14602" max="14602" width="20.85546875" style="1177" customWidth="1"/>
    <col min="14603" max="14603" width="11.42578125" style="1177"/>
    <col min="14604" max="14604" width="36.7109375" style="1177" customWidth="1"/>
    <col min="14605" max="14848" width="11.42578125" style="1177"/>
    <col min="14849" max="14849" width="18.85546875" style="1177" customWidth="1"/>
    <col min="14850" max="14850" width="10.42578125" style="1177" customWidth="1"/>
    <col min="14851" max="14852" width="11.42578125" style="1177"/>
    <col min="14853" max="14853" width="18" style="1177" customWidth="1"/>
    <col min="14854" max="14855" width="11.42578125" style="1177"/>
    <col min="14856" max="14856" width="8" style="1177" customWidth="1"/>
    <col min="14857" max="14857" width="11.42578125" style="1177"/>
    <col min="14858" max="14858" width="20.85546875" style="1177" customWidth="1"/>
    <col min="14859" max="14859" width="11.42578125" style="1177"/>
    <col min="14860" max="14860" width="36.7109375" style="1177" customWidth="1"/>
    <col min="14861" max="15104" width="11.42578125" style="1177"/>
    <col min="15105" max="15105" width="18.85546875" style="1177" customWidth="1"/>
    <col min="15106" max="15106" width="10.42578125" style="1177" customWidth="1"/>
    <col min="15107" max="15108" width="11.42578125" style="1177"/>
    <col min="15109" max="15109" width="18" style="1177" customWidth="1"/>
    <col min="15110" max="15111" width="11.42578125" style="1177"/>
    <col min="15112" max="15112" width="8" style="1177" customWidth="1"/>
    <col min="15113" max="15113" width="11.42578125" style="1177"/>
    <col min="15114" max="15114" width="20.85546875" style="1177" customWidth="1"/>
    <col min="15115" max="15115" width="11.42578125" style="1177"/>
    <col min="15116" max="15116" width="36.7109375" style="1177" customWidth="1"/>
    <col min="15117" max="15360" width="11.42578125" style="1177"/>
    <col min="15361" max="15361" width="18.85546875" style="1177" customWidth="1"/>
    <col min="15362" max="15362" width="10.42578125" style="1177" customWidth="1"/>
    <col min="15363" max="15364" width="11.42578125" style="1177"/>
    <col min="15365" max="15365" width="18" style="1177" customWidth="1"/>
    <col min="15366" max="15367" width="11.42578125" style="1177"/>
    <col min="15368" max="15368" width="8" style="1177" customWidth="1"/>
    <col min="15369" max="15369" width="11.42578125" style="1177"/>
    <col min="15370" max="15370" width="20.85546875" style="1177" customWidth="1"/>
    <col min="15371" max="15371" width="11.42578125" style="1177"/>
    <col min="15372" max="15372" width="36.7109375" style="1177" customWidth="1"/>
    <col min="15373" max="15616" width="11.42578125" style="1177"/>
    <col min="15617" max="15617" width="18.85546875" style="1177" customWidth="1"/>
    <col min="15618" max="15618" width="10.42578125" style="1177" customWidth="1"/>
    <col min="15619" max="15620" width="11.42578125" style="1177"/>
    <col min="15621" max="15621" width="18" style="1177" customWidth="1"/>
    <col min="15622" max="15623" width="11.42578125" style="1177"/>
    <col min="15624" max="15624" width="8" style="1177" customWidth="1"/>
    <col min="15625" max="15625" width="11.42578125" style="1177"/>
    <col min="15626" max="15626" width="20.85546875" style="1177" customWidth="1"/>
    <col min="15627" max="15627" width="11.42578125" style="1177"/>
    <col min="15628" max="15628" width="36.7109375" style="1177" customWidth="1"/>
    <col min="15629" max="15872" width="11.42578125" style="1177"/>
    <col min="15873" max="15873" width="18.85546875" style="1177" customWidth="1"/>
    <col min="15874" max="15874" width="10.42578125" style="1177" customWidth="1"/>
    <col min="15875" max="15876" width="11.42578125" style="1177"/>
    <col min="15877" max="15877" width="18" style="1177" customWidth="1"/>
    <col min="15878" max="15879" width="11.42578125" style="1177"/>
    <col min="15880" max="15880" width="8" style="1177" customWidth="1"/>
    <col min="15881" max="15881" width="11.42578125" style="1177"/>
    <col min="15882" max="15882" width="20.85546875" style="1177" customWidth="1"/>
    <col min="15883" max="15883" width="11.42578125" style="1177"/>
    <col min="15884" max="15884" width="36.7109375" style="1177" customWidth="1"/>
    <col min="15885" max="16128" width="11.42578125" style="1177"/>
    <col min="16129" max="16129" width="18.85546875" style="1177" customWidth="1"/>
    <col min="16130" max="16130" width="10.42578125" style="1177" customWidth="1"/>
    <col min="16131" max="16132" width="11.42578125" style="1177"/>
    <col min="16133" max="16133" width="18" style="1177" customWidth="1"/>
    <col min="16134" max="16135" width="11.42578125" style="1177"/>
    <col min="16136" max="16136" width="8" style="1177" customWidth="1"/>
    <col min="16137" max="16137" width="11.42578125" style="1177"/>
    <col min="16138" max="16138" width="20.85546875" style="1177" customWidth="1"/>
    <col min="16139" max="16139" width="11.42578125" style="1177"/>
    <col min="16140" max="16140" width="36.7109375" style="1177" customWidth="1"/>
    <col min="16141" max="16384" width="11.42578125" style="1177"/>
  </cols>
  <sheetData>
    <row r="1" spans="1:21" ht="15.75" thickBot="1">
      <c r="A1" s="1179"/>
    </row>
    <row r="2" spans="1:21" ht="51.75" customHeight="1">
      <c r="A2" s="1185"/>
      <c r="B2" s="3384" t="s">
        <v>2865</v>
      </c>
      <c r="C2" s="3385"/>
      <c r="D2" s="3385"/>
      <c r="E2" s="3385"/>
      <c r="F2" s="3385"/>
      <c r="G2" s="3385"/>
      <c r="H2" s="3385"/>
      <c r="I2" s="3385"/>
      <c r="J2" s="3385"/>
      <c r="K2" s="3385"/>
      <c r="L2" s="3385"/>
      <c r="M2" s="3385"/>
      <c r="N2" s="3385"/>
      <c r="O2" s="3385"/>
      <c r="P2" s="3385"/>
      <c r="Q2" s="3385"/>
      <c r="R2" s="3385"/>
      <c r="S2" s="3385"/>
      <c r="T2" s="3385"/>
      <c r="U2" s="3386"/>
    </row>
    <row r="3" spans="1:21" ht="51.75" customHeight="1" thickBot="1">
      <c r="A3" s="1185"/>
      <c r="B3" s="3387" t="s">
        <v>7</v>
      </c>
      <c r="C3" s="3388"/>
      <c r="D3" s="3388"/>
      <c r="E3" s="3388"/>
      <c r="F3" s="3388"/>
      <c r="G3" s="3388"/>
      <c r="H3" s="3388"/>
      <c r="I3" s="3388"/>
      <c r="J3" s="3388"/>
      <c r="K3" s="3388"/>
      <c r="L3" s="3388"/>
      <c r="M3" s="3388"/>
      <c r="N3" s="3388"/>
      <c r="O3" s="3388"/>
      <c r="P3" s="3388"/>
      <c r="Q3" s="3388"/>
      <c r="R3" s="3388"/>
      <c r="S3" s="3388"/>
      <c r="T3" s="3388"/>
      <c r="U3" s="3389"/>
    </row>
    <row r="4" spans="1:21" ht="42.75" customHeight="1">
      <c r="A4" s="1185"/>
      <c r="B4" s="1197" t="s">
        <v>8</v>
      </c>
      <c r="C4" s="3383" t="s">
        <v>9</v>
      </c>
      <c r="D4" s="3383"/>
      <c r="E4" s="3383"/>
      <c r="F4" s="3383"/>
      <c r="G4" s="3383"/>
      <c r="H4" s="3383"/>
      <c r="I4" s="3383"/>
      <c r="J4" s="3383"/>
      <c r="K4" s="3383"/>
      <c r="L4" s="3383"/>
      <c r="M4" s="1201"/>
      <c r="N4" s="1201"/>
      <c r="O4" s="1201"/>
      <c r="P4" s="1202"/>
      <c r="Q4" s="1202"/>
      <c r="R4" s="1202"/>
      <c r="S4" s="1202"/>
      <c r="T4" s="1202"/>
      <c r="U4" s="1202"/>
    </row>
    <row r="5" spans="1:21" ht="42.75" customHeight="1">
      <c r="A5" s="1185"/>
      <c r="B5" s="1197"/>
      <c r="C5" s="3394" t="s">
        <v>2866</v>
      </c>
      <c r="D5" s="3394"/>
      <c r="E5" s="3394"/>
      <c r="F5" s="3394"/>
      <c r="G5" s="3394"/>
      <c r="H5" s="3394"/>
      <c r="I5" s="3394"/>
      <c r="J5" s="3394"/>
      <c r="K5" s="3394"/>
      <c r="L5" s="3394"/>
      <c r="M5" s="3394"/>
      <c r="N5" s="3394"/>
      <c r="O5" s="3394"/>
      <c r="P5" s="3391" t="s">
        <v>2836</v>
      </c>
      <c r="Q5" s="3391"/>
      <c r="R5" s="3391"/>
      <c r="S5" s="1202"/>
      <c r="T5" s="1202"/>
      <c r="U5" s="1202"/>
    </row>
    <row r="6" spans="1:21" ht="42.75" customHeight="1">
      <c r="A6" s="1185"/>
      <c r="B6" s="1197" t="s">
        <v>8</v>
      </c>
      <c r="C6" s="3392" t="s">
        <v>107</v>
      </c>
      <c r="D6" s="3392"/>
      <c r="E6" s="3392"/>
      <c r="F6" s="3392"/>
      <c r="G6" s="3392"/>
      <c r="H6" s="3392"/>
      <c r="I6" s="3393" t="s">
        <v>2835</v>
      </c>
      <c r="J6" s="3393"/>
      <c r="K6" s="3393"/>
      <c r="L6" s="3393"/>
      <c r="M6" s="3393"/>
      <c r="N6" s="3393"/>
      <c r="O6" s="3393"/>
      <c r="P6" s="3393"/>
      <c r="Q6" s="3393"/>
      <c r="R6" s="3393"/>
      <c r="S6" s="3393"/>
      <c r="T6" s="3393"/>
      <c r="U6" s="3393"/>
    </row>
    <row r="7" spans="1:21" ht="33.75" customHeight="1">
      <c r="A7" s="1179"/>
      <c r="B7" s="1197"/>
      <c r="C7" s="1508"/>
      <c r="D7" s="1508"/>
      <c r="E7" s="1508"/>
      <c r="F7" s="1508"/>
      <c r="G7" s="1508"/>
      <c r="H7" s="1508"/>
      <c r="I7" s="1199"/>
      <c r="J7" s="1199"/>
      <c r="K7" s="1199"/>
      <c r="L7" s="1199"/>
      <c r="M7" s="1200"/>
      <c r="N7" s="1200"/>
      <c r="O7" s="1200"/>
      <c r="P7" s="1200"/>
      <c r="Q7" s="1201"/>
      <c r="R7" s="1202"/>
      <c r="S7" s="1202"/>
      <c r="T7" s="1202"/>
      <c r="U7" s="1202"/>
    </row>
    <row r="8" spans="1:21" ht="33.75" customHeight="1">
      <c r="A8" s="1179"/>
      <c r="B8" s="1199"/>
      <c r="C8" s="1211"/>
      <c r="D8" s="1211" t="s">
        <v>10</v>
      </c>
      <c r="E8" s="1199"/>
      <c r="F8" s="1199"/>
      <c r="G8" s="1199"/>
      <c r="H8" s="1199"/>
      <c r="I8" s="1199"/>
      <c r="J8" s="1199"/>
      <c r="K8" s="1199"/>
      <c r="L8" s="1199"/>
      <c r="M8" s="1200"/>
      <c r="N8" s="1200"/>
      <c r="O8" s="1200"/>
      <c r="P8" s="1200"/>
      <c r="Q8" s="1201"/>
      <c r="R8" s="1202"/>
      <c r="S8" s="1202"/>
      <c r="T8" s="1202"/>
      <c r="U8" s="1202"/>
    </row>
    <row r="9" spans="1:21" ht="39.950000000000003" customHeight="1">
      <c r="A9" s="1185"/>
      <c r="B9" s="1242"/>
      <c r="C9" s="3390" t="s">
        <v>11</v>
      </c>
      <c r="D9" s="3390"/>
      <c r="E9" s="3390"/>
      <c r="F9" s="1197" t="s">
        <v>12</v>
      </c>
      <c r="G9" s="1242"/>
      <c r="H9" s="1242"/>
      <c r="I9" s="1242"/>
      <c r="J9" s="1242"/>
      <c r="K9" s="1242"/>
      <c r="L9" s="1242"/>
      <c r="M9" s="13"/>
      <c r="N9" s="13"/>
      <c r="O9" s="13"/>
      <c r="P9" s="1243"/>
      <c r="Q9" s="1201"/>
      <c r="R9" s="1202"/>
      <c r="S9" s="1202"/>
      <c r="T9" s="1202"/>
      <c r="U9" s="1202"/>
    </row>
    <row r="10" spans="1:21" ht="39.950000000000003" customHeight="1">
      <c r="A10" s="1185"/>
      <c r="B10" s="1242"/>
      <c r="C10" s="3390" t="s">
        <v>13</v>
      </c>
      <c r="D10" s="3390"/>
      <c r="E10" s="3390"/>
      <c r="F10" s="1243" t="s">
        <v>14</v>
      </c>
      <c r="G10" s="1242"/>
      <c r="H10" s="1242"/>
      <c r="I10" s="1242"/>
      <c r="J10" s="1242"/>
      <c r="K10" s="1242"/>
      <c r="L10" s="1242"/>
      <c r="M10" s="13"/>
      <c r="N10" s="13"/>
      <c r="O10" s="13"/>
      <c r="P10" s="13"/>
      <c r="Q10" s="1201"/>
      <c r="R10" s="1202"/>
      <c r="S10" s="1202"/>
      <c r="T10" s="1202"/>
      <c r="U10" s="1202"/>
    </row>
    <row r="11" spans="1:21" ht="39.950000000000003" customHeight="1">
      <c r="A11" s="1185"/>
      <c r="B11" s="1242"/>
      <c r="C11" s="3390" t="s">
        <v>15</v>
      </c>
      <c r="D11" s="3390"/>
      <c r="E11" s="3390"/>
      <c r="F11" s="1197" t="s">
        <v>16</v>
      </c>
      <c r="G11" s="1242"/>
      <c r="H11" s="1242"/>
      <c r="I11" s="1242"/>
      <c r="J11" s="1242"/>
      <c r="K11" s="1242"/>
      <c r="L11" s="1242"/>
      <c r="M11" s="13"/>
      <c r="N11" s="13"/>
      <c r="O11" s="13"/>
      <c r="P11" s="13"/>
      <c r="Q11" s="1201"/>
      <c r="R11" s="1202"/>
      <c r="S11" s="1202"/>
      <c r="T11" s="1202"/>
      <c r="U11" s="1202"/>
    </row>
    <row r="12" spans="1:21" ht="39.950000000000003" customHeight="1">
      <c r="A12" s="1185"/>
      <c r="B12" s="1242"/>
      <c r="C12" s="1242"/>
      <c r="D12" s="1271"/>
      <c r="E12" s="1197"/>
      <c r="F12" s="1242"/>
      <c r="G12" s="1242"/>
      <c r="H12" s="1242"/>
      <c r="I12" s="1242"/>
      <c r="J12" s="1242"/>
      <c r="K12" s="1242"/>
      <c r="L12" s="1242"/>
      <c r="M12" s="13"/>
      <c r="N12" s="13"/>
      <c r="O12" s="13"/>
      <c r="P12" s="13"/>
      <c r="Q12" s="1201"/>
      <c r="R12" s="1202"/>
      <c r="S12" s="1202"/>
      <c r="T12" s="1202"/>
      <c r="U12" s="1202"/>
    </row>
    <row r="13" spans="1:21" ht="49.5" customHeight="1">
      <c r="A13" s="1185"/>
      <c r="B13" s="3380" t="s">
        <v>2830</v>
      </c>
      <c r="C13" s="3381"/>
      <c r="D13" s="3381"/>
      <c r="E13" s="3381"/>
      <c r="F13" s="3381"/>
      <c r="G13" s="3381"/>
      <c r="H13" s="3381"/>
      <c r="I13" s="3381"/>
      <c r="J13" s="3381"/>
      <c r="K13" s="3381"/>
      <c r="L13" s="3381"/>
      <c r="M13" s="3381"/>
      <c r="N13" s="3381"/>
      <c r="O13" s="3381"/>
      <c r="P13" s="3381"/>
      <c r="Q13" s="3381"/>
      <c r="R13" s="3381"/>
      <c r="S13" s="3381"/>
      <c r="T13" s="3381"/>
      <c r="U13" s="3382"/>
    </row>
    <row r="14" spans="1:21" ht="32.25" customHeight="1">
      <c r="A14" s="1185"/>
      <c r="B14" s="1273"/>
      <c r="C14" s="1273"/>
      <c r="D14" s="1273"/>
      <c r="E14" s="1273"/>
      <c r="F14" s="1273"/>
      <c r="G14" s="1273"/>
      <c r="H14" s="1273"/>
      <c r="I14" s="1273"/>
      <c r="J14" s="1273"/>
      <c r="K14" s="1273"/>
      <c r="L14" s="1273"/>
      <c r="M14" s="1273"/>
      <c r="N14" s="1273"/>
      <c r="O14" s="1273"/>
      <c r="P14" s="1273"/>
      <c r="Q14" s="1273"/>
      <c r="R14" s="1273"/>
      <c r="S14" s="1273"/>
      <c r="T14" s="1273"/>
      <c r="U14" s="1273"/>
    </row>
    <row r="15" spans="1:21" ht="23.25" customHeight="1">
      <c r="A15" s="1185"/>
      <c r="B15" s="1274" t="s">
        <v>17</v>
      </c>
      <c r="C15" s="1197"/>
      <c r="D15" s="1242"/>
      <c r="E15" s="1275" t="s">
        <v>18</v>
      </c>
      <c r="F15" s="1276" t="s">
        <v>19</v>
      </c>
      <c r="G15" s="1242"/>
      <c r="H15" s="1242"/>
      <c r="I15" s="1242"/>
      <c r="J15" s="1275" t="s">
        <v>20</v>
      </c>
      <c r="K15" s="1276" t="s">
        <v>21</v>
      </c>
      <c r="L15" s="1242"/>
      <c r="M15" s="1202"/>
      <c r="N15" s="1202"/>
      <c r="O15" s="1202"/>
      <c r="P15" s="1202"/>
      <c r="Q15" s="1202"/>
      <c r="R15" s="1202"/>
      <c r="S15" s="1202"/>
      <c r="T15" s="1202"/>
      <c r="U15" s="1202"/>
    </row>
    <row r="16" spans="1:21" ht="23.25">
      <c r="A16" s="1185"/>
      <c r="B16" s="1277"/>
      <c r="C16" s="1278"/>
      <c r="D16" s="3206" t="s">
        <v>22</v>
      </c>
      <c r="E16" s="1280" t="s">
        <v>23</v>
      </c>
      <c r="F16" s="1280"/>
      <c r="G16" s="1280"/>
      <c r="H16" s="1280"/>
      <c r="I16" s="1280"/>
      <c r="J16" s="3375">
        <v>7</v>
      </c>
      <c r="K16" s="3375"/>
      <c r="L16" s="1280"/>
      <c r="M16" s="1202"/>
      <c r="N16" s="1202"/>
      <c r="O16" s="1202"/>
      <c r="P16" s="1202"/>
      <c r="Q16" s="1202"/>
      <c r="R16" s="1202"/>
      <c r="S16" s="1202"/>
      <c r="T16" s="1202"/>
      <c r="U16" s="1202"/>
    </row>
    <row r="17" spans="1:21" ht="38.25" customHeight="1">
      <c r="A17" s="1185"/>
      <c r="B17" s="1199"/>
      <c r="C17" s="1242"/>
      <c r="D17" s="1242"/>
      <c r="E17" s="1242"/>
      <c r="F17" s="1242"/>
      <c r="G17" s="1242"/>
      <c r="H17" s="1242"/>
      <c r="I17" s="1242"/>
      <c r="J17" s="3375"/>
      <c r="K17" s="3375"/>
      <c r="L17" s="1242"/>
      <c r="M17" s="1202"/>
      <c r="N17" s="1202"/>
      <c r="O17" s="1202"/>
      <c r="P17" s="1202"/>
      <c r="Q17" s="1202"/>
      <c r="R17" s="1202"/>
      <c r="S17" s="1202"/>
      <c r="T17" s="1202"/>
      <c r="U17" s="1202"/>
    </row>
    <row r="18" spans="1:21" ht="29.25" customHeight="1" thickBot="1">
      <c r="A18" s="1185"/>
      <c r="B18" s="1274" t="s">
        <v>24</v>
      </c>
      <c r="C18" s="1242"/>
      <c r="D18" s="1242"/>
      <c r="E18" s="1282" t="s">
        <v>25</v>
      </c>
      <c r="F18" s="1283" t="s">
        <v>26</v>
      </c>
      <c r="G18" s="1284"/>
      <c r="H18" s="1284"/>
      <c r="I18" s="1285"/>
      <c r="J18" s="1285"/>
      <c r="K18" s="1284"/>
      <c r="L18" s="1242"/>
      <c r="M18" s="1202"/>
      <c r="N18" s="1202"/>
      <c r="O18" s="1202"/>
      <c r="P18" s="1202"/>
      <c r="Q18" s="1202"/>
      <c r="R18" s="1202"/>
      <c r="S18" s="1202"/>
      <c r="T18" s="1202"/>
      <c r="U18" s="1202"/>
    </row>
    <row r="19" spans="1:21" ht="23.25">
      <c r="A19" s="1185"/>
      <c r="B19" s="1185"/>
      <c r="C19" s="1286"/>
      <c r="D19" s="1286"/>
      <c r="E19" s="1287" t="s">
        <v>27</v>
      </c>
      <c r="F19" s="1286"/>
      <c r="G19" s="1286"/>
      <c r="H19" s="1286"/>
      <c r="I19" s="1286"/>
      <c r="J19" s="1286"/>
      <c r="K19" s="1286"/>
      <c r="L19" s="1286"/>
      <c r="M19" s="1202"/>
      <c r="N19" s="1202"/>
      <c r="O19" s="1202"/>
      <c r="P19" s="1202"/>
      <c r="Q19" s="1202"/>
      <c r="R19" s="1202"/>
      <c r="S19" s="1202"/>
      <c r="T19" s="1202"/>
      <c r="U19" s="1202"/>
    </row>
    <row r="20" spans="1:21" ht="25.5" customHeight="1">
      <c r="A20" s="1185"/>
      <c r="B20" s="1185"/>
      <c r="C20" s="1286"/>
      <c r="D20" s="1286"/>
      <c r="E20" s="1286"/>
      <c r="F20" s="1286"/>
      <c r="G20" s="1286"/>
      <c r="H20" s="1286"/>
      <c r="I20" s="1286"/>
      <c r="J20" s="1286"/>
      <c r="K20" s="1286"/>
      <c r="L20" s="1286"/>
      <c r="M20" s="1202"/>
      <c r="N20" s="1202"/>
      <c r="O20" s="1202"/>
      <c r="P20" s="1202"/>
      <c r="Q20" s="1202"/>
      <c r="R20" s="1202"/>
      <c r="S20" s="1202"/>
      <c r="T20" s="1202"/>
      <c r="U20" s="1202"/>
    </row>
    <row r="21" spans="1:21" ht="33" customHeight="1">
      <c r="A21" s="1185"/>
      <c r="B21" s="1185"/>
      <c r="C21" s="1286"/>
      <c r="D21" s="1286"/>
      <c r="E21" s="14" t="s">
        <v>28</v>
      </c>
      <c r="F21" s="14"/>
      <c r="G21" s="14"/>
      <c r="H21" s="14"/>
      <c r="I21" s="1286"/>
      <c r="J21" s="1286"/>
      <c r="K21" s="1286"/>
      <c r="L21" s="1286"/>
      <c r="M21" s="1202"/>
      <c r="N21" s="1202"/>
      <c r="O21" s="1202"/>
      <c r="P21" s="1202"/>
      <c r="Q21" s="1202"/>
      <c r="R21" s="1202"/>
      <c r="S21" s="1202"/>
      <c r="T21" s="1202"/>
      <c r="U21" s="1202"/>
    </row>
    <row r="22" spans="1:21" ht="22.5" customHeight="1">
      <c r="A22" s="1185"/>
      <c r="B22" s="1274" t="s">
        <v>29</v>
      </c>
      <c r="C22" s="1286"/>
      <c r="D22" s="1286"/>
      <c r="E22" s="14" t="s">
        <v>30</v>
      </c>
      <c r="F22" s="14"/>
      <c r="G22" s="14"/>
      <c r="H22" s="14"/>
      <c r="I22" s="1286"/>
      <c r="J22" s="1286"/>
      <c r="K22" s="1286"/>
      <c r="L22" s="1286"/>
      <c r="M22" s="1202"/>
      <c r="N22" s="1202"/>
      <c r="O22" s="1202"/>
      <c r="P22" s="1202"/>
      <c r="Q22" s="1202"/>
      <c r="R22" s="1202"/>
      <c r="S22" s="1202"/>
      <c r="T22" s="1202"/>
      <c r="U22" s="1202"/>
    </row>
    <row r="23" spans="1:21" s="1281" customFormat="1" ht="23.25">
      <c r="A23" s="1185"/>
      <c r="B23" s="1185"/>
      <c r="C23" s="1286"/>
      <c r="D23" s="1286"/>
      <c r="E23" s="14" t="s">
        <v>31</v>
      </c>
      <c r="F23" s="14"/>
      <c r="G23" s="14"/>
      <c r="H23" s="14"/>
      <c r="I23" s="1286"/>
      <c r="J23" s="1286"/>
      <c r="K23" s="1286"/>
      <c r="L23" s="1286"/>
      <c r="M23" s="1202"/>
      <c r="N23" s="1202"/>
      <c r="O23" s="1202"/>
      <c r="P23" s="1202"/>
      <c r="Q23" s="1202"/>
      <c r="R23" s="1202"/>
      <c r="S23" s="1202"/>
      <c r="T23" s="1291"/>
      <c r="U23" s="1291"/>
    </row>
    <row r="24" spans="1:21" ht="23.25">
      <c r="A24" s="1185"/>
      <c r="B24" s="1199"/>
      <c r="C24" s="1286"/>
      <c r="D24" s="1286"/>
      <c r="E24" s="1292" t="s">
        <v>32</v>
      </c>
      <c r="F24" s="1293" t="s">
        <v>32</v>
      </c>
      <c r="G24" s="1294" t="s">
        <v>32</v>
      </c>
      <c r="H24" s="1295" t="s">
        <v>32</v>
      </c>
      <c r="I24" s="1286"/>
      <c r="J24" s="1286"/>
      <c r="K24" s="1286"/>
      <c r="L24" s="1286"/>
      <c r="M24" s="1202"/>
      <c r="N24" s="1202"/>
      <c r="O24" s="1202"/>
      <c r="P24" s="1202"/>
      <c r="Q24" s="1202"/>
      <c r="R24" s="1202"/>
      <c r="S24" s="1202"/>
      <c r="T24" s="1202"/>
      <c r="U24" s="1202"/>
    </row>
    <row r="25" spans="1:21" ht="23.25" customHeight="1">
      <c r="A25" s="1185"/>
      <c r="B25" s="1199"/>
      <c r="C25" s="1286"/>
      <c r="D25" s="1286"/>
      <c r="E25" s="3376" t="s">
        <v>33</v>
      </c>
      <c r="F25" s="3378" t="s">
        <v>34</v>
      </c>
      <c r="G25" s="3378" t="s">
        <v>35</v>
      </c>
      <c r="H25" s="3378" t="s">
        <v>36</v>
      </c>
      <c r="I25" s="1286"/>
      <c r="J25" s="1286"/>
      <c r="K25" s="1286"/>
      <c r="L25" s="1286"/>
      <c r="M25" s="1202"/>
      <c r="N25" s="1202"/>
      <c r="O25" s="1202"/>
      <c r="P25" s="1202"/>
      <c r="Q25" s="1202"/>
      <c r="R25" s="1202"/>
      <c r="S25" s="1202"/>
      <c r="T25" s="1202"/>
      <c r="U25" s="1202"/>
    </row>
    <row r="26" spans="1:21" ht="23.25">
      <c r="A26" s="1185"/>
      <c r="B26" s="1277"/>
      <c r="C26" s="1286"/>
      <c r="D26" s="1286"/>
      <c r="E26" s="3376"/>
      <c r="F26" s="3378"/>
      <c r="G26" s="3378"/>
      <c r="H26" s="3378"/>
      <c r="I26" s="1286"/>
      <c r="J26" s="1286"/>
      <c r="K26" s="1286"/>
      <c r="L26" s="1286"/>
      <c r="M26" s="1202"/>
      <c r="N26" s="1202"/>
      <c r="O26" s="1202"/>
      <c r="P26" s="1202"/>
      <c r="Q26" s="1202"/>
      <c r="R26" s="1202"/>
      <c r="S26" s="1202"/>
      <c r="T26" s="1202"/>
      <c r="U26" s="1202"/>
    </row>
    <row r="27" spans="1:21" ht="23.25">
      <c r="A27" s="1185"/>
      <c r="B27" s="1199"/>
      <c r="C27" s="1286"/>
      <c r="D27" s="1286"/>
      <c r="E27" s="3376"/>
      <c r="F27" s="3378"/>
      <c r="G27" s="3378"/>
      <c r="H27" s="3378"/>
      <c r="I27" s="1286"/>
      <c r="J27" s="1286"/>
      <c r="K27" s="1286"/>
      <c r="L27" s="1286"/>
      <c r="M27" s="1202"/>
      <c r="N27" s="1202"/>
      <c r="O27" s="1202"/>
      <c r="P27" s="1202"/>
      <c r="Q27" s="1202"/>
      <c r="R27" s="1202"/>
      <c r="S27" s="1202"/>
      <c r="T27" s="1202"/>
      <c r="U27" s="1202"/>
    </row>
    <row r="28" spans="1:21" ht="24" thickBot="1">
      <c r="A28" s="1185"/>
      <c r="B28" s="1199"/>
      <c r="C28" s="1286"/>
      <c r="D28" s="1286"/>
      <c r="E28" s="3377"/>
      <c r="F28" s="3379"/>
      <c r="G28" s="3379"/>
      <c r="H28" s="3379"/>
      <c r="I28" s="1286"/>
      <c r="J28" s="1286"/>
      <c r="K28" s="1286"/>
      <c r="L28" s="1286"/>
      <c r="M28" s="1202"/>
      <c r="N28" s="1202"/>
      <c r="O28" s="1202"/>
      <c r="P28" s="1202"/>
      <c r="Q28" s="1202"/>
      <c r="R28" s="1202"/>
      <c r="S28" s="1202"/>
      <c r="T28" s="1202"/>
      <c r="U28" s="1202"/>
    </row>
    <row r="29" spans="1:21" ht="23.25">
      <c r="A29" s="1185"/>
      <c r="B29" s="1185"/>
      <c r="C29" s="1286"/>
      <c r="D29" s="1286"/>
      <c r="E29" s="1296" t="str">
        <f>E24</f>
        <v>?</v>
      </c>
      <c r="F29" s="1297" t="str">
        <f>F24</f>
        <v>?</v>
      </c>
      <c r="G29" s="1298" t="str">
        <f>G24</f>
        <v>?</v>
      </c>
      <c r="H29" s="1299" t="str">
        <f>H24</f>
        <v>?</v>
      </c>
      <c r="I29" s="1286"/>
      <c r="J29" s="1286"/>
      <c r="K29" s="1286"/>
      <c r="L29" s="1286"/>
      <c r="M29" s="1202"/>
      <c r="N29" s="1202"/>
      <c r="O29" s="1202"/>
      <c r="P29" s="1202"/>
      <c r="Q29" s="1202"/>
      <c r="R29" s="1202"/>
      <c r="S29" s="1202"/>
      <c r="T29" s="1202"/>
      <c r="U29" s="1202"/>
    </row>
    <row r="30" spans="1:21" s="1281" customFormat="1" ht="30.75" customHeight="1">
      <c r="A30" s="1185"/>
      <c r="B30" s="1185"/>
      <c r="C30" s="1286"/>
      <c r="D30" s="1286"/>
      <c r="E30" s="1286"/>
      <c r="F30" s="1286"/>
      <c r="G30" s="1286"/>
      <c r="H30" s="1286"/>
      <c r="I30" s="1286"/>
      <c r="J30" s="1286"/>
      <c r="K30" s="1286"/>
      <c r="L30" s="1286"/>
      <c r="M30" s="14"/>
      <c r="N30" s="14"/>
      <c r="O30" s="14"/>
      <c r="P30" s="14"/>
      <c r="Q30" s="14"/>
      <c r="R30" s="1300"/>
      <c r="S30" s="1291"/>
      <c r="T30" s="1291"/>
      <c r="U30" s="1291"/>
    </row>
    <row r="31" spans="1:21" s="1281" customFormat="1" ht="31.5">
      <c r="A31" s="1185"/>
      <c r="B31" s="1274" t="s">
        <v>37</v>
      </c>
      <c r="C31" s="1286"/>
      <c r="D31" s="1197" t="s">
        <v>38</v>
      </c>
      <c r="E31" s="1286"/>
      <c r="F31" s="1286"/>
      <c r="G31" s="1286"/>
      <c r="H31" s="1286"/>
      <c r="I31" s="1286"/>
      <c r="J31" s="1286"/>
      <c r="K31" s="1286"/>
      <c r="L31" s="1286"/>
      <c r="M31" s="14"/>
      <c r="N31" s="14"/>
      <c r="O31" s="14"/>
      <c r="P31" s="14"/>
      <c r="Q31" s="14"/>
      <c r="R31" s="1300"/>
      <c r="S31" s="1291"/>
      <c r="T31" s="1291"/>
      <c r="U31" s="1291"/>
    </row>
    <row r="32" spans="1:21" s="1281" customFormat="1" ht="23.25">
      <c r="A32" s="1185"/>
      <c r="B32" s="1185"/>
      <c r="C32" s="1286"/>
      <c r="D32" s="1286"/>
      <c r="E32" s="1286"/>
      <c r="F32" s="1286"/>
      <c r="G32" s="3370" t="s">
        <v>39</v>
      </c>
      <c r="H32" s="3370"/>
      <c r="I32" s="3370" t="s">
        <v>40</v>
      </c>
      <c r="J32" s="3370"/>
      <c r="K32" s="3370" t="s">
        <v>41</v>
      </c>
      <c r="L32" s="3370"/>
      <c r="M32" s="3370" t="s">
        <v>42</v>
      </c>
      <c r="N32" s="3370"/>
      <c r="O32" s="3370" t="s">
        <v>43</v>
      </c>
      <c r="P32" s="3370"/>
      <c r="Q32" s="14"/>
      <c r="R32" s="1300"/>
      <c r="S32" s="1291"/>
      <c r="T32" s="1291"/>
      <c r="U32" s="1291"/>
    </row>
    <row r="33" spans="1:21" s="1281" customFormat="1" ht="23.25">
      <c r="A33" s="1185"/>
      <c r="B33" s="1185"/>
      <c r="C33" s="1286"/>
      <c r="D33" s="1286"/>
      <c r="E33" s="1286"/>
      <c r="F33" s="1286"/>
      <c r="G33" s="3371" t="s">
        <v>44</v>
      </c>
      <c r="H33" s="3372"/>
      <c r="I33" s="3371" t="s">
        <v>45</v>
      </c>
      <c r="J33" s="3372"/>
      <c r="K33" s="3373" t="s">
        <v>46</v>
      </c>
      <c r="L33" s="3372"/>
      <c r="M33" s="3373" t="s">
        <v>47</v>
      </c>
      <c r="N33" s="3372"/>
      <c r="O33" s="3373" t="s">
        <v>48</v>
      </c>
      <c r="P33" s="3374"/>
      <c r="Q33" s="1286"/>
      <c r="R33" s="1300"/>
      <c r="S33" s="1291"/>
      <c r="T33" s="1291"/>
      <c r="U33" s="1291"/>
    </row>
    <row r="34" spans="1:21" s="1281" customFormat="1" ht="23.25">
      <c r="A34" s="1185"/>
      <c r="B34" s="1185"/>
      <c r="C34" s="1286"/>
      <c r="D34" s="1286"/>
      <c r="E34" s="1286"/>
      <c r="F34" s="1286"/>
      <c r="G34" s="1286"/>
      <c r="H34" s="1286"/>
      <c r="I34" s="1286"/>
      <c r="J34" s="1286"/>
      <c r="K34" s="1286"/>
      <c r="L34" s="1286"/>
      <c r="M34" s="14"/>
      <c r="N34" s="14"/>
      <c r="O34" s="14"/>
      <c r="P34" s="14"/>
      <c r="Q34" s="14"/>
      <c r="R34" s="1300"/>
      <c r="S34" s="1291"/>
      <c r="T34" s="1291"/>
      <c r="U34" s="1291"/>
    </row>
    <row r="35" spans="1:21" s="1281" customFormat="1" ht="23.25">
      <c r="A35" s="1185"/>
      <c r="B35" s="1185"/>
      <c r="C35" s="1286"/>
      <c r="D35" s="1286"/>
      <c r="E35" s="1286"/>
      <c r="F35" s="1286"/>
      <c r="G35" s="1286"/>
      <c r="H35" s="1286"/>
      <c r="I35" s="1286"/>
      <c r="J35" s="1286"/>
      <c r="K35" s="1286"/>
      <c r="L35" s="1286"/>
      <c r="M35" s="14"/>
      <c r="N35" s="14"/>
      <c r="O35" s="14"/>
      <c r="P35" s="14"/>
      <c r="Q35" s="14"/>
      <c r="R35" s="1300"/>
      <c r="S35" s="1291"/>
      <c r="T35" s="1291"/>
      <c r="U35" s="1291"/>
    </row>
    <row r="36" spans="1:21" s="1281" customFormat="1" ht="35.25" customHeight="1">
      <c r="A36" s="1185"/>
      <c r="B36" s="1274" t="s">
        <v>49</v>
      </c>
      <c r="C36" s="1286"/>
      <c r="D36" s="1197" t="s">
        <v>50</v>
      </c>
      <c r="E36" s="1286"/>
      <c r="F36" s="1286"/>
      <c r="G36" s="1286"/>
      <c r="H36" s="1286"/>
      <c r="I36" s="1286"/>
      <c r="J36" s="1286"/>
      <c r="K36" s="1286"/>
      <c r="L36" s="1286"/>
      <c r="M36" s="14"/>
      <c r="N36" s="14"/>
      <c r="O36" s="14"/>
      <c r="P36" s="14"/>
      <c r="Q36" s="14"/>
      <c r="R36" s="1300"/>
      <c r="S36" s="1291"/>
      <c r="T36" s="1291"/>
      <c r="U36" s="1291"/>
    </row>
    <row r="37" spans="1:21" s="1281" customFormat="1" ht="23.25">
      <c r="A37" s="1185"/>
      <c r="B37" s="1185"/>
      <c r="C37" s="1286"/>
      <c r="D37" s="1197" t="s">
        <v>51</v>
      </c>
      <c r="E37" s="1286"/>
      <c r="F37" s="1286"/>
      <c r="G37" s="1286"/>
      <c r="H37" s="1286"/>
      <c r="I37" s="1286"/>
      <c r="J37" s="1286"/>
      <c r="K37" s="1286"/>
      <c r="L37" s="1286"/>
      <c r="M37" s="14"/>
      <c r="N37" s="14"/>
      <c r="O37" s="14"/>
      <c r="P37" s="14"/>
      <c r="Q37" s="14"/>
      <c r="R37" s="1300"/>
      <c r="S37" s="1291"/>
      <c r="T37" s="1291"/>
      <c r="U37" s="1291"/>
    </row>
    <row r="38" spans="1:21" s="1281" customFormat="1" ht="23.25">
      <c r="A38" s="1185"/>
      <c r="B38" s="1185"/>
      <c r="C38" s="1286"/>
      <c r="D38" s="1286"/>
      <c r="E38" s="1286"/>
      <c r="F38" s="1286"/>
      <c r="G38" s="3360" t="s">
        <v>52</v>
      </c>
      <c r="H38" s="3360"/>
      <c r="I38" s="3360" t="s">
        <v>53</v>
      </c>
      <c r="J38" s="3360"/>
      <c r="K38" s="3360" t="s">
        <v>54</v>
      </c>
      <c r="L38" s="3360"/>
      <c r="M38" s="3360" t="s">
        <v>55</v>
      </c>
      <c r="N38" s="3360"/>
      <c r="O38" s="3360" t="s">
        <v>56</v>
      </c>
      <c r="P38" s="3360"/>
      <c r="Q38" s="14"/>
      <c r="R38" s="1300"/>
      <c r="S38" s="1291"/>
      <c r="T38" s="1291"/>
      <c r="U38" s="1291"/>
    </row>
    <row r="39" spans="1:21" s="1281" customFormat="1" ht="23.25">
      <c r="A39" s="1185"/>
      <c r="B39" s="1185"/>
      <c r="C39" s="1301"/>
      <c r="D39" s="1302"/>
      <c r="E39" s="1236" t="s">
        <v>57</v>
      </c>
      <c r="F39" s="3206" t="s">
        <v>22</v>
      </c>
      <c r="G39" s="1304">
        <v>10</v>
      </c>
      <c r="H39" s="1305" t="s">
        <v>58</v>
      </c>
      <c r="I39" s="1304">
        <v>10</v>
      </c>
      <c r="J39" s="1305" t="s">
        <v>58</v>
      </c>
      <c r="K39" s="1304">
        <v>10</v>
      </c>
      <c r="L39" s="1305" t="s">
        <v>58</v>
      </c>
      <c r="M39" s="1304">
        <v>10</v>
      </c>
      <c r="N39" s="1305" t="s">
        <v>58</v>
      </c>
      <c r="O39" s="1304">
        <v>10</v>
      </c>
      <c r="P39" s="1306" t="s">
        <v>58</v>
      </c>
      <c r="Q39" s="1286"/>
      <c r="R39" s="1300"/>
      <c r="S39" s="1291"/>
      <c r="T39" s="1291"/>
      <c r="U39" s="1291"/>
    </row>
    <row r="40" spans="1:21" s="1281" customFormat="1" ht="23.25">
      <c r="A40" s="1185"/>
      <c r="B40" s="1185"/>
      <c r="C40" s="1286"/>
      <c r="D40" s="1286"/>
      <c r="E40" s="1286"/>
      <c r="F40" s="1286"/>
      <c r="G40" s="1286"/>
      <c r="H40" s="1286"/>
      <c r="I40" s="1286"/>
      <c r="J40" s="1286"/>
      <c r="K40" s="1286"/>
      <c r="L40" s="1286"/>
      <c r="M40" s="1286"/>
      <c r="N40" s="1286"/>
      <c r="O40" s="1286"/>
      <c r="P40" s="1286"/>
      <c r="Q40" s="1286"/>
      <c r="R40" s="1300"/>
      <c r="S40" s="1291"/>
      <c r="T40" s="1291"/>
      <c r="U40" s="1291"/>
    </row>
    <row r="41" spans="1:21" s="1281" customFormat="1" ht="23.25">
      <c r="A41" s="1185"/>
      <c r="B41" s="1185"/>
      <c r="C41" s="1286"/>
      <c r="D41" s="1286"/>
      <c r="E41" s="1286"/>
      <c r="F41" s="1286"/>
      <c r="G41" s="1286"/>
      <c r="H41" s="1286"/>
      <c r="I41" s="1286"/>
      <c r="J41" s="1286"/>
      <c r="K41" s="1286"/>
      <c r="L41" s="1286"/>
      <c r="M41" s="1286"/>
      <c r="N41" s="1286"/>
      <c r="O41" s="1286"/>
      <c r="P41" s="1286"/>
      <c r="Q41" s="1286"/>
      <c r="R41" s="1300"/>
      <c r="S41" s="1291"/>
      <c r="T41" s="1291"/>
      <c r="U41" s="1291"/>
    </row>
    <row r="42" spans="1:21" s="1281" customFormat="1" ht="31.5">
      <c r="A42" s="1185"/>
      <c r="B42" s="1274" t="s">
        <v>59</v>
      </c>
      <c r="C42" s="1286"/>
      <c r="D42" s="1197" t="s">
        <v>60</v>
      </c>
      <c r="E42" s="1286"/>
      <c r="F42" s="1286"/>
      <c r="G42" s="1286"/>
      <c r="H42" s="1286"/>
      <c r="I42" s="1286"/>
      <c r="J42" s="1286"/>
      <c r="K42" s="1286"/>
      <c r="L42" s="1286"/>
      <c r="M42" s="1286"/>
      <c r="N42" s="1286"/>
      <c r="O42" s="1286"/>
      <c r="P42" s="1286"/>
      <c r="Q42" s="1286"/>
      <c r="R42" s="1300"/>
      <c r="S42" s="1291"/>
      <c r="T42" s="1291"/>
      <c r="U42" s="1291"/>
    </row>
    <row r="43" spans="1:21" s="1281" customFormat="1" ht="23.25">
      <c r="A43" s="1185"/>
      <c r="B43" s="1185"/>
      <c r="C43" s="1286"/>
      <c r="D43" s="1197" t="s">
        <v>61</v>
      </c>
      <c r="E43" s="1286"/>
      <c r="F43" s="1286"/>
      <c r="G43" s="1286"/>
      <c r="H43" s="1286"/>
      <c r="I43" s="1286"/>
      <c r="J43" s="1286"/>
      <c r="K43" s="1286"/>
      <c r="L43" s="1286"/>
      <c r="M43" s="14"/>
      <c r="N43" s="14"/>
      <c r="O43" s="14"/>
      <c r="P43" s="14"/>
      <c r="Q43" s="14"/>
      <c r="R43" s="1300"/>
      <c r="S43" s="1291"/>
      <c r="T43" s="1291"/>
      <c r="U43" s="1291"/>
    </row>
    <row r="44" spans="1:21" s="1281" customFormat="1" ht="23.25">
      <c r="A44" s="1185"/>
      <c r="B44" s="1185"/>
      <c r="C44" s="1286"/>
      <c r="D44" s="1286"/>
      <c r="E44" s="1286"/>
      <c r="F44" s="1286"/>
      <c r="G44" s="1275" t="s">
        <v>62</v>
      </c>
      <c r="H44" s="1286"/>
      <c r="I44" s="1275" t="s">
        <v>63</v>
      </c>
      <c r="J44" s="1286"/>
      <c r="K44" s="1275" t="s">
        <v>64</v>
      </c>
      <c r="L44" s="1286"/>
      <c r="M44" s="1275" t="s">
        <v>65</v>
      </c>
      <c r="N44" s="14"/>
      <c r="O44" s="1275" t="s">
        <v>66</v>
      </c>
      <c r="P44" s="1286"/>
      <c r="Q44" s="1286"/>
      <c r="R44" s="1300"/>
      <c r="S44" s="1291"/>
      <c r="T44" s="1291"/>
      <c r="U44" s="1291"/>
    </row>
    <row r="45" spans="1:21" s="1281" customFormat="1" ht="23.25">
      <c r="A45" s="1185"/>
      <c r="B45" s="1185"/>
      <c r="C45" s="1307"/>
      <c r="D45" s="1308"/>
      <c r="E45" s="1223" t="s">
        <v>67</v>
      </c>
      <c r="F45" s="3206" t="s">
        <v>22</v>
      </c>
      <c r="G45" s="1310">
        <v>20</v>
      </c>
      <c r="H45" s="1311"/>
      <c r="I45" s="1310">
        <v>20</v>
      </c>
      <c r="J45" s="1311"/>
      <c r="K45" s="1310">
        <v>20</v>
      </c>
      <c r="L45" s="1311"/>
      <c r="M45" s="1310">
        <v>20</v>
      </c>
      <c r="N45" s="1311"/>
      <c r="O45" s="1310">
        <v>20</v>
      </c>
      <c r="P45" s="1312"/>
      <c r="Q45" s="1286"/>
      <c r="R45" s="1300"/>
      <c r="S45" s="1291"/>
      <c r="T45" s="1291"/>
      <c r="U45" s="1291"/>
    </row>
    <row r="46" spans="1:21" s="1281" customFormat="1" ht="23.25">
      <c r="A46" s="1185"/>
      <c r="B46" s="1185"/>
      <c r="C46" s="1286"/>
      <c r="D46" s="1286"/>
      <c r="E46" s="1286"/>
      <c r="F46" s="1286"/>
      <c r="G46" s="1286"/>
      <c r="H46" s="1286"/>
      <c r="I46" s="1286"/>
      <c r="J46" s="1286"/>
      <c r="K46" s="1286"/>
      <c r="L46" s="1286"/>
      <c r="M46" s="1286"/>
      <c r="N46" s="1286"/>
      <c r="O46" s="1286"/>
      <c r="P46" s="1286"/>
      <c r="Q46" s="1286"/>
      <c r="R46" s="1300"/>
      <c r="S46" s="1291"/>
      <c r="T46" s="1291"/>
      <c r="U46" s="1291"/>
    </row>
    <row r="47" spans="1:21" s="1281" customFormat="1" ht="48" customHeight="1">
      <c r="A47" s="1185"/>
      <c r="B47" s="1185"/>
      <c r="C47" s="1286"/>
      <c r="D47" s="1286"/>
      <c r="E47" s="1286"/>
      <c r="F47" s="1286"/>
      <c r="G47" s="1286"/>
      <c r="H47" s="1286"/>
      <c r="I47" s="1286"/>
      <c r="J47" s="1286"/>
      <c r="K47" s="1286"/>
      <c r="L47" s="1286"/>
      <c r="M47" s="1286"/>
      <c r="N47" s="1286"/>
      <c r="O47" s="1286"/>
      <c r="P47" s="1286"/>
      <c r="Q47" s="1286"/>
      <c r="R47" s="1300"/>
      <c r="S47" s="1291"/>
      <c r="T47" s="1291"/>
      <c r="U47" s="1291"/>
    </row>
    <row r="48" spans="1:21" s="1281" customFormat="1" ht="31.5">
      <c r="A48" s="1185"/>
      <c r="B48" s="1274" t="s">
        <v>68</v>
      </c>
      <c r="C48" s="1286"/>
      <c r="D48" s="1197" t="s">
        <v>69</v>
      </c>
      <c r="E48" s="1286"/>
      <c r="F48" s="1286"/>
      <c r="G48" s="1286"/>
      <c r="H48" s="1286"/>
      <c r="I48" s="1286"/>
      <c r="J48" s="1286"/>
      <c r="K48" s="1286"/>
      <c r="L48" s="1286"/>
      <c r="M48" s="1286"/>
      <c r="N48" s="1286"/>
      <c r="O48" s="1286"/>
      <c r="P48" s="1286"/>
      <c r="Q48" s="1286"/>
      <c r="R48" s="1300"/>
      <c r="S48" s="1291"/>
      <c r="T48" s="1291"/>
      <c r="U48" s="1291"/>
    </row>
    <row r="49" spans="1:21" s="1281" customFormat="1" ht="23.25">
      <c r="A49" s="1185"/>
      <c r="B49" s="1185"/>
      <c r="C49" s="1286"/>
      <c r="D49" s="1197" t="s">
        <v>70</v>
      </c>
      <c r="E49" s="1286"/>
      <c r="F49" s="1286"/>
      <c r="G49" s="1286"/>
      <c r="H49" s="1286"/>
      <c r="I49" s="1286"/>
      <c r="J49" s="1286"/>
      <c r="K49" s="1286"/>
      <c r="L49" s="1286"/>
      <c r="M49" s="1286"/>
      <c r="N49" s="1286"/>
      <c r="O49" s="1286"/>
      <c r="P49" s="1286"/>
      <c r="Q49" s="1286"/>
      <c r="R49" s="1300"/>
      <c r="S49" s="1291"/>
      <c r="T49" s="1291"/>
      <c r="U49" s="1291"/>
    </row>
    <row r="50" spans="1:21" s="1281" customFormat="1" ht="23.25">
      <c r="A50" s="1179"/>
      <c r="B50" s="1185"/>
      <c r="C50" s="1286"/>
      <c r="D50" s="1197" t="s">
        <v>71</v>
      </c>
      <c r="E50" s="1286"/>
      <c r="F50" s="1286"/>
      <c r="G50" s="1286"/>
      <c r="H50" s="1286"/>
      <c r="I50" s="1286"/>
      <c r="J50" s="1286"/>
      <c r="K50" s="1286"/>
      <c r="L50" s="1286"/>
      <c r="M50" s="1286"/>
      <c r="N50" s="1286"/>
      <c r="O50" s="1286"/>
      <c r="P50" s="1286"/>
      <c r="Q50" s="1286"/>
      <c r="R50" s="1300"/>
      <c r="S50" s="1291"/>
      <c r="T50" s="1291"/>
      <c r="U50" s="1291"/>
    </row>
    <row r="51" spans="1:21" s="1281" customFormat="1" ht="23.25">
      <c r="A51" s="1179"/>
      <c r="B51" s="1313"/>
      <c r="C51" s="1286"/>
      <c r="D51" s="1286"/>
      <c r="E51" s="1286"/>
      <c r="F51" s="1286"/>
      <c r="G51" s="1286"/>
      <c r="H51" s="1286"/>
      <c r="I51" s="1286"/>
      <c r="J51" s="1286"/>
      <c r="K51" s="1286"/>
      <c r="L51" s="1286"/>
      <c r="M51" s="1286"/>
      <c r="N51" s="1286"/>
      <c r="O51" s="1286"/>
      <c r="P51" s="1286"/>
      <c r="Q51" s="1286"/>
      <c r="R51" s="1300"/>
      <c r="S51" s="1291"/>
      <c r="T51" s="1291"/>
      <c r="U51" s="1291"/>
    </row>
    <row r="52" spans="1:21" s="1281" customFormat="1" ht="31.5">
      <c r="A52" s="1179"/>
      <c r="B52" s="1274" t="s">
        <v>72</v>
      </c>
      <c r="C52" s="1286"/>
      <c r="D52" s="1197" t="s">
        <v>73</v>
      </c>
      <c r="E52" s="1286"/>
      <c r="F52" s="1286"/>
      <c r="G52" s="1286"/>
      <c r="H52" s="1286"/>
      <c r="I52" s="1286"/>
      <c r="J52" s="1286"/>
      <c r="K52" s="1286"/>
      <c r="L52" s="1286"/>
      <c r="M52" s="1286"/>
      <c r="N52" s="1286"/>
      <c r="O52" s="1286"/>
      <c r="P52" s="1286"/>
      <c r="Q52" s="1286"/>
      <c r="R52" s="1300"/>
      <c r="S52" s="1291"/>
      <c r="T52" s="1291"/>
      <c r="U52" s="1291"/>
    </row>
    <row r="53" spans="1:21" s="1281" customFormat="1" ht="23.25">
      <c r="A53" s="1185"/>
      <c r="B53" s="1185"/>
      <c r="C53" s="1286"/>
      <c r="D53" s="1286"/>
      <c r="E53" s="1275" t="s">
        <v>74</v>
      </c>
      <c r="F53" s="1286"/>
      <c r="G53" s="1286"/>
      <c r="H53" s="1286"/>
      <c r="I53" s="1275" t="s">
        <v>75</v>
      </c>
      <c r="J53" s="1286"/>
      <c r="K53" s="1275" t="s">
        <v>76</v>
      </c>
      <c r="L53" s="1286"/>
      <c r="M53" s="1286"/>
      <c r="N53" s="1286"/>
      <c r="O53" s="1286"/>
      <c r="P53" s="1286"/>
      <c r="Q53" s="1286"/>
      <c r="R53" s="1300"/>
      <c r="S53" s="1291"/>
      <c r="T53" s="1291"/>
      <c r="U53" s="1291"/>
    </row>
    <row r="54" spans="1:21" s="1281" customFormat="1" ht="37.5">
      <c r="A54" s="1185"/>
      <c r="B54" s="1185"/>
      <c r="C54" s="1286"/>
      <c r="D54" s="3362" t="s">
        <v>77</v>
      </c>
      <c r="E54" s="3362"/>
      <c r="F54" s="3362"/>
      <c r="G54" s="3362"/>
      <c r="H54" s="1285"/>
      <c r="I54" s="1314" t="s">
        <v>78</v>
      </c>
      <c r="J54" s="1285"/>
      <c r="K54" s="1315" t="s">
        <v>79</v>
      </c>
      <c r="L54" s="1286"/>
      <c r="M54" s="1286"/>
      <c r="N54" s="1286"/>
      <c r="O54" s="1286"/>
      <c r="P54" s="1286"/>
      <c r="Q54" s="1286"/>
      <c r="R54" s="1300"/>
      <c r="S54" s="1291"/>
      <c r="T54" s="1291"/>
      <c r="U54" s="1291"/>
    </row>
    <row r="55" spans="1:21" s="1281" customFormat="1" ht="23.25">
      <c r="A55" s="1185"/>
      <c r="B55" s="1185"/>
      <c r="C55" s="1286"/>
      <c r="D55" s="1286"/>
      <c r="E55" s="1286"/>
      <c r="F55" s="1286"/>
      <c r="G55" s="1286"/>
      <c r="H55" s="1286"/>
      <c r="I55" s="1286"/>
      <c r="J55" s="1286"/>
      <c r="K55" s="1286"/>
      <c r="L55" s="1286"/>
      <c r="M55" s="14"/>
      <c r="N55" s="14"/>
      <c r="O55" s="14"/>
      <c r="P55" s="14"/>
      <c r="Q55" s="14"/>
      <c r="R55" s="1300"/>
      <c r="S55" s="1291"/>
      <c r="T55" s="1291"/>
      <c r="U55" s="1291"/>
    </row>
    <row r="56" spans="1:21" s="1281" customFormat="1" ht="23.25">
      <c r="A56" s="1185"/>
      <c r="B56" s="1185"/>
      <c r="C56" s="1286"/>
      <c r="D56" s="1286"/>
      <c r="E56" s="1286"/>
      <c r="F56" s="1286"/>
      <c r="G56" s="1286"/>
      <c r="H56" s="1286"/>
      <c r="I56" s="1286"/>
      <c r="J56" s="1286"/>
      <c r="K56" s="1286"/>
      <c r="L56" s="1286"/>
      <c r="M56" s="14"/>
      <c r="N56" s="14"/>
      <c r="O56" s="14"/>
      <c r="P56" s="14"/>
      <c r="Q56" s="14"/>
      <c r="R56" s="1300"/>
      <c r="S56" s="1291"/>
      <c r="T56" s="1291"/>
      <c r="U56" s="1291"/>
    </row>
    <row r="57" spans="1:21" s="1281" customFormat="1" ht="23.25">
      <c r="A57" s="1185"/>
      <c r="B57" s="1185"/>
      <c r="C57" s="1286"/>
      <c r="D57" s="3361" t="s">
        <v>80</v>
      </c>
      <c r="E57" s="3362"/>
      <c r="F57" s="3362"/>
      <c r="G57" s="3362"/>
      <c r="H57" s="3362"/>
      <c r="I57" s="3362"/>
      <c r="J57" s="3362"/>
      <c r="K57" s="3362"/>
      <c r="L57" s="1286"/>
      <c r="M57" s="14"/>
      <c r="N57" s="14"/>
      <c r="O57" s="14"/>
      <c r="P57" s="14"/>
      <c r="Q57" s="14"/>
      <c r="R57" s="1300"/>
      <c r="S57" s="1291"/>
      <c r="T57" s="1291"/>
      <c r="U57" s="1291"/>
    </row>
    <row r="58" spans="1:21" s="1281" customFormat="1" ht="23.25">
      <c r="A58" s="1185"/>
      <c r="B58" s="1185"/>
      <c r="C58" s="1286"/>
      <c r="D58" s="3361"/>
      <c r="E58" s="3362"/>
      <c r="F58" s="3362"/>
      <c r="G58" s="3362"/>
      <c r="H58" s="3362"/>
      <c r="I58" s="3362"/>
      <c r="J58" s="3362"/>
      <c r="K58" s="3362"/>
      <c r="L58" s="1286"/>
      <c r="M58" s="14"/>
      <c r="N58" s="14"/>
      <c r="O58" s="14"/>
      <c r="P58" s="14"/>
      <c r="Q58" s="14"/>
      <c r="R58" s="1300"/>
      <c r="S58" s="1291"/>
      <c r="T58" s="1291"/>
      <c r="U58" s="1291"/>
    </row>
    <row r="59" spans="1:21" s="1281" customFormat="1" ht="23.25">
      <c r="A59" s="1185"/>
      <c r="B59" s="1185"/>
      <c r="C59" s="1286"/>
      <c r="D59" s="3361"/>
      <c r="E59" s="3362"/>
      <c r="F59" s="3362"/>
      <c r="G59" s="3362"/>
      <c r="H59" s="3362"/>
      <c r="I59" s="3362"/>
      <c r="J59" s="3362"/>
      <c r="K59" s="3362"/>
      <c r="L59" s="1286"/>
      <c r="M59" s="14"/>
      <c r="N59" s="14"/>
      <c r="O59" s="14"/>
      <c r="P59" s="14"/>
      <c r="Q59" s="14"/>
      <c r="R59" s="1300"/>
      <c r="S59" s="1291"/>
      <c r="T59" s="1291"/>
      <c r="U59" s="1291"/>
    </row>
    <row r="60" spans="1:21" s="1281" customFormat="1" ht="23.25">
      <c r="A60" s="1185"/>
      <c r="B60" s="1185"/>
      <c r="C60" s="1286"/>
      <c r="D60" s="1286"/>
      <c r="E60" s="1286"/>
      <c r="F60" s="1286"/>
      <c r="G60" s="1286"/>
      <c r="H60" s="1286"/>
      <c r="I60" s="1286"/>
      <c r="J60" s="1286"/>
      <c r="K60" s="1286"/>
      <c r="L60" s="1286"/>
      <c r="M60" s="14"/>
      <c r="N60" s="14"/>
      <c r="O60" s="14"/>
      <c r="P60" s="14"/>
      <c r="Q60" s="14"/>
      <c r="R60" s="1300"/>
      <c r="S60" s="1291"/>
      <c r="T60" s="1291"/>
      <c r="U60" s="1291"/>
    </row>
    <row r="61" spans="1:21" s="1281" customFormat="1" ht="23.25">
      <c r="A61" s="1185"/>
      <c r="B61" s="1185"/>
      <c r="C61" s="1286"/>
      <c r="D61" s="1286"/>
      <c r="E61" s="1286"/>
      <c r="F61" s="1286"/>
      <c r="G61" s="1286"/>
      <c r="H61" s="1286"/>
      <c r="I61" s="1286"/>
      <c r="J61" s="1286"/>
      <c r="K61" s="1286"/>
      <c r="L61" s="1286"/>
      <c r="M61" s="14"/>
      <c r="N61" s="14"/>
      <c r="O61" s="14"/>
      <c r="P61" s="14"/>
      <c r="Q61" s="14"/>
      <c r="R61" s="1300"/>
      <c r="S61" s="1291"/>
      <c r="T61" s="1291"/>
      <c r="U61" s="1291"/>
    </row>
    <row r="62" spans="1:21" ht="49.5" customHeight="1">
      <c r="A62" s="1185"/>
      <c r="B62" s="3363" t="s">
        <v>2831</v>
      </c>
      <c r="C62" s="3364"/>
      <c r="D62" s="3364"/>
      <c r="E62" s="3364"/>
      <c r="F62" s="3364"/>
      <c r="G62" s="3364"/>
      <c r="H62" s="3364"/>
      <c r="I62" s="3364"/>
      <c r="J62" s="3364"/>
      <c r="K62" s="3364"/>
      <c r="L62" s="3364"/>
      <c r="M62" s="3364"/>
      <c r="N62" s="3364"/>
      <c r="O62" s="3364"/>
      <c r="P62" s="3364"/>
      <c r="Q62" s="3364"/>
      <c r="R62" s="3364"/>
      <c r="S62" s="3364"/>
      <c r="T62" s="3364"/>
      <c r="U62" s="3365"/>
    </row>
    <row r="63" spans="1:21" s="1281" customFormat="1" ht="33.75">
      <c r="A63" s="1185"/>
      <c r="B63" s="1199"/>
      <c r="C63" s="1211"/>
      <c r="D63" s="1199"/>
      <c r="E63" s="1199"/>
      <c r="F63" s="1199"/>
      <c r="G63" s="1199"/>
      <c r="H63" s="1199"/>
      <c r="I63" s="1199"/>
      <c r="J63" s="1199"/>
      <c r="K63" s="1199"/>
      <c r="L63" s="1199"/>
      <c r="M63" s="1200"/>
      <c r="N63" s="1200"/>
      <c r="O63" s="1200"/>
      <c r="P63" s="1200"/>
      <c r="Q63" s="1201"/>
      <c r="R63" s="1291"/>
      <c r="S63" s="1291"/>
      <c r="T63" s="1291"/>
      <c r="U63" s="1291"/>
    </row>
    <row r="64" spans="1:21" ht="31.5">
      <c r="A64" s="1185"/>
      <c r="B64" s="1274" t="s">
        <v>81</v>
      </c>
      <c r="C64" s="1286"/>
      <c r="D64" s="1197" t="s">
        <v>82</v>
      </c>
      <c r="E64" s="1286"/>
      <c r="F64" s="1286"/>
      <c r="G64" s="1286"/>
      <c r="H64" s="1286"/>
      <c r="I64" s="1286"/>
      <c r="J64" s="1286"/>
      <c r="K64" s="1286"/>
      <c r="L64" s="1286"/>
      <c r="M64" s="14"/>
      <c r="N64" s="14"/>
      <c r="O64" s="14"/>
      <c r="P64" s="14"/>
      <c r="Q64" s="14"/>
      <c r="R64" s="1371"/>
      <c r="S64" s="1202"/>
      <c r="T64" s="1202"/>
      <c r="U64" s="1202"/>
    </row>
    <row r="65" spans="1:21" ht="23.25">
      <c r="A65" s="1185"/>
      <c r="B65" s="1185"/>
      <c r="C65" s="1286"/>
      <c r="D65" s="1286"/>
      <c r="E65" s="1286"/>
      <c r="F65" s="1286"/>
      <c r="G65" s="1286"/>
      <c r="H65" s="1275" t="s">
        <v>83</v>
      </c>
      <c r="I65" s="1286"/>
      <c r="J65" s="1275" t="s">
        <v>84</v>
      </c>
      <c r="K65" s="1286"/>
      <c r="L65" s="1275" t="s">
        <v>85</v>
      </c>
      <c r="M65" s="14"/>
      <c r="N65" s="1275" t="s">
        <v>86</v>
      </c>
      <c r="O65" s="14"/>
      <c r="P65" s="1275" t="s">
        <v>87</v>
      </c>
      <c r="Q65" s="14"/>
      <c r="R65" s="1371"/>
      <c r="S65" s="1202"/>
      <c r="T65" s="1202"/>
      <c r="U65" s="1202"/>
    </row>
    <row r="66" spans="1:21" ht="23.25">
      <c r="A66" s="1185"/>
      <c r="B66" s="1185"/>
      <c r="C66" s="1377"/>
      <c r="D66" s="1378"/>
      <c r="E66" s="1378"/>
      <c r="F66" s="1379" t="s">
        <v>88</v>
      </c>
      <c r="G66" s="1380"/>
      <c r="H66" s="1381">
        <v>2</v>
      </c>
      <c r="I66" s="1380"/>
      <c r="J66" s="1381">
        <v>2</v>
      </c>
      <c r="K66" s="1380"/>
      <c r="L66" s="1381">
        <v>2</v>
      </c>
      <c r="M66" s="1380"/>
      <c r="N66" s="1381">
        <v>2</v>
      </c>
      <c r="O66" s="1380"/>
      <c r="P66" s="1382">
        <v>2</v>
      </c>
      <c r="Q66" s="1383"/>
      <c r="R66" s="1371"/>
      <c r="S66" s="1202"/>
      <c r="T66" s="1202"/>
      <c r="U66" s="1202"/>
    </row>
    <row r="67" spans="1:21" ht="23.25">
      <c r="A67" s="1185"/>
      <c r="B67" s="1185"/>
      <c r="C67" s="1286"/>
      <c r="D67" s="1286"/>
      <c r="E67" s="1286"/>
      <c r="F67" s="1286"/>
      <c r="G67" s="1286"/>
      <c r="H67" s="1286"/>
      <c r="I67" s="1286"/>
      <c r="J67" s="1286"/>
      <c r="K67" s="1286"/>
      <c r="L67" s="1286"/>
      <c r="M67" s="14"/>
      <c r="N67" s="14"/>
      <c r="O67" s="14"/>
      <c r="P67" s="14"/>
      <c r="Q67" s="14"/>
      <c r="R67" s="1371"/>
      <c r="S67" s="1202"/>
      <c r="T67" s="1202"/>
      <c r="U67" s="1202"/>
    </row>
    <row r="68" spans="1:21" ht="23.25">
      <c r="A68" s="1185"/>
      <c r="B68" s="1185"/>
      <c r="C68" s="1286"/>
      <c r="D68" s="1197" t="s">
        <v>89</v>
      </c>
      <c r="E68" s="1286"/>
      <c r="F68" s="1286"/>
      <c r="G68" s="1286"/>
      <c r="H68" s="1286"/>
      <c r="I68" s="1286"/>
      <c r="J68" s="1286"/>
      <c r="K68" s="1286"/>
      <c r="L68" s="1286"/>
      <c r="M68" s="14"/>
      <c r="N68" s="14"/>
      <c r="O68" s="14"/>
      <c r="P68" s="14"/>
      <c r="Q68" s="14"/>
      <c r="R68" s="1371"/>
      <c r="S68" s="1202"/>
      <c r="T68" s="1202"/>
      <c r="U68" s="1202"/>
    </row>
    <row r="69" spans="1:21" ht="23.25">
      <c r="A69" s="1185"/>
      <c r="B69" s="1185"/>
      <c r="C69" s="1286"/>
      <c r="D69" s="1286"/>
      <c r="E69" s="1286"/>
      <c r="F69" s="1286"/>
      <c r="G69" s="1286"/>
      <c r="H69" s="1286"/>
      <c r="I69" s="1286"/>
      <c r="J69" s="1286"/>
      <c r="K69" s="1286"/>
      <c r="L69" s="1286"/>
      <c r="M69" s="14"/>
      <c r="N69" s="14"/>
      <c r="O69" s="14"/>
      <c r="P69" s="14"/>
      <c r="Q69" s="14"/>
      <c r="R69" s="1371"/>
      <c r="S69" s="1202"/>
      <c r="T69" s="1202"/>
      <c r="U69" s="1202"/>
    </row>
    <row r="70" spans="1:21" ht="49.5" customHeight="1">
      <c r="A70" s="1185"/>
      <c r="B70" s="3363" t="s">
        <v>2832</v>
      </c>
      <c r="C70" s="3364"/>
      <c r="D70" s="3364"/>
      <c r="E70" s="3364"/>
      <c r="F70" s="3364"/>
      <c r="G70" s="3364"/>
      <c r="H70" s="3364"/>
      <c r="I70" s="3364"/>
      <c r="J70" s="3364"/>
      <c r="K70" s="3364"/>
      <c r="L70" s="3364"/>
      <c r="M70" s="3364"/>
      <c r="N70" s="3364"/>
      <c r="O70" s="3364"/>
      <c r="P70" s="3364"/>
      <c r="Q70" s="3364"/>
      <c r="R70" s="3364"/>
      <c r="S70" s="3364"/>
      <c r="T70" s="3364"/>
      <c r="U70" s="3365"/>
    </row>
    <row r="71" spans="1:21">
      <c r="A71" s="1185"/>
      <c r="B71" s="1185"/>
      <c r="C71" s="1185"/>
      <c r="D71" s="1185"/>
      <c r="E71" s="1185"/>
      <c r="F71" s="1185"/>
      <c r="G71" s="1185"/>
      <c r="H71" s="1185"/>
      <c r="I71" s="1185"/>
      <c r="J71" s="1185"/>
      <c r="K71" s="1185"/>
      <c r="L71" s="1185"/>
      <c r="M71" s="1201"/>
      <c r="N71" s="1201"/>
      <c r="O71" s="1201"/>
      <c r="P71" s="1201"/>
      <c r="Q71" s="1201"/>
      <c r="R71" s="1202"/>
      <c r="S71" s="1202"/>
      <c r="T71" s="1202"/>
      <c r="U71" s="1202"/>
    </row>
    <row r="72" spans="1:21" ht="33.75">
      <c r="A72" s="1185"/>
      <c r="B72" s="1274" t="s">
        <v>90</v>
      </c>
      <c r="C72" s="1211" t="s">
        <v>91</v>
      </c>
      <c r="D72" s="1185"/>
      <c r="E72" s="1185"/>
      <c r="F72" s="1185"/>
      <c r="G72" s="1185"/>
      <c r="H72" s="1185"/>
      <c r="I72" s="1185"/>
      <c r="J72" s="1185"/>
      <c r="K72" s="1185"/>
      <c r="L72" s="1185"/>
      <c r="M72" s="1201"/>
      <c r="N72" s="1201"/>
      <c r="O72" s="1201"/>
      <c r="P72" s="1201"/>
      <c r="Q72" s="1201"/>
      <c r="R72" s="1202"/>
      <c r="S72" s="1202"/>
      <c r="T72" s="1202"/>
      <c r="U72" s="1202"/>
    </row>
    <row r="73" spans="1:21">
      <c r="A73" s="1185"/>
      <c r="B73" s="1185"/>
      <c r="C73" s="1185"/>
      <c r="D73" s="1185"/>
      <c r="E73" s="1185"/>
      <c r="F73" s="1185"/>
      <c r="G73" s="1185"/>
      <c r="H73" s="1185"/>
      <c r="I73" s="1185"/>
      <c r="J73" s="1185"/>
      <c r="K73" s="1185"/>
      <c r="L73" s="1185"/>
      <c r="M73" s="1201"/>
      <c r="N73" s="1201"/>
      <c r="O73" s="1201"/>
      <c r="P73" s="1201"/>
      <c r="Q73" s="1201"/>
      <c r="R73" s="1202"/>
      <c r="S73" s="1202"/>
      <c r="T73" s="1202"/>
      <c r="U73" s="1202"/>
    </row>
    <row r="74" spans="1:21" ht="20.25" customHeight="1">
      <c r="A74" s="1185"/>
      <c r="B74" s="1185"/>
      <c r="C74" s="1286"/>
      <c r="D74" s="1197" t="s">
        <v>92</v>
      </c>
      <c r="E74" s="1286"/>
      <c r="F74" s="1286"/>
      <c r="G74" s="1286"/>
      <c r="H74" s="1286"/>
      <c r="I74" s="1286"/>
      <c r="J74" s="1286"/>
      <c r="K74" s="1286"/>
      <c r="L74" s="1286"/>
      <c r="M74" s="14"/>
      <c r="N74" s="14"/>
      <c r="O74" s="14"/>
      <c r="P74" s="14"/>
      <c r="Q74" s="1201"/>
      <c r="R74" s="1202"/>
      <c r="S74" s="1202"/>
      <c r="T74" s="1202"/>
      <c r="U74" s="1202"/>
    </row>
    <row r="75" spans="1:21" ht="20.25" customHeight="1">
      <c r="A75" s="1185"/>
      <c r="B75" s="1185"/>
      <c r="C75" s="1286"/>
      <c r="D75" s="1286"/>
      <c r="E75" s="1286"/>
      <c r="F75" s="1286"/>
      <c r="G75" s="1286"/>
      <c r="H75" s="1286"/>
      <c r="I75" s="1286"/>
      <c r="J75" s="1286"/>
      <c r="K75" s="1286"/>
      <c r="L75" s="1286"/>
      <c r="M75" s="14"/>
      <c r="N75" s="14"/>
      <c r="O75" s="14"/>
      <c r="P75" s="14"/>
      <c r="Q75" s="1201"/>
      <c r="R75" s="1202"/>
      <c r="S75" s="1202"/>
      <c r="T75" s="1202"/>
      <c r="U75" s="1202"/>
    </row>
    <row r="76" spans="1:21" ht="21" customHeight="1">
      <c r="A76" s="1185"/>
      <c r="B76" s="1185"/>
      <c r="C76" s="1286"/>
      <c r="D76" s="1197" t="s">
        <v>93</v>
      </c>
      <c r="E76" s="1286"/>
      <c r="F76" s="1286"/>
      <c r="G76" s="1286"/>
      <c r="H76" s="1286"/>
      <c r="I76" s="1286"/>
      <c r="J76" s="1286"/>
      <c r="K76" s="1286"/>
      <c r="L76" s="1286"/>
      <c r="M76" s="14"/>
      <c r="N76" s="14"/>
      <c r="O76" s="14"/>
      <c r="P76" s="14"/>
      <c r="Q76" s="1201"/>
      <c r="R76" s="1202"/>
      <c r="S76" s="1202"/>
      <c r="T76" s="1202"/>
      <c r="U76" s="1202"/>
    </row>
    <row r="77" spans="1:21" ht="24" customHeight="1" thickBot="1">
      <c r="A77" s="1185"/>
      <c r="B77" s="1185"/>
      <c r="C77" s="1286"/>
      <c r="D77" s="1286"/>
      <c r="E77" s="1286"/>
      <c r="F77" s="1286"/>
      <c r="G77" s="1286"/>
      <c r="H77" s="1286"/>
      <c r="I77" s="1286"/>
      <c r="J77" s="1286"/>
      <c r="K77" s="1286"/>
      <c r="L77" s="1286"/>
      <c r="M77" s="14"/>
      <c r="N77" s="14"/>
      <c r="O77" s="14"/>
      <c r="P77" s="14"/>
      <c r="Q77" s="1201"/>
      <c r="R77" s="1202"/>
      <c r="S77" s="1202"/>
      <c r="T77" s="1202"/>
      <c r="U77" s="1202"/>
    </row>
    <row r="78" spans="1:21" ht="24" customHeight="1">
      <c r="A78" s="1185"/>
      <c r="B78" s="1185"/>
      <c r="C78" s="1185"/>
      <c r="D78" s="3366" t="s">
        <v>94</v>
      </c>
      <c r="E78" s="3367"/>
      <c r="F78" s="3367"/>
      <c r="G78" s="3367"/>
      <c r="H78" s="3368" t="s">
        <v>95</v>
      </c>
      <c r="I78" s="3367"/>
      <c r="J78" s="3367"/>
      <c r="K78" s="3369"/>
      <c r="L78" s="1185"/>
      <c r="M78" s="1201"/>
      <c r="N78" s="1201"/>
      <c r="O78" s="1201"/>
      <c r="P78" s="1201"/>
      <c r="Q78" s="1201"/>
      <c r="R78" s="1202"/>
      <c r="S78" s="1202"/>
      <c r="T78" s="1202"/>
      <c r="U78" s="1202"/>
    </row>
    <row r="79" spans="1:21" ht="20.25" customHeight="1">
      <c r="A79" s="1185"/>
      <c r="B79" s="1185"/>
      <c r="C79" s="1185"/>
      <c r="D79" s="1391">
        <v>1</v>
      </c>
      <c r="E79" s="3357"/>
      <c r="F79" s="3357"/>
      <c r="G79" s="3357"/>
      <c r="H79" s="1392">
        <v>1</v>
      </c>
      <c r="I79" s="3358"/>
      <c r="J79" s="3358"/>
      <c r="K79" s="3359"/>
      <c r="L79" s="1185"/>
      <c r="M79" s="1201"/>
      <c r="N79" s="1201"/>
      <c r="O79" s="1201"/>
      <c r="P79" s="1201"/>
      <c r="Q79" s="1201"/>
      <c r="R79" s="1202"/>
      <c r="S79" s="1202"/>
      <c r="T79" s="1202"/>
      <c r="U79" s="1202"/>
    </row>
    <row r="80" spans="1:21" ht="20.25" customHeight="1">
      <c r="A80" s="1185"/>
      <c r="B80" s="1185"/>
      <c r="C80" s="1185"/>
      <c r="D80" s="1391">
        <v>2</v>
      </c>
      <c r="E80" s="3347"/>
      <c r="F80" s="3347"/>
      <c r="G80" s="3347"/>
      <c r="H80" s="1392">
        <v>2</v>
      </c>
      <c r="I80" s="3348"/>
      <c r="J80" s="3348"/>
      <c r="K80" s="3349"/>
      <c r="L80" s="1185"/>
      <c r="M80" s="1201"/>
      <c r="N80" s="1201"/>
      <c r="O80" s="1201"/>
      <c r="P80" s="1201"/>
      <c r="Q80" s="1201"/>
      <c r="R80" s="1202"/>
      <c r="S80" s="1202"/>
      <c r="T80" s="1202"/>
      <c r="U80" s="1202"/>
    </row>
    <row r="81" spans="1:21" ht="20.25" customHeight="1">
      <c r="A81" s="1185"/>
      <c r="B81" s="1185"/>
      <c r="C81" s="1185"/>
      <c r="D81" s="1393">
        <v>3</v>
      </c>
      <c r="E81" s="3347"/>
      <c r="F81" s="3347"/>
      <c r="G81" s="3347"/>
      <c r="H81" s="1392">
        <v>3</v>
      </c>
      <c r="I81" s="1394"/>
      <c r="J81" s="1394"/>
      <c r="K81" s="1395"/>
      <c r="L81" s="1185"/>
      <c r="M81" s="1201"/>
      <c r="N81" s="1201"/>
      <c r="O81" s="1201"/>
      <c r="P81" s="1201"/>
      <c r="Q81" s="1201"/>
      <c r="R81" s="1202"/>
      <c r="S81" s="1202"/>
      <c r="T81" s="1202"/>
      <c r="U81" s="1202"/>
    </row>
    <row r="82" spans="1:21" ht="20.25" customHeight="1">
      <c r="A82" s="1185"/>
      <c r="B82" s="1185"/>
      <c r="C82" s="1185"/>
      <c r="D82" s="1398">
        <f>C86*A86</f>
        <v>0</v>
      </c>
      <c r="E82" s="1399">
        <f>D82*C86</f>
        <v>0</v>
      </c>
      <c r="F82" s="1399">
        <f>E82*D82</f>
        <v>0</v>
      </c>
      <c r="G82" s="1399">
        <f>F82*E82</f>
        <v>0</v>
      </c>
      <c r="H82" s="1399" t="e">
        <f>#REF!*#REF!</f>
        <v>#REF!</v>
      </c>
      <c r="I82" s="1399" t="e">
        <f>H82*#REF!</f>
        <v>#REF!</v>
      </c>
      <c r="J82" s="1399" t="e">
        <f>I82*H82</f>
        <v>#REF!</v>
      </c>
      <c r="K82" s="1400" t="e">
        <f>J82*I82</f>
        <v>#REF!</v>
      </c>
      <c r="L82" s="1185"/>
      <c r="M82" s="1201"/>
      <c r="N82" s="1201"/>
      <c r="O82" s="1201"/>
      <c r="P82" s="1201"/>
      <c r="Q82" s="1201"/>
      <c r="R82" s="1202"/>
      <c r="S82" s="1202"/>
      <c r="T82" s="1202"/>
      <c r="U82" s="1202"/>
    </row>
    <row r="83" spans="1:21" ht="20.25" customHeight="1">
      <c r="A83" s="1185"/>
      <c r="B83" s="1185"/>
      <c r="C83" s="1185"/>
      <c r="D83" s="3350" t="s">
        <v>96</v>
      </c>
      <c r="E83" s="3351"/>
      <c r="F83" s="3351"/>
      <c r="G83" s="3351"/>
      <c r="H83" s="3351"/>
      <c r="I83" s="3351"/>
      <c r="J83" s="3351"/>
      <c r="K83" s="3352"/>
      <c r="L83" s="1185"/>
      <c r="M83" s="1201"/>
      <c r="N83" s="1201"/>
      <c r="O83" s="1201"/>
      <c r="P83" s="1201"/>
      <c r="Q83" s="1201"/>
      <c r="R83" s="1202"/>
      <c r="S83" s="1202"/>
      <c r="T83" s="1202"/>
      <c r="U83" s="1202"/>
    </row>
    <row r="84" spans="1:21" ht="20.25" customHeight="1">
      <c r="A84" s="1185"/>
      <c r="B84" s="1185"/>
      <c r="C84" s="1185"/>
      <c r="D84" s="3353" t="s">
        <v>97</v>
      </c>
      <c r="E84" s="3354"/>
      <c r="F84" s="3354"/>
      <c r="G84" s="3354"/>
      <c r="H84" s="3355" t="s">
        <v>98</v>
      </c>
      <c r="I84" s="3355"/>
      <c r="J84" s="3355"/>
      <c r="K84" s="3356"/>
      <c r="L84" s="1185"/>
      <c r="M84" s="1201"/>
      <c r="N84" s="1201"/>
      <c r="O84" s="1201"/>
      <c r="P84" s="1201"/>
      <c r="Q84" s="1201"/>
      <c r="R84" s="1202"/>
      <c r="S84" s="1202"/>
      <c r="T84" s="1202"/>
      <c r="U84" s="1202"/>
    </row>
    <row r="85" spans="1:21" ht="20.25" customHeight="1">
      <c r="A85" s="1185"/>
      <c r="B85" s="1185"/>
      <c r="C85" s="1185"/>
      <c r="D85" s="1404" t="s">
        <v>99</v>
      </c>
      <c r="E85" s="3337"/>
      <c r="F85" s="3337"/>
      <c r="G85" s="3338"/>
      <c r="H85" s="3339"/>
      <c r="I85" s="3340"/>
      <c r="J85" s="3340"/>
      <c r="K85" s="3341"/>
      <c r="L85" s="1185"/>
      <c r="M85" s="1201"/>
      <c r="N85" s="1201"/>
      <c r="O85" s="1201"/>
      <c r="P85" s="1201"/>
      <c r="Q85" s="1201"/>
      <c r="R85" s="1202"/>
      <c r="S85" s="1202"/>
      <c r="T85" s="1202"/>
      <c r="U85" s="1202"/>
    </row>
    <row r="86" spans="1:21" ht="20.25" customHeight="1">
      <c r="A86" s="1185"/>
      <c r="B86" s="1185"/>
      <c r="C86" s="1185"/>
      <c r="D86" s="1404" t="s">
        <v>100</v>
      </c>
      <c r="E86" s="3337"/>
      <c r="F86" s="3337"/>
      <c r="G86" s="3338"/>
      <c r="H86" s="3339"/>
      <c r="I86" s="3340"/>
      <c r="J86" s="3340"/>
      <c r="K86" s="3341"/>
      <c r="L86" s="1185"/>
      <c r="M86" s="1201"/>
      <c r="N86" s="1201"/>
      <c r="O86" s="1201"/>
      <c r="P86" s="1201"/>
      <c r="Q86" s="1201"/>
      <c r="R86" s="1202"/>
      <c r="S86" s="1202"/>
      <c r="T86" s="1202"/>
      <c r="U86" s="1202"/>
    </row>
    <row r="87" spans="1:21" ht="35.25" customHeight="1" thickBot="1">
      <c r="A87" s="1185"/>
      <c r="B87" s="1185"/>
      <c r="C87" s="1185"/>
      <c r="D87" s="1405" t="s">
        <v>101</v>
      </c>
      <c r="E87" s="3342"/>
      <c r="F87" s="3342"/>
      <c r="G87" s="3343"/>
      <c r="H87" s="3344"/>
      <c r="I87" s="3345"/>
      <c r="J87" s="3345"/>
      <c r="K87" s="3346"/>
      <c r="L87" s="1185"/>
      <c r="M87" s="1201"/>
      <c r="N87" s="1201"/>
      <c r="O87" s="1201"/>
      <c r="P87" s="1201"/>
      <c r="Q87" s="1201"/>
      <c r="R87" s="1202"/>
      <c r="S87" s="1202"/>
      <c r="T87" s="1202"/>
      <c r="U87" s="1202"/>
    </row>
    <row r="88" spans="1:21" ht="40.5" customHeight="1">
      <c r="A88" s="1185"/>
      <c r="B88" s="1185"/>
      <c r="C88" s="1185"/>
      <c r="D88" s="1185"/>
      <c r="E88" s="1185"/>
      <c r="F88" s="1185"/>
      <c r="G88" s="1185"/>
      <c r="H88" s="1185"/>
      <c r="I88" s="1185"/>
      <c r="J88" s="1201"/>
      <c r="K88" s="1185"/>
      <c r="L88" s="1185"/>
      <c r="M88" s="1201"/>
      <c r="N88" s="1201"/>
      <c r="O88" s="1201"/>
      <c r="P88" s="1201"/>
      <c r="Q88" s="1201"/>
      <c r="R88" s="1202"/>
      <c r="S88" s="1202"/>
      <c r="T88" s="1202"/>
      <c r="U88" s="1202"/>
    </row>
    <row r="89" spans="1:21" ht="35.25" customHeight="1">
      <c r="A89" s="1185"/>
      <c r="B89" s="1185"/>
      <c r="C89" s="1408" t="s">
        <v>3228</v>
      </c>
      <c r="D89" s="1185"/>
      <c r="E89" s="1185"/>
      <c r="F89" s="1185"/>
      <c r="G89" s="1185"/>
      <c r="H89" s="1185"/>
      <c r="I89" s="1185"/>
      <c r="J89" s="1185"/>
      <c r="K89" s="1185"/>
      <c r="L89" s="1185"/>
      <c r="M89" s="1185"/>
      <c r="N89" s="1185"/>
      <c r="O89" s="1185"/>
      <c r="P89" s="1185"/>
      <c r="Q89" s="1185"/>
      <c r="R89" s="1185"/>
      <c r="S89" s="1185"/>
      <c r="T89" s="1202"/>
      <c r="U89" s="1202"/>
    </row>
    <row r="90" spans="1:21" s="1281" customFormat="1" ht="39" customHeight="1">
      <c r="A90" s="1185"/>
      <c r="B90" s="1185"/>
      <c r="C90" s="1185"/>
      <c r="D90" s="1185"/>
      <c r="E90" s="1185"/>
      <c r="F90" s="1185"/>
      <c r="G90" s="1185"/>
      <c r="H90" s="1185"/>
      <c r="I90" s="1185"/>
      <c r="J90" s="1185"/>
      <c r="K90" s="1185"/>
      <c r="L90" s="1185"/>
      <c r="M90" s="1185"/>
      <c r="N90" s="1185"/>
      <c r="O90" s="1185"/>
      <c r="P90" s="1199"/>
      <c r="Q90" s="1199"/>
      <c r="R90" s="1199"/>
      <c r="S90" s="1185"/>
      <c r="T90" s="1291"/>
      <c r="U90" s="1291"/>
    </row>
    <row r="91" spans="1:21" s="1281" customFormat="1" ht="39" customHeight="1">
      <c r="A91" s="1178"/>
      <c r="B91" s="1178"/>
      <c r="C91" s="1178"/>
      <c r="D91" s="1178"/>
      <c r="E91" s="1178"/>
      <c r="F91" s="1178"/>
      <c r="G91" s="1178"/>
      <c r="H91" s="1178"/>
      <c r="I91" s="1178"/>
      <c r="J91" s="1178"/>
      <c r="K91" s="1178"/>
      <c r="L91" s="1178"/>
      <c r="M91" s="1178"/>
      <c r="N91" s="1178"/>
      <c r="O91" s="1178"/>
      <c r="P91" s="1178"/>
      <c r="Q91" s="1178"/>
      <c r="R91" s="1178"/>
      <c r="S91" s="1178"/>
    </row>
    <row r="92" spans="1:21" s="1281" customFormat="1" ht="39" customHeight="1">
      <c r="A92" s="1178"/>
      <c r="B92" s="1178"/>
      <c r="C92" s="1178"/>
      <c r="D92" s="1178"/>
      <c r="E92" s="1178"/>
      <c r="F92" s="1178"/>
      <c r="G92" s="1178"/>
      <c r="H92" s="1178"/>
      <c r="I92" s="1178"/>
      <c r="J92" s="1178"/>
      <c r="K92" s="1178"/>
      <c r="L92" s="1178"/>
      <c r="M92" s="1178"/>
      <c r="N92" s="1178"/>
      <c r="O92" s="1178"/>
      <c r="P92" s="1178"/>
      <c r="Q92" s="1178"/>
      <c r="R92" s="1178"/>
      <c r="S92" s="1178"/>
    </row>
    <row r="93" spans="1:21" s="1281" customFormat="1" ht="24.75" customHeight="1">
      <c r="A93" s="1178"/>
      <c r="B93" s="1178"/>
      <c r="C93" s="1178"/>
      <c r="D93" s="1178"/>
      <c r="E93" s="1178"/>
      <c r="F93" s="1178"/>
      <c r="G93" s="1178"/>
      <c r="H93" s="1178"/>
      <c r="I93" s="1178"/>
      <c r="J93" s="1178"/>
      <c r="K93" s="1178"/>
      <c r="L93" s="1178"/>
      <c r="M93" s="1178"/>
      <c r="N93" s="1178"/>
      <c r="O93" s="1178"/>
      <c r="P93" s="1178"/>
      <c r="Q93" s="1178"/>
      <c r="R93" s="1178"/>
      <c r="S93" s="1178"/>
    </row>
    <row r="94" spans="1:21" s="1281" customFormat="1" ht="20.100000000000001" customHeight="1">
      <c r="A94" s="1178"/>
      <c r="B94" s="1178"/>
      <c r="C94" s="1178"/>
      <c r="D94" s="1178"/>
      <c r="E94" s="1178"/>
      <c r="F94" s="1178"/>
      <c r="G94" s="1178"/>
      <c r="H94" s="1178"/>
      <c r="I94" s="1178"/>
      <c r="J94" s="1178"/>
      <c r="K94" s="1178"/>
      <c r="L94" s="1178"/>
      <c r="M94" s="1178"/>
      <c r="N94" s="1178"/>
      <c r="O94" s="1178"/>
      <c r="P94" s="1178"/>
      <c r="Q94" s="1178"/>
      <c r="R94" s="1178"/>
      <c r="S94" s="1178"/>
    </row>
    <row r="95" spans="1:21" s="1281" customFormat="1" ht="20.100000000000001" customHeight="1">
      <c r="A95" s="1178"/>
      <c r="B95" s="1178"/>
      <c r="C95" s="1178"/>
      <c r="D95" s="1178"/>
      <c r="E95" s="1178"/>
      <c r="F95" s="1178"/>
      <c r="G95" s="1178"/>
      <c r="H95" s="1178"/>
      <c r="I95" s="1178"/>
      <c r="J95" s="1178"/>
      <c r="K95" s="1178"/>
      <c r="L95" s="1178"/>
      <c r="M95" s="1178"/>
      <c r="N95" s="1178"/>
      <c r="O95" s="1178"/>
      <c r="P95" s="1178"/>
      <c r="Q95" s="1178"/>
      <c r="R95" s="1178"/>
      <c r="S95" s="1178"/>
    </row>
    <row r="96" spans="1:21" s="1281" customFormat="1" ht="20.100000000000001" customHeight="1">
      <c r="A96" s="1178"/>
      <c r="B96" s="1178"/>
      <c r="C96" s="1178"/>
      <c r="D96" s="1178"/>
      <c r="E96" s="1178"/>
      <c r="F96" s="1178"/>
      <c r="G96" s="1178"/>
      <c r="H96" s="1178"/>
      <c r="I96" s="1178"/>
      <c r="J96" s="1178"/>
      <c r="K96" s="1178"/>
      <c r="L96" s="1178"/>
      <c r="M96" s="1180"/>
      <c r="N96" s="1180"/>
      <c r="O96" s="1180"/>
      <c r="P96" s="1180"/>
      <c r="Q96" s="1180"/>
    </row>
    <row r="97" spans="1:17" s="1281" customFormat="1" ht="20.100000000000001" customHeight="1">
      <c r="A97" s="1178"/>
      <c r="B97" s="1178"/>
      <c r="E97" s="1178"/>
      <c r="F97" s="1178"/>
      <c r="G97" s="1178"/>
      <c r="H97" s="1178"/>
      <c r="I97" s="1178"/>
      <c r="J97" s="1178"/>
      <c r="K97" s="1178"/>
      <c r="L97" s="1178"/>
      <c r="M97" s="1180"/>
      <c r="N97" s="1180"/>
      <c r="O97" s="1180"/>
      <c r="P97" s="1180"/>
      <c r="Q97" s="1180"/>
    </row>
    <row r="98" spans="1:17" s="1281" customFormat="1" ht="20.100000000000001" customHeight="1">
      <c r="A98" s="1178"/>
      <c r="B98" s="1178"/>
      <c r="E98" s="1178"/>
      <c r="F98" s="1178"/>
      <c r="G98" s="1178"/>
      <c r="H98" s="1178"/>
      <c r="I98" s="1178"/>
      <c r="J98" s="1178"/>
      <c r="K98" s="1178"/>
      <c r="L98" s="1178"/>
      <c r="M98" s="1180"/>
      <c r="N98" s="1180"/>
      <c r="O98" s="1180"/>
      <c r="P98" s="1180"/>
      <c r="Q98" s="1180"/>
    </row>
    <row r="99" spans="1:17" s="1281" customFormat="1" ht="20.100000000000001" customHeight="1">
      <c r="A99" s="1178"/>
      <c r="B99" s="1178"/>
      <c r="E99" s="1178"/>
      <c r="F99" s="1178"/>
      <c r="G99" s="1178"/>
      <c r="H99" s="1178"/>
      <c r="I99" s="1178"/>
      <c r="J99" s="1178"/>
      <c r="K99" s="1178"/>
      <c r="L99" s="1178"/>
      <c r="M99" s="1180"/>
      <c r="N99" s="1180"/>
      <c r="O99" s="1180"/>
      <c r="P99" s="1180"/>
      <c r="Q99" s="1180"/>
    </row>
    <row r="100" spans="1:17" s="1281" customFormat="1" ht="21">
      <c r="A100" s="1178"/>
      <c r="B100" s="1412"/>
      <c r="E100" s="1412"/>
      <c r="F100" s="1412"/>
      <c r="G100" s="1412"/>
      <c r="H100" s="1178"/>
      <c r="I100" s="1178"/>
      <c r="J100" s="1178"/>
      <c r="K100" s="1178"/>
      <c r="L100" s="1178"/>
      <c r="M100" s="1180"/>
      <c r="N100" s="1180"/>
      <c r="O100" s="1180"/>
      <c r="P100" s="1180"/>
      <c r="Q100" s="1180"/>
    </row>
    <row r="101" spans="1:17" s="1281" customFormat="1" ht="21">
      <c r="A101" s="1178"/>
      <c r="B101" s="1413"/>
      <c r="E101" s="1413"/>
      <c r="F101" s="1413"/>
      <c r="G101" s="1413"/>
      <c r="H101" s="1413"/>
      <c r="I101" s="1413"/>
      <c r="J101" s="1178"/>
      <c r="K101" s="1178"/>
      <c r="L101" s="1178"/>
      <c r="M101" s="1180"/>
      <c r="N101" s="1180"/>
      <c r="O101" s="1180"/>
      <c r="P101" s="1180"/>
      <c r="Q101" s="1180"/>
    </row>
    <row r="102" spans="1:17" s="1281" customFormat="1" ht="21">
      <c r="A102" s="1178"/>
      <c r="B102" s="1413"/>
      <c r="E102" s="1413"/>
      <c r="F102" s="1413"/>
      <c r="G102" s="1413"/>
      <c r="H102" s="1413"/>
      <c r="I102" s="1413"/>
      <c r="J102" s="1178"/>
      <c r="K102" s="1178"/>
      <c r="L102" s="1178"/>
      <c r="M102" s="1180"/>
      <c r="N102" s="1180"/>
      <c r="O102" s="1180"/>
      <c r="P102" s="1180"/>
      <c r="Q102" s="1180"/>
    </row>
    <row r="103" spans="1:17" s="1281" customFormat="1" ht="21">
      <c r="A103" s="1178"/>
      <c r="B103" s="1413"/>
      <c r="E103" s="1413"/>
      <c r="F103" s="1413"/>
      <c r="G103" s="1413"/>
      <c r="H103" s="1413"/>
      <c r="I103" s="1413"/>
      <c r="J103" s="1178"/>
      <c r="K103" s="1178"/>
      <c r="L103" s="1178"/>
      <c r="M103" s="1180"/>
      <c r="N103" s="1180"/>
      <c r="O103" s="1180"/>
      <c r="P103" s="1180"/>
      <c r="Q103" s="1180"/>
    </row>
    <row r="104" spans="1:17" s="1281" customFormat="1" ht="21">
      <c r="A104" s="1178"/>
      <c r="B104" s="1413"/>
      <c r="E104" s="1413"/>
      <c r="F104" s="1413"/>
      <c r="G104" s="1413"/>
      <c r="H104" s="1413"/>
      <c r="I104" s="1413"/>
      <c r="J104" s="1178"/>
      <c r="K104" s="1178"/>
      <c r="L104" s="1178"/>
      <c r="M104" s="1180"/>
      <c r="N104" s="1180"/>
      <c r="O104" s="1180"/>
      <c r="P104" s="1180"/>
      <c r="Q104" s="1180"/>
    </row>
    <row r="105" spans="1:17" s="1281" customFormat="1" ht="21">
      <c r="A105" s="1178"/>
      <c r="B105" s="1413"/>
      <c r="E105" s="1413"/>
      <c r="F105" s="1413"/>
      <c r="G105" s="1413"/>
      <c r="H105" s="1413"/>
      <c r="I105" s="1413"/>
      <c r="J105" s="1178"/>
      <c r="K105" s="1178"/>
      <c r="L105" s="1178"/>
      <c r="M105" s="1180"/>
      <c r="N105" s="1180"/>
      <c r="O105" s="1180"/>
      <c r="P105" s="1180"/>
      <c r="Q105" s="1180"/>
    </row>
    <row r="106" spans="1:17" s="1281" customFormat="1" ht="21">
      <c r="A106" s="1178"/>
      <c r="B106" s="1413"/>
      <c r="E106" s="1413"/>
      <c r="F106" s="1413"/>
      <c r="G106" s="1413"/>
      <c r="H106" s="1413"/>
      <c r="I106" s="1413"/>
      <c r="J106" s="1178"/>
      <c r="K106" s="1178"/>
      <c r="L106" s="1178"/>
      <c r="M106" s="1180"/>
      <c r="N106" s="1180"/>
      <c r="O106" s="1180"/>
      <c r="P106" s="1180"/>
      <c r="Q106" s="1180"/>
    </row>
    <row r="107" spans="1:17" s="1281" customFormat="1" ht="21">
      <c r="A107" s="1178"/>
      <c r="B107" s="1413"/>
      <c r="E107" s="1413"/>
      <c r="F107" s="1413"/>
      <c r="G107" s="1413"/>
      <c r="H107" s="1413"/>
      <c r="I107" s="1413"/>
      <c r="J107" s="1178"/>
      <c r="K107" s="1178"/>
      <c r="L107" s="1178"/>
      <c r="M107" s="1180"/>
      <c r="N107" s="1180"/>
      <c r="O107" s="1180"/>
      <c r="P107" s="1180"/>
      <c r="Q107" s="1180"/>
    </row>
    <row r="108" spans="1:17" s="1281" customFormat="1" ht="21">
      <c r="A108" s="1178"/>
      <c r="B108" s="1413"/>
      <c r="E108" s="1413"/>
      <c r="F108" s="1413"/>
      <c r="G108" s="1413"/>
      <c r="H108" s="1413"/>
      <c r="I108" s="1413"/>
      <c r="J108" s="1178"/>
      <c r="K108" s="1178"/>
      <c r="L108" s="1178"/>
      <c r="M108" s="1180"/>
      <c r="N108" s="1180"/>
      <c r="O108" s="1180"/>
      <c r="P108" s="1180"/>
      <c r="Q108" s="1180"/>
    </row>
    <row r="109" spans="1:17" s="1281" customFormat="1">
      <c r="A109" s="1178"/>
      <c r="B109" s="1178"/>
      <c r="C109" s="1178"/>
      <c r="D109" s="1178"/>
      <c r="E109" s="1178"/>
      <c r="F109" s="1178"/>
      <c r="G109" s="1178"/>
      <c r="H109" s="1178"/>
      <c r="I109" s="1178"/>
      <c r="J109" s="1178"/>
      <c r="K109" s="1178"/>
      <c r="L109" s="1178"/>
      <c r="M109" s="1180"/>
      <c r="N109" s="1180"/>
      <c r="O109" s="1180"/>
      <c r="P109" s="1180"/>
      <c r="Q109" s="1180"/>
    </row>
    <row r="110" spans="1:17" s="1281" customFormat="1">
      <c r="A110" s="1178"/>
      <c r="B110" s="1178"/>
      <c r="C110" s="1178"/>
      <c r="D110" s="1178"/>
      <c r="E110" s="1178"/>
      <c r="F110" s="1178"/>
      <c r="G110" s="1178"/>
      <c r="H110" s="1178"/>
      <c r="I110" s="1178"/>
      <c r="J110" s="1178"/>
      <c r="K110" s="1178"/>
      <c r="L110" s="1178"/>
      <c r="M110" s="1180"/>
      <c r="N110" s="1180"/>
      <c r="O110" s="1180"/>
      <c r="P110" s="1180"/>
      <c r="Q110" s="1180"/>
    </row>
    <row r="111" spans="1:17" s="1281" customFormat="1">
      <c r="A111" s="1178"/>
      <c r="B111" s="1178"/>
      <c r="C111" s="1178"/>
      <c r="D111" s="1178"/>
      <c r="E111" s="1178"/>
      <c r="F111" s="1178"/>
      <c r="G111" s="1178"/>
      <c r="H111" s="1178"/>
      <c r="I111" s="1178"/>
      <c r="J111" s="1178"/>
      <c r="K111" s="1178"/>
      <c r="L111" s="1178"/>
      <c r="M111" s="1180"/>
      <c r="N111" s="1180"/>
      <c r="O111" s="1180"/>
      <c r="P111" s="1180"/>
      <c r="Q111" s="1180"/>
    </row>
    <row r="112" spans="1:17" s="1281" customFormat="1" ht="20.25" customHeight="1">
      <c r="A112" s="1178"/>
      <c r="B112" s="1178"/>
      <c r="C112" s="1178"/>
      <c r="D112" s="1178"/>
      <c r="E112" s="1178"/>
      <c r="F112" s="1178"/>
      <c r="G112" s="1178"/>
      <c r="H112" s="1178"/>
      <c r="I112" s="1178"/>
      <c r="J112" s="1178"/>
      <c r="K112" s="1178"/>
      <c r="L112" s="1178"/>
      <c r="M112" s="1180"/>
      <c r="N112" s="1180"/>
      <c r="O112" s="1180"/>
      <c r="P112" s="1180"/>
      <c r="Q112" s="1180"/>
    </row>
    <row r="113" spans="1:17" s="1281" customFormat="1">
      <c r="A113" s="1178"/>
      <c r="B113" s="1178"/>
      <c r="C113" s="1178"/>
      <c r="D113" s="1178"/>
      <c r="E113" s="1178"/>
      <c r="F113" s="1178"/>
      <c r="G113" s="1178"/>
      <c r="H113" s="1178"/>
      <c r="I113" s="1178"/>
      <c r="J113" s="1178"/>
      <c r="K113" s="1178"/>
      <c r="L113" s="1178"/>
      <c r="M113" s="1180"/>
      <c r="N113" s="1180"/>
      <c r="O113" s="1180"/>
      <c r="P113" s="1180"/>
      <c r="Q113" s="1180"/>
    </row>
    <row r="114" spans="1:17" s="1281" customFormat="1" ht="28.5" customHeight="1">
      <c r="A114" s="1178"/>
      <c r="B114" s="1178"/>
      <c r="C114" s="1178"/>
      <c r="D114" s="1178"/>
      <c r="E114" s="1178"/>
      <c r="F114" s="1178"/>
      <c r="G114" s="1178"/>
      <c r="H114" s="1178"/>
      <c r="I114" s="1178"/>
      <c r="J114" s="1178"/>
      <c r="K114" s="1178"/>
      <c r="L114" s="1178"/>
      <c r="M114" s="1180"/>
      <c r="N114" s="1180"/>
      <c r="O114" s="1180"/>
      <c r="P114" s="1180"/>
      <c r="Q114" s="1180"/>
    </row>
    <row r="115" spans="1:17" s="1281" customFormat="1">
      <c r="A115" s="1178"/>
      <c r="B115" s="1178"/>
      <c r="C115" s="1178"/>
      <c r="D115" s="1178"/>
      <c r="E115" s="1178"/>
      <c r="F115" s="1178"/>
      <c r="G115" s="1178"/>
      <c r="H115" s="1178"/>
      <c r="I115" s="1178"/>
      <c r="J115" s="1178"/>
      <c r="K115" s="1178"/>
      <c r="L115" s="1178"/>
      <c r="M115" s="1180"/>
      <c r="N115" s="1180"/>
      <c r="O115" s="1180"/>
      <c r="P115" s="1180"/>
      <c r="Q115" s="1180"/>
    </row>
  </sheetData>
  <mergeCells count="51">
    <mergeCell ref="B13:U13"/>
    <mergeCell ref="C4:L4"/>
    <mergeCell ref="B2:U2"/>
    <mergeCell ref="B3:U3"/>
    <mergeCell ref="C9:E9"/>
    <mergeCell ref="C10:E10"/>
    <mergeCell ref="C11:E11"/>
    <mergeCell ref="P5:R5"/>
    <mergeCell ref="C6:H6"/>
    <mergeCell ref="I6:U6"/>
    <mergeCell ref="C5:O5"/>
    <mergeCell ref="J16:K17"/>
    <mergeCell ref="E25:E28"/>
    <mergeCell ref="F25:F28"/>
    <mergeCell ref="G25:G28"/>
    <mergeCell ref="H25:H28"/>
    <mergeCell ref="M32:N32"/>
    <mergeCell ref="O32:P32"/>
    <mergeCell ref="G33:H33"/>
    <mergeCell ref="I33:J33"/>
    <mergeCell ref="K33:L33"/>
    <mergeCell ref="M33:N33"/>
    <mergeCell ref="O33:P33"/>
    <mergeCell ref="G32:H32"/>
    <mergeCell ref="I32:J32"/>
    <mergeCell ref="K32:L32"/>
    <mergeCell ref="E79:G79"/>
    <mergeCell ref="I79:K79"/>
    <mergeCell ref="G38:H38"/>
    <mergeCell ref="I38:J38"/>
    <mergeCell ref="K38:L38"/>
    <mergeCell ref="D57:K59"/>
    <mergeCell ref="B62:U62"/>
    <mergeCell ref="B70:U70"/>
    <mergeCell ref="D78:G78"/>
    <mergeCell ref="H78:K78"/>
    <mergeCell ref="M38:N38"/>
    <mergeCell ref="O38:P38"/>
    <mergeCell ref="D54:G54"/>
    <mergeCell ref="E80:G80"/>
    <mergeCell ref="I80:K80"/>
    <mergeCell ref="E81:G81"/>
    <mergeCell ref="D83:K83"/>
    <mergeCell ref="D84:G84"/>
    <mergeCell ref="H84:K84"/>
    <mergeCell ref="E85:G85"/>
    <mergeCell ref="H85:K85"/>
    <mergeCell ref="E86:G86"/>
    <mergeCell ref="H86:K86"/>
    <mergeCell ref="E87:G87"/>
    <mergeCell ref="H87:K87"/>
  </mergeCells>
  <hyperlinks>
    <hyperlink ref="C4" r:id="rId1" xr:uid="{7CC2EC2E-4BC9-4F3E-B3BF-EA18681FFF8B}"/>
    <hyperlink ref="C6" r:id="rId2" display="http://etab.ac-poitiers.fr/lycee-hotelier-la-rochelle/spip.php?auteur10" xr:uid="{FEB8139A-5E09-4074-B7AF-9021311269B6}"/>
    <hyperlink ref="I6" r:id="rId3" xr:uid="{A60F3343-3197-4191-9FF4-1081D60460BC}"/>
    <hyperlink ref="P5" r:id="rId4" xr:uid="{0844FB9F-F01F-4D50-813F-2D7448E4693C}"/>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5"/>
  <headerFooter alignWithMargins="0"/>
  <rowBreaks count="1" manualBreakCount="1">
    <brk id="8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64"/>
  <sheetViews>
    <sheetView showZeros="0" showWhiteSpace="0" zoomScale="61" zoomScaleNormal="61" zoomScalePageLayoutView="58" workbookViewId="0">
      <selection activeCell="B126" sqref="B126:B158"/>
    </sheetView>
  </sheetViews>
  <sheetFormatPr baseColWidth="10" defaultRowHeight="12.75"/>
  <cols>
    <col min="1" max="1" width="3.28515625" style="1281" customWidth="1"/>
    <col min="2" max="2" width="6.85546875" style="1281" customWidth="1"/>
    <col min="3" max="3" width="46.5703125" style="1281" customWidth="1"/>
    <col min="4" max="4" width="13.28515625" style="1281" customWidth="1"/>
    <col min="5" max="5" width="13" style="1281" customWidth="1"/>
    <col min="6" max="15" width="12.42578125" style="1281" customWidth="1"/>
    <col min="16" max="16" width="14.5703125" style="1281" customWidth="1"/>
    <col min="17" max="17" width="11.85546875" style="1281" customWidth="1"/>
    <col min="18" max="18" width="11.7109375" style="1281" customWidth="1"/>
    <col min="19" max="19" width="1.85546875" style="1177" customWidth="1"/>
    <col min="20" max="20" width="11.42578125" style="1177"/>
    <col min="21" max="21" width="3.28515625" style="1281" customWidth="1"/>
    <col min="22" max="22" width="7.85546875" style="1281" customWidth="1"/>
    <col min="23" max="23" width="52.28515625" style="1281" customWidth="1"/>
    <col min="24" max="24" width="13.28515625" style="1281" customWidth="1"/>
    <col min="25" max="25" width="14.7109375" style="1281" customWidth="1"/>
    <col min="26" max="26" width="11" style="1281" customWidth="1"/>
    <col min="27" max="34" width="10.140625" style="1281" customWidth="1"/>
    <col min="35" max="35" width="12.42578125" style="1281" customWidth="1"/>
    <col min="36" max="256" width="11.42578125" style="1177"/>
    <col min="257" max="257" width="3.28515625" style="1177" customWidth="1"/>
    <col min="258" max="258" width="6.85546875" style="1177" customWidth="1"/>
    <col min="259" max="259" width="46.5703125" style="1177" customWidth="1"/>
    <col min="260" max="260" width="13.28515625" style="1177" customWidth="1"/>
    <col min="261" max="261" width="13" style="1177" customWidth="1"/>
    <col min="262" max="271" width="12.42578125" style="1177" customWidth="1"/>
    <col min="272" max="272" width="14.5703125" style="1177" customWidth="1"/>
    <col min="273" max="273" width="11.85546875" style="1177" customWidth="1"/>
    <col min="274" max="274" width="11.7109375" style="1177" customWidth="1"/>
    <col min="275" max="275" width="1.85546875" style="1177" customWidth="1"/>
    <col min="276" max="276" width="11.42578125" style="1177"/>
    <col min="277" max="277" width="3.28515625" style="1177" customWidth="1"/>
    <col min="278" max="278" width="7.85546875" style="1177" customWidth="1"/>
    <col min="279" max="279" width="52.28515625" style="1177" customWidth="1"/>
    <col min="280" max="280" width="13.28515625" style="1177" customWidth="1"/>
    <col min="281" max="281" width="14.7109375" style="1177" customWidth="1"/>
    <col min="282" max="282" width="11" style="1177" customWidth="1"/>
    <col min="283" max="290" width="10.140625" style="1177" customWidth="1"/>
    <col min="291" max="291" width="12.42578125" style="1177" customWidth="1"/>
    <col min="292" max="512" width="11.42578125" style="1177"/>
    <col min="513" max="513" width="3.28515625" style="1177" customWidth="1"/>
    <col min="514" max="514" width="6.85546875" style="1177" customWidth="1"/>
    <col min="515" max="515" width="46.5703125" style="1177" customWidth="1"/>
    <col min="516" max="516" width="13.28515625" style="1177" customWidth="1"/>
    <col min="517" max="517" width="13" style="1177" customWidth="1"/>
    <col min="518" max="527" width="12.42578125" style="1177" customWidth="1"/>
    <col min="528" max="528" width="14.5703125" style="1177" customWidth="1"/>
    <col min="529" max="529" width="11.85546875" style="1177" customWidth="1"/>
    <col min="530" max="530" width="11.7109375" style="1177" customWidth="1"/>
    <col min="531" max="531" width="1.85546875" style="1177" customWidth="1"/>
    <col min="532" max="532" width="11.42578125" style="1177"/>
    <col min="533" max="533" width="3.28515625" style="1177" customWidth="1"/>
    <col min="534" max="534" width="7.85546875" style="1177" customWidth="1"/>
    <col min="535" max="535" width="52.28515625" style="1177" customWidth="1"/>
    <col min="536" max="536" width="13.28515625" style="1177" customWidth="1"/>
    <col min="537" max="537" width="14.7109375" style="1177" customWidth="1"/>
    <col min="538" max="538" width="11" style="1177" customWidth="1"/>
    <col min="539" max="546" width="10.140625" style="1177" customWidth="1"/>
    <col min="547" max="547" width="12.42578125" style="1177" customWidth="1"/>
    <col min="548" max="768" width="11.42578125" style="1177"/>
    <col min="769" max="769" width="3.28515625" style="1177" customWidth="1"/>
    <col min="770" max="770" width="6.85546875" style="1177" customWidth="1"/>
    <col min="771" max="771" width="46.5703125" style="1177" customWidth="1"/>
    <col min="772" max="772" width="13.28515625" style="1177" customWidth="1"/>
    <col min="773" max="773" width="13" style="1177" customWidth="1"/>
    <col min="774" max="783" width="12.42578125" style="1177" customWidth="1"/>
    <col min="784" max="784" width="14.5703125" style="1177" customWidth="1"/>
    <col min="785" max="785" width="11.85546875" style="1177" customWidth="1"/>
    <col min="786" max="786" width="11.7109375" style="1177" customWidth="1"/>
    <col min="787" max="787" width="1.85546875" style="1177" customWidth="1"/>
    <col min="788" max="788" width="11.42578125" style="1177"/>
    <col min="789" max="789" width="3.28515625" style="1177" customWidth="1"/>
    <col min="790" max="790" width="7.85546875" style="1177" customWidth="1"/>
    <col min="791" max="791" width="52.28515625" style="1177" customWidth="1"/>
    <col min="792" max="792" width="13.28515625" style="1177" customWidth="1"/>
    <col min="793" max="793" width="14.7109375" style="1177" customWidth="1"/>
    <col min="794" max="794" width="11" style="1177" customWidth="1"/>
    <col min="795" max="802" width="10.140625" style="1177" customWidth="1"/>
    <col min="803" max="803" width="12.42578125" style="1177" customWidth="1"/>
    <col min="804" max="1024" width="11.42578125" style="1177"/>
    <col min="1025" max="1025" width="3.28515625" style="1177" customWidth="1"/>
    <col min="1026" max="1026" width="6.85546875" style="1177" customWidth="1"/>
    <col min="1027" max="1027" width="46.5703125" style="1177" customWidth="1"/>
    <col min="1028" max="1028" width="13.28515625" style="1177" customWidth="1"/>
    <col min="1029" max="1029" width="13" style="1177" customWidth="1"/>
    <col min="1030" max="1039" width="12.42578125" style="1177" customWidth="1"/>
    <col min="1040" max="1040" width="14.5703125" style="1177" customWidth="1"/>
    <col min="1041" max="1041" width="11.85546875" style="1177" customWidth="1"/>
    <col min="1042" max="1042" width="11.7109375" style="1177" customWidth="1"/>
    <col min="1043" max="1043" width="1.85546875" style="1177" customWidth="1"/>
    <col min="1044" max="1044" width="11.42578125" style="1177"/>
    <col min="1045" max="1045" width="3.28515625" style="1177" customWidth="1"/>
    <col min="1046" max="1046" width="7.85546875" style="1177" customWidth="1"/>
    <col min="1047" max="1047" width="52.28515625" style="1177" customWidth="1"/>
    <col min="1048" max="1048" width="13.28515625" style="1177" customWidth="1"/>
    <col min="1049" max="1049" width="14.7109375" style="1177" customWidth="1"/>
    <col min="1050" max="1050" width="11" style="1177" customWidth="1"/>
    <col min="1051" max="1058" width="10.140625" style="1177" customWidth="1"/>
    <col min="1059" max="1059" width="12.42578125" style="1177" customWidth="1"/>
    <col min="1060" max="1280" width="11.42578125" style="1177"/>
    <col min="1281" max="1281" width="3.28515625" style="1177" customWidth="1"/>
    <col min="1282" max="1282" width="6.85546875" style="1177" customWidth="1"/>
    <col min="1283" max="1283" width="46.5703125" style="1177" customWidth="1"/>
    <col min="1284" max="1284" width="13.28515625" style="1177" customWidth="1"/>
    <col min="1285" max="1285" width="13" style="1177" customWidth="1"/>
    <col min="1286" max="1295" width="12.42578125" style="1177" customWidth="1"/>
    <col min="1296" max="1296" width="14.5703125" style="1177" customWidth="1"/>
    <col min="1297" max="1297" width="11.85546875" style="1177" customWidth="1"/>
    <col min="1298" max="1298" width="11.7109375" style="1177" customWidth="1"/>
    <col min="1299" max="1299" width="1.85546875" style="1177" customWidth="1"/>
    <col min="1300" max="1300" width="11.42578125" style="1177"/>
    <col min="1301" max="1301" width="3.28515625" style="1177" customWidth="1"/>
    <col min="1302" max="1302" width="7.85546875" style="1177" customWidth="1"/>
    <col min="1303" max="1303" width="52.28515625" style="1177" customWidth="1"/>
    <col min="1304" max="1304" width="13.28515625" style="1177" customWidth="1"/>
    <col min="1305" max="1305" width="14.7109375" style="1177" customWidth="1"/>
    <col min="1306" max="1306" width="11" style="1177" customWidth="1"/>
    <col min="1307" max="1314" width="10.140625" style="1177" customWidth="1"/>
    <col min="1315" max="1315" width="12.42578125" style="1177" customWidth="1"/>
    <col min="1316" max="1536" width="11.42578125" style="1177"/>
    <col min="1537" max="1537" width="3.28515625" style="1177" customWidth="1"/>
    <col min="1538" max="1538" width="6.85546875" style="1177" customWidth="1"/>
    <col min="1539" max="1539" width="46.5703125" style="1177" customWidth="1"/>
    <col min="1540" max="1540" width="13.28515625" style="1177" customWidth="1"/>
    <col min="1541" max="1541" width="13" style="1177" customWidth="1"/>
    <col min="1542" max="1551" width="12.42578125" style="1177" customWidth="1"/>
    <col min="1552" max="1552" width="14.5703125" style="1177" customWidth="1"/>
    <col min="1553" max="1553" width="11.85546875" style="1177" customWidth="1"/>
    <col min="1554" max="1554" width="11.7109375" style="1177" customWidth="1"/>
    <col min="1555" max="1555" width="1.85546875" style="1177" customWidth="1"/>
    <col min="1556" max="1556" width="11.42578125" style="1177"/>
    <col min="1557" max="1557" width="3.28515625" style="1177" customWidth="1"/>
    <col min="1558" max="1558" width="7.85546875" style="1177" customWidth="1"/>
    <col min="1559" max="1559" width="52.28515625" style="1177" customWidth="1"/>
    <col min="1560" max="1560" width="13.28515625" style="1177" customWidth="1"/>
    <col min="1561" max="1561" width="14.7109375" style="1177" customWidth="1"/>
    <col min="1562" max="1562" width="11" style="1177" customWidth="1"/>
    <col min="1563" max="1570" width="10.140625" style="1177" customWidth="1"/>
    <col min="1571" max="1571" width="12.42578125" style="1177" customWidth="1"/>
    <col min="1572" max="1792" width="11.42578125" style="1177"/>
    <col min="1793" max="1793" width="3.28515625" style="1177" customWidth="1"/>
    <col min="1794" max="1794" width="6.85546875" style="1177" customWidth="1"/>
    <col min="1795" max="1795" width="46.5703125" style="1177" customWidth="1"/>
    <col min="1796" max="1796" width="13.28515625" style="1177" customWidth="1"/>
    <col min="1797" max="1797" width="13" style="1177" customWidth="1"/>
    <col min="1798" max="1807" width="12.42578125" style="1177" customWidth="1"/>
    <col min="1808" max="1808" width="14.5703125" style="1177" customWidth="1"/>
    <col min="1809" max="1809" width="11.85546875" style="1177" customWidth="1"/>
    <col min="1810" max="1810" width="11.7109375" style="1177" customWidth="1"/>
    <col min="1811" max="1811" width="1.85546875" style="1177" customWidth="1"/>
    <col min="1812" max="1812" width="11.42578125" style="1177"/>
    <col min="1813" max="1813" width="3.28515625" style="1177" customWidth="1"/>
    <col min="1814" max="1814" width="7.85546875" style="1177" customWidth="1"/>
    <col min="1815" max="1815" width="52.28515625" style="1177" customWidth="1"/>
    <col min="1816" max="1816" width="13.28515625" style="1177" customWidth="1"/>
    <col min="1817" max="1817" width="14.7109375" style="1177" customWidth="1"/>
    <col min="1818" max="1818" width="11" style="1177" customWidth="1"/>
    <col min="1819" max="1826" width="10.140625" style="1177" customWidth="1"/>
    <col min="1827" max="1827" width="12.42578125" style="1177" customWidth="1"/>
    <col min="1828" max="2048" width="11.42578125" style="1177"/>
    <col min="2049" max="2049" width="3.28515625" style="1177" customWidth="1"/>
    <col min="2050" max="2050" width="6.85546875" style="1177" customWidth="1"/>
    <col min="2051" max="2051" width="46.5703125" style="1177" customWidth="1"/>
    <col min="2052" max="2052" width="13.28515625" style="1177" customWidth="1"/>
    <col min="2053" max="2053" width="13" style="1177" customWidth="1"/>
    <col min="2054" max="2063" width="12.42578125" style="1177" customWidth="1"/>
    <col min="2064" max="2064" width="14.5703125" style="1177" customWidth="1"/>
    <col min="2065" max="2065" width="11.85546875" style="1177" customWidth="1"/>
    <col min="2066" max="2066" width="11.7109375" style="1177" customWidth="1"/>
    <col min="2067" max="2067" width="1.85546875" style="1177" customWidth="1"/>
    <col min="2068" max="2068" width="11.42578125" style="1177"/>
    <col min="2069" max="2069" width="3.28515625" style="1177" customWidth="1"/>
    <col min="2070" max="2070" width="7.85546875" style="1177" customWidth="1"/>
    <col min="2071" max="2071" width="52.28515625" style="1177" customWidth="1"/>
    <col min="2072" max="2072" width="13.28515625" style="1177" customWidth="1"/>
    <col min="2073" max="2073" width="14.7109375" style="1177" customWidth="1"/>
    <col min="2074" max="2074" width="11" style="1177" customWidth="1"/>
    <col min="2075" max="2082" width="10.140625" style="1177" customWidth="1"/>
    <col min="2083" max="2083" width="12.42578125" style="1177" customWidth="1"/>
    <col min="2084" max="2304" width="11.42578125" style="1177"/>
    <col min="2305" max="2305" width="3.28515625" style="1177" customWidth="1"/>
    <col min="2306" max="2306" width="6.85546875" style="1177" customWidth="1"/>
    <col min="2307" max="2307" width="46.5703125" style="1177" customWidth="1"/>
    <col min="2308" max="2308" width="13.28515625" style="1177" customWidth="1"/>
    <col min="2309" max="2309" width="13" style="1177" customWidth="1"/>
    <col min="2310" max="2319" width="12.42578125" style="1177" customWidth="1"/>
    <col min="2320" max="2320" width="14.5703125" style="1177" customWidth="1"/>
    <col min="2321" max="2321" width="11.85546875" style="1177" customWidth="1"/>
    <col min="2322" max="2322" width="11.7109375" style="1177" customWidth="1"/>
    <col min="2323" max="2323" width="1.85546875" style="1177" customWidth="1"/>
    <col min="2324" max="2324" width="11.42578125" style="1177"/>
    <col min="2325" max="2325" width="3.28515625" style="1177" customWidth="1"/>
    <col min="2326" max="2326" width="7.85546875" style="1177" customWidth="1"/>
    <col min="2327" max="2327" width="52.28515625" style="1177" customWidth="1"/>
    <col min="2328" max="2328" width="13.28515625" style="1177" customWidth="1"/>
    <col min="2329" max="2329" width="14.7109375" style="1177" customWidth="1"/>
    <col min="2330" max="2330" width="11" style="1177" customWidth="1"/>
    <col min="2331" max="2338" width="10.140625" style="1177" customWidth="1"/>
    <col min="2339" max="2339" width="12.42578125" style="1177" customWidth="1"/>
    <col min="2340" max="2560" width="11.42578125" style="1177"/>
    <col min="2561" max="2561" width="3.28515625" style="1177" customWidth="1"/>
    <col min="2562" max="2562" width="6.85546875" style="1177" customWidth="1"/>
    <col min="2563" max="2563" width="46.5703125" style="1177" customWidth="1"/>
    <col min="2564" max="2564" width="13.28515625" style="1177" customWidth="1"/>
    <col min="2565" max="2565" width="13" style="1177" customWidth="1"/>
    <col min="2566" max="2575" width="12.42578125" style="1177" customWidth="1"/>
    <col min="2576" max="2576" width="14.5703125" style="1177" customWidth="1"/>
    <col min="2577" max="2577" width="11.85546875" style="1177" customWidth="1"/>
    <col min="2578" max="2578" width="11.7109375" style="1177" customWidth="1"/>
    <col min="2579" max="2579" width="1.85546875" style="1177" customWidth="1"/>
    <col min="2580" max="2580" width="11.42578125" style="1177"/>
    <col min="2581" max="2581" width="3.28515625" style="1177" customWidth="1"/>
    <col min="2582" max="2582" width="7.85546875" style="1177" customWidth="1"/>
    <col min="2583" max="2583" width="52.28515625" style="1177" customWidth="1"/>
    <col min="2584" max="2584" width="13.28515625" style="1177" customWidth="1"/>
    <col min="2585" max="2585" width="14.7109375" style="1177" customWidth="1"/>
    <col min="2586" max="2586" width="11" style="1177" customWidth="1"/>
    <col min="2587" max="2594" width="10.140625" style="1177" customWidth="1"/>
    <col min="2595" max="2595" width="12.42578125" style="1177" customWidth="1"/>
    <col min="2596" max="2816" width="11.42578125" style="1177"/>
    <col min="2817" max="2817" width="3.28515625" style="1177" customWidth="1"/>
    <col min="2818" max="2818" width="6.85546875" style="1177" customWidth="1"/>
    <col min="2819" max="2819" width="46.5703125" style="1177" customWidth="1"/>
    <col min="2820" max="2820" width="13.28515625" style="1177" customWidth="1"/>
    <col min="2821" max="2821" width="13" style="1177" customWidth="1"/>
    <col min="2822" max="2831" width="12.42578125" style="1177" customWidth="1"/>
    <col min="2832" max="2832" width="14.5703125" style="1177" customWidth="1"/>
    <col min="2833" max="2833" width="11.85546875" style="1177" customWidth="1"/>
    <col min="2834" max="2834" width="11.7109375" style="1177" customWidth="1"/>
    <col min="2835" max="2835" width="1.85546875" style="1177" customWidth="1"/>
    <col min="2836" max="2836" width="11.42578125" style="1177"/>
    <col min="2837" max="2837" width="3.28515625" style="1177" customWidth="1"/>
    <col min="2838" max="2838" width="7.85546875" style="1177" customWidth="1"/>
    <col min="2839" max="2839" width="52.28515625" style="1177" customWidth="1"/>
    <col min="2840" max="2840" width="13.28515625" style="1177" customWidth="1"/>
    <col min="2841" max="2841" width="14.7109375" style="1177" customWidth="1"/>
    <col min="2842" max="2842" width="11" style="1177" customWidth="1"/>
    <col min="2843" max="2850" width="10.140625" style="1177" customWidth="1"/>
    <col min="2851" max="2851" width="12.42578125" style="1177" customWidth="1"/>
    <col min="2852" max="3072" width="11.42578125" style="1177"/>
    <col min="3073" max="3073" width="3.28515625" style="1177" customWidth="1"/>
    <col min="3074" max="3074" width="6.85546875" style="1177" customWidth="1"/>
    <col min="3075" max="3075" width="46.5703125" style="1177" customWidth="1"/>
    <col min="3076" max="3076" width="13.28515625" style="1177" customWidth="1"/>
    <col min="3077" max="3077" width="13" style="1177" customWidth="1"/>
    <col min="3078" max="3087" width="12.42578125" style="1177" customWidth="1"/>
    <col min="3088" max="3088" width="14.5703125" style="1177" customWidth="1"/>
    <col min="3089" max="3089" width="11.85546875" style="1177" customWidth="1"/>
    <col min="3090" max="3090" width="11.7109375" style="1177" customWidth="1"/>
    <col min="3091" max="3091" width="1.85546875" style="1177" customWidth="1"/>
    <col min="3092" max="3092" width="11.42578125" style="1177"/>
    <col min="3093" max="3093" width="3.28515625" style="1177" customWidth="1"/>
    <col min="3094" max="3094" width="7.85546875" style="1177" customWidth="1"/>
    <col min="3095" max="3095" width="52.28515625" style="1177" customWidth="1"/>
    <col min="3096" max="3096" width="13.28515625" style="1177" customWidth="1"/>
    <col min="3097" max="3097" width="14.7109375" style="1177" customWidth="1"/>
    <col min="3098" max="3098" width="11" style="1177" customWidth="1"/>
    <col min="3099" max="3106" width="10.140625" style="1177" customWidth="1"/>
    <col min="3107" max="3107" width="12.42578125" style="1177" customWidth="1"/>
    <col min="3108" max="3328" width="11.42578125" style="1177"/>
    <col min="3329" max="3329" width="3.28515625" style="1177" customWidth="1"/>
    <col min="3330" max="3330" width="6.85546875" style="1177" customWidth="1"/>
    <col min="3331" max="3331" width="46.5703125" style="1177" customWidth="1"/>
    <col min="3332" max="3332" width="13.28515625" style="1177" customWidth="1"/>
    <col min="3333" max="3333" width="13" style="1177" customWidth="1"/>
    <col min="3334" max="3343" width="12.42578125" style="1177" customWidth="1"/>
    <col min="3344" max="3344" width="14.5703125" style="1177" customWidth="1"/>
    <col min="3345" max="3345" width="11.85546875" style="1177" customWidth="1"/>
    <col min="3346" max="3346" width="11.7109375" style="1177" customWidth="1"/>
    <col min="3347" max="3347" width="1.85546875" style="1177" customWidth="1"/>
    <col min="3348" max="3348" width="11.42578125" style="1177"/>
    <col min="3349" max="3349" width="3.28515625" style="1177" customWidth="1"/>
    <col min="3350" max="3350" width="7.85546875" style="1177" customWidth="1"/>
    <col min="3351" max="3351" width="52.28515625" style="1177" customWidth="1"/>
    <col min="3352" max="3352" width="13.28515625" style="1177" customWidth="1"/>
    <col min="3353" max="3353" width="14.7109375" style="1177" customWidth="1"/>
    <col min="3354" max="3354" width="11" style="1177" customWidth="1"/>
    <col min="3355" max="3362" width="10.140625" style="1177" customWidth="1"/>
    <col min="3363" max="3363" width="12.42578125" style="1177" customWidth="1"/>
    <col min="3364" max="3584" width="11.42578125" style="1177"/>
    <col min="3585" max="3585" width="3.28515625" style="1177" customWidth="1"/>
    <col min="3586" max="3586" width="6.85546875" style="1177" customWidth="1"/>
    <col min="3587" max="3587" width="46.5703125" style="1177" customWidth="1"/>
    <col min="3588" max="3588" width="13.28515625" style="1177" customWidth="1"/>
    <col min="3589" max="3589" width="13" style="1177" customWidth="1"/>
    <col min="3590" max="3599" width="12.42578125" style="1177" customWidth="1"/>
    <col min="3600" max="3600" width="14.5703125" style="1177" customWidth="1"/>
    <col min="3601" max="3601" width="11.85546875" style="1177" customWidth="1"/>
    <col min="3602" max="3602" width="11.7109375" style="1177" customWidth="1"/>
    <col min="3603" max="3603" width="1.85546875" style="1177" customWidth="1"/>
    <col min="3604" max="3604" width="11.42578125" style="1177"/>
    <col min="3605" max="3605" width="3.28515625" style="1177" customWidth="1"/>
    <col min="3606" max="3606" width="7.85546875" style="1177" customWidth="1"/>
    <col min="3607" max="3607" width="52.28515625" style="1177" customWidth="1"/>
    <col min="3608" max="3608" width="13.28515625" style="1177" customWidth="1"/>
    <col min="3609" max="3609" width="14.7109375" style="1177" customWidth="1"/>
    <col min="3610" max="3610" width="11" style="1177" customWidth="1"/>
    <col min="3611" max="3618" width="10.140625" style="1177" customWidth="1"/>
    <col min="3619" max="3619" width="12.42578125" style="1177" customWidth="1"/>
    <col min="3620" max="3840" width="11.42578125" style="1177"/>
    <col min="3841" max="3841" width="3.28515625" style="1177" customWidth="1"/>
    <col min="3842" max="3842" width="6.85546875" style="1177" customWidth="1"/>
    <col min="3843" max="3843" width="46.5703125" style="1177" customWidth="1"/>
    <col min="3844" max="3844" width="13.28515625" style="1177" customWidth="1"/>
    <col min="3845" max="3845" width="13" style="1177" customWidth="1"/>
    <col min="3846" max="3855" width="12.42578125" style="1177" customWidth="1"/>
    <col min="3856" max="3856" width="14.5703125" style="1177" customWidth="1"/>
    <col min="3857" max="3857" width="11.85546875" style="1177" customWidth="1"/>
    <col min="3858" max="3858" width="11.7109375" style="1177" customWidth="1"/>
    <col min="3859" max="3859" width="1.85546875" style="1177" customWidth="1"/>
    <col min="3860" max="3860" width="11.42578125" style="1177"/>
    <col min="3861" max="3861" width="3.28515625" style="1177" customWidth="1"/>
    <col min="3862" max="3862" width="7.85546875" style="1177" customWidth="1"/>
    <col min="3863" max="3863" width="52.28515625" style="1177" customWidth="1"/>
    <col min="3864" max="3864" width="13.28515625" style="1177" customWidth="1"/>
    <col min="3865" max="3865" width="14.7109375" style="1177" customWidth="1"/>
    <col min="3866" max="3866" width="11" style="1177" customWidth="1"/>
    <col min="3867" max="3874" width="10.140625" style="1177" customWidth="1"/>
    <col min="3875" max="3875" width="12.42578125" style="1177" customWidth="1"/>
    <col min="3876" max="4096" width="11.42578125" style="1177"/>
    <col min="4097" max="4097" width="3.28515625" style="1177" customWidth="1"/>
    <col min="4098" max="4098" width="6.85546875" style="1177" customWidth="1"/>
    <col min="4099" max="4099" width="46.5703125" style="1177" customWidth="1"/>
    <col min="4100" max="4100" width="13.28515625" style="1177" customWidth="1"/>
    <col min="4101" max="4101" width="13" style="1177" customWidth="1"/>
    <col min="4102" max="4111" width="12.42578125" style="1177" customWidth="1"/>
    <col min="4112" max="4112" width="14.5703125" style="1177" customWidth="1"/>
    <col min="4113" max="4113" width="11.85546875" style="1177" customWidth="1"/>
    <col min="4114" max="4114" width="11.7109375" style="1177" customWidth="1"/>
    <col min="4115" max="4115" width="1.85546875" style="1177" customWidth="1"/>
    <col min="4116" max="4116" width="11.42578125" style="1177"/>
    <col min="4117" max="4117" width="3.28515625" style="1177" customWidth="1"/>
    <col min="4118" max="4118" width="7.85546875" style="1177" customWidth="1"/>
    <col min="4119" max="4119" width="52.28515625" style="1177" customWidth="1"/>
    <col min="4120" max="4120" width="13.28515625" style="1177" customWidth="1"/>
    <col min="4121" max="4121" width="14.7109375" style="1177" customWidth="1"/>
    <col min="4122" max="4122" width="11" style="1177" customWidth="1"/>
    <col min="4123" max="4130" width="10.140625" style="1177" customWidth="1"/>
    <col min="4131" max="4131" width="12.42578125" style="1177" customWidth="1"/>
    <col min="4132" max="4352" width="11.42578125" style="1177"/>
    <col min="4353" max="4353" width="3.28515625" style="1177" customWidth="1"/>
    <col min="4354" max="4354" width="6.85546875" style="1177" customWidth="1"/>
    <col min="4355" max="4355" width="46.5703125" style="1177" customWidth="1"/>
    <col min="4356" max="4356" width="13.28515625" style="1177" customWidth="1"/>
    <col min="4357" max="4357" width="13" style="1177" customWidth="1"/>
    <col min="4358" max="4367" width="12.42578125" style="1177" customWidth="1"/>
    <col min="4368" max="4368" width="14.5703125" style="1177" customWidth="1"/>
    <col min="4369" max="4369" width="11.85546875" style="1177" customWidth="1"/>
    <col min="4370" max="4370" width="11.7109375" style="1177" customWidth="1"/>
    <col min="4371" max="4371" width="1.85546875" style="1177" customWidth="1"/>
    <col min="4372" max="4372" width="11.42578125" style="1177"/>
    <col min="4373" max="4373" width="3.28515625" style="1177" customWidth="1"/>
    <col min="4374" max="4374" width="7.85546875" style="1177" customWidth="1"/>
    <col min="4375" max="4375" width="52.28515625" style="1177" customWidth="1"/>
    <col min="4376" max="4376" width="13.28515625" style="1177" customWidth="1"/>
    <col min="4377" max="4377" width="14.7109375" style="1177" customWidth="1"/>
    <col min="4378" max="4378" width="11" style="1177" customWidth="1"/>
    <col min="4379" max="4386" width="10.140625" style="1177" customWidth="1"/>
    <col min="4387" max="4387" width="12.42578125" style="1177" customWidth="1"/>
    <col min="4388" max="4608" width="11.42578125" style="1177"/>
    <col min="4609" max="4609" width="3.28515625" style="1177" customWidth="1"/>
    <col min="4610" max="4610" width="6.85546875" style="1177" customWidth="1"/>
    <col min="4611" max="4611" width="46.5703125" style="1177" customWidth="1"/>
    <col min="4612" max="4612" width="13.28515625" style="1177" customWidth="1"/>
    <col min="4613" max="4613" width="13" style="1177" customWidth="1"/>
    <col min="4614" max="4623" width="12.42578125" style="1177" customWidth="1"/>
    <col min="4624" max="4624" width="14.5703125" style="1177" customWidth="1"/>
    <col min="4625" max="4625" width="11.85546875" style="1177" customWidth="1"/>
    <col min="4626" max="4626" width="11.7109375" style="1177" customWidth="1"/>
    <col min="4627" max="4627" width="1.85546875" style="1177" customWidth="1"/>
    <col min="4628" max="4628" width="11.42578125" style="1177"/>
    <col min="4629" max="4629" width="3.28515625" style="1177" customWidth="1"/>
    <col min="4630" max="4630" width="7.85546875" style="1177" customWidth="1"/>
    <col min="4631" max="4631" width="52.28515625" style="1177" customWidth="1"/>
    <col min="4632" max="4632" width="13.28515625" style="1177" customWidth="1"/>
    <col min="4633" max="4633" width="14.7109375" style="1177" customWidth="1"/>
    <col min="4634" max="4634" width="11" style="1177" customWidth="1"/>
    <col min="4635" max="4642" width="10.140625" style="1177" customWidth="1"/>
    <col min="4643" max="4643" width="12.42578125" style="1177" customWidth="1"/>
    <col min="4644" max="4864" width="11.42578125" style="1177"/>
    <col min="4865" max="4865" width="3.28515625" style="1177" customWidth="1"/>
    <col min="4866" max="4866" width="6.85546875" style="1177" customWidth="1"/>
    <col min="4867" max="4867" width="46.5703125" style="1177" customWidth="1"/>
    <col min="4868" max="4868" width="13.28515625" style="1177" customWidth="1"/>
    <col min="4869" max="4869" width="13" style="1177" customWidth="1"/>
    <col min="4870" max="4879" width="12.42578125" style="1177" customWidth="1"/>
    <col min="4880" max="4880" width="14.5703125" style="1177" customWidth="1"/>
    <col min="4881" max="4881" width="11.85546875" style="1177" customWidth="1"/>
    <col min="4882" max="4882" width="11.7109375" style="1177" customWidth="1"/>
    <col min="4883" max="4883" width="1.85546875" style="1177" customWidth="1"/>
    <col min="4884" max="4884" width="11.42578125" style="1177"/>
    <col min="4885" max="4885" width="3.28515625" style="1177" customWidth="1"/>
    <col min="4886" max="4886" width="7.85546875" style="1177" customWidth="1"/>
    <col min="4887" max="4887" width="52.28515625" style="1177" customWidth="1"/>
    <col min="4888" max="4888" width="13.28515625" style="1177" customWidth="1"/>
    <col min="4889" max="4889" width="14.7109375" style="1177" customWidth="1"/>
    <col min="4890" max="4890" width="11" style="1177" customWidth="1"/>
    <col min="4891" max="4898" width="10.140625" style="1177" customWidth="1"/>
    <col min="4899" max="4899" width="12.42578125" style="1177" customWidth="1"/>
    <col min="4900" max="5120" width="11.42578125" style="1177"/>
    <col min="5121" max="5121" width="3.28515625" style="1177" customWidth="1"/>
    <col min="5122" max="5122" width="6.85546875" style="1177" customWidth="1"/>
    <col min="5123" max="5123" width="46.5703125" style="1177" customWidth="1"/>
    <col min="5124" max="5124" width="13.28515625" style="1177" customWidth="1"/>
    <col min="5125" max="5125" width="13" style="1177" customWidth="1"/>
    <col min="5126" max="5135" width="12.42578125" style="1177" customWidth="1"/>
    <col min="5136" max="5136" width="14.5703125" style="1177" customWidth="1"/>
    <col min="5137" max="5137" width="11.85546875" style="1177" customWidth="1"/>
    <col min="5138" max="5138" width="11.7109375" style="1177" customWidth="1"/>
    <col min="5139" max="5139" width="1.85546875" style="1177" customWidth="1"/>
    <col min="5140" max="5140" width="11.42578125" style="1177"/>
    <col min="5141" max="5141" width="3.28515625" style="1177" customWidth="1"/>
    <col min="5142" max="5142" width="7.85546875" style="1177" customWidth="1"/>
    <col min="5143" max="5143" width="52.28515625" style="1177" customWidth="1"/>
    <col min="5144" max="5144" width="13.28515625" style="1177" customWidth="1"/>
    <col min="5145" max="5145" width="14.7109375" style="1177" customWidth="1"/>
    <col min="5146" max="5146" width="11" style="1177" customWidth="1"/>
    <col min="5147" max="5154" width="10.140625" style="1177" customWidth="1"/>
    <col min="5155" max="5155" width="12.42578125" style="1177" customWidth="1"/>
    <col min="5156" max="5376" width="11.42578125" style="1177"/>
    <col min="5377" max="5377" width="3.28515625" style="1177" customWidth="1"/>
    <col min="5378" max="5378" width="6.85546875" style="1177" customWidth="1"/>
    <col min="5379" max="5379" width="46.5703125" style="1177" customWidth="1"/>
    <col min="5380" max="5380" width="13.28515625" style="1177" customWidth="1"/>
    <col min="5381" max="5381" width="13" style="1177" customWidth="1"/>
    <col min="5382" max="5391" width="12.42578125" style="1177" customWidth="1"/>
    <col min="5392" max="5392" width="14.5703125" style="1177" customWidth="1"/>
    <col min="5393" max="5393" width="11.85546875" style="1177" customWidth="1"/>
    <col min="5394" max="5394" width="11.7109375" style="1177" customWidth="1"/>
    <col min="5395" max="5395" width="1.85546875" style="1177" customWidth="1"/>
    <col min="5396" max="5396" width="11.42578125" style="1177"/>
    <col min="5397" max="5397" width="3.28515625" style="1177" customWidth="1"/>
    <col min="5398" max="5398" width="7.85546875" style="1177" customWidth="1"/>
    <col min="5399" max="5399" width="52.28515625" style="1177" customWidth="1"/>
    <col min="5400" max="5400" width="13.28515625" style="1177" customWidth="1"/>
    <col min="5401" max="5401" width="14.7109375" style="1177" customWidth="1"/>
    <col min="5402" max="5402" width="11" style="1177" customWidth="1"/>
    <col min="5403" max="5410" width="10.140625" style="1177" customWidth="1"/>
    <col min="5411" max="5411" width="12.42578125" style="1177" customWidth="1"/>
    <col min="5412" max="5632" width="11.42578125" style="1177"/>
    <col min="5633" max="5633" width="3.28515625" style="1177" customWidth="1"/>
    <col min="5634" max="5634" width="6.85546875" style="1177" customWidth="1"/>
    <col min="5635" max="5635" width="46.5703125" style="1177" customWidth="1"/>
    <col min="5636" max="5636" width="13.28515625" style="1177" customWidth="1"/>
    <col min="5637" max="5637" width="13" style="1177" customWidth="1"/>
    <col min="5638" max="5647" width="12.42578125" style="1177" customWidth="1"/>
    <col min="5648" max="5648" width="14.5703125" style="1177" customWidth="1"/>
    <col min="5649" max="5649" width="11.85546875" style="1177" customWidth="1"/>
    <col min="5650" max="5650" width="11.7109375" style="1177" customWidth="1"/>
    <col min="5651" max="5651" width="1.85546875" style="1177" customWidth="1"/>
    <col min="5652" max="5652" width="11.42578125" style="1177"/>
    <col min="5653" max="5653" width="3.28515625" style="1177" customWidth="1"/>
    <col min="5654" max="5654" width="7.85546875" style="1177" customWidth="1"/>
    <col min="5655" max="5655" width="52.28515625" style="1177" customWidth="1"/>
    <col min="5656" max="5656" width="13.28515625" style="1177" customWidth="1"/>
    <col min="5657" max="5657" width="14.7109375" style="1177" customWidth="1"/>
    <col min="5658" max="5658" width="11" style="1177" customWidth="1"/>
    <col min="5659" max="5666" width="10.140625" style="1177" customWidth="1"/>
    <col min="5667" max="5667" width="12.42578125" style="1177" customWidth="1"/>
    <col min="5668" max="5888" width="11.42578125" style="1177"/>
    <col min="5889" max="5889" width="3.28515625" style="1177" customWidth="1"/>
    <col min="5890" max="5890" width="6.85546875" style="1177" customWidth="1"/>
    <col min="5891" max="5891" width="46.5703125" style="1177" customWidth="1"/>
    <col min="5892" max="5892" width="13.28515625" style="1177" customWidth="1"/>
    <col min="5893" max="5893" width="13" style="1177" customWidth="1"/>
    <col min="5894" max="5903" width="12.42578125" style="1177" customWidth="1"/>
    <col min="5904" max="5904" width="14.5703125" style="1177" customWidth="1"/>
    <col min="5905" max="5905" width="11.85546875" style="1177" customWidth="1"/>
    <col min="5906" max="5906" width="11.7109375" style="1177" customWidth="1"/>
    <col min="5907" max="5907" width="1.85546875" style="1177" customWidth="1"/>
    <col min="5908" max="5908" width="11.42578125" style="1177"/>
    <col min="5909" max="5909" width="3.28515625" style="1177" customWidth="1"/>
    <col min="5910" max="5910" width="7.85546875" style="1177" customWidth="1"/>
    <col min="5911" max="5911" width="52.28515625" style="1177" customWidth="1"/>
    <col min="5912" max="5912" width="13.28515625" style="1177" customWidth="1"/>
    <col min="5913" max="5913" width="14.7109375" style="1177" customWidth="1"/>
    <col min="5914" max="5914" width="11" style="1177" customWidth="1"/>
    <col min="5915" max="5922" width="10.140625" style="1177" customWidth="1"/>
    <col min="5923" max="5923" width="12.42578125" style="1177" customWidth="1"/>
    <col min="5924" max="6144" width="11.42578125" style="1177"/>
    <col min="6145" max="6145" width="3.28515625" style="1177" customWidth="1"/>
    <col min="6146" max="6146" width="6.85546875" style="1177" customWidth="1"/>
    <col min="6147" max="6147" width="46.5703125" style="1177" customWidth="1"/>
    <col min="6148" max="6148" width="13.28515625" style="1177" customWidth="1"/>
    <col min="6149" max="6149" width="13" style="1177" customWidth="1"/>
    <col min="6150" max="6159" width="12.42578125" style="1177" customWidth="1"/>
    <col min="6160" max="6160" width="14.5703125" style="1177" customWidth="1"/>
    <col min="6161" max="6161" width="11.85546875" style="1177" customWidth="1"/>
    <col min="6162" max="6162" width="11.7109375" style="1177" customWidth="1"/>
    <col min="6163" max="6163" width="1.85546875" style="1177" customWidth="1"/>
    <col min="6164" max="6164" width="11.42578125" style="1177"/>
    <col min="6165" max="6165" width="3.28515625" style="1177" customWidth="1"/>
    <col min="6166" max="6166" width="7.85546875" style="1177" customWidth="1"/>
    <col min="6167" max="6167" width="52.28515625" style="1177" customWidth="1"/>
    <col min="6168" max="6168" width="13.28515625" style="1177" customWidth="1"/>
    <col min="6169" max="6169" width="14.7109375" style="1177" customWidth="1"/>
    <col min="6170" max="6170" width="11" style="1177" customWidth="1"/>
    <col min="6171" max="6178" width="10.140625" style="1177" customWidth="1"/>
    <col min="6179" max="6179" width="12.42578125" style="1177" customWidth="1"/>
    <col min="6180" max="6400" width="11.42578125" style="1177"/>
    <col min="6401" max="6401" width="3.28515625" style="1177" customWidth="1"/>
    <col min="6402" max="6402" width="6.85546875" style="1177" customWidth="1"/>
    <col min="6403" max="6403" width="46.5703125" style="1177" customWidth="1"/>
    <col min="6404" max="6404" width="13.28515625" style="1177" customWidth="1"/>
    <col min="6405" max="6405" width="13" style="1177" customWidth="1"/>
    <col min="6406" max="6415" width="12.42578125" style="1177" customWidth="1"/>
    <col min="6416" max="6416" width="14.5703125" style="1177" customWidth="1"/>
    <col min="6417" max="6417" width="11.85546875" style="1177" customWidth="1"/>
    <col min="6418" max="6418" width="11.7109375" style="1177" customWidth="1"/>
    <col min="6419" max="6419" width="1.85546875" style="1177" customWidth="1"/>
    <col min="6420" max="6420" width="11.42578125" style="1177"/>
    <col min="6421" max="6421" width="3.28515625" style="1177" customWidth="1"/>
    <col min="6422" max="6422" width="7.85546875" style="1177" customWidth="1"/>
    <col min="6423" max="6423" width="52.28515625" style="1177" customWidth="1"/>
    <col min="6424" max="6424" width="13.28515625" style="1177" customWidth="1"/>
    <col min="6425" max="6425" width="14.7109375" style="1177" customWidth="1"/>
    <col min="6426" max="6426" width="11" style="1177" customWidth="1"/>
    <col min="6427" max="6434" width="10.140625" style="1177" customWidth="1"/>
    <col min="6435" max="6435" width="12.42578125" style="1177" customWidth="1"/>
    <col min="6436" max="6656" width="11.42578125" style="1177"/>
    <col min="6657" max="6657" width="3.28515625" style="1177" customWidth="1"/>
    <col min="6658" max="6658" width="6.85546875" style="1177" customWidth="1"/>
    <col min="6659" max="6659" width="46.5703125" style="1177" customWidth="1"/>
    <col min="6660" max="6660" width="13.28515625" style="1177" customWidth="1"/>
    <col min="6661" max="6661" width="13" style="1177" customWidth="1"/>
    <col min="6662" max="6671" width="12.42578125" style="1177" customWidth="1"/>
    <col min="6672" max="6672" width="14.5703125" style="1177" customWidth="1"/>
    <col min="6673" max="6673" width="11.85546875" style="1177" customWidth="1"/>
    <col min="6674" max="6674" width="11.7109375" style="1177" customWidth="1"/>
    <col min="6675" max="6675" width="1.85546875" style="1177" customWidth="1"/>
    <col min="6676" max="6676" width="11.42578125" style="1177"/>
    <col min="6677" max="6677" width="3.28515625" style="1177" customWidth="1"/>
    <col min="6678" max="6678" width="7.85546875" style="1177" customWidth="1"/>
    <col min="6679" max="6679" width="52.28515625" style="1177" customWidth="1"/>
    <col min="6680" max="6680" width="13.28515625" style="1177" customWidth="1"/>
    <col min="6681" max="6681" width="14.7109375" style="1177" customWidth="1"/>
    <col min="6682" max="6682" width="11" style="1177" customWidth="1"/>
    <col min="6683" max="6690" width="10.140625" style="1177" customWidth="1"/>
    <col min="6691" max="6691" width="12.42578125" style="1177" customWidth="1"/>
    <col min="6692" max="6912" width="11.42578125" style="1177"/>
    <col min="6913" max="6913" width="3.28515625" style="1177" customWidth="1"/>
    <col min="6914" max="6914" width="6.85546875" style="1177" customWidth="1"/>
    <col min="6915" max="6915" width="46.5703125" style="1177" customWidth="1"/>
    <col min="6916" max="6916" width="13.28515625" style="1177" customWidth="1"/>
    <col min="6917" max="6917" width="13" style="1177" customWidth="1"/>
    <col min="6918" max="6927" width="12.42578125" style="1177" customWidth="1"/>
    <col min="6928" max="6928" width="14.5703125" style="1177" customWidth="1"/>
    <col min="6929" max="6929" width="11.85546875" style="1177" customWidth="1"/>
    <col min="6930" max="6930" width="11.7109375" style="1177" customWidth="1"/>
    <col min="6931" max="6931" width="1.85546875" style="1177" customWidth="1"/>
    <col min="6932" max="6932" width="11.42578125" style="1177"/>
    <col min="6933" max="6933" width="3.28515625" style="1177" customWidth="1"/>
    <col min="6934" max="6934" width="7.85546875" style="1177" customWidth="1"/>
    <col min="6935" max="6935" width="52.28515625" style="1177" customWidth="1"/>
    <col min="6936" max="6936" width="13.28515625" style="1177" customWidth="1"/>
    <col min="6937" max="6937" width="14.7109375" style="1177" customWidth="1"/>
    <col min="6938" max="6938" width="11" style="1177" customWidth="1"/>
    <col min="6939" max="6946" width="10.140625" style="1177" customWidth="1"/>
    <col min="6947" max="6947" width="12.42578125" style="1177" customWidth="1"/>
    <col min="6948" max="7168" width="11.42578125" style="1177"/>
    <col min="7169" max="7169" width="3.28515625" style="1177" customWidth="1"/>
    <col min="7170" max="7170" width="6.85546875" style="1177" customWidth="1"/>
    <col min="7171" max="7171" width="46.5703125" style="1177" customWidth="1"/>
    <col min="7172" max="7172" width="13.28515625" style="1177" customWidth="1"/>
    <col min="7173" max="7173" width="13" style="1177" customWidth="1"/>
    <col min="7174" max="7183" width="12.42578125" style="1177" customWidth="1"/>
    <col min="7184" max="7184" width="14.5703125" style="1177" customWidth="1"/>
    <col min="7185" max="7185" width="11.85546875" style="1177" customWidth="1"/>
    <col min="7186" max="7186" width="11.7109375" style="1177" customWidth="1"/>
    <col min="7187" max="7187" width="1.85546875" style="1177" customWidth="1"/>
    <col min="7188" max="7188" width="11.42578125" style="1177"/>
    <col min="7189" max="7189" width="3.28515625" style="1177" customWidth="1"/>
    <col min="7190" max="7190" width="7.85546875" style="1177" customWidth="1"/>
    <col min="7191" max="7191" width="52.28515625" style="1177" customWidth="1"/>
    <col min="7192" max="7192" width="13.28515625" style="1177" customWidth="1"/>
    <col min="7193" max="7193" width="14.7109375" style="1177" customWidth="1"/>
    <col min="7194" max="7194" width="11" style="1177" customWidth="1"/>
    <col min="7195" max="7202" width="10.140625" style="1177" customWidth="1"/>
    <col min="7203" max="7203" width="12.42578125" style="1177" customWidth="1"/>
    <col min="7204" max="7424" width="11.42578125" style="1177"/>
    <col min="7425" max="7425" width="3.28515625" style="1177" customWidth="1"/>
    <col min="7426" max="7426" width="6.85546875" style="1177" customWidth="1"/>
    <col min="7427" max="7427" width="46.5703125" style="1177" customWidth="1"/>
    <col min="7428" max="7428" width="13.28515625" style="1177" customWidth="1"/>
    <col min="7429" max="7429" width="13" style="1177" customWidth="1"/>
    <col min="7430" max="7439" width="12.42578125" style="1177" customWidth="1"/>
    <col min="7440" max="7440" width="14.5703125" style="1177" customWidth="1"/>
    <col min="7441" max="7441" width="11.85546875" style="1177" customWidth="1"/>
    <col min="7442" max="7442" width="11.7109375" style="1177" customWidth="1"/>
    <col min="7443" max="7443" width="1.85546875" style="1177" customWidth="1"/>
    <col min="7444" max="7444" width="11.42578125" style="1177"/>
    <col min="7445" max="7445" width="3.28515625" style="1177" customWidth="1"/>
    <col min="7446" max="7446" width="7.85546875" style="1177" customWidth="1"/>
    <col min="7447" max="7447" width="52.28515625" style="1177" customWidth="1"/>
    <col min="7448" max="7448" width="13.28515625" style="1177" customWidth="1"/>
    <col min="7449" max="7449" width="14.7109375" style="1177" customWidth="1"/>
    <col min="7450" max="7450" width="11" style="1177" customWidth="1"/>
    <col min="7451" max="7458" width="10.140625" style="1177" customWidth="1"/>
    <col min="7459" max="7459" width="12.42578125" style="1177" customWidth="1"/>
    <col min="7460" max="7680" width="11.42578125" style="1177"/>
    <col min="7681" max="7681" width="3.28515625" style="1177" customWidth="1"/>
    <col min="7682" max="7682" width="6.85546875" style="1177" customWidth="1"/>
    <col min="7683" max="7683" width="46.5703125" style="1177" customWidth="1"/>
    <col min="7684" max="7684" width="13.28515625" style="1177" customWidth="1"/>
    <col min="7685" max="7685" width="13" style="1177" customWidth="1"/>
    <col min="7686" max="7695" width="12.42578125" style="1177" customWidth="1"/>
    <col min="7696" max="7696" width="14.5703125" style="1177" customWidth="1"/>
    <col min="7697" max="7697" width="11.85546875" style="1177" customWidth="1"/>
    <col min="7698" max="7698" width="11.7109375" style="1177" customWidth="1"/>
    <col min="7699" max="7699" width="1.85546875" style="1177" customWidth="1"/>
    <col min="7700" max="7700" width="11.42578125" style="1177"/>
    <col min="7701" max="7701" width="3.28515625" style="1177" customWidth="1"/>
    <col min="7702" max="7702" width="7.85546875" style="1177" customWidth="1"/>
    <col min="7703" max="7703" width="52.28515625" style="1177" customWidth="1"/>
    <col min="7704" max="7704" width="13.28515625" style="1177" customWidth="1"/>
    <col min="7705" max="7705" width="14.7109375" style="1177" customWidth="1"/>
    <col min="7706" max="7706" width="11" style="1177" customWidth="1"/>
    <col min="7707" max="7714" width="10.140625" style="1177" customWidth="1"/>
    <col min="7715" max="7715" width="12.42578125" style="1177" customWidth="1"/>
    <col min="7716" max="7936" width="11.42578125" style="1177"/>
    <col min="7937" max="7937" width="3.28515625" style="1177" customWidth="1"/>
    <col min="7938" max="7938" width="6.85546875" style="1177" customWidth="1"/>
    <col min="7939" max="7939" width="46.5703125" style="1177" customWidth="1"/>
    <col min="7940" max="7940" width="13.28515625" style="1177" customWidth="1"/>
    <col min="7941" max="7941" width="13" style="1177" customWidth="1"/>
    <col min="7942" max="7951" width="12.42578125" style="1177" customWidth="1"/>
    <col min="7952" max="7952" width="14.5703125" style="1177" customWidth="1"/>
    <col min="7953" max="7953" width="11.85546875" style="1177" customWidth="1"/>
    <col min="7954" max="7954" width="11.7109375" style="1177" customWidth="1"/>
    <col min="7955" max="7955" width="1.85546875" style="1177" customWidth="1"/>
    <col min="7956" max="7956" width="11.42578125" style="1177"/>
    <col min="7957" max="7957" width="3.28515625" style="1177" customWidth="1"/>
    <col min="7958" max="7958" width="7.85546875" style="1177" customWidth="1"/>
    <col min="7959" max="7959" width="52.28515625" style="1177" customWidth="1"/>
    <col min="7960" max="7960" width="13.28515625" style="1177" customWidth="1"/>
    <col min="7961" max="7961" width="14.7109375" style="1177" customWidth="1"/>
    <col min="7962" max="7962" width="11" style="1177" customWidth="1"/>
    <col min="7963" max="7970" width="10.140625" style="1177" customWidth="1"/>
    <col min="7971" max="7971" width="12.42578125" style="1177" customWidth="1"/>
    <col min="7972" max="8192" width="11.42578125" style="1177"/>
    <col min="8193" max="8193" width="3.28515625" style="1177" customWidth="1"/>
    <col min="8194" max="8194" width="6.85546875" style="1177" customWidth="1"/>
    <col min="8195" max="8195" width="46.5703125" style="1177" customWidth="1"/>
    <col min="8196" max="8196" width="13.28515625" style="1177" customWidth="1"/>
    <col min="8197" max="8197" width="13" style="1177" customWidth="1"/>
    <col min="8198" max="8207" width="12.42578125" style="1177" customWidth="1"/>
    <col min="8208" max="8208" width="14.5703125" style="1177" customWidth="1"/>
    <col min="8209" max="8209" width="11.85546875" style="1177" customWidth="1"/>
    <col min="8210" max="8210" width="11.7109375" style="1177" customWidth="1"/>
    <col min="8211" max="8211" width="1.85546875" style="1177" customWidth="1"/>
    <col min="8212" max="8212" width="11.42578125" style="1177"/>
    <col min="8213" max="8213" width="3.28515625" style="1177" customWidth="1"/>
    <col min="8214" max="8214" width="7.85546875" style="1177" customWidth="1"/>
    <col min="8215" max="8215" width="52.28515625" style="1177" customWidth="1"/>
    <col min="8216" max="8216" width="13.28515625" style="1177" customWidth="1"/>
    <col min="8217" max="8217" width="14.7109375" style="1177" customWidth="1"/>
    <col min="8218" max="8218" width="11" style="1177" customWidth="1"/>
    <col min="8219" max="8226" width="10.140625" style="1177" customWidth="1"/>
    <col min="8227" max="8227" width="12.42578125" style="1177" customWidth="1"/>
    <col min="8228" max="8448" width="11.42578125" style="1177"/>
    <col min="8449" max="8449" width="3.28515625" style="1177" customWidth="1"/>
    <col min="8450" max="8450" width="6.85546875" style="1177" customWidth="1"/>
    <col min="8451" max="8451" width="46.5703125" style="1177" customWidth="1"/>
    <col min="8452" max="8452" width="13.28515625" style="1177" customWidth="1"/>
    <col min="8453" max="8453" width="13" style="1177" customWidth="1"/>
    <col min="8454" max="8463" width="12.42578125" style="1177" customWidth="1"/>
    <col min="8464" max="8464" width="14.5703125" style="1177" customWidth="1"/>
    <col min="8465" max="8465" width="11.85546875" style="1177" customWidth="1"/>
    <col min="8466" max="8466" width="11.7109375" style="1177" customWidth="1"/>
    <col min="8467" max="8467" width="1.85546875" style="1177" customWidth="1"/>
    <col min="8468" max="8468" width="11.42578125" style="1177"/>
    <col min="8469" max="8469" width="3.28515625" style="1177" customWidth="1"/>
    <col min="8470" max="8470" width="7.85546875" style="1177" customWidth="1"/>
    <col min="8471" max="8471" width="52.28515625" style="1177" customWidth="1"/>
    <col min="8472" max="8472" width="13.28515625" style="1177" customWidth="1"/>
    <col min="8473" max="8473" width="14.7109375" style="1177" customWidth="1"/>
    <col min="8474" max="8474" width="11" style="1177" customWidth="1"/>
    <col min="8475" max="8482" width="10.140625" style="1177" customWidth="1"/>
    <col min="8483" max="8483" width="12.42578125" style="1177" customWidth="1"/>
    <col min="8484" max="8704" width="11.42578125" style="1177"/>
    <col min="8705" max="8705" width="3.28515625" style="1177" customWidth="1"/>
    <col min="8706" max="8706" width="6.85546875" style="1177" customWidth="1"/>
    <col min="8707" max="8707" width="46.5703125" style="1177" customWidth="1"/>
    <col min="8708" max="8708" width="13.28515625" style="1177" customWidth="1"/>
    <col min="8709" max="8709" width="13" style="1177" customWidth="1"/>
    <col min="8710" max="8719" width="12.42578125" style="1177" customWidth="1"/>
    <col min="8720" max="8720" width="14.5703125" style="1177" customWidth="1"/>
    <col min="8721" max="8721" width="11.85546875" style="1177" customWidth="1"/>
    <col min="8722" max="8722" width="11.7109375" style="1177" customWidth="1"/>
    <col min="8723" max="8723" width="1.85546875" style="1177" customWidth="1"/>
    <col min="8724" max="8724" width="11.42578125" style="1177"/>
    <col min="8725" max="8725" width="3.28515625" style="1177" customWidth="1"/>
    <col min="8726" max="8726" width="7.85546875" style="1177" customWidth="1"/>
    <col min="8727" max="8727" width="52.28515625" style="1177" customWidth="1"/>
    <col min="8728" max="8728" width="13.28515625" style="1177" customWidth="1"/>
    <col min="8729" max="8729" width="14.7109375" style="1177" customWidth="1"/>
    <col min="8730" max="8730" width="11" style="1177" customWidth="1"/>
    <col min="8731" max="8738" width="10.140625" style="1177" customWidth="1"/>
    <col min="8739" max="8739" width="12.42578125" style="1177" customWidth="1"/>
    <col min="8740" max="8960" width="11.42578125" style="1177"/>
    <col min="8961" max="8961" width="3.28515625" style="1177" customWidth="1"/>
    <col min="8962" max="8962" width="6.85546875" style="1177" customWidth="1"/>
    <col min="8963" max="8963" width="46.5703125" style="1177" customWidth="1"/>
    <col min="8964" max="8964" width="13.28515625" style="1177" customWidth="1"/>
    <col min="8965" max="8965" width="13" style="1177" customWidth="1"/>
    <col min="8966" max="8975" width="12.42578125" style="1177" customWidth="1"/>
    <col min="8976" max="8976" width="14.5703125" style="1177" customWidth="1"/>
    <col min="8977" max="8977" width="11.85546875" style="1177" customWidth="1"/>
    <col min="8978" max="8978" width="11.7109375" style="1177" customWidth="1"/>
    <col min="8979" max="8979" width="1.85546875" style="1177" customWidth="1"/>
    <col min="8980" max="8980" width="11.42578125" style="1177"/>
    <col min="8981" max="8981" width="3.28515625" style="1177" customWidth="1"/>
    <col min="8982" max="8982" width="7.85546875" style="1177" customWidth="1"/>
    <col min="8983" max="8983" width="52.28515625" style="1177" customWidth="1"/>
    <col min="8984" max="8984" width="13.28515625" style="1177" customWidth="1"/>
    <col min="8985" max="8985" width="14.7109375" style="1177" customWidth="1"/>
    <col min="8986" max="8986" width="11" style="1177" customWidth="1"/>
    <col min="8987" max="8994" width="10.140625" style="1177" customWidth="1"/>
    <col min="8995" max="8995" width="12.42578125" style="1177" customWidth="1"/>
    <col min="8996" max="9216" width="11.42578125" style="1177"/>
    <col min="9217" max="9217" width="3.28515625" style="1177" customWidth="1"/>
    <col min="9218" max="9218" width="6.85546875" style="1177" customWidth="1"/>
    <col min="9219" max="9219" width="46.5703125" style="1177" customWidth="1"/>
    <col min="9220" max="9220" width="13.28515625" style="1177" customWidth="1"/>
    <col min="9221" max="9221" width="13" style="1177" customWidth="1"/>
    <col min="9222" max="9231" width="12.42578125" style="1177" customWidth="1"/>
    <col min="9232" max="9232" width="14.5703125" style="1177" customWidth="1"/>
    <col min="9233" max="9233" width="11.85546875" style="1177" customWidth="1"/>
    <col min="9234" max="9234" width="11.7109375" style="1177" customWidth="1"/>
    <col min="9235" max="9235" width="1.85546875" style="1177" customWidth="1"/>
    <col min="9236" max="9236" width="11.42578125" style="1177"/>
    <col min="9237" max="9237" width="3.28515625" style="1177" customWidth="1"/>
    <col min="9238" max="9238" width="7.85546875" style="1177" customWidth="1"/>
    <col min="9239" max="9239" width="52.28515625" style="1177" customWidth="1"/>
    <col min="9240" max="9240" width="13.28515625" style="1177" customWidth="1"/>
    <col min="9241" max="9241" width="14.7109375" style="1177" customWidth="1"/>
    <col min="9242" max="9242" width="11" style="1177" customWidth="1"/>
    <col min="9243" max="9250" width="10.140625" style="1177" customWidth="1"/>
    <col min="9251" max="9251" width="12.42578125" style="1177" customWidth="1"/>
    <col min="9252" max="9472" width="11.42578125" style="1177"/>
    <col min="9473" max="9473" width="3.28515625" style="1177" customWidth="1"/>
    <col min="9474" max="9474" width="6.85546875" style="1177" customWidth="1"/>
    <col min="9475" max="9475" width="46.5703125" style="1177" customWidth="1"/>
    <col min="9476" max="9476" width="13.28515625" style="1177" customWidth="1"/>
    <col min="9477" max="9477" width="13" style="1177" customWidth="1"/>
    <col min="9478" max="9487" width="12.42578125" style="1177" customWidth="1"/>
    <col min="9488" max="9488" width="14.5703125" style="1177" customWidth="1"/>
    <col min="9489" max="9489" width="11.85546875" style="1177" customWidth="1"/>
    <col min="9490" max="9490" width="11.7109375" style="1177" customWidth="1"/>
    <col min="9491" max="9491" width="1.85546875" style="1177" customWidth="1"/>
    <col min="9492" max="9492" width="11.42578125" style="1177"/>
    <col min="9493" max="9493" width="3.28515625" style="1177" customWidth="1"/>
    <col min="9494" max="9494" width="7.85546875" style="1177" customWidth="1"/>
    <col min="9495" max="9495" width="52.28515625" style="1177" customWidth="1"/>
    <col min="9496" max="9496" width="13.28515625" style="1177" customWidth="1"/>
    <col min="9497" max="9497" width="14.7109375" style="1177" customWidth="1"/>
    <col min="9498" max="9498" width="11" style="1177" customWidth="1"/>
    <col min="9499" max="9506" width="10.140625" style="1177" customWidth="1"/>
    <col min="9507" max="9507" width="12.42578125" style="1177" customWidth="1"/>
    <col min="9508" max="9728" width="11.42578125" style="1177"/>
    <col min="9729" max="9729" width="3.28515625" style="1177" customWidth="1"/>
    <col min="9730" max="9730" width="6.85546875" style="1177" customWidth="1"/>
    <col min="9731" max="9731" width="46.5703125" style="1177" customWidth="1"/>
    <col min="9732" max="9732" width="13.28515625" style="1177" customWidth="1"/>
    <col min="9733" max="9733" width="13" style="1177" customWidth="1"/>
    <col min="9734" max="9743" width="12.42578125" style="1177" customWidth="1"/>
    <col min="9744" max="9744" width="14.5703125" style="1177" customWidth="1"/>
    <col min="9745" max="9745" width="11.85546875" style="1177" customWidth="1"/>
    <col min="9746" max="9746" width="11.7109375" style="1177" customWidth="1"/>
    <col min="9747" max="9747" width="1.85546875" style="1177" customWidth="1"/>
    <col min="9748" max="9748" width="11.42578125" style="1177"/>
    <col min="9749" max="9749" width="3.28515625" style="1177" customWidth="1"/>
    <col min="9750" max="9750" width="7.85546875" style="1177" customWidth="1"/>
    <col min="9751" max="9751" width="52.28515625" style="1177" customWidth="1"/>
    <col min="9752" max="9752" width="13.28515625" style="1177" customWidth="1"/>
    <col min="9753" max="9753" width="14.7109375" style="1177" customWidth="1"/>
    <col min="9754" max="9754" width="11" style="1177" customWidth="1"/>
    <col min="9755" max="9762" width="10.140625" style="1177" customWidth="1"/>
    <col min="9763" max="9763" width="12.42578125" style="1177" customWidth="1"/>
    <col min="9764" max="9984" width="11.42578125" style="1177"/>
    <col min="9985" max="9985" width="3.28515625" style="1177" customWidth="1"/>
    <col min="9986" max="9986" width="6.85546875" style="1177" customWidth="1"/>
    <col min="9987" max="9987" width="46.5703125" style="1177" customWidth="1"/>
    <col min="9988" max="9988" width="13.28515625" style="1177" customWidth="1"/>
    <col min="9989" max="9989" width="13" style="1177" customWidth="1"/>
    <col min="9990" max="9999" width="12.42578125" style="1177" customWidth="1"/>
    <col min="10000" max="10000" width="14.5703125" style="1177" customWidth="1"/>
    <col min="10001" max="10001" width="11.85546875" style="1177" customWidth="1"/>
    <col min="10002" max="10002" width="11.7109375" style="1177" customWidth="1"/>
    <col min="10003" max="10003" width="1.85546875" style="1177" customWidth="1"/>
    <col min="10004" max="10004" width="11.42578125" style="1177"/>
    <col min="10005" max="10005" width="3.28515625" style="1177" customWidth="1"/>
    <col min="10006" max="10006" width="7.85546875" style="1177" customWidth="1"/>
    <col min="10007" max="10007" width="52.28515625" style="1177" customWidth="1"/>
    <col min="10008" max="10008" width="13.28515625" style="1177" customWidth="1"/>
    <col min="10009" max="10009" width="14.7109375" style="1177" customWidth="1"/>
    <col min="10010" max="10010" width="11" style="1177" customWidth="1"/>
    <col min="10011" max="10018" width="10.140625" style="1177" customWidth="1"/>
    <col min="10019" max="10019" width="12.42578125" style="1177" customWidth="1"/>
    <col min="10020" max="10240" width="11.42578125" style="1177"/>
    <col min="10241" max="10241" width="3.28515625" style="1177" customWidth="1"/>
    <col min="10242" max="10242" width="6.85546875" style="1177" customWidth="1"/>
    <col min="10243" max="10243" width="46.5703125" style="1177" customWidth="1"/>
    <col min="10244" max="10244" width="13.28515625" style="1177" customWidth="1"/>
    <col min="10245" max="10245" width="13" style="1177" customWidth="1"/>
    <col min="10246" max="10255" width="12.42578125" style="1177" customWidth="1"/>
    <col min="10256" max="10256" width="14.5703125" style="1177" customWidth="1"/>
    <col min="10257" max="10257" width="11.85546875" style="1177" customWidth="1"/>
    <col min="10258" max="10258" width="11.7109375" style="1177" customWidth="1"/>
    <col min="10259" max="10259" width="1.85546875" style="1177" customWidth="1"/>
    <col min="10260" max="10260" width="11.42578125" style="1177"/>
    <col min="10261" max="10261" width="3.28515625" style="1177" customWidth="1"/>
    <col min="10262" max="10262" width="7.85546875" style="1177" customWidth="1"/>
    <col min="10263" max="10263" width="52.28515625" style="1177" customWidth="1"/>
    <col min="10264" max="10264" width="13.28515625" style="1177" customWidth="1"/>
    <col min="10265" max="10265" width="14.7109375" style="1177" customWidth="1"/>
    <col min="10266" max="10266" width="11" style="1177" customWidth="1"/>
    <col min="10267" max="10274" width="10.140625" style="1177" customWidth="1"/>
    <col min="10275" max="10275" width="12.42578125" style="1177" customWidth="1"/>
    <col min="10276" max="10496" width="11.42578125" style="1177"/>
    <col min="10497" max="10497" width="3.28515625" style="1177" customWidth="1"/>
    <col min="10498" max="10498" width="6.85546875" style="1177" customWidth="1"/>
    <col min="10499" max="10499" width="46.5703125" style="1177" customWidth="1"/>
    <col min="10500" max="10500" width="13.28515625" style="1177" customWidth="1"/>
    <col min="10501" max="10501" width="13" style="1177" customWidth="1"/>
    <col min="10502" max="10511" width="12.42578125" style="1177" customWidth="1"/>
    <col min="10512" max="10512" width="14.5703125" style="1177" customWidth="1"/>
    <col min="10513" max="10513" width="11.85546875" style="1177" customWidth="1"/>
    <col min="10514" max="10514" width="11.7109375" style="1177" customWidth="1"/>
    <col min="10515" max="10515" width="1.85546875" style="1177" customWidth="1"/>
    <col min="10516" max="10516" width="11.42578125" style="1177"/>
    <col min="10517" max="10517" width="3.28515625" style="1177" customWidth="1"/>
    <col min="10518" max="10518" width="7.85546875" style="1177" customWidth="1"/>
    <col min="10519" max="10519" width="52.28515625" style="1177" customWidth="1"/>
    <col min="10520" max="10520" width="13.28515625" style="1177" customWidth="1"/>
    <col min="10521" max="10521" width="14.7109375" style="1177" customWidth="1"/>
    <col min="10522" max="10522" width="11" style="1177" customWidth="1"/>
    <col min="10523" max="10530" width="10.140625" style="1177" customWidth="1"/>
    <col min="10531" max="10531" width="12.42578125" style="1177" customWidth="1"/>
    <col min="10532" max="10752" width="11.42578125" style="1177"/>
    <col min="10753" max="10753" width="3.28515625" style="1177" customWidth="1"/>
    <col min="10754" max="10754" width="6.85546875" style="1177" customWidth="1"/>
    <col min="10755" max="10755" width="46.5703125" style="1177" customWidth="1"/>
    <col min="10756" max="10756" width="13.28515625" style="1177" customWidth="1"/>
    <col min="10757" max="10757" width="13" style="1177" customWidth="1"/>
    <col min="10758" max="10767" width="12.42578125" style="1177" customWidth="1"/>
    <col min="10768" max="10768" width="14.5703125" style="1177" customWidth="1"/>
    <col min="10769" max="10769" width="11.85546875" style="1177" customWidth="1"/>
    <col min="10770" max="10770" width="11.7109375" style="1177" customWidth="1"/>
    <col min="10771" max="10771" width="1.85546875" style="1177" customWidth="1"/>
    <col min="10772" max="10772" width="11.42578125" style="1177"/>
    <col min="10773" max="10773" width="3.28515625" style="1177" customWidth="1"/>
    <col min="10774" max="10774" width="7.85546875" style="1177" customWidth="1"/>
    <col min="10775" max="10775" width="52.28515625" style="1177" customWidth="1"/>
    <col min="10776" max="10776" width="13.28515625" style="1177" customWidth="1"/>
    <col min="10777" max="10777" width="14.7109375" style="1177" customWidth="1"/>
    <col min="10778" max="10778" width="11" style="1177" customWidth="1"/>
    <col min="10779" max="10786" width="10.140625" style="1177" customWidth="1"/>
    <col min="10787" max="10787" width="12.42578125" style="1177" customWidth="1"/>
    <col min="10788" max="11008" width="11.42578125" style="1177"/>
    <col min="11009" max="11009" width="3.28515625" style="1177" customWidth="1"/>
    <col min="11010" max="11010" width="6.85546875" style="1177" customWidth="1"/>
    <col min="11011" max="11011" width="46.5703125" style="1177" customWidth="1"/>
    <col min="11012" max="11012" width="13.28515625" style="1177" customWidth="1"/>
    <col min="11013" max="11013" width="13" style="1177" customWidth="1"/>
    <col min="11014" max="11023" width="12.42578125" style="1177" customWidth="1"/>
    <col min="11024" max="11024" width="14.5703125" style="1177" customWidth="1"/>
    <col min="11025" max="11025" width="11.85546875" style="1177" customWidth="1"/>
    <col min="11026" max="11026" width="11.7109375" style="1177" customWidth="1"/>
    <col min="11027" max="11027" width="1.85546875" style="1177" customWidth="1"/>
    <col min="11028" max="11028" width="11.42578125" style="1177"/>
    <col min="11029" max="11029" width="3.28515625" style="1177" customWidth="1"/>
    <col min="11030" max="11030" width="7.85546875" style="1177" customWidth="1"/>
    <col min="11031" max="11031" width="52.28515625" style="1177" customWidth="1"/>
    <col min="11032" max="11032" width="13.28515625" style="1177" customWidth="1"/>
    <col min="11033" max="11033" width="14.7109375" style="1177" customWidth="1"/>
    <col min="11034" max="11034" width="11" style="1177" customWidth="1"/>
    <col min="11035" max="11042" width="10.140625" style="1177" customWidth="1"/>
    <col min="11043" max="11043" width="12.42578125" style="1177" customWidth="1"/>
    <col min="11044" max="11264" width="11.42578125" style="1177"/>
    <col min="11265" max="11265" width="3.28515625" style="1177" customWidth="1"/>
    <col min="11266" max="11266" width="6.85546875" style="1177" customWidth="1"/>
    <col min="11267" max="11267" width="46.5703125" style="1177" customWidth="1"/>
    <col min="11268" max="11268" width="13.28515625" style="1177" customWidth="1"/>
    <col min="11269" max="11269" width="13" style="1177" customWidth="1"/>
    <col min="11270" max="11279" width="12.42578125" style="1177" customWidth="1"/>
    <col min="11280" max="11280" width="14.5703125" style="1177" customWidth="1"/>
    <col min="11281" max="11281" width="11.85546875" style="1177" customWidth="1"/>
    <col min="11282" max="11282" width="11.7109375" style="1177" customWidth="1"/>
    <col min="11283" max="11283" width="1.85546875" style="1177" customWidth="1"/>
    <col min="11284" max="11284" width="11.42578125" style="1177"/>
    <col min="11285" max="11285" width="3.28515625" style="1177" customWidth="1"/>
    <col min="11286" max="11286" width="7.85546875" style="1177" customWidth="1"/>
    <col min="11287" max="11287" width="52.28515625" style="1177" customWidth="1"/>
    <col min="11288" max="11288" width="13.28515625" style="1177" customWidth="1"/>
    <col min="11289" max="11289" width="14.7109375" style="1177" customWidth="1"/>
    <col min="11290" max="11290" width="11" style="1177" customWidth="1"/>
    <col min="11291" max="11298" width="10.140625" style="1177" customWidth="1"/>
    <col min="11299" max="11299" width="12.42578125" style="1177" customWidth="1"/>
    <col min="11300" max="11520" width="11.42578125" style="1177"/>
    <col min="11521" max="11521" width="3.28515625" style="1177" customWidth="1"/>
    <col min="11522" max="11522" width="6.85546875" style="1177" customWidth="1"/>
    <col min="11523" max="11523" width="46.5703125" style="1177" customWidth="1"/>
    <col min="11524" max="11524" width="13.28515625" style="1177" customWidth="1"/>
    <col min="11525" max="11525" width="13" style="1177" customWidth="1"/>
    <col min="11526" max="11535" width="12.42578125" style="1177" customWidth="1"/>
    <col min="11536" max="11536" width="14.5703125" style="1177" customWidth="1"/>
    <col min="11537" max="11537" width="11.85546875" style="1177" customWidth="1"/>
    <col min="11538" max="11538" width="11.7109375" style="1177" customWidth="1"/>
    <col min="11539" max="11539" width="1.85546875" style="1177" customWidth="1"/>
    <col min="11540" max="11540" width="11.42578125" style="1177"/>
    <col min="11541" max="11541" width="3.28515625" style="1177" customWidth="1"/>
    <col min="11542" max="11542" width="7.85546875" style="1177" customWidth="1"/>
    <col min="11543" max="11543" width="52.28515625" style="1177" customWidth="1"/>
    <col min="11544" max="11544" width="13.28515625" style="1177" customWidth="1"/>
    <col min="11545" max="11545" width="14.7109375" style="1177" customWidth="1"/>
    <col min="11546" max="11546" width="11" style="1177" customWidth="1"/>
    <col min="11547" max="11554" width="10.140625" style="1177" customWidth="1"/>
    <col min="11555" max="11555" width="12.42578125" style="1177" customWidth="1"/>
    <col min="11556" max="11776" width="11.42578125" style="1177"/>
    <col min="11777" max="11777" width="3.28515625" style="1177" customWidth="1"/>
    <col min="11778" max="11778" width="6.85546875" style="1177" customWidth="1"/>
    <col min="11779" max="11779" width="46.5703125" style="1177" customWidth="1"/>
    <col min="11780" max="11780" width="13.28515625" style="1177" customWidth="1"/>
    <col min="11781" max="11781" width="13" style="1177" customWidth="1"/>
    <col min="11782" max="11791" width="12.42578125" style="1177" customWidth="1"/>
    <col min="11792" max="11792" width="14.5703125" style="1177" customWidth="1"/>
    <col min="11793" max="11793" width="11.85546875" style="1177" customWidth="1"/>
    <col min="11794" max="11794" width="11.7109375" style="1177" customWidth="1"/>
    <col min="11795" max="11795" width="1.85546875" style="1177" customWidth="1"/>
    <col min="11796" max="11796" width="11.42578125" style="1177"/>
    <col min="11797" max="11797" width="3.28515625" style="1177" customWidth="1"/>
    <col min="11798" max="11798" width="7.85546875" style="1177" customWidth="1"/>
    <col min="11799" max="11799" width="52.28515625" style="1177" customWidth="1"/>
    <col min="11800" max="11800" width="13.28515625" style="1177" customWidth="1"/>
    <col min="11801" max="11801" width="14.7109375" style="1177" customWidth="1"/>
    <col min="11802" max="11802" width="11" style="1177" customWidth="1"/>
    <col min="11803" max="11810" width="10.140625" style="1177" customWidth="1"/>
    <col min="11811" max="11811" width="12.42578125" style="1177" customWidth="1"/>
    <col min="11812" max="12032" width="11.42578125" style="1177"/>
    <col min="12033" max="12033" width="3.28515625" style="1177" customWidth="1"/>
    <col min="12034" max="12034" width="6.85546875" style="1177" customWidth="1"/>
    <col min="12035" max="12035" width="46.5703125" style="1177" customWidth="1"/>
    <col min="12036" max="12036" width="13.28515625" style="1177" customWidth="1"/>
    <col min="12037" max="12037" width="13" style="1177" customWidth="1"/>
    <col min="12038" max="12047" width="12.42578125" style="1177" customWidth="1"/>
    <col min="12048" max="12048" width="14.5703125" style="1177" customWidth="1"/>
    <col min="12049" max="12049" width="11.85546875" style="1177" customWidth="1"/>
    <col min="12050" max="12050" width="11.7109375" style="1177" customWidth="1"/>
    <col min="12051" max="12051" width="1.85546875" style="1177" customWidth="1"/>
    <col min="12052" max="12052" width="11.42578125" style="1177"/>
    <col min="12053" max="12053" width="3.28515625" style="1177" customWidth="1"/>
    <col min="12054" max="12054" width="7.85546875" style="1177" customWidth="1"/>
    <col min="12055" max="12055" width="52.28515625" style="1177" customWidth="1"/>
    <col min="12056" max="12056" width="13.28515625" style="1177" customWidth="1"/>
    <col min="12057" max="12057" width="14.7109375" style="1177" customWidth="1"/>
    <col min="12058" max="12058" width="11" style="1177" customWidth="1"/>
    <col min="12059" max="12066" width="10.140625" style="1177" customWidth="1"/>
    <col min="12067" max="12067" width="12.42578125" style="1177" customWidth="1"/>
    <col min="12068" max="12288" width="11.42578125" style="1177"/>
    <col min="12289" max="12289" width="3.28515625" style="1177" customWidth="1"/>
    <col min="12290" max="12290" width="6.85546875" style="1177" customWidth="1"/>
    <col min="12291" max="12291" width="46.5703125" style="1177" customWidth="1"/>
    <col min="12292" max="12292" width="13.28515625" style="1177" customWidth="1"/>
    <col min="12293" max="12293" width="13" style="1177" customWidth="1"/>
    <col min="12294" max="12303" width="12.42578125" style="1177" customWidth="1"/>
    <col min="12304" max="12304" width="14.5703125" style="1177" customWidth="1"/>
    <col min="12305" max="12305" width="11.85546875" style="1177" customWidth="1"/>
    <col min="12306" max="12306" width="11.7109375" style="1177" customWidth="1"/>
    <col min="12307" max="12307" width="1.85546875" style="1177" customWidth="1"/>
    <col min="12308" max="12308" width="11.42578125" style="1177"/>
    <col min="12309" max="12309" width="3.28515625" style="1177" customWidth="1"/>
    <col min="12310" max="12310" width="7.85546875" style="1177" customWidth="1"/>
    <col min="12311" max="12311" width="52.28515625" style="1177" customWidth="1"/>
    <col min="12312" max="12312" width="13.28515625" style="1177" customWidth="1"/>
    <col min="12313" max="12313" width="14.7109375" style="1177" customWidth="1"/>
    <col min="12314" max="12314" width="11" style="1177" customWidth="1"/>
    <col min="12315" max="12322" width="10.140625" style="1177" customWidth="1"/>
    <col min="12323" max="12323" width="12.42578125" style="1177" customWidth="1"/>
    <col min="12324" max="12544" width="11.42578125" style="1177"/>
    <col min="12545" max="12545" width="3.28515625" style="1177" customWidth="1"/>
    <col min="12546" max="12546" width="6.85546875" style="1177" customWidth="1"/>
    <col min="12547" max="12547" width="46.5703125" style="1177" customWidth="1"/>
    <col min="12548" max="12548" width="13.28515625" style="1177" customWidth="1"/>
    <col min="12549" max="12549" width="13" style="1177" customWidth="1"/>
    <col min="12550" max="12559" width="12.42578125" style="1177" customWidth="1"/>
    <col min="12560" max="12560" width="14.5703125" style="1177" customWidth="1"/>
    <col min="12561" max="12561" width="11.85546875" style="1177" customWidth="1"/>
    <col min="12562" max="12562" width="11.7109375" style="1177" customWidth="1"/>
    <col min="12563" max="12563" width="1.85546875" style="1177" customWidth="1"/>
    <col min="12564" max="12564" width="11.42578125" style="1177"/>
    <col min="12565" max="12565" width="3.28515625" style="1177" customWidth="1"/>
    <col min="12566" max="12566" width="7.85546875" style="1177" customWidth="1"/>
    <col min="12567" max="12567" width="52.28515625" style="1177" customWidth="1"/>
    <col min="12568" max="12568" width="13.28515625" style="1177" customWidth="1"/>
    <col min="12569" max="12569" width="14.7109375" style="1177" customWidth="1"/>
    <col min="12570" max="12570" width="11" style="1177" customWidth="1"/>
    <col min="12571" max="12578" width="10.140625" style="1177" customWidth="1"/>
    <col min="12579" max="12579" width="12.42578125" style="1177" customWidth="1"/>
    <col min="12580" max="12800" width="11.42578125" style="1177"/>
    <col min="12801" max="12801" width="3.28515625" style="1177" customWidth="1"/>
    <col min="12802" max="12802" width="6.85546875" style="1177" customWidth="1"/>
    <col min="12803" max="12803" width="46.5703125" style="1177" customWidth="1"/>
    <col min="12804" max="12804" width="13.28515625" style="1177" customWidth="1"/>
    <col min="12805" max="12805" width="13" style="1177" customWidth="1"/>
    <col min="12806" max="12815" width="12.42578125" style="1177" customWidth="1"/>
    <col min="12816" max="12816" width="14.5703125" style="1177" customWidth="1"/>
    <col min="12817" max="12817" width="11.85546875" style="1177" customWidth="1"/>
    <col min="12818" max="12818" width="11.7109375" style="1177" customWidth="1"/>
    <col min="12819" max="12819" width="1.85546875" style="1177" customWidth="1"/>
    <col min="12820" max="12820" width="11.42578125" style="1177"/>
    <col min="12821" max="12821" width="3.28515625" style="1177" customWidth="1"/>
    <col min="12822" max="12822" width="7.85546875" style="1177" customWidth="1"/>
    <col min="12823" max="12823" width="52.28515625" style="1177" customWidth="1"/>
    <col min="12824" max="12824" width="13.28515625" style="1177" customWidth="1"/>
    <col min="12825" max="12825" width="14.7109375" style="1177" customWidth="1"/>
    <col min="12826" max="12826" width="11" style="1177" customWidth="1"/>
    <col min="12827" max="12834" width="10.140625" style="1177" customWidth="1"/>
    <col min="12835" max="12835" width="12.42578125" style="1177" customWidth="1"/>
    <col min="12836" max="13056" width="11.42578125" style="1177"/>
    <col min="13057" max="13057" width="3.28515625" style="1177" customWidth="1"/>
    <col min="13058" max="13058" width="6.85546875" style="1177" customWidth="1"/>
    <col min="13059" max="13059" width="46.5703125" style="1177" customWidth="1"/>
    <col min="13060" max="13060" width="13.28515625" style="1177" customWidth="1"/>
    <col min="13061" max="13061" width="13" style="1177" customWidth="1"/>
    <col min="13062" max="13071" width="12.42578125" style="1177" customWidth="1"/>
    <col min="13072" max="13072" width="14.5703125" style="1177" customWidth="1"/>
    <col min="13073" max="13073" width="11.85546875" style="1177" customWidth="1"/>
    <col min="13074" max="13074" width="11.7109375" style="1177" customWidth="1"/>
    <col min="13075" max="13075" width="1.85546875" style="1177" customWidth="1"/>
    <col min="13076" max="13076" width="11.42578125" style="1177"/>
    <col min="13077" max="13077" width="3.28515625" style="1177" customWidth="1"/>
    <col min="13078" max="13078" width="7.85546875" style="1177" customWidth="1"/>
    <col min="13079" max="13079" width="52.28515625" style="1177" customWidth="1"/>
    <col min="13080" max="13080" width="13.28515625" style="1177" customWidth="1"/>
    <col min="13081" max="13081" width="14.7109375" style="1177" customWidth="1"/>
    <col min="13082" max="13082" width="11" style="1177" customWidth="1"/>
    <col min="13083" max="13090" width="10.140625" style="1177" customWidth="1"/>
    <col min="13091" max="13091" width="12.42578125" style="1177" customWidth="1"/>
    <col min="13092" max="13312" width="11.42578125" style="1177"/>
    <col min="13313" max="13313" width="3.28515625" style="1177" customWidth="1"/>
    <col min="13314" max="13314" width="6.85546875" style="1177" customWidth="1"/>
    <col min="13315" max="13315" width="46.5703125" style="1177" customWidth="1"/>
    <col min="13316" max="13316" width="13.28515625" style="1177" customWidth="1"/>
    <col min="13317" max="13317" width="13" style="1177" customWidth="1"/>
    <col min="13318" max="13327" width="12.42578125" style="1177" customWidth="1"/>
    <col min="13328" max="13328" width="14.5703125" style="1177" customWidth="1"/>
    <col min="13329" max="13329" width="11.85546875" style="1177" customWidth="1"/>
    <col min="13330" max="13330" width="11.7109375" style="1177" customWidth="1"/>
    <col min="13331" max="13331" width="1.85546875" style="1177" customWidth="1"/>
    <col min="13332" max="13332" width="11.42578125" style="1177"/>
    <col min="13333" max="13333" width="3.28515625" style="1177" customWidth="1"/>
    <col min="13334" max="13334" width="7.85546875" style="1177" customWidth="1"/>
    <col min="13335" max="13335" width="52.28515625" style="1177" customWidth="1"/>
    <col min="13336" max="13336" width="13.28515625" style="1177" customWidth="1"/>
    <col min="13337" max="13337" width="14.7109375" style="1177" customWidth="1"/>
    <col min="13338" max="13338" width="11" style="1177" customWidth="1"/>
    <col min="13339" max="13346" width="10.140625" style="1177" customWidth="1"/>
    <col min="13347" max="13347" width="12.42578125" style="1177" customWidth="1"/>
    <col min="13348" max="13568" width="11.42578125" style="1177"/>
    <col min="13569" max="13569" width="3.28515625" style="1177" customWidth="1"/>
    <col min="13570" max="13570" width="6.85546875" style="1177" customWidth="1"/>
    <col min="13571" max="13571" width="46.5703125" style="1177" customWidth="1"/>
    <col min="13572" max="13572" width="13.28515625" style="1177" customWidth="1"/>
    <col min="13573" max="13573" width="13" style="1177" customWidth="1"/>
    <col min="13574" max="13583" width="12.42578125" style="1177" customWidth="1"/>
    <col min="13584" max="13584" width="14.5703125" style="1177" customWidth="1"/>
    <col min="13585" max="13585" width="11.85546875" style="1177" customWidth="1"/>
    <col min="13586" max="13586" width="11.7109375" style="1177" customWidth="1"/>
    <col min="13587" max="13587" width="1.85546875" style="1177" customWidth="1"/>
    <col min="13588" max="13588" width="11.42578125" style="1177"/>
    <col min="13589" max="13589" width="3.28515625" style="1177" customWidth="1"/>
    <col min="13590" max="13590" width="7.85546875" style="1177" customWidth="1"/>
    <col min="13591" max="13591" width="52.28515625" style="1177" customWidth="1"/>
    <col min="13592" max="13592" width="13.28515625" style="1177" customWidth="1"/>
    <col min="13593" max="13593" width="14.7109375" style="1177" customWidth="1"/>
    <col min="13594" max="13594" width="11" style="1177" customWidth="1"/>
    <col min="13595" max="13602" width="10.140625" style="1177" customWidth="1"/>
    <col min="13603" max="13603" width="12.42578125" style="1177" customWidth="1"/>
    <col min="13604" max="13824" width="11.42578125" style="1177"/>
    <col min="13825" max="13825" width="3.28515625" style="1177" customWidth="1"/>
    <col min="13826" max="13826" width="6.85546875" style="1177" customWidth="1"/>
    <col min="13827" max="13827" width="46.5703125" style="1177" customWidth="1"/>
    <col min="13828" max="13828" width="13.28515625" style="1177" customWidth="1"/>
    <col min="13829" max="13829" width="13" style="1177" customWidth="1"/>
    <col min="13830" max="13839" width="12.42578125" style="1177" customWidth="1"/>
    <col min="13840" max="13840" width="14.5703125" style="1177" customWidth="1"/>
    <col min="13841" max="13841" width="11.85546875" style="1177" customWidth="1"/>
    <col min="13842" max="13842" width="11.7109375" style="1177" customWidth="1"/>
    <col min="13843" max="13843" width="1.85546875" style="1177" customWidth="1"/>
    <col min="13844" max="13844" width="11.42578125" style="1177"/>
    <col min="13845" max="13845" width="3.28515625" style="1177" customWidth="1"/>
    <col min="13846" max="13846" width="7.85546875" style="1177" customWidth="1"/>
    <col min="13847" max="13847" width="52.28515625" style="1177" customWidth="1"/>
    <col min="13848" max="13848" width="13.28515625" style="1177" customWidth="1"/>
    <col min="13849" max="13849" width="14.7109375" style="1177" customWidth="1"/>
    <col min="13850" max="13850" width="11" style="1177" customWidth="1"/>
    <col min="13851" max="13858" width="10.140625" style="1177" customWidth="1"/>
    <col min="13859" max="13859" width="12.42578125" style="1177" customWidth="1"/>
    <col min="13860" max="14080" width="11.42578125" style="1177"/>
    <col min="14081" max="14081" width="3.28515625" style="1177" customWidth="1"/>
    <col min="14082" max="14082" width="6.85546875" style="1177" customWidth="1"/>
    <col min="14083" max="14083" width="46.5703125" style="1177" customWidth="1"/>
    <col min="14084" max="14084" width="13.28515625" style="1177" customWidth="1"/>
    <col min="14085" max="14085" width="13" style="1177" customWidth="1"/>
    <col min="14086" max="14095" width="12.42578125" style="1177" customWidth="1"/>
    <col min="14096" max="14096" width="14.5703125" style="1177" customWidth="1"/>
    <col min="14097" max="14097" width="11.85546875" style="1177" customWidth="1"/>
    <col min="14098" max="14098" width="11.7109375" style="1177" customWidth="1"/>
    <col min="14099" max="14099" width="1.85546875" style="1177" customWidth="1"/>
    <col min="14100" max="14100" width="11.42578125" style="1177"/>
    <col min="14101" max="14101" width="3.28515625" style="1177" customWidth="1"/>
    <col min="14102" max="14102" width="7.85546875" style="1177" customWidth="1"/>
    <col min="14103" max="14103" width="52.28515625" style="1177" customWidth="1"/>
    <col min="14104" max="14104" width="13.28515625" style="1177" customWidth="1"/>
    <col min="14105" max="14105" width="14.7109375" style="1177" customWidth="1"/>
    <col min="14106" max="14106" width="11" style="1177" customWidth="1"/>
    <col min="14107" max="14114" width="10.140625" style="1177" customWidth="1"/>
    <col min="14115" max="14115" width="12.42578125" style="1177" customWidth="1"/>
    <col min="14116" max="14336" width="11.42578125" style="1177"/>
    <col min="14337" max="14337" width="3.28515625" style="1177" customWidth="1"/>
    <col min="14338" max="14338" width="6.85546875" style="1177" customWidth="1"/>
    <col min="14339" max="14339" width="46.5703125" style="1177" customWidth="1"/>
    <col min="14340" max="14340" width="13.28515625" style="1177" customWidth="1"/>
    <col min="14341" max="14341" width="13" style="1177" customWidth="1"/>
    <col min="14342" max="14351" width="12.42578125" style="1177" customWidth="1"/>
    <col min="14352" max="14352" width="14.5703125" style="1177" customWidth="1"/>
    <col min="14353" max="14353" width="11.85546875" style="1177" customWidth="1"/>
    <col min="14354" max="14354" width="11.7109375" style="1177" customWidth="1"/>
    <col min="14355" max="14355" width="1.85546875" style="1177" customWidth="1"/>
    <col min="14356" max="14356" width="11.42578125" style="1177"/>
    <col min="14357" max="14357" width="3.28515625" style="1177" customWidth="1"/>
    <col min="14358" max="14358" width="7.85546875" style="1177" customWidth="1"/>
    <col min="14359" max="14359" width="52.28515625" style="1177" customWidth="1"/>
    <col min="14360" max="14360" width="13.28515625" style="1177" customWidth="1"/>
    <col min="14361" max="14361" width="14.7109375" style="1177" customWidth="1"/>
    <col min="14362" max="14362" width="11" style="1177" customWidth="1"/>
    <col min="14363" max="14370" width="10.140625" style="1177" customWidth="1"/>
    <col min="14371" max="14371" width="12.42578125" style="1177" customWidth="1"/>
    <col min="14372" max="14592" width="11.42578125" style="1177"/>
    <col min="14593" max="14593" width="3.28515625" style="1177" customWidth="1"/>
    <col min="14594" max="14594" width="6.85546875" style="1177" customWidth="1"/>
    <col min="14595" max="14595" width="46.5703125" style="1177" customWidth="1"/>
    <col min="14596" max="14596" width="13.28515625" style="1177" customWidth="1"/>
    <col min="14597" max="14597" width="13" style="1177" customWidth="1"/>
    <col min="14598" max="14607" width="12.42578125" style="1177" customWidth="1"/>
    <col min="14608" max="14608" width="14.5703125" style="1177" customWidth="1"/>
    <col min="14609" max="14609" width="11.85546875" style="1177" customWidth="1"/>
    <col min="14610" max="14610" width="11.7109375" style="1177" customWidth="1"/>
    <col min="14611" max="14611" width="1.85546875" style="1177" customWidth="1"/>
    <col min="14612" max="14612" width="11.42578125" style="1177"/>
    <col min="14613" max="14613" width="3.28515625" style="1177" customWidth="1"/>
    <col min="14614" max="14614" width="7.85546875" style="1177" customWidth="1"/>
    <col min="14615" max="14615" width="52.28515625" style="1177" customWidth="1"/>
    <col min="14616" max="14616" width="13.28515625" style="1177" customWidth="1"/>
    <col min="14617" max="14617" width="14.7109375" style="1177" customWidth="1"/>
    <col min="14618" max="14618" width="11" style="1177" customWidth="1"/>
    <col min="14619" max="14626" width="10.140625" style="1177" customWidth="1"/>
    <col min="14627" max="14627" width="12.42578125" style="1177" customWidth="1"/>
    <col min="14628" max="14848" width="11.42578125" style="1177"/>
    <col min="14849" max="14849" width="3.28515625" style="1177" customWidth="1"/>
    <col min="14850" max="14850" width="6.85546875" style="1177" customWidth="1"/>
    <col min="14851" max="14851" width="46.5703125" style="1177" customWidth="1"/>
    <col min="14852" max="14852" width="13.28515625" style="1177" customWidth="1"/>
    <col min="14853" max="14853" width="13" style="1177" customWidth="1"/>
    <col min="14854" max="14863" width="12.42578125" style="1177" customWidth="1"/>
    <col min="14864" max="14864" width="14.5703125" style="1177" customWidth="1"/>
    <col min="14865" max="14865" width="11.85546875" style="1177" customWidth="1"/>
    <col min="14866" max="14866" width="11.7109375" style="1177" customWidth="1"/>
    <col min="14867" max="14867" width="1.85546875" style="1177" customWidth="1"/>
    <col min="14868" max="14868" width="11.42578125" style="1177"/>
    <col min="14869" max="14869" width="3.28515625" style="1177" customWidth="1"/>
    <col min="14870" max="14870" width="7.85546875" style="1177" customWidth="1"/>
    <col min="14871" max="14871" width="52.28515625" style="1177" customWidth="1"/>
    <col min="14872" max="14872" width="13.28515625" style="1177" customWidth="1"/>
    <col min="14873" max="14873" width="14.7109375" style="1177" customWidth="1"/>
    <col min="14874" max="14874" width="11" style="1177" customWidth="1"/>
    <col min="14875" max="14882" width="10.140625" style="1177" customWidth="1"/>
    <col min="14883" max="14883" width="12.42578125" style="1177" customWidth="1"/>
    <col min="14884" max="15104" width="11.42578125" style="1177"/>
    <col min="15105" max="15105" width="3.28515625" style="1177" customWidth="1"/>
    <col min="15106" max="15106" width="6.85546875" style="1177" customWidth="1"/>
    <col min="15107" max="15107" width="46.5703125" style="1177" customWidth="1"/>
    <col min="15108" max="15108" width="13.28515625" style="1177" customWidth="1"/>
    <col min="15109" max="15109" width="13" style="1177" customWidth="1"/>
    <col min="15110" max="15119" width="12.42578125" style="1177" customWidth="1"/>
    <col min="15120" max="15120" width="14.5703125" style="1177" customWidth="1"/>
    <col min="15121" max="15121" width="11.85546875" style="1177" customWidth="1"/>
    <col min="15122" max="15122" width="11.7109375" style="1177" customWidth="1"/>
    <col min="15123" max="15123" width="1.85546875" style="1177" customWidth="1"/>
    <col min="15124" max="15124" width="11.42578125" style="1177"/>
    <col min="15125" max="15125" width="3.28515625" style="1177" customWidth="1"/>
    <col min="15126" max="15126" width="7.85546875" style="1177" customWidth="1"/>
    <col min="15127" max="15127" width="52.28515625" style="1177" customWidth="1"/>
    <col min="15128" max="15128" width="13.28515625" style="1177" customWidth="1"/>
    <col min="15129" max="15129" width="14.7109375" style="1177" customWidth="1"/>
    <col min="15130" max="15130" width="11" style="1177" customWidth="1"/>
    <col min="15131" max="15138" width="10.140625" style="1177" customWidth="1"/>
    <col min="15139" max="15139" width="12.42578125" style="1177" customWidth="1"/>
    <col min="15140" max="15360" width="11.42578125" style="1177"/>
    <col min="15361" max="15361" width="3.28515625" style="1177" customWidth="1"/>
    <col min="15362" max="15362" width="6.85546875" style="1177" customWidth="1"/>
    <col min="15363" max="15363" width="46.5703125" style="1177" customWidth="1"/>
    <col min="15364" max="15364" width="13.28515625" style="1177" customWidth="1"/>
    <col min="15365" max="15365" width="13" style="1177" customWidth="1"/>
    <col min="15366" max="15375" width="12.42578125" style="1177" customWidth="1"/>
    <col min="15376" max="15376" width="14.5703125" style="1177" customWidth="1"/>
    <col min="15377" max="15377" width="11.85546875" style="1177" customWidth="1"/>
    <col min="15378" max="15378" width="11.7109375" style="1177" customWidth="1"/>
    <col min="15379" max="15379" width="1.85546875" style="1177" customWidth="1"/>
    <col min="15380" max="15380" width="11.42578125" style="1177"/>
    <col min="15381" max="15381" width="3.28515625" style="1177" customWidth="1"/>
    <col min="15382" max="15382" width="7.85546875" style="1177" customWidth="1"/>
    <col min="15383" max="15383" width="52.28515625" style="1177" customWidth="1"/>
    <col min="15384" max="15384" width="13.28515625" style="1177" customWidth="1"/>
    <col min="15385" max="15385" width="14.7109375" style="1177" customWidth="1"/>
    <col min="15386" max="15386" width="11" style="1177" customWidth="1"/>
    <col min="15387" max="15394" width="10.140625" style="1177" customWidth="1"/>
    <col min="15395" max="15395" width="12.42578125" style="1177" customWidth="1"/>
    <col min="15396" max="15616" width="11.42578125" style="1177"/>
    <col min="15617" max="15617" width="3.28515625" style="1177" customWidth="1"/>
    <col min="15618" max="15618" width="6.85546875" style="1177" customWidth="1"/>
    <col min="15619" max="15619" width="46.5703125" style="1177" customWidth="1"/>
    <col min="15620" max="15620" width="13.28515625" style="1177" customWidth="1"/>
    <col min="15621" max="15621" width="13" style="1177" customWidth="1"/>
    <col min="15622" max="15631" width="12.42578125" style="1177" customWidth="1"/>
    <col min="15632" max="15632" width="14.5703125" style="1177" customWidth="1"/>
    <col min="15633" max="15633" width="11.85546875" style="1177" customWidth="1"/>
    <col min="15634" max="15634" width="11.7109375" style="1177" customWidth="1"/>
    <col min="15635" max="15635" width="1.85546875" style="1177" customWidth="1"/>
    <col min="15636" max="15636" width="11.42578125" style="1177"/>
    <col min="15637" max="15637" width="3.28515625" style="1177" customWidth="1"/>
    <col min="15638" max="15638" width="7.85546875" style="1177" customWidth="1"/>
    <col min="15639" max="15639" width="52.28515625" style="1177" customWidth="1"/>
    <col min="15640" max="15640" width="13.28515625" style="1177" customWidth="1"/>
    <col min="15641" max="15641" width="14.7109375" style="1177" customWidth="1"/>
    <col min="15642" max="15642" width="11" style="1177" customWidth="1"/>
    <col min="15643" max="15650" width="10.140625" style="1177" customWidth="1"/>
    <col min="15651" max="15651" width="12.42578125" style="1177" customWidth="1"/>
    <col min="15652" max="15872" width="11.42578125" style="1177"/>
    <col min="15873" max="15873" width="3.28515625" style="1177" customWidth="1"/>
    <col min="15874" max="15874" width="6.85546875" style="1177" customWidth="1"/>
    <col min="15875" max="15875" width="46.5703125" style="1177" customWidth="1"/>
    <col min="15876" max="15876" width="13.28515625" style="1177" customWidth="1"/>
    <col min="15877" max="15877" width="13" style="1177" customWidth="1"/>
    <col min="15878" max="15887" width="12.42578125" style="1177" customWidth="1"/>
    <col min="15888" max="15888" width="14.5703125" style="1177" customWidth="1"/>
    <col min="15889" max="15889" width="11.85546875" style="1177" customWidth="1"/>
    <col min="15890" max="15890" width="11.7109375" style="1177" customWidth="1"/>
    <col min="15891" max="15891" width="1.85546875" style="1177" customWidth="1"/>
    <col min="15892" max="15892" width="11.42578125" style="1177"/>
    <col min="15893" max="15893" width="3.28515625" style="1177" customWidth="1"/>
    <col min="15894" max="15894" width="7.85546875" style="1177" customWidth="1"/>
    <col min="15895" max="15895" width="52.28515625" style="1177" customWidth="1"/>
    <col min="15896" max="15896" width="13.28515625" style="1177" customWidth="1"/>
    <col min="15897" max="15897" width="14.7109375" style="1177" customWidth="1"/>
    <col min="15898" max="15898" width="11" style="1177" customWidth="1"/>
    <col min="15899" max="15906" width="10.140625" style="1177" customWidth="1"/>
    <col min="15907" max="15907" width="12.42578125" style="1177" customWidth="1"/>
    <col min="15908" max="16128" width="11.42578125" style="1177"/>
    <col min="16129" max="16129" width="3.28515625" style="1177" customWidth="1"/>
    <col min="16130" max="16130" width="6.85546875" style="1177" customWidth="1"/>
    <col min="16131" max="16131" width="46.5703125" style="1177" customWidth="1"/>
    <col min="16132" max="16132" width="13.28515625" style="1177" customWidth="1"/>
    <col min="16133" max="16133" width="13" style="1177" customWidth="1"/>
    <col min="16134" max="16143" width="12.42578125" style="1177" customWidth="1"/>
    <col min="16144" max="16144" width="14.5703125" style="1177" customWidth="1"/>
    <col min="16145" max="16145" width="11.85546875" style="1177" customWidth="1"/>
    <col min="16146" max="16146" width="11.7109375" style="1177" customWidth="1"/>
    <col min="16147" max="16147" width="1.85546875" style="1177" customWidth="1"/>
    <col min="16148" max="16148" width="11.42578125" style="1177"/>
    <col min="16149" max="16149" width="3.28515625" style="1177" customWidth="1"/>
    <col min="16150" max="16150" width="7.85546875" style="1177" customWidth="1"/>
    <col min="16151" max="16151" width="52.28515625" style="1177" customWidth="1"/>
    <col min="16152" max="16152" width="13.28515625" style="1177" customWidth="1"/>
    <col min="16153" max="16153" width="14.7109375" style="1177" customWidth="1"/>
    <col min="16154" max="16154" width="11" style="1177" customWidth="1"/>
    <col min="16155" max="16162" width="10.140625" style="1177" customWidth="1"/>
    <col min="16163" max="16163" width="12.42578125" style="1177" customWidth="1"/>
    <col min="16164" max="16384" width="11.42578125" style="1177"/>
  </cols>
  <sheetData>
    <row r="1" spans="1:35" ht="13.5" thickBot="1">
      <c r="A1" s="1176"/>
      <c r="B1" s="1485">
        <f t="shared" ref="B1:AI1" ca="1" si="0">CELL("largeur",B1)</f>
        <v>6</v>
      </c>
      <c r="C1" s="1485">
        <f t="shared" ca="1" si="0"/>
        <v>46</v>
      </c>
      <c r="D1" s="1485">
        <f t="shared" ca="1" si="0"/>
        <v>13</v>
      </c>
      <c r="E1" s="1485">
        <f t="shared" ca="1" si="0"/>
        <v>12</v>
      </c>
      <c r="F1" s="1485">
        <f t="shared" ca="1" si="0"/>
        <v>12</v>
      </c>
      <c r="G1" s="1485">
        <f t="shared" ca="1" si="0"/>
        <v>12</v>
      </c>
      <c r="H1" s="1485">
        <f t="shared" ca="1" si="0"/>
        <v>12</v>
      </c>
      <c r="I1" s="1485">
        <f t="shared" ca="1" si="0"/>
        <v>12</v>
      </c>
      <c r="J1" s="1485">
        <f t="shared" ca="1" si="0"/>
        <v>12</v>
      </c>
      <c r="K1" s="1485">
        <f t="shared" ca="1" si="0"/>
        <v>12</v>
      </c>
      <c r="L1" s="1485">
        <f t="shared" ca="1" si="0"/>
        <v>12</v>
      </c>
      <c r="M1" s="1485">
        <f t="shared" ca="1" si="0"/>
        <v>12</v>
      </c>
      <c r="N1" s="1485">
        <f t="shared" ca="1" si="0"/>
        <v>12</v>
      </c>
      <c r="O1" s="1485">
        <f t="shared" ca="1" si="0"/>
        <v>12</v>
      </c>
      <c r="P1" s="1485">
        <f t="shared" ca="1" si="0"/>
        <v>14</v>
      </c>
      <c r="Q1" s="1485">
        <f t="shared" ca="1" si="0"/>
        <v>11</v>
      </c>
      <c r="R1" s="1485">
        <f t="shared" ca="1" si="0"/>
        <v>11</v>
      </c>
      <c r="S1" s="1486">
        <f t="shared" ca="1" si="0"/>
        <v>1</v>
      </c>
      <c r="T1" s="1486">
        <f t="shared" ca="1" si="0"/>
        <v>11</v>
      </c>
      <c r="U1" s="1485">
        <f t="shared" ca="1" si="0"/>
        <v>3</v>
      </c>
      <c r="V1" s="1485">
        <f t="shared" ca="1" si="0"/>
        <v>7</v>
      </c>
      <c r="W1" s="1485">
        <f t="shared" ca="1" si="0"/>
        <v>52</v>
      </c>
      <c r="X1" s="1485">
        <f t="shared" ca="1" si="0"/>
        <v>13</v>
      </c>
      <c r="Y1" s="1485">
        <f t="shared" ca="1" si="0"/>
        <v>14</v>
      </c>
      <c r="Z1" s="1485">
        <f t="shared" ca="1" si="0"/>
        <v>10</v>
      </c>
      <c r="AA1" s="1485">
        <f t="shared" ca="1" si="0"/>
        <v>9</v>
      </c>
      <c r="AB1" s="1485">
        <f t="shared" ca="1" si="0"/>
        <v>9</v>
      </c>
      <c r="AC1" s="1485">
        <f t="shared" ca="1" si="0"/>
        <v>9</v>
      </c>
      <c r="AD1" s="1485">
        <f t="shared" ca="1" si="0"/>
        <v>9</v>
      </c>
      <c r="AE1" s="1485">
        <f t="shared" ca="1" si="0"/>
        <v>9</v>
      </c>
      <c r="AF1" s="1485">
        <f t="shared" ca="1" si="0"/>
        <v>9</v>
      </c>
      <c r="AG1" s="1485">
        <f t="shared" ca="1" si="0"/>
        <v>9</v>
      </c>
      <c r="AH1" s="1485">
        <f t="shared" ca="1" si="0"/>
        <v>9</v>
      </c>
      <c r="AI1" s="1485">
        <f t="shared" ca="1" si="0"/>
        <v>12</v>
      </c>
    </row>
    <row r="2" spans="1:35" ht="29.25" customHeight="1">
      <c r="A2" s="1181"/>
      <c r="B2" s="1182"/>
      <c r="C2" s="1183" t="str">
        <f>W2</f>
        <v>FF.8.A.Restauration, mis à jour le 13/08/2020 </v>
      </c>
      <c r="D2" s="1184"/>
      <c r="E2" s="1184"/>
      <c r="F2" s="1184"/>
      <c r="G2" s="1184"/>
      <c r="H2" s="1509"/>
      <c r="I2" s="1510" t="s">
        <v>107</v>
      </c>
      <c r="J2" s="1511"/>
      <c r="K2" s="1184"/>
      <c r="L2" s="1184"/>
      <c r="M2" s="3437" t="s">
        <v>103</v>
      </c>
      <c r="N2" s="3438"/>
      <c r="O2" s="3439"/>
      <c r="P2" s="3440" t="s">
        <v>104</v>
      </c>
      <c r="Q2" s="3441"/>
      <c r="R2" s="3442">
        <f>P3</f>
        <v>7</v>
      </c>
      <c r="U2" s="1181"/>
      <c r="V2" s="1182"/>
      <c r="W2" s="1183" t="s">
        <v>2868</v>
      </c>
      <c r="X2" s="1184"/>
      <c r="Y2" s="1184"/>
      <c r="Z2" s="3473" t="s">
        <v>105</v>
      </c>
      <c r="AA2" s="3473"/>
      <c r="AB2" s="3473"/>
      <c r="AC2" s="3473"/>
      <c r="AD2" s="3473"/>
      <c r="AE2" s="3473"/>
      <c r="AF2" s="3473"/>
      <c r="AG2" s="3473"/>
      <c r="AH2" s="3440" t="s">
        <v>104</v>
      </c>
      <c r="AI2" s="3474"/>
    </row>
    <row r="3" spans="1:35" ht="42.75" customHeight="1">
      <c r="A3" s="1186"/>
      <c r="B3" s="1187"/>
      <c r="C3" s="3444" t="str">
        <f>W3</f>
        <v>Modèle 8.A - NOM DU PLAT</v>
      </c>
      <c r="D3" s="3444"/>
      <c r="E3" s="3444"/>
      <c r="F3" s="3444"/>
      <c r="G3" s="3444"/>
      <c r="H3" s="3444"/>
      <c r="I3" s="3444"/>
      <c r="J3" s="3444"/>
      <c r="K3" s="3444"/>
      <c r="L3" s="3445"/>
      <c r="M3" s="3475">
        <f ca="1">NOW()</f>
        <v>44545.461550462962</v>
      </c>
      <c r="N3" s="3476"/>
      <c r="O3" s="3477"/>
      <c r="P3" s="3449">
        <f>AH3</f>
        <v>7</v>
      </c>
      <c r="Q3" s="3450"/>
      <c r="R3" s="3443"/>
      <c r="U3" s="1186"/>
      <c r="V3" s="1188" t="s">
        <v>22</v>
      </c>
      <c r="W3" s="3478" t="s">
        <v>2867</v>
      </c>
      <c r="X3" s="3478"/>
      <c r="Y3" s="3478"/>
      <c r="Z3" s="3478"/>
      <c r="AA3" s="3478"/>
      <c r="AB3" s="3478"/>
      <c r="AC3" s="3478"/>
      <c r="AD3" s="3478"/>
      <c r="AE3" s="3478"/>
      <c r="AF3" s="3478"/>
      <c r="AG3" s="3478"/>
      <c r="AH3" s="3479">
        <v>7</v>
      </c>
      <c r="AI3" s="3480"/>
    </row>
    <row r="4" spans="1:35" ht="33.75" customHeight="1">
      <c r="A4" s="1189"/>
      <c r="B4" s="1190"/>
      <c r="C4" s="1191" t="str">
        <f ca="1">MID(CELL("filename",C4),FIND("[",CELL("filename",C4)),300)</f>
        <v>[ff-8-restauration-Christian.Frechede.xlsx]Modèle 8.A-Frechede</v>
      </c>
      <c r="D4" s="1192"/>
      <c r="E4" s="3481" t="s">
        <v>106</v>
      </c>
      <c r="F4" s="3481"/>
      <c r="G4" s="3481"/>
      <c r="H4" s="3481"/>
      <c r="I4" s="3481"/>
      <c r="J4" s="1193"/>
      <c r="K4" s="1194"/>
      <c r="L4" s="1195"/>
      <c r="M4" s="3454">
        <f ca="1">NOW()</f>
        <v>44545.461550462962</v>
      </c>
      <c r="N4" s="3447"/>
      <c r="O4" s="3448"/>
      <c r="P4" s="3449"/>
      <c r="Q4" s="3449"/>
      <c r="R4" s="3421" t="str">
        <f>C3</f>
        <v>Modèle 8.A - NOM DU PLAT</v>
      </c>
      <c r="U4" s="1189"/>
      <c r="V4" s="1190"/>
      <c r="W4" s="1191" t="str">
        <f ca="1">MID(CELL("filename",W4),FIND("[",CELL("filename",W4)),300)</f>
        <v>[ff-8-restauration-Christian.Frechede.xlsx]Modèle 8.A-Frechede</v>
      </c>
      <c r="X4" s="1192"/>
      <c r="Y4" s="1196"/>
      <c r="Z4" s="3451" t="s">
        <v>108</v>
      </c>
      <c r="AA4" s="3451"/>
      <c r="AB4" s="3451"/>
      <c r="AC4" s="3451"/>
      <c r="AD4" s="3451"/>
      <c r="AE4" s="3451"/>
      <c r="AF4" s="3451"/>
      <c r="AG4" s="3451"/>
      <c r="AH4" s="3479"/>
      <c r="AI4" s="3480"/>
    </row>
    <row r="5" spans="1:35" ht="40.5" customHeight="1">
      <c r="A5" s="1203"/>
      <c r="B5" s="1204"/>
      <c r="C5" s="1205" t="s">
        <v>109</v>
      </c>
      <c r="D5" s="1206" t="s">
        <v>78</v>
      </c>
      <c r="E5" s="3482" t="str">
        <f>Z5</f>
        <v>A</v>
      </c>
      <c r="F5" s="3483"/>
      <c r="G5" s="3482" t="str">
        <f>AB5</f>
        <v>B</v>
      </c>
      <c r="H5" s="3483"/>
      <c r="I5" s="3482" t="str">
        <f>AD5</f>
        <v>C</v>
      </c>
      <c r="J5" s="3483"/>
      <c r="K5" s="3482" t="str">
        <f>AF5</f>
        <v>D</v>
      </c>
      <c r="L5" s="3483"/>
      <c r="M5" s="3482" t="str">
        <f>AH5</f>
        <v>E</v>
      </c>
      <c r="N5" s="3484"/>
      <c r="O5" s="3485" t="s">
        <v>110</v>
      </c>
      <c r="P5" s="3486"/>
      <c r="Q5" s="3487"/>
      <c r="R5" s="3421"/>
      <c r="U5" s="1203"/>
      <c r="V5" s="1487"/>
      <c r="W5" s="1488" t="s">
        <v>77</v>
      </c>
      <c r="X5" s="1489" t="s">
        <v>78</v>
      </c>
      <c r="Y5" s="1490" t="s">
        <v>79</v>
      </c>
      <c r="Z5" s="3488" t="s">
        <v>99</v>
      </c>
      <c r="AA5" s="3489"/>
      <c r="AB5" s="3488" t="s">
        <v>100</v>
      </c>
      <c r="AC5" s="3489"/>
      <c r="AD5" s="3460" t="s">
        <v>101</v>
      </c>
      <c r="AE5" s="3489"/>
      <c r="AF5" s="3460" t="s">
        <v>111</v>
      </c>
      <c r="AG5" s="3489"/>
      <c r="AH5" s="3460" t="s">
        <v>112</v>
      </c>
      <c r="AI5" s="3461"/>
    </row>
    <row r="6" spans="1:35" ht="33.75" customHeight="1">
      <c r="A6" s="1212"/>
      <c r="B6" s="1213"/>
      <c r="C6" s="1214" t="s">
        <v>113</v>
      </c>
      <c r="D6" s="1215" t="s">
        <v>22</v>
      </c>
      <c r="E6" s="1216">
        <f>Z6</f>
        <v>20</v>
      </c>
      <c r="F6" s="1217" t="s">
        <v>114</v>
      </c>
      <c r="G6" s="1216">
        <f>AB6</f>
        <v>20</v>
      </c>
      <c r="H6" s="1217" t="s">
        <v>114</v>
      </c>
      <c r="I6" s="1216">
        <f>AD6</f>
        <v>20</v>
      </c>
      <c r="J6" s="1217" t="s">
        <v>114</v>
      </c>
      <c r="K6" s="1216">
        <f>AF6</f>
        <v>20</v>
      </c>
      <c r="L6" s="1217" t="s">
        <v>114</v>
      </c>
      <c r="M6" s="1216">
        <f>AH6</f>
        <v>20</v>
      </c>
      <c r="N6" s="1217" t="s">
        <v>114</v>
      </c>
      <c r="O6" s="1218"/>
      <c r="P6" s="1219" t="s">
        <v>115</v>
      </c>
      <c r="Q6" s="1220">
        <f>F60+H60+J60+L60+N60</f>
        <v>3.3600000000000003</v>
      </c>
      <c r="R6" s="3421"/>
      <c r="U6" s="1212"/>
      <c r="V6" s="1221"/>
      <c r="W6" s="1222"/>
      <c r="X6" s="1223" t="s">
        <v>67</v>
      </c>
      <c r="Y6" s="1224" t="s">
        <v>22</v>
      </c>
      <c r="Z6" s="3462">
        <v>20</v>
      </c>
      <c r="AA6" s="3463"/>
      <c r="AB6" s="3462">
        <v>20</v>
      </c>
      <c r="AC6" s="3463"/>
      <c r="AD6" s="3462">
        <v>20</v>
      </c>
      <c r="AE6" s="3463"/>
      <c r="AF6" s="3462">
        <v>20</v>
      </c>
      <c r="AG6" s="3463"/>
      <c r="AH6" s="3462">
        <v>20</v>
      </c>
      <c r="AI6" s="3464"/>
    </row>
    <row r="7" spans="1:35" ht="30" customHeight="1">
      <c r="A7" s="1225"/>
      <c r="B7" s="1226"/>
      <c r="C7" s="1227"/>
      <c r="D7" s="1228"/>
      <c r="E7" s="1229" t="s">
        <v>116</v>
      </c>
      <c r="F7" s="1230" t="s">
        <v>117</v>
      </c>
      <c r="G7" s="1229" t="s">
        <v>116</v>
      </c>
      <c r="H7" s="1230" t="s">
        <v>117</v>
      </c>
      <c r="I7" s="1229" t="s">
        <v>116</v>
      </c>
      <c r="J7" s="1230" t="s">
        <v>117</v>
      </c>
      <c r="K7" s="1229" t="s">
        <v>116</v>
      </c>
      <c r="L7" s="1230" t="s">
        <v>117</v>
      </c>
      <c r="M7" s="1229" t="s">
        <v>116</v>
      </c>
      <c r="N7" s="1230" t="s">
        <v>117</v>
      </c>
      <c r="O7" s="1430" t="s">
        <v>110</v>
      </c>
      <c r="P7" s="1232" t="s">
        <v>118</v>
      </c>
      <c r="Q7" s="1233" t="s">
        <v>119</v>
      </c>
      <c r="R7" s="3421"/>
      <c r="U7" s="1225"/>
      <c r="V7" s="1234"/>
      <c r="W7" s="1235"/>
      <c r="X7" s="1236" t="s">
        <v>57</v>
      </c>
      <c r="Y7" s="1237" t="s">
        <v>22</v>
      </c>
      <c r="Z7" s="1238">
        <v>10</v>
      </c>
      <c r="AA7" s="1239" t="s">
        <v>58</v>
      </c>
      <c r="AB7" s="1240">
        <v>10</v>
      </c>
      <c r="AC7" s="1239" t="s">
        <v>58</v>
      </c>
      <c r="AD7" s="1240">
        <v>10</v>
      </c>
      <c r="AE7" s="1239" t="s">
        <v>58</v>
      </c>
      <c r="AF7" s="1240">
        <v>10</v>
      </c>
      <c r="AG7" s="1239" t="s">
        <v>58</v>
      </c>
      <c r="AH7" s="1240">
        <v>10</v>
      </c>
      <c r="AI7" s="1241" t="s">
        <v>58</v>
      </c>
    </row>
    <row r="8" spans="1:35" ht="23.25">
      <c r="A8" s="1244"/>
      <c r="B8" s="1245"/>
      <c r="C8" s="1246">
        <f t="shared" ref="C8:C50" si="1">W8</f>
        <v>0</v>
      </c>
      <c r="D8" s="1247">
        <f t="shared" ref="D8:D50" si="2">X8</f>
        <v>0</v>
      </c>
      <c r="E8" s="1248">
        <f>IF(ISTEXT(Z8),Z8,(Z8/Z7)*E6)</f>
        <v>0</v>
      </c>
      <c r="F8" s="1249">
        <f t="shared" ref="F8:F39" si="3">IF(ISTEXT(E8),0,E8*Y8)</f>
        <v>0</v>
      </c>
      <c r="G8" s="1248">
        <f>IF(ISTEXT(AB8),AB8,(AB8/AB7)*G6)</f>
        <v>0</v>
      </c>
      <c r="H8" s="1249">
        <f t="shared" ref="H8:H39" si="4">IF(ISTEXT(G8),0,G8*Y8)</f>
        <v>0</v>
      </c>
      <c r="I8" s="1248">
        <f>IF(ISTEXT(AD8),AD8,(AD8/AD7)*I6)</f>
        <v>0</v>
      </c>
      <c r="J8" s="1249">
        <f t="shared" ref="J8:J39" si="5">IF(ISTEXT(I8),0,I8*Y8)</f>
        <v>0</v>
      </c>
      <c r="K8" s="1248">
        <f>IF(ISTEXT(AF8),AF8,(AF8/AF7)*K6)</f>
        <v>0</v>
      </c>
      <c r="L8" s="1249">
        <f t="shared" ref="L8:L39" si="6">IF(ISTEXT(K8),0,K8*Y8)</f>
        <v>0</v>
      </c>
      <c r="M8" s="1248">
        <f>IF(ISTEXT(AH8),AH8,(AH8/AH7)*M6)</f>
        <v>0</v>
      </c>
      <c r="N8" s="1249">
        <f t="shared" ref="N8:N39" si="7">IF(ISTEXT(M8),0,M8*Y8)</f>
        <v>0</v>
      </c>
      <c r="O8" s="1250">
        <f t="shared" ref="O8:O27" si="8">SUM(E8,G8,I8,K8,M8)</f>
        <v>0</v>
      </c>
      <c r="P8" s="1251">
        <f t="shared" ref="P8:P39" si="9">O8*Y8</f>
        <v>0</v>
      </c>
      <c r="Q8" s="1252">
        <f>IF(ISTEXT(P8),0,IF(P58=0,0,P8/P58))</f>
        <v>0</v>
      </c>
      <c r="R8" s="3421"/>
      <c r="U8" s="1244"/>
      <c r="V8" s="1253"/>
      <c r="W8" s="1254"/>
      <c r="X8" s="1255"/>
      <c r="Y8" s="1256"/>
      <c r="Z8" s="1257"/>
      <c r="AA8" s="1258">
        <f>IF(ISTEXT(Z8),0,IF(Z58=0,0,Z8/Z58))</f>
        <v>0</v>
      </c>
      <c r="AB8" s="1257"/>
      <c r="AC8" s="1258">
        <f>IF(ISTEXT(AB8),0,IF(AB58=0,0,AB8/AB58))</f>
        <v>0</v>
      </c>
      <c r="AD8" s="1257"/>
      <c r="AE8" s="1258">
        <f>IF(ISTEXT(AD8),0,IF(AD58=0,0,AD8/AD58))</f>
        <v>0</v>
      </c>
      <c r="AF8" s="1257"/>
      <c r="AG8" s="1258">
        <f>IF(ISTEXT(AF8),0,IF(AF58=0,0,AF8/AF58))</f>
        <v>0</v>
      </c>
      <c r="AH8" s="1257"/>
      <c r="AI8" s="1259">
        <f>IF(ISTEXT(AH8),0,IF(AH58=0,0,AH8/AH58))</f>
        <v>0</v>
      </c>
    </row>
    <row r="9" spans="1:35" ht="26.25" customHeight="1">
      <c r="A9" s="1244"/>
      <c r="B9" s="1260"/>
      <c r="C9" s="1261" t="str">
        <f t="shared" si="1"/>
        <v>Viandes/Poissons</v>
      </c>
      <c r="D9" s="1247">
        <f t="shared" si="2"/>
        <v>0</v>
      </c>
      <c r="E9" s="1248">
        <f>IF(ISTEXT(Z9),Z9,(Z9/Z7)*E6)</f>
        <v>0</v>
      </c>
      <c r="F9" s="1249">
        <f t="shared" si="3"/>
        <v>0</v>
      </c>
      <c r="G9" s="1248">
        <f>IF(ISTEXT(AB9),AB9,(AB9/AB7)*G6)</f>
        <v>0</v>
      </c>
      <c r="H9" s="1249">
        <f t="shared" si="4"/>
        <v>0</v>
      </c>
      <c r="I9" s="1248">
        <f>IF(ISTEXT(AD9),AD9,(AD9/AD7)*I6)</f>
        <v>0</v>
      </c>
      <c r="J9" s="1249">
        <f t="shared" si="5"/>
        <v>0</v>
      </c>
      <c r="K9" s="1248">
        <f>IF(ISTEXT(AF9),AF9,(AF9/AF7)*K6)</f>
        <v>0</v>
      </c>
      <c r="L9" s="1249">
        <f t="shared" si="6"/>
        <v>0</v>
      </c>
      <c r="M9" s="1248">
        <f>IF(ISTEXT(AH9),AH9,(AH9/AH7)*M6)</f>
        <v>0</v>
      </c>
      <c r="N9" s="1249">
        <f t="shared" si="7"/>
        <v>0</v>
      </c>
      <c r="O9" s="1250">
        <f t="shared" si="8"/>
        <v>0</v>
      </c>
      <c r="P9" s="1251">
        <f t="shared" si="9"/>
        <v>0</v>
      </c>
      <c r="Q9" s="1252">
        <f>IF(ISTEXT(P9),0,IF(P58=0,0,P9/P58))</f>
        <v>0</v>
      </c>
      <c r="R9" s="3421"/>
      <c r="U9" s="1244"/>
      <c r="V9" s="1491"/>
      <c r="W9" s="1492" t="s">
        <v>120</v>
      </c>
      <c r="X9" s="1264"/>
      <c r="Y9" s="1265"/>
      <c r="Z9" s="1257"/>
      <c r="AA9" s="1258">
        <f>IF(ISTEXT(Z9),0,IF(Z58=0,0,Z9/Z58))</f>
        <v>0</v>
      </c>
      <c r="AB9" s="1257"/>
      <c r="AC9" s="1258">
        <f>IF(ISTEXT(AB9),0,IF(AB58=0,0,AB9/AB58))</f>
        <v>0</v>
      </c>
      <c r="AD9" s="1257"/>
      <c r="AE9" s="1258">
        <f>IF(ISTEXT(AD9),0,IF(AD58=0,0,AD9/AD58))</f>
        <v>0</v>
      </c>
      <c r="AF9" s="1257"/>
      <c r="AG9" s="1258">
        <f>IF(ISTEXT(AF9),0,IF(AF58=0,0,AF9/AF58))</f>
        <v>0</v>
      </c>
      <c r="AH9" s="1257"/>
      <c r="AI9" s="1259">
        <f>IF(ISTEXT(AH9),0,IF(AH58=0,0,AH9/AH58))</f>
        <v>0</v>
      </c>
    </row>
    <row r="10" spans="1:35" ht="23.25">
      <c r="A10" s="1244"/>
      <c r="B10" s="1245"/>
      <c r="C10" s="1266" t="str">
        <f t="shared" si="1"/>
        <v>langoustines moyennes</v>
      </c>
      <c r="D10" s="1267" t="str">
        <f t="shared" si="2"/>
        <v>Kg</v>
      </c>
      <c r="E10" s="1248">
        <f>IF(ISTEXT(Z10),Z10,(Z10/Z7)*E6)</f>
        <v>4</v>
      </c>
      <c r="F10" s="1249">
        <f t="shared" si="3"/>
        <v>67.2</v>
      </c>
      <c r="G10" s="1248">
        <f>IF(ISTEXT(AB10),AB10,(AB10/AB7)*G6)</f>
        <v>0</v>
      </c>
      <c r="H10" s="1249">
        <f t="shared" si="4"/>
        <v>0</v>
      </c>
      <c r="I10" s="1248">
        <f>IF(ISTEXT(AD10),AD10,(AD10/AD7)*I6)</f>
        <v>0</v>
      </c>
      <c r="J10" s="1249">
        <f t="shared" si="5"/>
        <v>0</v>
      </c>
      <c r="K10" s="1248">
        <f>IF(ISTEXT(AF10),AF10,(AF10/AF7)*K6)</f>
        <v>0</v>
      </c>
      <c r="L10" s="1249">
        <f t="shared" si="6"/>
        <v>0</v>
      </c>
      <c r="M10" s="1248">
        <f>IF(ISTEXT(AH10),AH10,(AH10/AH7)*M6)</f>
        <v>0</v>
      </c>
      <c r="N10" s="1249">
        <f t="shared" si="7"/>
        <v>0</v>
      </c>
      <c r="O10" s="1250">
        <f t="shared" si="8"/>
        <v>4</v>
      </c>
      <c r="P10" s="1251">
        <f t="shared" si="9"/>
        <v>67.2</v>
      </c>
      <c r="Q10" s="1252">
        <f>IF(ISTEXT(P10),0,IF(P58=0,0,P10/P58))</f>
        <v>1</v>
      </c>
      <c r="R10" s="3421"/>
      <c r="U10" s="1244"/>
      <c r="V10" s="1268"/>
      <c r="W10" s="1269" t="s">
        <v>121</v>
      </c>
      <c r="X10" s="1270" t="s">
        <v>122</v>
      </c>
      <c r="Y10" s="1265">
        <v>16.8</v>
      </c>
      <c r="Z10" s="1257">
        <v>2</v>
      </c>
      <c r="AA10" s="1258">
        <f>IF(ISTEXT(Z10),0,IF(Z58=0,0,Z10/Z58))</f>
        <v>1</v>
      </c>
      <c r="AB10" s="1257"/>
      <c r="AC10" s="1258">
        <f>IF(ISTEXT(AB10),0,IF(AB58=0,0,AB10/AB58))</f>
        <v>0</v>
      </c>
      <c r="AD10" s="1257"/>
      <c r="AE10" s="1258">
        <f>IF(ISTEXT(AD10),0,IF(AD58=0,0,AD10/AD58))</f>
        <v>0</v>
      </c>
      <c r="AF10" s="1257"/>
      <c r="AG10" s="1258">
        <f>IF(ISTEXT(AF10),0,IF(AF58=0,0,AF10/AF58))</f>
        <v>0</v>
      </c>
      <c r="AH10" s="1257"/>
      <c r="AI10" s="1259">
        <f>IF(ISTEXT(AH10),0,IF(AH58=0,0,AH10/AH58))</f>
        <v>0</v>
      </c>
    </row>
    <row r="11" spans="1:35" ht="23.25">
      <c r="A11" s="1244"/>
      <c r="B11" s="1245"/>
      <c r="C11" s="1266">
        <f t="shared" si="1"/>
        <v>0</v>
      </c>
      <c r="D11" s="1267">
        <f t="shared" si="2"/>
        <v>0</v>
      </c>
      <c r="E11" s="1248">
        <f>IF(ISTEXT(Z11),Z11,(Z11/Z7)*E6)</f>
        <v>0</v>
      </c>
      <c r="F11" s="1249">
        <f t="shared" si="3"/>
        <v>0</v>
      </c>
      <c r="G11" s="1248">
        <f>IF(ISTEXT(AB11),AB11,(AB11/AB7)*G6)</f>
        <v>0</v>
      </c>
      <c r="H11" s="1249">
        <f t="shared" si="4"/>
        <v>0</v>
      </c>
      <c r="I11" s="1248">
        <f>IF(ISTEXT(AD11),AD11,(AD11/AD7)*I6)</f>
        <v>0</v>
      </c>
      <c r="J11" s="1249">
        <f t="shared" si="5"/>
        <v>0</v>
      </c>
      <c r="K11" s="1248">
        <f>IF(ISTEXT(AF11),AF11,(AF11/AF7)*K6)</f>
        <v>0</v>
      </c>
      <c r="L11" s="1249">
        <f t="shared" si="6"/>
        <v>0</v>
      </c>
      <c r="M11" s="1248">
        <f>IF(ISTEXT(AH11),AH11,(AH11/AH7)*M6)</f>
        <v>0</v>
      </c>
      <c r="N11" s="1249">
        <f t="shared" si="7"/>
        <v>0</v>
      </c>
      <c r="O11" s="1250">
        <f t="shared" si="8"/>
        <v>0</v>
      </c>
      <c r="P11" s="1251">
        <f t="shared" si="9"/>
        <v>0</v>
      </c>
      <c r="Q11" s="1252">
        <f>IF(ISTEXT(P11),0,IF(P58=0,0,P11/P58))</f>
        <v>0</v>
      </c>
      <c r="R11" s="3421"/>
      <c r="U11" s="1244"/>
      <c r="V11" s="1268"/>
      <c r="W11" s="1269"/>
      <c r="X11" s="1270"/>
      <c r="Y11" s="1265"/>
      <c r="Z11" s="1257"/>
      <c r="AA11" s="1258">
        <f>IF(ISTEXT(Z11),0,IF(Z58=0,0,Z11/Z58))</f>
        <v>0</v>
      </c>
      <c r="AB11" s="1257"/>
      <c r="AC11" s="1258">
        <f>IF(ISTEXT(AB11),0,IF(AB58=0,0,AB11/AB58))</f>
        <v>0</v>
      </c>
      <c r="AD11" s="1257"/>
      <c r="AE11" s="1258">
        <f>IF(ISTEXT(AD11),0,IF(AD58=0,0,AD11/AD58))</f>
        <v>0</v>
      </c>
      <c r="AF11" s="1257"/>
      <c r="AG11" s="1258">
        <f>IF(ISTEXT(AF11),0,IF(AF58=0,0,AF11/AF58))</f>
        <v>0</v>
      </c>
      <c r="AH11" s="1257"/>
      <c r="AI11" s="1259">
        <f>IF(ISTEXT(AH11),0,IF(AH58=0,0,AH11/AH58))</f>
        <v>0</v>
      </c>
    </row>
    <row r="12" spans="1:35" ht="23.25">
      <c r="A12" s="1244"/>
      <c r="B12" s="1245"/>
      <c r="C12" s="1272">
        <f t="shared" si="1"/>
        <v>0</v>
      </c>
      <c r="D12" s="1267">
        <f t="shared" si="2"/>
        <v>0</v>
      </c>
      <c r="E12" s="1248">
        <f>IF(ISTEXT(Z12),Z12,(Z12/Z7)*E6)</f>
        <v>0</v>
      </c>
      <c r="F12" s="1249">
        <f t="shared" si="3"/>
        <v>0</v>
      </c>
      <c r="G12" s="1248">
        <f>IF(ISTEXT(AB12),AB12,(AB12/AB7)*G6)</f>
        <v>0</v>
      </c>
      <c r="H12" s="1249">
        <f t="shared" si="4"/>
        <v>0</v>
      </c>
      <c r="I12" s="1248">
        <f>IF(ISTEXT(AD12),AD12,(AD12/AD7)*I6)</f>
        <v>0</v>
      </c>
      <c r="J12" s="1249">
        <f t="shared" si="5"/>
        <v>0</v>
      </c>
      <c r="K12" s="1248">
        <f>IF(ISTEXT(AF12),AF12,(AF12/AF7)*K6)</f>
        <v>0</v>
      </c>
      <c r="L12" s="1249">
        <f t="shared" si="6"/>
        <v>0</v>
      </c>
      <c r="M12" s="1248">
        <f>IF(ISTEXT(AH12),AH12,(AH12/AH7)*M6)</f>
        <v>0</v>
      </c>
      <c r="N12" s="1249">
        <f t="shared" si="7"/>
        <v>0</v>
      </c>
      <c r="O12" s="1250">
        <f t="shared" si="8"/>
        <v>0</v>
      </c>
      <c r="P12" s="1251">
        <f t="shared" si="9"/>
        <v>0</v>
      </c>
      <c r="Q12" s="1252">
        <f>IF(ISTEXT(P12),0,IF(P58=0,0,P12/P58))</f>
        <v>0</v>
      </c>
      <c r="R12" s="3421"/>
      <c r="U12" s="1244"/>
      <c r="V12" s="1268"/>
      <c r="W12" s="1269"/>
      <c r="X12" s="1270"/>
      <c r="Y12" s="1265"/>
      <c r="Z12" s="1257"/>
      <c r="AA12" s="1258">
        <f>IF(ISTEXT(Z12),0,IF(Z58=0,0,Z12/Z58))</f>
        <v>0</v>
      </c>
      <c r="AB12" s="1257"/>
      <c r="AC12" s="1258">
        <f>IF(ISTEXT(AB12),0,IF(AB58=0,0,AB12/AB58))</f>
        <v>0</v>
      </c>
      <c r="AD12" s="1257"/>
      <c r="AE12" s="1258">
        <f>IF(ISTEXT(AD12),0,IF(AD58=0,0,AD12/AD58))</f>
        <v>0</v>
      </c>
      <c r="AF12" s="1257"/>
      <c r="AG12" s="1258">
        <f>IF(ISTEXT(AF12),0,IF(AF58=0,0,AF12/AF58))</f>
        <v>0</v>
      </c>
      <c r="AH12" s="1257"/>
      <c r="AI12" s="1259">
        <f>IF(ISTEXT(AH12),0,IF(AH58=0,0,AH12/AH58))</f>
        <v>0</v>
      </c>
    </row>
    <row r="13" spans="1:35" ht="23.25">
      <c r="A13" s="1244"/>
      <c r="B13" s="1245"/>
      <c r="C13" s="1266">
        <f t="shared" si="1"/>
        <v>0</v>
      </c>
      <c r="D13" s="1267">
        <f t="shared" si="2"/>
        <v>0</v>
      </c>
      <c r="E13" s="1248">
        <f>IF(ISTEXT(Z13),Z13,(Z13/Z7)*E6)</f>
        <v>0</v>
      </c>
      <c r="F13" s="1249">
        <f t="shared" si="3"/>
        <v>0</v>
      </c>
      <c r="G13" s="1248">
        <f>IF(ISTEXT(AB13),AB13,(AB13/AB7)*G6)</f>
        <v>0</v>
      </c>
      <c r="H13" s="1249">
        <f t="shared" si="4"/>
        <v>0</v>
      </c>
      <c r="I13" s="1248">
        <f>IF(ISTEXT(AD13),AD13,(AD13/AD7)*I6)</f>
        <v>0</v>
      </c>
      <c r="J13" s="1249">
        <f t="shared" si="5"/>
        <v>0</v>
      </c>
      <c r="K13" s="1248">
        <f>IF(ISTEXT(AF13),AF13,(AF13/AF7)*K6)</f>
        <v>0</v>
      </c>
      <c r="L13" s="1249">
        <f t="shared" si="6"/>
        <v>0</v>
      </c>
      <c r="M13" s="1248">
        <f>IF(ISTEXT(AH13),AH13,(AH13/AH7)*M6)</f>
        <v>0</v>
      </c>
      <c r="N13" s="1249">
        <f t="shared" si="7"/>
        <v>0</v>
      </c>
      <c r="O13" s="1250">
        <f t="shared" si="8"/>
        <v>0</v>
      </c>
      <c r="P13" s="1251">
        <f t="shared" si="9"/>
        <v>0</v>
      </c>
      <c r="Q13" s="1252">
        <f>IF(ISTEXT(P13),0,IF(P58=0,0,P13/P58))</f>
        <v>0</v>
      </c>
      <c r="R13" s="3421"/>
      <c r="U13" s="1244"/>
      <c r="V13" s="1268"/>
      <c r="W13" s="1269"/>
      <c r="X13" s="1270"/>
      <c r="Y13" s="1265"/>
      <c r="Z13" s="1257"/>
      <c r="AA13" s="1258">
        <f>IF(ISTEXT(Z13),0,IF(Z58=0,0,Z13/Z58))</f>
        <v>0</v>
      </c>
      <c r="AB13" s="1257"/>
      <c r="AC13" s="1258">
        <f>IF(ISTEXT(AB13),0,IF(AB58=0,0,AB13/AB58))</f>
        <v>0</v>
      </c>
      <c r="AD13" s="1257"/>
      <c r="AE13" s="1258">
        <f>IF(ISTEXT(AD13),0,IF(AD58=0,0,AD13/AD58))</f>
        <v>0</v>
      </c>
      <c r="AF13" s="1257"/>
      <c r="AG13" s="1258">
        <f>IF(ISTEXT(AF13),0,IF(AF58=0,0,AF13/AF58))</f>
        <v>0</v>
      </c>
      <c r="AH13" s="1257"/>
      <c r="AI13" s="1259">
        <f>IF(ISTEXT(AH13),0,IF(AH58=0,0,AH13/AH58))</f>
        <v>0</v>
      </c>
    </row>
    <row r="14" spans="1:35" ht="23.25">
      <c r="A14" s="1244"/>
      <c r="B14" s="1245"/>
      <c r="C14" s="1266">
        <f t="shared" si="1"/>
        <v>0</v>
      </c>
      <c r="D14" s="1267">
        <f t="shared" si="2"/>
        <v>0</v>
      </c>
      <c r="E14" s="1248">
        <f>IF(ISTEXT(Z14),Z14,(Z14/Z7)*E6)</f>
        <v>0</v>
      </c>
      <c r="F14" s="1249">
        <f t="shared" si="3"/>
        <v>0</v>
      </c>
      <c r="G14" s="1248">
        <f>IF(ISTEXT(AB14),AB14,(AB14/AB7)*G6)</f>
        <v>0</v>
      </c>
      <c r="H14" s="1249">
        <f t="shared" si="4"/>
        <v>0</v>
      </c>
      <c r="I14" s="1248">
        <f>IF(ISTEXT(AD14),AD14,(AD14/AD7)*I6)</f>
        <v>0</v>
      </c>
      <c r="J14" s="1249">
        <f t="shared" si="5"/>
        <v>0</v>
      </c>
      <c r="K14" s="1248">
        <f>IF(ISTEXT(AF14),AF14,(AF14/AF7)*K6)</f>
        <v>0</v>
      </c>
      <c r="L14" s="1249">
        <f t="shared" si="6"/>
        <v>0</v>
      </c>
      <c r="M14" s="1248">
        <f>IF(ISTEXT(AH14),AH14,(AH14/AH7)*M6)</f>
        <v>0</v>
      </c>
      <c r="N14" s="1249">
        <f t="shared" si="7"/>
        <v>0</v>
      </c>
      <c r="O14" s="1250">
        <f t="shared" si="8"/>
        <v>0</v>
      </c>
      <c r="P14" s="1251">
        <f t="shared" si="9"/>
        <v>0</v>
      </c>
      <c r="Q14" s="1252">
        <f>IF(ISTEXT(P14),0,IF(P58=0,0,P14/P58))</f>
        <v>0</v>
      </c>
      <c r="R14" s="3421"/>
      <c r="U14" s="1244"/>
      <c r="V14" s="1268"/>
      <c r="W14" s="1269"/>
      <c r="X14" s="1270"/>
      <c r="Y14" s="1265"/>
      <c r="Z14" s="1257"/>
      <c r="AA14" s="1258">
        <f>IF(ISTEXT(Z14),0,IF(Z58=0,0,Z14/Z58))</f>
        <v>0</v>
      </c>
      <c r="AB14" s="1257"/>
      <c r="AC14" s="1258">
        <f>IF(ISTEXT(AB14),0,IF(AB58=0,0,AB14/AB58))</f>
        <v>0</v>
      </c>
      <c r="AD14" s="1257"/>
      <c r="AE14" s="1258">
        <f>IF(ISTEXT(AD14),0,IF(AD58=0,0,AD14/AD58))</f>
        <v>0</v>
      </c>
      <c r="AF14" s="1257"/>
      <c r="AG14" s="1258">
        <f>IF(ISTEXT(AF14),0,IF(AF58=0,0,AF14/AF58))</f>
        <v>0</v>
      </c>
      <c r="AH14" s="1257"/>
      <c r="AI14" s="1259">
        <f>IF(ISTEXT(AH14),0,IF(AH58=0,0,AH14/AH58))</f>
        <v>0</v>
      </c>
    </row>
    <row r="15" spans="1:35" ht="22.5" customHeight="1">
      <c r="A15" s="1244"/>
      <c r="B15" s="1245"/>
      <c r="C15" s="1266">
        <f t="shared" si="1"/>
        <v>0</v>
      </c>
      <c r="D15" s="1267">
        <f t="shared" si="2"/>
        <v>0</v>
      </c>
      <c r="E15" s="1248">
        <f>IF(ISTEXT(Z15),Z15,(Z15/Z7)*E6)</f>
        <v>0</v>
      </c>
      <c r="F15" s="1249">
        <f t="shared" si="3"/>
        <v>0</v>
      </c>
      <c r="G15" s="1248">
        <f>IF(ISTEXT(AB15),AB15,(AB15/AB7)*G6)</f>
        <v>0</v>
      </c>
      <c r="H15" s="1249">
        <f t="shared" si="4"/>
        <v>0</v>
      </c>
      <c r="I15" s="1248">
        <f>IF(ISTEXT(AD15),AD15,(AD15/AD7)*I6)</f>
        <v>0</v>
      </c>
      <c r="J15" s="1249">
        <f t="shared" si="5"/>
        <v>0</v>
      </c>
      <c r="K15" s="1248">
        <f>IF(ISTEXT(AF15),AF15,(AF15/AF7)*K6)</f>
        <v>0</v>
      </c>
      <c r="L15" s="1249">
        <f t="shared" si="6"/>
        <v>0</v>
      </c>
      <c r="M15" s="1248">
        <f>IF(ISTEXT(AH15),AH15,(AH15/AH7)*M6)</f>
        <v>0</v>
      </c>
      <c r="N15" s="1249">
        <f t="shared" si="7"/>
        <v>0</v>
      </c>
      <c r="O15" s="1250">
        <f t="shared" si="8"/>
        <v>0</v>
      </c>
      <c r="P15" s="1251">
        <f t="shared" si="9"/>
        <v>0</v>
      </c>
      <c r="Q15" s="1252">
        <f>IF(ISTEXT(P15),0,IF(P58=0,0,P15/P58))</f>
        <v>0</v>
      </c>
      <c r="R15" s="3421"/>
      <c r="U15" s="1244"/>
      <c r="V15" s="1268"/>
      <c r="W15" s="1269"/>
      <c r="X15" s="1270"/>
      <c r="Y15" s="1265"/>
      <c r="Z15" s="1257"/>
      <c r="AA15" s="1258">
        <f>IF(ISTEXT(Z15),0,IF(Z58=0,0,Z15/Z58))</f>
        <v>0</v>
      </c>
      <c r="AB15" s="1257"/>
      <c r="AC15" s="1258">
        <f>IF(ISTEXT(AB15),0,IF(AB58=0,0,AB15/AB58))</f>
        <v>0</v>
      </c>
      <c r="AD15" s="1257"/>
      <c r="AE15" s="1258">
        <f>IF(ISTEXT(AD15),0,IF(AD58=0,0,AD15/AD58))</f>
        <v>0</v>
      </c>
      <c r="AF15" s="1257"/>
      <c r="AG15" s="1258">
        <f>IF(ISTEXT(AF15),0,IF(AF58=0,0,AF15/AF58))</f>
        <v>0</v>
      </c>
      <c r="AH15" s="1257"/>
      <c r="AI15" s="1259">
        <f>IF(ISTEXT(AH15),0,IF(AH58=0,0,AH15/AH58))</f>
        <v>0</v>
      </c>
    </row>
    <row r="16" spans="1:35" s="1281" customFormat="1" ht="23.25">
      <c r="A16" s="1244"/>
      <c r="B16" s="1245"/>
      <c r="C16" s="1266">
        <f t="shared" si="1"/>
        <v>0</v>
      </c>
      <c r="D16" s="1267">
        <f t="shared" si="2"/>
        <v>0</v>
      </c>
      <c r="E16" s="1248">
        <f>IF(ISTEXT(Z16),Z16,(Z16/Z7)*E6)</f>
        <v>0</v>
      </c>
      <c r="F16" s="1249">
        <f t="shared" si="3"/>
        <v>0</v>
      </c>
      <c r="G16" s="1248">
        <f>IF(ISTEXT(AB16),AB16,(AB16/AB7)*G6)</f>
        <v>0</v>
      </c>
      <c r="H16" s="1249">
        <f t="shared" si="4"/>
        <v>0</v>
      </c>
      <c r="I16" s="1248">
        <f>IF(ISTEXT(AD16),AD16,(AD16/AD7)*I6)</f>
        <v>0</v>
      </c>
      <c r="J16" s="1249">
        <f t="shared" si="5"/>
        <v>0</v>
      </c>
      <c r="K16" s="1248">
        <f>IF(ISTEXT(AF16),AF16,(AF16/AF7)*K6)</f>
        <v>0</v>
      </c>
      <c r="L16" s="1249">
        <f t="shared" si="6"/>
        <v>0</v>
      </c>
      <c r="M16" s="1248">
        <f>IF(ISTEXT(AH16),AH16,(AH16/AH7)*M6)</f>
        <v>0</v>
      </c>
      <c r="N16" s="1249">
        <f t="shared" si="7"/>
        <v>0</v>
      </c>
      <c r="O16" s="1250">
        <f t="shared" si="8"/>
        <v>0</v>
      </c>
      <c r="P16" s="1251">
        <f t="shared" si="9"/>
        <v>0</v>
      </c>
      <c r="Q16" s="1252">
        <f>IF(ISTEXT(P16),0,IF(P58=0,0,P16/P58))</f>
        <v>0</v>
      </c>
      <c r="R16" s="3421"/>
      <c r="U16" s="1244"/>
      <c r="V16" s="1268"/>
      <c r="W16" s="1269"/>
      <c r="X16" s="1270"/>
      <c r="Y16" s="1265"/>
      <c r="Z16" s="1257"/>
      <c r="AA16" s="1258">
        <f>IF(ISTEXT(Z16),0,IF(Z58=0,0,Z16/Z58))</f>
        <v>0</v>
      </c>
      <c r="AB16" s="1257"/>
      <c r="AC16" s="1258">
        <f>IF(ISTEXT(AB16),0,IF(AB58=0,0,AB16/AB58))</f>
        <v>0</v>
      </c>
      <c r="AD16" s="1257"/>
      <c r="AE16" s="1258">
        <f>IF(ISTEXT(AD16),0,IF(AD58=0,0,AD16/AD58))</f>
        <v>0</v>
      </c>
      <c r="AF16" s="1257"/>
      <c r="AG16" s="1258">
        <f>IF(ISTEXT(AF16),0,IF(AF58=0,0,AF16/AF58))</f>
        <v>0</v>
      </c>
      <c r="AH16" s="1257"/>
      <c r="AI16" s="1259">
        <f>IF(ISTEXT(AH16),0,IF(AH58=0,0,AH16/AH58))</f>
        <v>0</v>
      </c>
    </row>
    <row r="17" spans="1:35" s="1281" customFormat="1" ht="23.25">
      <c r="A17" s="1244"/>
      <c r="B17" s="1245"/>
      <c r="C17" s="1266">
        <f t="shared" si="1"/>
        <v>0</v>
      </c>
      <c r="D17" s="1267">
        <f t="shared" si="2"/>
        <v>0</v>
      </c>
      <c r="E17" s="1248">
        <f>IF(ISTEXT(Z17),Z17,(Z17/Z7)*E6)</f>
        <v>0</v>
      </c>
      <c r="F17" s="1249">
        <f t="shared" si="3"/>
        <v>0</v>
      </c>
      <c r="G17" s="1248">
        <f>IF(ISTEXT(AB17),AB17,(AB17/AB7)*G6)</f>
        <v>0</v>
      </c>
      <c r="H17" s="1249">
        <f t="shared" si="4"/>
        <v>0</v>
      </c>
      <c r="I17" s="1248">
        <f>IF(ISTEXT(AD17),AD17,(AD17/AD7)*I6)</f>
        <v>0</v>
      </c>
      <c r="J17" s="1249">
        <f t="shared" si="5"/>
        <v>0</v>
      </c>
      <c r="K17" s="1248">
        <f>IF(ISTEXT(AF17),AF17,(AF17/AF7)*K6)</f>
        <v>0</v>
      </c>
      <c r="L17" s="1249">
        <f t="shared" si="6"/>
        <v>0</v>
      </c>
      <c r="M17" s="1248">
        <f>IF(ISTEXT(AH17),AH17,(AH17/AH7)*M6)</f>
        <v>0</v>
      </c>
      <c r="N17" s="1249">
        <f t="shared" si="7"/>
        <v>0</v>
      </c>
      <c r="O17" s="1250">
        <f t="shared" si="8"/>
        <v>0</v>
      </c>
      <c r="P17" s="1251">
        <f t="shared" si="9"/>
        <v>0</v>
      </c>
      <c r="Q17" s="1252">
        <f>IF(ISTEXT(P17),0,IF(P58=0,0,P17/P58))</f>
        <v>0</v>
      </c>
      <c r="R17" s="3421"/>
      <c r="U17" s="1244"/>
      <c r="V17" s="1268"/>
      <c r="W17" s="1269"/>
      <c r="X17" s="1270"/>
      <c r="Y17" s="1265"/>
      <c r="Z17" s="1257"/>
      <c r="AA17" s="1258">
        <f>IF(ISTEXT(Z17),0,IF(Z58=0,0,Z17/Z58))</f>
        <v>0</v>
      </c>
      <c r="AB17" s="1257"/>
      <c r="AC17" s="1258">
        <f>IF(ISTEXT(AB17),0,IF(AB58=0,0,AB17/AB58))</f>
        <v>0</v>
      </c>
      <c r="AD17" s="1257"/>
      <c r="AE17" s="1258">
        <f>IF(ISTEXT(AD17),0,IF(AD58=0,0,AD17/AD58))</f>
        <v>0</v>
      </c>
      <c r="AF17" s="1257"/>
      <c r="AG17" s="1258">
        <f>IF(ISTEXT(AF17),0,IF(AF58=0,0,AF17/AF58))</f>
        <v>0</v>
      </c>
      <c r="AH17" s="1257"/>
      <c r="AI17" s="1259">
        <f>IF(ISTEXT(AH17),0,IF(AH58=0,0,AH17/AH58))</f>
        <v>0</v>
      </c>
    </row>
    <row r="18" spans="1:35" s="1281" customFormat="1" ht="23.25">
      <c r="A18" s="1244"/>
      <c r="B18" s="1245"/>
      <c r="C18" s="1266">
        <f t="shared" si="1"/>
        <v>0</v>
      </c>
      <c r="D18" s="1267">
        <f t="shared" si="2"/>
        <v>0</v>
      </c>
      <c r="E18" s="1248">
        <f>IF(ISTEXT(Z18),Z18,(Z18/Z7)*E6)</f>
        <v>0</v>
      </c>
      <c r="F18" s="1249">
        <f t="shared" si="3"/>
        <v>0</v>
      </c>
      <c r="G18" s="1248">
        <f>IF(ISTEXT(AB18),AB18,(AB18/AB7)*G6)</f>
        <v>0</v>
      </c>
      <c r="H18" s="1249">
        <f t="shared" si="4"/>
        <v>0</v>
      </c>
      <c r="I18" s="1248">
        <f>IF(ISTEXT(AD18),AD18,(AD18/AD7)*I6)</f>
        <v>0</v>
      </c>
      <c r="J18" s="1249">
        <f t="shared" si="5"/>
        <v>0</v>
      </c>
      <c r="K18" s="1248">
        <f>IF(ISTEXT(AF18),AF18,(AF18/AF7)*K6)</f>
        <v>0</v>
      </c>
      <c r="L18" s="1249">
        <f t="shared" si="6"/>
        <v>0</v>
      </c>
      <c r="M18" s="1248">
        <f>IF(ISTEXT(AH18),AH18,(AH18/AH7)*M6)</f>
        <v>0</v>
      </c>
      <c r="N18" s="1249">
        <f t="shared" si="7"/>
        <v>0</v>
      </c>
      <c r="O18" s="1250">
        <f t="shared" si="8"/>
        <v>0</v>
      </c>
      <c r="P18" s="1251">
        <f t="shared" si="9"/>
        <v>0</v>
      </c>
      <c r="Q18" s="1252">
        <f>IF(ISTEXT(P18),0,IF(P58=0,0,P18/P58))</f>
        <v>0</v>
      </c>
      <c r="R18" s="3421"/>
      <c r="U18" s="1244"/>
      <c r="V18" s="1268"/>
      <c r="W18" s="1269"/>
      <c r="X18" s="1270"/>
      <c r="Y18" s="1265"/>
      <c r="Z18" s="1257"/>
      <c r="AA18" s="1258">
        <f>IF(ISTEXT(Z18),0,IF(Z58=0,0,Z18/Z58))</f>
        <v>0</v>
      </c>
      <c r="AB18" s="1257"/>
      <c r="AC18" s="1258">
        <f>IF(ISTEXT(AB18),0,IF(AB58=0,0,AB18/AB58))</f>
        <v>0</v>
      </c>
      <c r="AD18" s="1257"/>
      <c r="AE18" s="1258">
        <f>IF(ISTEXT(AD18),0,IF(AD58=0,0,AD18/AD58))</f>
        <v>0</v>
      </c>
      <c r="AF18" s="1257"/>
      <c r="AG18" s="1258">
        <f>IF(ISTEXT(AF18),0,IF(AF58=0,0,AF18/AF58))</f>
        <v>0</v>
      </c>
      <c r="AH18" s="1257"/>
      <c r="AI18" s="1259">
        <f>IF(ISTEXT(AH18),0,IF(AH58=0,0,AH18/AH58))</f>
        <v>0</v>
      </c>
    </row>
    <row r="19" spans="1:35" s="1281" customFormat="1" ht="23.25" customHeight="1">
      <c r="A19" s="1244"/>
      <c r="B19" s="1245"/>
      <c r="C19" s="1288">
        <f t="shared" si="1"/>
        <v>0</v>
      </c>
      <c r="D19" s="1247">
        <f t="shared" si="2"/>
        <v>0</v>
      </c>
      <c r="E19" s="1248">
        <f>IF(ISTEXT(Z19),Z19,(Z19/Z7)*E6)</f>
        <v>0</v>
      </c>
      <c r="F19" s="1249">
        <f t="shared" si="3"/>
        <v>0</v>
      </c>
      <c r="G19" s="1248">
        <f>IF(ISTEXT(AB19),AB19,(AB19/AB7)*G6)</f>
        <v>0</v>
      </c>
      <c r="H19" s="1249">
        <f t="shared" si="4"/>
        <v>0</v>
      </c>
      <c r="I19" s="1248">
        <f>IF(ISTEXT(AD19),AD19,(AD19/AD7)*I6)</f>
        <v>0</v>
      </c>
      <c r="J19" s="1249">
        <f t="shared" si="5"/>
        <v>0</v>
      </c>
      <c r="K19" s="1248">
        <f>IF(ISTEXT(AF19),AF19,(AF19/AF7)*K6)</f>
        <v>0</v>
      </c>
      <c r="L19" s="1249">
        <f t="shared" si="6"/>
        <v>0</v>
      </c>
      <c r="M19" s="1248">
        <f>IF(ISTEXT(AH19),AH19,(AH19/AH7)*M6)</f>
        <v>0</v>
      </c>
      <c r="N19" s="1249">
        <f t="shared" si="7"/>
        <v>0</v>
      </c>
      <c r="O19" s="1289">
        <f t="shared" si="8"/>
        <v>0</v>
      </c>
      <c r="P19" s="1290">
        <f t="shared" si="9"/>
        <v>0</v>
      </c>
      <c r="Q19" s="1252">
        <f>IF(ISTEXT(P19),0,IF(P58=0,0,P19/P58))</f>
        <v>0</v>
      </c>
      <c r="R19" s="3421"/>
      <c r="U19" s="1244"/>
      <c r="V19" s="1268"/>
      <c r="W19" s="1269"/>
      <c r="X19" s="1270"/>
      <c r="Y19" s="1265"/>
      <c r="Z19" s="1257"/>
      <c r="AA19" s="1258">
        <f>IF(ISTEXT(Z19),0,IF(Z58=0,0,Z19/Z58))</f>
        <v>0</v>
      </c>
      <c r="AB19" s="1257"/>
      <c r="AC19" s="1258">
        <f>IF(ISTEXT(AB19),0,IF(AB58=0,0,AB19/AB58))</f>
        <v>0</v>
      </c>
      <c r="AD19" s="1257"/>
      <c r="AE19" s="1258">
        <f>IF(ISTEXT(AD19),0,IF(AD58=0,0,AD19/AD58))</f>
        <v>0</v>
      </c>
      <c r="AF19" s="1257"/>
      <c r="AG19" s="1258">
        <f>IF(ISTEXT(AF19),0,IF(AF58=0,0,AF19/AF58))</f>
        <v>0</v>
      </c>
      <c r="AH19" s="1257"/>
      <c r="AI19" s="1259">
        <f>IF(ISTEXT(AH19),0,IF(AH58=0,0,AH19/AH58))</f>
        <v>0</v>
      </c>
    </row>
    <row r="20" spans="1:35" s="1281" customFormat="1" ht="23.25">
      <c r="A20" s="1244"/>
      <c r="B20" s="1245"/>
      <c r="C20" s="1288">
        <f t="shared" si="1"/>
        <v>0</v>
      </c>
      <c r="D20" s="1247">
        <f t="shared" si="2"/>
        <v>0</v>
      </c>
      <c r="E20" s="1248">
        <f>IF(ISTEXT(Z20),Z20,(Z20/Z7)*E6)</f>
        <v>0</v>
      </c>
      <c r="F20" s="1249">
        <f t="shared" si="3"/>
        <v>0</v>
      </c>
      <c r="G20" s="1248">
        <f>IF(ISTEXT(AB20),AB20,(AB20/AB7)*G6)</f>
        <v>0</v>
      </c>
      <c r="H20" s="1249">
        <f t="shared" si="4"/>
        <v>0</v>
      </c>
      <c r="I20" s="1248">
        <f>IF(ISTEXT(AD20),AD20,(AD20/AD7)*I6)</f>
        <v>0</v>
      </c>
      <c r="J20" s="1249">
        <f t="shared" si="5"/>
        <v>0</v>
      </c>
      <c r="K20" s="1248">
        <f>IF(ISTEXT(AF20),AF20,(AF20/AF7)*K6)</f>
        <v>0</v>
      </c>
      <c r="L20" s="1249">
        <f t="shared" si="6"/>
        <v>0</v>
      </c>
      <c r="M20" s="1248">
        <f>IF(ISTEXT(AH20),AH20,(AH20/AH7)*M6)</f>
        <v>0</v>
      </c>
      <c r="N20" s="1249">
        <f t="shared" si="7"/>
        <v>0</v>
      </c>
      <c r="O20" s="1250">
        <f t="shared" si="8"/>
        <v>0</v>
      </c>
      <c r="P20" s="1251">
        <f t="shared" si="9"/>
        <v>0</v>
      </c>
      <c r="Q20" s="1252">
        <f>IF(ISTEXT(P20),0,IF(P58=0,0,P20/P58))</f>
        <v>0</v>
      </c>
      <c r="R20" s="3421"/>
      <c r="U20" s="1244"/>
      <c r="V20" s="1268"/>
      <c r="W20" s="1269"/>
      <c r="X20" s="1270"/>
      <c r="Y20" s="1265"/>
      <c r="Z20" s="1257"/>
      <c r="AA20" s="1258">
        <f>IF(ISTEXT(Z20),0,IF(Z58=0,0,Z20/Z58))</f>
        <v>0</v>
      </c>
      <c r="AB20" s="1257"/>
      <c r="AC20" s="1258">
        <f>IF(ISTEXT(AB20),0,IF(AB58=0,0,AB20/AB58))</f>
        <v>0</v>
      </c>
      <c r="AD20" s="1257"/>
      <c r="AE20" s="1258">
        <f>IF(ISTEXT(AD20),0,IF(AD58=0,0,AD20/AD58))</f>
        <v>0</v>
      </c>
      <c r="AF20" s="1257"/>
      <c r="AG20" s="1258">
        <f>IF(ISTEXT(AF20),0,IF(AF58=0,0,AF20/AF58))</f>
        <v>0</v>
      </c>
      <c r="AH20" s="1257"/>
      <c r="AI20" s="1259">
        <f>IF(ISTEXT(AH20),0,IF(AH58=0,0,AH20/AH58))</f>
        <v>0</v>
      </c>
    </row>
    <row r="21" spans="1:35" s="1281" customFormat="1" ht="23.25">
      <c r="A21" s="1244"/>
      <c r="B21" s="1245"/>
      <c r="C21" s="1266">
        <f t="shared" si="1"/>
        <v>0</v>
      </c>
      <c r="D21" s="1267">
        <f t="shared" si="2"/>
        <v>0</v>
      </c>
      <c r="E21" s="1248">
        <f>IF(ISTEXT(Z21),Z21,(Z21/Z7)*E6)</f>
        <v>0</v>
      </c>
      <c r="F21" s="1249">
        <f t="shared" si="3"/>
        <v>0</v>
      </c>
      <c r="G21" s="1248">
        <f>IF(ISTEXT(AB21),AB21,(AB21/AB7)*G6)</f>
        <v>0</v>
      </c>
      <c r="H21" s="1249">
        <f t="shared" si="4"/>
        <v>0</v>
      </c>
      <c r="I21" s="1248">
        <f>IF(ISTEXT(AD21),AD21,(AD21/AD7)*I6)</f>
        <v>0</v>
      </c>
      <c r="J21" s="1249">
        <f t="shared" si="5"/>
        <v>0</v>
      </c>
      <c r="K21" s="1248">
        <f>IF(ISTEXT(AF21),AF21,(AF21/AF7)*K6)</f>
        <v>0</v>
      </c>
      <c r="L21" s="1249">
        <f t="shared" si="6"/>
        <v>0</v>
      </c>
      <c r="M21" s="1248">
        <f>IF(ISTEXT(AH21),AH21,(AH21/AH7)*M6)</f>
        <v>0</v>
      </c>
      <c r="N21" s="1249">
        <f t="shared" si="7"/>
        <v>0</v>
      </c>
      <c r="O21" s="1250">
        <f t="shared" si="8"/>
        <v>0</v>
      </c>
      <c r="P21" s="1251">
        <f t="shared" si="9"/>
        <v>0</v>
      </c>
      <c r="Q21" s="1252">
        <f>IF(ISTEXT(P21),0,IF(P58=0,0,P21/P58))</f>
        <v>0</v>
      </c>
      <c r="R21" s="3421"/>
      <c r="U21" s="1244"/>
      <c r="V21" s="1268"/>
      <c r="W21" s="1269"/>
      <c r="X21" s="1270"/>
      <c r="Y21" s="1265"/>
      <c r="Z21" s="1257"/>
      <c r="AA21" s="1258">
        <f>IF(ISTEXT(Z21),0,IF(Z58=0,0,Z21/Z58))</f>
        <v>0</v>
      </c>
      <c r="AB21" s="1257"/>
      <c r="AC21" s="1258">
        <f>IF(ISTEXT(AB21),0,IF(AB58=0,0,AB21/AB58))</f>
        <v>0</v>
      </c>
      <c r="AD21" s="1257"/>
      <c r="AE21" s="1258">
        <f>IF(ISTEXT(AD21),0,IF(AD58=0,0,AD21/AD58))</f>
        <v>0</v>
      </c>
      <c r="AF21" s="1257"/>
      <c r="AG21" s="1258">
        <f>IF(ISTEXT(AF21),0,IF(AF58=0,0,AF21/AF58))</f>
        <v>0</v>
      </c>
      <c r="AH21" s="1257"/>
      <c r="AI21" s="1259">
        <f>IF(ISTEXT(AH21),0,IF(AH58=0,0,AH21/AH58))</f>
        <v>0</v>
      </c>
    </row>
    <row r="22" spans="1:35" s="1281" customFormat="1" ht="20.25" customHeight="1">
      <c r="A22" s="1244"/>
      <c r="B22" s="1245"/>
      <c r="C22" s="1266">
        <f t="shared" si="1"/>
        <v>0</v>
      </c>
      <c r="D22" s="1267">
        <f t="shared" si="2"/>
        <v>0</v>
      </c>
      <c r="E22" s="1248">
        <f>IF(ISTEXT(Z22),Z22,(Z22/Z7)*E6)</f>
        <v>0</v>
      </c>
      <c r="F22" s="1249">
        <f t="shared" si="3"/>
        <v>0</v>
      </c>
      <c r="G22" s="1248">
        <f>IF(ISTEXT(AB22),AB22,(AB22/AB7)*G6)</f>
        <v>0</v>
      </c>
      <c r="H22" s="1249">
        <f t="shared" si="4"/>
        <v>0</v>
      </c>
      <c r="I22" s="1248">
        <f>IF(ISTEXT(AD22),AD22,(AD22/AD7)*I6)</f>
        <v>0</v>
      </c>
      <c r="J22" s="1249">
        <f t="shared" si="5"/>
        <v>0</v>
      </c>
      <c r="K22" s="1248">
        <f>IF(ISTEXT(AF22),AF22,(AF22/AF7)*K6)</f>
        <v>0</v>
      </c>
      <c r="L22" s="1249">
        <f t="shared" si="6"/>
        <v>0</v>
      </c>
      <c r="M22" s="1248">
        <f>IF(ISTEXT(AH22),AH22,(AH22/AH7)*M6)</f>
        <v>0</v>
      </c>
      <c r="N22" s="1249">
        <f t="shared" si="7"/>
        <v>0</v>
      </c>
      <c r="O22" s="1250">
        <f t="shared" si="8"/>
        <v>0</v>
      </c>
      <c r="P22" s="1251">
        <f t="shared" si="9"/>
        <v>0</v>
      </c>
      <c r="Q22" s="1252">
        <f>IF(ISTEXT(P22),0,IF(P58=0,0,P22/P58))</f>
        <v>0</v>
      </c>
      <c r="R22" s="3421"/>
      <c r="U22" s="1244"/>
      <c r="V22" s="1268"/>
      <c r="W22" s="1269"/>
      <c r="X22" s="1270"/>
      <c r="Y22" s="1265"/>
      <c r="Z22" s="1257"/>
      <c r="AA22" s="1258">
        <f>IF(ISTEXT(Z22),0,IF(Z58=0,0,Z22/Z58))</f>
        <v>0</v>
      </c>
      <c r="AB22" s="1257"/>
      <c r="AC22" s="1258">
        <f>IF(ISTEXT(AB22),0,IF(AB58=0,0,AB22/AB58))</f>
        <v>0</v>
      </c>
      <c r="AD22" s="1257"/>
      <c r="AE22" s="1258">
        <f>IF(ISTEXT(AD22),0,IF(AD58=0,0,AD22/AD58))</f>
        <v>0</v>
      </c>
      <c r="AF22" s="1257"/>
      <c r="AG22" s="1258">
        <f>IF(ISTEXT(AF22),0,IF(AF58=0,0,AF22/AF58))</f>
        <v>0</v>
      </c>
      <c r="AH22" s="1257"/>
      <c r="AI22" s="1259">
        <f>IF(ISTEXT(AH22),0,IF(AH58=0,0,AH22/AH58))</f>
        <v>0</v>
      </c>
    </row>
    <row r="23" spans="1:35" s="1281" customFormat="1" ht="23.25">
      <c r="A23" s="1244"/>
      <c r="B23" s="1245"/>
      <c r="C23" s="1266">
        <f t="shared" si="1"/>
        <v>0</v>
      </c>
      <c r="D23" s="1267">
        <f t="shared" si="2"/>
        <v>0</v>
      </c>
      <c r="E23" s="1248">
        <f>IF(ISTEXT(Z23),Z23,(Z23/Z7)*E6)</f>
        <v>0</v>
      </c>
      <c r="F23" s="1249">
        <f t="shared" si="3"/>
        <v>0</v>
      </c>
      <c r="G23" s="1248">
        <f>IF(ISTEXT(AB23),AB23,(AB23/AB7)*G6)</f>
        <v>0</v>
      </c>
      <c r="H23" s="1249">
        <f t="shared" si="4"/>
        <v>0</v>
      </c>
      <c r="I23" s="1248">
        <f>IF(ISTEXT(AD23),AD23,(AD23/AD7)*I6)</f>
        <v>0</v>
      </c>
      <c r="J23" s="1249">
        <f t="shared" si="5"/>
        <v>0</v>
      </c>
      <c r="K23" s="1248">
        <f>IF(ISTEXT(AF23),AF23,(AF23/AF7)*K6)</f>
        <v>0</v>
      </c>
      <c r="L23" s="1249">
        <f t="shared" si="6"/>
        <v>0</v>
      </c>
      <c r="M23" s="1248">
        <f>IF(ISTEXT(AH23),AH23,(AH23/AH7)*M6)</f>
        <v>0</v>
      </c>
      <c r="N23" s="1249">
        <f t="shared" si="7"/>
        <v>0</v>
      </c>
      <c r="O23" s="1250">
        <f t="shared" si="8"/>
        <v>0</v>
      </c>
      <c r="P23" s="1251">
        <f t="shared" si="9"/>
        <v>0</v>
      </c>
      <c r="Q23" s="1252">
        <f>IF(ISTEXT(P23),0,IF(P58=0,0,P23/P58))</f>
        <v>0</v>
      </c>
      <c r="R23" s="3421"/>
      <c r="U23" s="1244"/>
      <c r="V23" s="1268"/>
      <c r="W23" s="1269"/>
      <c r="X23" s="1270"/>
      <c r="Y23" s="1265"/>
      <c r="Z23" s="1257"/>
      <c r="AA23" s="1258">
        <f>IF(ISTEXT(Z23),0,IF(Z58=0,0,Z23/Z58))</f>
        <v>0</v>
      </c>
      <c r="AB23" s="1257"/>
      <c r="AC23" s="1258">
        <f>IF(ISTEXT(AB23),0,IF(AB58=0,0,AB23/AB58))</f>
        <v>0</v>
      </c>
      <c r="AD23" s="1257"/>
      <c r="AE23" s="1258">
        <f>IF(ISTEXT(AD23),0,IF(AD58=0,0,AD23/AD58))</f>
        <v>0</v>
      </c>
      <c r="AF23" s="1257"/>
      <c r="AG23" s="1258">
        <f>IF(ISTEXT(AF23),0,IF(AF58=0,0,AF23/AF58))</f>
        <v>0</v>
      </c>
      <c r="AH23" s="1257"/>
      <c r="AI23" s="1259">
        <f>IF(ISTEXT(AH23),0,IF(AH58=0,0,AH23/AH58))</f>
        <v>0</v>
      </c>
    </row>
    <row r="24" spans="1:35" s="1281" customFormat="1" ht="23.25">
      <c r="A24" s="1244"/>
      <c r="B24" s="1245"/>
      <c r="C24" s="1266">
        <f t="shared" si="1"/>
        <v>0</v>
      </c>
      <c r="D24" s="1267">
        <f t="shared" si="2"/>
        <v>0</v>
      </c>
      <c r="E24" s="1248">
        <f>IF(ISTEXT(Z24),Z24,(Z24/Z7)*E6)</f>
        <v>0</v>
      </c>
      <c r="F24" s="1249">
        <f t="shared" si="3"/>
        <v>0</v>
      </c>
      <c r="G24" s="1248">
        <f>IF(ISTEXT(AB24),AB24,(AB24/AB7)*G6)</f>
        <v>0</v>
      </c>
      <c r="H24" s="1249">
        <f t="shared" si="4"/>
        <v>0</v>
      </c>
      <c r="I24" s="1248">
        <f>IF(ISTEXT(AD24),AD24,(AD24/AD7)*I6)</f>
        <v>0</v>
      </c>
      <c r="J24" s="1249">
        <f t="shared" si="5"/>
        <v>0</v>
      </c>
      <c r="K24" s="1248">
        <f>IF(ISTEXT(AF24),AF24,(AF24/AF7)*K6)</f>
        <v>0</v>
      </c>
      <c r="L24" s="1249">
        <f t="shared" si="6"/>
        <v>0</v>
      </c>
      <c r="M24" s="1248">
        <f>IF(ISTEXT(AH24),AH24,(AH24/AH7)*M6)</f>
        <v>0</v>
      </c>
      <c r="N24" s="1249">
        <f t="shared" si="7"/>
        <v>0</v>
      </c>
      <c r="O24" s="1250">
        <f t="shared" si="8"/>
        <v>0</v>
      </c>
      <c r="P24" s="1251">
        <f t="shared" si="9"/>
        <v>0</v>
      </c>
      <c r="Q24" s="1252">
        <f>IF(ISTEXT(P24),0,IF(P58=0,0,P24/P58))</f>
        <v>0</v>
      </c>
      <c r="R24" s="3421"/>
      <c r="U24" s="1244"/>
      <c r="V24" s="1268"/>
      <c r="W24" s="1269"/>
      <c r="X24" s="1270"/>
      <c r="Y24" s="1265"/>
      <c r="Z24" s="1257"/>
      <c r="AA24" s="1258">
        <f>IF(ISTEXT(Z24),0,IF(Z58=0,0,Z24/Z58))</f>
        <v>0</v>
      </c>
      <c r="AB24" s="1257"/>
      <c r="AC24" s="1258">
        <f>IF(ISTEXT(AB24),0,IF(AB58=0,0,AB24/AB58))</f>
        <v>0</v>
      </c>
      <c r="AD24" s="1257"/>
      <c r="AE24" s="1258">
        <f>IF(ISTEXT(AD24),0,IF(AD58=0,0,AD24/AD58))</f>
        <v>0</v>
      </c>
      <c r="AF24" s="1257"/>
      <c r="AG24" s="1258">
        <f>IF(ISTEXT(AF24),0,IF(AF58=0,0,AF24/AF58))</f>
        <v>0</v>
      </c>
      <c r="AH24" s="1257"/>
      <c r="AI24" s="1259">
        <f>IF(ISTEXT(AH24),0,IF(AH58=0,0,AH24/AH58))</f>
        <v>0</v>
      </c>
    </row>
    <row r="25" spans="1:35" s="1281" customFormat="1" ht="23.25">
      <c r="A25" s="1244"/>
      <c r="B25" s="1245"/>
      <c r="C25" s="1266">
        <f t="shared" si="1"/>
        <v>0</v>
      </c>
      <c r="D25" s="1267">
        <f t="shared" si="2"/>
        <v>0</v>
      </c>
      <c r="E25" s="1248">
        <f>IF(ISTEXT(Z25),Z25,(Z25/Z7)*E6)</f>
        <v>0</v>
      </c>
      <c r="F25" s="1249">
        <f t="shared" si="3"/>
        <v>0</v>
      </c>
      <c r="G25" s="1248">
        <f>IF(ISTEXT(AB25),AB25,(AB25/AB7)*G6)</f>
        <v>0</v>
      </c>
      <c r="H25" s="1249">
        <f t="shared" si="4"/>
        <v>0</v>
      </c>
      <c r="I25" s="1248">
        <f>IF(ISTEXT(AD25),AD25,(AD25/AD7)*I6)</f>
        <v>0</v>
      </c>
      <c r="J25" s="1249">
        <f t="shared" si="5"/>
        <v>0</v>
      </c>
      <c r="K25" s="1248">
        <f>IF(ISTEXT(AF25),AF25,(AF25/AF7)*K6)</f>
        <v>0</v>
      </c>
      <c r="L25" s="1249">
        <f t="shared" si="6"/>
        <v>0</v>
      </c>
      <c r="M25" s="1248">
        <f>IF(ISTEXT(AH25),AH25,(AH25/AH7)*M6)</f>
        <v>0</v>
      </c>
      <c r="N25" s="1249">
        <f t="shared" si="7"/>
        <v>0</v>
      </c>
      <c r="O25" s="1250">
        <f t="shared" si="8"/>
        <v>0</v>
      </c>
      <c r="P25" s="1251">
        <f t="shared" si="9"/>
        <v>0</v>
      </c>
      <c r="Q25" s="1252">
        <f>IF(ISTEXT(P25),0,IF(P58=0,0,P25/P58))</f>
        <v>0</v>
      </c>
      <c r="R25" s="3421"/>
      <c r="U25" s="1244"/>
      <c r="V25" s="1268"/>
      <c r="W25" s="1269"/>
      <c r="X25" s="1270"/>
      <c r="Y25" s="1265"/>
      <c r="Z25" s="1257"/>
      <c r="AA25" s="1258">
        <f>IF(ISTEXT(Z25),0,IF(Z58=0,0,Z25/Z58))</f>
        <v>0</v>
      </c>
      <c r="AB25" s="1257"/>
      <c r="AC25" s="1258">
        <f>IF(ISTEXT(AB25),0,IF(AB58=0,0,AB25/AB58))</f>
        <v>0</v>
      </c>
      <c r="AD25" s="1257"/>
      <c r="AE25" s="1258">
        <f>IF(ISTEXT(AD25),0,IF(AD58=0,0,AD25/AD58))</f>
        <v>0</v>
      </c>
      <c r="AF25" s="1257"/>
      <c r="AG25" s="1258">
        <f>IF(ISTEXT(AF25),0,IF(AF58=0,0,AF25/AF58))</f>
        <v>0</v>
      </c>
      <c r="AH25" s="1257"/>
      <c r="AI25" s="1259">
        <f>IF(ISTEXT(AH25),0,IF(AH58=0,0,AH25/AH58))</f>
        <v>0</v>
      </c>
    </row>
    <row r="26" spans="1:35" s="1281" customFormat="1" ht="23.25">
      <c r="A26" s="1244"/>
      <c r="B26" s="1245"/>
      <c r="C26" s="1266">
        <f t="shared" si="1"/>
        <v>0</v>
      </c>
      <c r="D26" s="1267">
        <f t="shared" si="2"/>
        <v>0</v>
      </c>
      <c r="E26" s="1248">
        <f>IF(ISTEXT(Z26),Z26,(Z26/Z7)*E6)</f>
        <v>0</v>
      </c>
      <c r="F26" s="1249">
        <f t="shared" si="3"/>
        <v>0</v>
      </c>
      <c r="G26" s="1248">
        <f>IF(ISTEXT(AB26),AB26,(AB26/AB7)*G6)</f>
        <v>0</v>
      </c>
      <c r="H26" s="1249">
        <f t="shared" si="4"/>
        <v>0</v>
      </c>
      <c r="I26" s="1248">
        <f>IF(ISTEXT(AD26),AD26,(AD26/AD7)*I6)</f>
        <v>0</v>
      </c>
      <c r="J26" s="1249">
        <f t="shared" si="5"/>
        <v>0</v>
      </c>
      <c r="K26" s="1248">
        <f>IF(ISTEXT(AF26),AF26,(AF26/AF7)*K6)</f>
        <v>0</v>
      </c>
      <c r="L26" s="1249">
        <f t="shared" si="6"/>
        <v>0</v>
      </c>
      <c r="M26" s="1248">
        <f>IF(ISTEXT(AH26),AH26,(AH26/AH7)*M6)</f>
        <v>0</v>
      </c>
      <c r="N26" s="1249">
        <f t="shared" si="7"/>
        <v>0</v>
      </c>
      <c r="O26" s="1250">
        <f t="shared" si="8"/>
        <v>0</v>
      </c>
      <c r="P26" s="1251">
        <f t="shared" si="9"/>
        <v>0</v>
      </c>
      <c r="Q26" s="1252">
        <f>IF(ISTEXT(P26),0,IF(P58=0,0,P26/P58))</f>
        <v>0</v>
      </c>
      <c r="R26" s="3421"/>
      <c r="U26" s="1244"/>
      <c r="V26" s="1268"/>
      <c r="W26" s="1269"/>
      <c r="X26" s="1270"/>
      <c r="Y26" s="1265"/>
      <c r="Z26" s="1257"/>
      <c r="AA26" s="1258">
        <f>IF(ISTEXT(Z26),0,IF(Z58=0,0,Z26/Z58))</f>
        <v>0</v>
      </c>
      <c r="AB26" s="1257"/>
      <c r="AC26" s="1258">
        <f>IF(ISTEXT(AB26),0,IF(AB58=0,0,AB26/AB58))</f>
        <v>0</v>
      </c>
      <c r="AD26" s="1257"/>
      <c r="AE26" s="1258">
        <f>IF(ISTEXT(AD26),0,IF(AD58=0,0,AD26/AD58))</f>
        <v>0</v>
      </c>
      <c r="AF26" s="1257"/>
      <c r="AG26" s="1258">
        <f>IF(ISTEXT(AF26),0,IF(AF58=0,0,AF26/AF58))</f>
        <v>0</v>
      </c>
      <c r="AH26" s="1257"/>
      <c r="AI26" s="1259">
        <f>IF(ISTEXT(AH26),0,IF(AH58=0,0,AH26/AH58))</f>
        <v>0</v>
      </c>
    </row>
    <row r="27" spans="1:35" s="1281" customFormat="1" ht="23.25">
      <c r="A27" s="1244"/>
      <c r="B27" s="1245"/>
      <c r="C27" s="1266">
        <f t="shared" si="1"/>
        <v>0</v>
      </c>
      <c r="D27" s="1267">
        <f t="shared" si="2"/>
        <v>0</v>
      </c>
      <c r="E27" s="1248">
        <f>IF(ISTEXT(Z27),Z27,(Z27/Z7)*E6)</f>
        <v>0</v>
      </c>
      <c r="F27" s="1249">
        <f t="shared" si="3"/>
        <v>0</v>
      </c>
      <c r="G27" s="1248">
        <f>IF(ISTEXT(AB27),AB27,(AB27/AB7)*G6)</f>
        <v>0</v>
      </c>
      <c r="H27" s="1249">
        <f t="shared" si="4"/>
        <v>0</v>
      </c>
      <c r="I27" s="1248">
        <f>IF(ISTEXT(AD27),AD27,(AD27/AD7)*I6)</f>
        <v>0</v>
      </c>
      <c r="J27" s="1249">
        <f t="shared" si="5"/>
        <v>0</v>
      </c>
      <c r="K27" s="1248">
        <f>IF(ISTEXT(AF27),AF27,(AF27/AF7)*K6)</f>
        <v>0</v>
      </c>
      <c r="L27" s="1249">
        <f t="shared" si="6"/>
        <v>0</v>
      </c>
      <c r="M27" s="1248">
        <f>IF(ISTEXT(AH27),AH27,(AH27/AH7)*M6)</f>
        <v>0</v>
      </c>
      <c r="N27" s="1249">
        <f t="shared" si="7"/>
        <v>0</v>
      </c>
      <c r="O27" s="1250">
        <f t="shared" si="8"/>
        <v>0</v>
      </c>
      <c r="P27" s="1251">
        <f t="shared" si="9"/>
        <v>0</v>
      </c>
      <c r="Q27" s="1252">
        <f>IF(ISTEXT(P27),0,IF(P58=0,0,P27/P58))</f>
        <v>0</v>
      </c>
      <c r="R27" s="3421"/>
      <c r="U27" s="1244"/>
      <c r="V27" s="1268"/>
      <c r="W27" s="1269"/>
      <c r="X27" s="1270"/>
      <c r="Y27" s="1265"/>
      <c r="Z27" s="1257"/>
      <c r="AA27" s="1258">
        <f>IF(ISTEXT(Z27),0,IF(Z58=0,0,Z27/Z58))</f>
        <v>0</v>
      </c>
      <c r="AB27" s="1257"/>
      <c r="AC27" s="1258">
        <f>IF(ISTEXT(AB27),0,IF(AB58=0,0,AB27/AB58))</f>
        <v>0</v>
      </c>
      <c r="AD27" s="1257"/>
      <c r="AE27" s="1258">
        <f>IF(ISTEXT(AD27),0,IF(AD58=0,0,AD27/AD58))</f>
        <v>0</v>
      </c>
      <c r="AF27" s="1257"/>
      <c r="AG27" s="1258">
        <f>IF(ISTEXT(AF27),0,IF(AF58=0,0,AF27/AF58))</f>
        <v>0</v>
      </c>
      <c r="AH27" s="1257"/>
      <c r="AI27" s="1259">
        <f>IF(ISTEXT(AH27),0,IF(AH58=0,0,AH27/AH58))</f>
        <v>0</v>
      </c>
    </row>
    <row r="28" spans="1:35" s="1281" customFormat="1" ht="23.25">
      <c r="A28" s="1244"/>
      <c r="B28" s="1245"/>
      <c r="C28" s="1266">
        <f t="shared" si="1"/>
        <v>0</v>
      </c>
      <c r="D28" s="1267">
        <f t="shared" si="2"/>
        <v>0</v>
      </c>
      <c r="E28" s="1248">
        <f>IF(ISTEXT(Z28),Z28,(Z28/Z7)*E6)</f>
        <v>0</v>
      </c>
      <c r="F28" s="1249">
        <f t="shared" si="3"/>
        <v>0</v>
      </c>
      <c r="G28" s="1248">
        <f>IF(ISTEXT(AB28),AB28,(AB28/AB7)*G6)</f>
        <v>0</v>
      </c>
      <c r="H28" s="1249">
        <f t="shared" si="4"/>
        <v>0</v>
      </c>
      <c r="I28" s="1248">
        <f>IF(ISTEXT(AD28),AD28,(AD28/AD7)*I6)</f>
        <v>0</v>
      </c>
      <c r="J28" s="1249">
        <f t="shared" si="5"/>
        <v>0</v>
      </c>
      <c r="K28" s="1248">
        <f>IF(ISTEXT(AF28),AF28,(AF28/AF7)*K6)</f>
        <v>0</v>
      </c>
      <c r="L28" s="1249">
        <f t="shared" si="6"/>
        <v>0</v>
      </c>
      <c r="M28" s="1248">
        <f>IF(ISTEXT(AH28),AH28,(AH28/AH7)*M6)</f>
        <v>0</v>
      </c>
      <c r="N28" s="1249">
        <f t="shared" si="7"/>
        <v>0</v>
      </c>
      <c r="O28" s="1250">
        <f>SUM(E28,G28,I28,K28,M28)</f>
        <v>0</v>
      </c>
      <c r="P28" s="1251">
        <f t="shared" si="9"/>
        <v>0</v>
      </c>
      <c r="Q28" s="1252">
        <f>IF(ISTEXT(P28),0,IF(P58=0,0,P28/P58))</f>
        <v>0</v>
      </c>
      <c r="R28" s="3421"/>
      <c r="U28" s="1244"/>
      <c r="V28" s="1268"/>
      <c r="W28" s="1269"/>
      <c r="X28" s="1270"/>
      <c r="Y28" s="1265"/>
      <c r="Z28" s="1257"/>
      <c r="AA28" s="1258">
        <f>IF(ISTEXT(Z28),0,IF(Z58=0,0,Z28/Z58))</f>
        <v>0</v>
      </c>
      <c r="AB28" s="1257"/>
      <c r="AC28" s="1258">
        <f>IF(ISTEXT(AB28),0,IF(AB58=0,0,AB28/AB58))</f>
        <v>0</v>
      </c>
      <c r="AD28" s="1257"/>
      <c r="AE28" s="1258">
        <f>IF(ISTEXT(AD28),0,IF(AD58=0,0,AD28/AD58))</f>
        <v>0</v>
      </c>
      <c r="AF28" s="1257"/>
      <c r="AG28" s="1258">
        <f>IF(ISTEXT(AF28),0,IF(AF58=0,0,AF28/AF58))</f>
        <v>0</v>
      </c>
      <c r="AH28" s="1257"/>
      <c r="AI28" s="1259">
        <f>IF(ISTEXT(AH28),0,IF(AH58=0,0,AH28/AH58))</f>
        <v>0</v>
      </c>
    </row>
    <row r="29" spans="1:35" s="1281" customFormat="1" ht="23.25">
      <c r="A29" s="1244"/>
      <c r="B29" s="1245"/>
      <c r="C29" s="1266">
        <f t="shared" si="1"/>
        <v>0</v>
      </c>
      <c r="D29" s="1267">
        <f t="shared" si="2"/>
        <v>0</v>
      </c>
      <c r="E29" s="1248">
        <f>IF(ISTEXT(Z29),Z29,(Z29/Z7)*E6)</f>
        <v>0</v>
      </c>
      <c r="F29" s="1249">
        <f t="shared" si="3"/>
        <v>0</v>
      </c>
      <c r="G29" s="1248">
        <f>IF(ISTEXT(AB29),AB29,(AB29/AB7)*G6)</f>
        <v>0</v>
      </c>
      <c r="H29" s="1249">
        <f t="shared" si="4"/>
        <v>0</v>
      </c>
      <c r="I29" s="1248">
        <f>IF(ISTEXT(AD29),AD29,(AD29/AD7)*I6)</f>
        <v>0</v>
      </c>
      <c r="J29" s="1249">
        <f t="shared" si="5"/>
        <v>0</v>
      </c>
      <c r="K29" s="1248">
        <f>IF(ISTEXT(AF29),AF29,(AF29/AF7)*K6)</f>
        <v>0</v>
      </c>
      <c r="L29" s="1249">
        <f t="shared" si="6"/>
        <v>0</v>
      </c>
      <c r="M29" s="1248">
        <f>IF(ISTEXT(AH29),AH29,(AH29/AH7)*M6)</f>
        <v>0</v>
      </c>
      <c r="N29" s="1249">
        <f t="shared" si="7"/>
        <v>0</v>
      </c>
      <c r="O29" s="1250">
        <f t="shared" ref="O29:O57" si="10">SUM(E29,G29,I29,K29,M29)</f>
        <v>0</v>
      </c>
      <c r="P29" s="1251">
        <f t="shared" si="9"/>
        <v>0</v>
      </c>
      <c r="Q29" s="1252">
        <f>IF(ISTEXT(P29),0,IF(P58=0,0,P29/P58))</f>
        <v>0</v>
      </c>
      <c r="R29" s="3421"/>
      <c r="U29" s="1244"/>
      <c r="V29" s="1268"/>
      <c r="W29" s="1269"/>
      <c r="X29" s="1270"/>
      <c r="Y29" s="1265"/>
      <c r="Z29" s="1257"/>
      <c r="AA29" s="1258">
        <f>IF(ISTEXT(Z29),0,IF(Z58=0,0,Z29/Z58))</f>
        <v>0</v>
      </c>
      <c r="AB29" s="1257"/>
      <c r="AC29" s="1258">
        <f>IF(ISTEXT(AB29),0,IF(AB58=0,0,AB29/AB58))</f>
        <v>0</v>
      </c>
      <c r="AD29" s="1257"/>
      <c r="AE29" s="1258">
        <f>IF(ISTEXT(AD29),0,IF(AD58=0,0,AD29/AD58))</f>
        <v>0</v>
      </c>
      <c r="AF29" s="1257"/>
      <c r="AG29" s="1258">
        <f>IF(ISTEXT(AF29),0,IF(AF58=0,0,AF29/AF58))</f>
        <v>0</v>
      </c>
      <c r="AH29" s="1257"/>
      <c r="AI29" s="1259">
        <f>IF(ISTEXT(AH29),0,IF(AH58=0,0,AH29/AH58))</f>
        <v>0</v>
      </c>
    </row>
    <row r="30" spans="1:35" s="1281" customFormat="1" ht="23.25">
      <c r="A30" s="1244"/>
      <c r="B30" s="1245"/>
      <c r="C30" s="1288">
        <f t="shared" si="1"/>
        <v>0</v>
      </c>
      <c r="D30" s="1247">
        <f t="shared" si="2"/>
        <v>0</v>
      </c>
      <c r="E30" s="1248">
        <f>IF(ISTEXT(Z30),Z30,(Z30/Z7)*E6)</f>
        <v>0</v>
      </c>
      <c r="F30" s="1249">
        <f t="shared" si="3"/>
        <v>0</v>
      </c>
      <c r="G30" s="1248">
        <f>IF(ISTEXT(AB30),AB30,(AB30/AB7)*G6)</f>
        <v>0</v>
      </c>
      <c r="H30" s="1249">
        <f t="shared" si="4"/>
        <v>0</v>
      </c>
      <c r="I30" s="1248">
        <f>IF(ISTEXT(AD30),AD30,(AD30/AD7)*I6)</f>
        <v>0</v>
      </c>
      <c r="J30" s="1249">
        <f t="shared" si="5"/>
        <v>0</v>
      </c>
      <c r="K30" s="1248">
        <f>IF(ISTEXT(AF30),AF30,(AF30/AF7)*K6)</f>
        <v>0</v>
      </c>
      <c r="L30" s="1249">
        <f t="shared" si="6"/>
        <v>0</v>
      </c>
      <c r="M30" s="1248">
        <f>IF(ISTEXT(AH30),AH30,(AH30/AH7)*M6)</f>
        <v>0</v>
      </c>
      <c r="N30" s="1249">
        <f t="shared" si="7"/>
        <v>0</v>
      </c>
      <c r="O30" s="1250">
        <f t="shared" si="10"/>
        <v>0</v>
      </c>
      <c r="P30" s="1251">
        <f t="shared" si="9"/>
        <v>0</v>
      </c>
      <c r="Q30" s="1252">
        <f>IF(ISTEXT(P30),0,IF(P58=0,0,P30/P58))</f>
        <v>0</v>
      </c>
      <c r="R30" s="3421"/>
      <c r="U30" s="1244"/>
      <c r="V30" s="1268"/>
      <c r="W30" s="1269"/>
      <c r="X30" s="1270"/>
      <c r="Y30" s="1265"/>
      <c r="Z30" s="1257"/>
      <c r="AA30" s="1258">
        <f>IF(ISTEXT(Z30),0,IF(Z58=0,0,Z30/Z58))</f>
        <v>0</v>
      </c>
      <c r="AB30" s="1257"/>
      <c r="AC30" s="1258">
        <f>IF(ISTEXT(AB30),0,IF(AB58=0,0,AB30/AB58))</f>
        <v>0</v>
      </c>
      <c r="AD30" s="1257"/>
      <c r="AE30" s="1258">
        <f>IF(ISTEXT(AD30),0,IF(AD58=0,0,AD30/AD58))</f>
        <v>0</v>
      </c>
      <c r="AF30" s="1257"/>
      <c r="AG30" s="1258">
        <f>IF(ISTEXT(AF30),0,IF(AF58=0,0,AF30/AF58))</f>
        <v>0</v>
      </c>
      <c r="AH30" s="1257"/>
      <c r="AI30" s="1259">
        <f>IF(ISTEXT(AH30),0,IF(AH58=0,0,AH30/AH58))</f>
        <v>0</v>
      </c>
    </row>
    <row r="31" spans="1:35" s="1281" customFormat="1" ht="23.25">
      <c r="A31" s="1244"/>
      <c r="B31" s="1245"/>
      <c r="C31" s="1288">
        <f t="shared" si="1"/>
        <v>0</v>
      </c>
      <c r="D31" s="1247">
        <f t="shared" si="2"/>
        <v>0</v>
      </c>
      <c r="E31" s="1248">
        <f>IF(ISTEXT(Z31),Z31,(Z31/Z7)*E6)</f>
        <v>0</v>
      </c>
      <c r="F31" s="1249">
        <f t="shared" si="3"/>
        <v>0</v>
      </c>
      <c r="G31" s="1248">
        <f>IF(ISTEXT(AB31),AB31,(AB31/AB7)*G6)</f>
        <v>0</v>
      </c>
      <c r="H31" s="1249">
        <f t="shared" si="4"/>
        <v>0</v>
      </c>
      <c r="I31" s="1248">
        <f>IF(ISTEXT(AD31),AD31,(AD31/AD7)*I6)</f>
        <v>0</v>
      </c>
      <c r="J31" s="1249">
        <f t="shared" si="5"/>
        <v>0</v>
      </c>
      <c r="K31" s="1248">
        <f>IF(ISTEXT(AF31),AF31,(AF31/AF7)*K6)</f>
        <v>0</v>
      </c>
      <c r="L31" s="1249">
        <f t="shared" si="6"/>
        <v>0</v>
      </c>
      <c r="M31" s="1248">
        <f>IF(ISTEXT(AH31),AH31,(AH31/AH7)*M6)</f>
        <v>0</v>
      </c>
      <c r="N31" s="1249">
        <f t="shared" si="7"/>
        <v>0</v>
      </c>
      <c r="O31" s="1250">
        <f t="shared" si="10"/>
        <v>0</v>
      </c>
      <c r="P31" s="1251">
        <f t="shared" si="9"/>
        <v>0</v>
      </c>
      <c r="Q31" s="1252">
        <f>IF(ISTEXT(P31),0,IF(P58=0,0,P31/P58))</f>
        <v>0</v>
      </c>
      <c r="R31" s="3421"/>
      <c r="U31" s="1244"/>
      <c r="V31" s="1268"/>
      <c r="W31" s="1269"/>
      <c r="X31" s="1270"/>
      <c r="Y31" s="1265"/>
      <c r="Z31" s="1257"/>
      <c r="AA31" s="1258">
        <f>IF(ISTEXT(Z31),0,IF(Z58=0,0,Z31/Z58))</f>
        <v>0</v>
      </c>
      <c r="AB31" s="1257"/>
      <c r="AC31" s="1258">
        <f>IF(ISTEXT(AB31),0,IF(AB58=0,0,AB31/AB58))</f>
        <v>0</v>
      </c>
      <c r="AD31" s="1257"/>
      <c r="AE31" s="1258">
        <f>IF(ISTEXT(AD31),0,IF(AD58=0,0,AD31/AD58))</f>
        <v>0</v>
      </c>
      <c r="AF31" s="1257"/>
      <c r="AG31" s="1258">
        <f>IF(ISTEXT(AF31),0,IF(AF58=0,0,AF31/AF58))</f>
        <v>0</v>
      </c>
      <c r="AH31" s="1257"/>
      <c r="AI31" s="1259">
        <f>IF(ISTEXT(AH31),0,IF(AH58=0,0,AH31/AH58))</f>
        <v>0</v>
      </c>
    </row>
    <row r="32" spans="1:35" s="1281" customFormat="1" ht="23.25">
      <c r="A32" s="1244"/>
      <c r="B32" s="1245"/>
      <c r="C32" s="1288">
        <f t="shared" si="1"/>
        <v>0</v>
      </c>
      <c r="D32" s="1247">
        <f t="shared" si="2"/>
        <v>0</v>
      </c>
      <c r="E32" s="1248">
        <f>IF(ISTEXT(Z32),Z32,(Z32/Z7)*E6)</f>
        <v>0</v>
      </c>
      <c r="F32" s="1249">
        <f t="shared" si="3"/>
        <v>0</v>
      </c>
      <c r="G32" s="1248">
        <f>IF(ISTEXT(AB32),AB32,(AB32/AB7)*G6)</f>
        <v>0</v>
      </c>
      <c r="H32" s="1249">
        <f t="shared" si="4"/>
        <v>0</v>
      </c>
      <c r="I32" s="1248">
        <f>IF(ISTEXT(AD32),AD32,(AD32/AD7)*I6)</f>
        <v>0</v>
      </c>
      <c r="J32" s="1249">
        <f t="shared" si="5"/>
        <v>0</v>
      </c>
      <c r="K32" s="1248">
        <f>IF(ISTEXT(AF32),AF32,(AF32/AF7)*K6)</f>
        <v>0</v>
      </c>
      <c r="L32" s="1249">
        <f t="shared" si="6"/>
        <v>0</v>
      </c>
      <c r="M32" s="1248">
        <f>IF(ISTEXT(AH32),AH32,(AH32/AH7)*M6)</f>
        <v>0</v>
      </c>
      <c r="N32" s="1249">
        <f t="shared" si="7"/>
        <v>0</v>
      </c>
      <c r="O32" s="1250">
        <f t="shared" si="10"/>
        <v>0</v>
      </c>
      <c r="P32" s="1251">
        <f t="shared" si="9"/>
        <v>0</v>
      </c>
      <c r="Q32" s="1252">
        <f>IF(ISTEXT(P32),0,IF(P58=0,0,P32/P58))</f>
        <v>0</v>
      </c>
      <c r="R32" s="3421"/>
      <c r="U32" s="1244"/>
      <c r="V32" s="1268"/>
      <c r="W32" s="1269"/>
      <c r="X32" s="1270"/>
      <c r="Y32" s="1265"/>
      <c r="Z32" s="1257"/>
      <c r="AA32" s="1258">
        <f>IF(ISTEXT(Z32),0,IF(Z58=0,0,Z32/Z58))</f>
        <v>0</v>
      </c>
      <c r="AB32" s="1257"/>
      <c r="AC32" s="1258">
        <f>IF(ISTEXT(AB32),0,IF(AB58=0,0,AB32/AB58))</f>
        <v>0</v>
      </c>
      <c r="AD32" s="1257"/>
      <c r="AE32" s="1258">
        <f>IF(ISTEXT(AD32),0,IF(AD58=0,0,AD32/AD58))</f>
        <v>0</v>
      </c>
      <c r="AF32" s="1257"/>
      <c r="AG32" s="1258">
        <f>IF(ISTEXT(AF32),0,IF(AF58=0,0,AF32/AF58))</f>
        <v>0</v>
      </c>
      <c r="AH32" s="1257"/>
      <c r="AI32" s="1259">
        <f>IF(ISTEXT(AH32),0,IF(AH58=0,0,AH32/AH58))</f>
        <v>0</v>
      </c>
    </row>
    <row r="33" spans="1:35" s="1281" customFormat="1" ht="23.25">
      <c r="A33" s="1244"/>
      <c r="B33" s="1245"/>
      <c r="C33" s="1288">
        <f t="shared" si="1"/>
        <v>0</v>
      </c>
      <c r="D33" s="1247">
        <f t="shared" si="2"/>
        <v>0</v>
      </c>
      <c r="E33" s="1248">
        <f>IF(ISTEXT(Z33),Z33,(Z33/Z7)*E6)</f>
        <v>0</v>
      </c>
      <c r="F33" s="1249">
        <f t="shared" si="3"/>
        <v>0</v>
      </c>
      <c r="G33" s="1248">
        <f>IF(ISTEXT(AB33),AB33,(AB33/AB7)*G6)</f>
        <v>0</v>
      </c>
      <c r="H33" s="1249">
        <f t="shared" si="4"/>
        <v>0</v>
      </c>
      <c r="I33" s="1248">
        <f>IF(ISTEXT(AD33),AD33,(AD33/AD7)*I6)</f>
        <v>0</v>
      </c>
      <c r="J33" s="1249">
        <f t="shared" si="5"/>
        <v>0</v>
      </c>
      <c r="K33" s="1248">
        <f>IF(ISTEXT(AF33),AF33,(AF33/AF7)*K6)</f>
        <v>0</v>
      </c>
      <c r="L33" s="1249">
        <f t="shared" si="6"/>
        <v>0</v>
      </c>
      <c r="M33" s="1248">
        <f>IF(ISTEXT(AH33),AH33,(AH33/AH7)*M6)</f>
        <v>0</v>
      </c>
      <c r="N33" s="1249">
        <f t="shared" si="7"/>
        <v>0</v>
      </c>
      <c r="O33" s="1250">
        <f t="shared" si="10"/>
        <v>0</v>
      </c>
      <c r="P33" s="1251">
        <f t="shared" si="9"/>
        <v>0</v>
      </c>
      <c r="Q33" s="1252">
        <f>IF(ISTEXT(P33),0,IF(P58=0,0,P33/P58))</f>
        <v>0</v>
      </c>
      <c r="R33" s="3421"/>
      <c r="U33" s="1244"/>
      <c r="V33" s="1268"/>
      <c r="W33" s="1269"/>
      <c r="X33" s="1270"/>
      <c r="Y33" s="1265"/>
      <c r="Z33" s="1257"/>
      <c r="AA33" s="1258">
        <f>IF(ISTEXT(Z33),0,IF(Z58=0,0,Z33/Z58))</f>
        <v>0</v>
      </c>
      <c r="AB33" s="1257"/>
      <c r="AC33" s="1258">
        <f>IF(ISTEXT(AB33),0,IF(AB58=0,0,AB33/AB58))</f>
        <v>0</v>
      </c>
      <c r="AD33" s="1257"/>
      <c r="AE33" s="1258">
        <f>IF(ISTEXT(AD33),0,IF(AD58=0,0,AD33/AD58))</f>
        <v>0</v>
      </c>
      <c r="AF33" s="1257"/>
      <c r="AG33" s="1258">
        <f>IF(ISTEXT(AF33),0,IF(AF58=0,0,AF33/AF58))</f>
        <v>0</v>
      </c>
      <c r="AH33" s="1257"/>
      <c r="AI33" s="1259">
        <f>IF(ISTEXT(AH33),0,IF(AH58=0,0,AH33/AH58))</f>
        <v>0</v>
      </c>
    </row>
    <row r="34" spans="1:35" s="1281" customFormat="1" ht="23.25">
      <c r="A34" s="1244"/>
      <c r="B34" s="1245"/>
      <c r="C34" s="1288">
        <f t="shared" si="1"/>
        <v>0</v>
      </c>
      <c r="D34" s="1247">
        <f t="shared" si="2"/>
        <v>0</v>
      </c>
      <c r="E34" s="1248">
        <f>IF(ISTEXT(Z34),Z34,(Z34/Z7)*E6)</f>
        <v>0</v>
      </c>
      <c r="F34" s="1249">
        <f t="shared" si="3"/>
        <v>0</v>
      </c>
      <c r="G34" s="1248">
        <f>IF(ISTEXT(AB34),AB34,(AB34/AB7)*G6)</f>
        <v>0</v>
      </c>
      <c r="H34" s="1249">
        <f t="shared" si="4"/>
        <v>0</v>
      </c>
      <c r="I34" s="1248">
        <f>IF(ISTEXT(AD34),AD34,(AD34/AD7)*I6)</f>
        <v>0</v>
      </c>
      <c r="J34" s="1249">
        <f t="shared" si="5"/>
        <v>0</v>
      </c>
      <c r="K34" s="1248">
        <f>IF(ISTEXT(AF34),AF34,(AF34/AF7)*K6)</f>
        <v>0</v>
      </c>
      <c r="L34" s="1249">
        <f t="shared" si="6"/>
        <v>0</v>
      </c>
      <c r="M34" s="1248">
        <f>IF(ISTEXT(AH34),AH34,(AH34/AH7)*M6)</f>
        <v>0</v>
      </c>
      <c r="N34" s="1249">
        <f t="shared" si="7"/>
        <v>0</v>
      </c>
      <c r="O34" s="1250">
        <f t="shared" si="10"/>
        <v>0</v>
      </c>
      <c r="P34" s="1251">
        <f t="shared" si="9"/>
        <v>0</v>
      </c>
      <c r="Q34" s="1252">
        <f>IF(ISTEXT(P34),0,IF(P58=0,0,P34/P58))</f>
        <v>0</v>
      </c>
      <c r="R34" s="3421"/>
      <c r="U34" s="1244"/>
      <c r="V34" s="1268"/>
      <c r="W34" s="1269"/>
      <c r="X34" s="1270"/>
      <c r="Y34" s="1265"/>
      <c r="Z34" s="1257"/>
      <c r="AA34" s="1258">
        <f>IF(ISTEXT(Z34),0,IF(Z58=0,0,Z34/Z58))</f>
        <v>0</v>
      </c>
      <c r="AB34" s="1257"/>
      <c r="AC34" s="1258">
        <f>IF(ISTEXT(AB34),0,IF(AB58=0,0,AB34/AB58))</f>
        <v>0</v>
      </c>
      <c r="AD34" s="1257"/>
      <c r="AE34" s="1258">
        <f>IF(ISTEXT(AD34),0,IF(AD58=0,0,AD34/AD58))</f>
        <v>0</v>
      </c>
      <c r="AF34" s="1257"/>
      <c r="AG34" s="1258">
        <f>IF(ISTEXT(AF34),0,IF(AF58=0,0,AF34/AF58))</f>
        <v>0</v>
      </c>
      <c r="AH34" s="1257"/>
      <c r="AI34" s="1259">
        <f>IF(ISTEXT(AH34),0,IF(AH58=0,0,AH34/AH58))</f>
        <v>0</v>
      </c>
    </row>
    <row r="35" spans="1:35" s="1281" customFormat="1" ht="23.25">
      <c r="A35" s="1244"/>
      <c r="B35" s="1245"/>
      <c r="C35" s="1288">
        <f t="shared" si="1"/>
        <v>0</v>
      </c>
      <c r="D35" s="1247">
        <f t="shared" si="2"/>
        <v>0</v>
      </c>
      <c r="E35" s="1248">
        <f>IF(ISTEXT(Z35),Z35,(Z35/Z7)*E6)</f>
        <v>0</v>
      </c>
      <c r="F35" s="1249">
        <f t="shared" si="3"/>
        <v>0</v>
      </c>
      <c r="G35" s="1248">
        <f>IF(ISTEXT(AB35),AB35,(AB35/AB7)*G6)</f>
        <v>0</v>
      </c>
      <c r="H35" s="1249">
        <f t="shared" si="4"/>
        <v>0</v>
      </c>
      <c r="I35" s="1248">
        <f>IF(ISTEXT(AD35),AD35,(AD35/AD7)*I6)</f>
        <v>0</v>
      </c>
      <c r="J35" s="1249">
        <f t="shared" si="5"/>
        <v>0</v>
      </c>
      <c r="K35" s="1248">
        <f>IF(ISTEXT(AF35),AF35,(AF35/AF7)*K6)</f>
        <v>0</v>
      </c>
      <c r="L35" s="1249">
        <f t="shared" si="6"/>
        <v>0</v>
      </c>
      <c r="M35" s="1248">
        <f>IF(ISTEXT(AH35),AH35,(AH35/AH7)*M6)</f>
        <v>0</v>
      </c>
      <c r="N35" s="1249">
        <f t="shared" si="7"/>
        <v>0</v>
      </c>
      <c r="O35" s="1250">
        <f t="shared" si="10"/>
        <v>0</v>
      </c>
      <c r="P35" s="1251">
        <f t="shared" si="9"/>
        <v>0</v>
      </c>
      <c r="Q35" s="1252">
        <f>IF(ISTEXT(P35),0,IF(P58=0,0,P35/P58))</f>
        <v>0</v>
      </c>
      <c r="R35" s="3421"/>
      <c r="U35" s="1244"/>
      <c r="V35" s="1268"/>
      <c r="W35" s="1269"/>
      <c r="X35" s="1270"/>
      <c r="Y35" s="1265"/>
      <c r="Z35" s="1257"/>
      <c r="AA35" s="1258">
        <f>IF(ISTEXT(Z35),0,IF(Z58=0,0,Z35/Z58))</f>
        <v>0</v>
      </c>
      <c r="AB35" s="1257"/>
      <c r="AC35" s="1258">
        <f>IF(ISTEXT(AB35),0,IF(AB58=0,0,AB35/AB58))</f>
        <v>0</v>
      </c>
      <c r="AD35" s="1257"/>
      <c r="AE35" s="1258">
        <f>IF(ISTEXT(AD35),0,IF(AD58=0,0,AD35/AD58))</f>
        <v>0</v>
      </c>
      <c r="AF35" s="1257"/>
      <c r="AG35" s="1258">
        <f>IF(ISTEXT(AF35),0,IF(AF58=0,0,AF35/AF58))</f>
        <v>0</v>
      </c>
      <c r="AH35" s="1257"/>
      <c r="AI35" s="1259">
        <f>IF(ISTEXT(AH35),0,IF(AH58=0,0,AH35/AH58))</f>
        <v>0</v>
      </c>
    </row>
    <row r="36" spans="1:35" s="1281" customFormat="1" ht="23.25">
      <c r="A36" s="1244"/>
      <c r="B36" s="1245"/>
      <c r="C36" s="1288">
        <f t="shared" si="1"/>
        <v>0</v>
      </c>
      <c r="D36" s="1247">
        <f t="shared" si="2"/>
        <v>0</v>
      </c>
      <c r="E36" s="1248">
        <f>IF(ISTEXT(Z36),Z36,(Z36/Z7)*E6)</f>
        <v>0</v>
      </c>
      <c r="F36" s="1249">
        <f t="shared" si="3"/>
        <v>0</v>
      </c>
      <c r="G36" s="1248">
        <f>IF(ISTEXT(AB36),AB36,(AB36/AB7)*G6)</f>
        <v>0</v>
      </c>
      <c r="H36" s="1249">
        <f t="shared" si="4"/>
        <v>0</v>
      </c>
      <c r="I36" s="1248">
        <f>IF(ISTEXT(AD36),AD36,(AD36/AD7)*I6)</f>
        <v>0</v>
      </c>
      <c r="J36" s="1249">
        <f t="shared" si="5"/>
        <v>0</v>
      </c>
      <c r="K36" s="1248">
        <f>IF(ISTEXT(AF36),AF36,(AF36/AF7)*K6)</f>
        <v>0</v>
      </c>
      <c r="L36" s="1249">
        <f t="shared" si="6"/>
        <v>0</v>
      </c>
      <c r="M36" s="1248">
        <f>IF(ISTEXT(AH36),AH36,(AH36/AH7)*M6)</f>
        <v>0</v>
      </c>
      <c r="N36" s="1249">
        <f t="shared" si="7"/>
        <v>0</v>
      </c>
      <c r="O36" s="1250">
        <f t="shared" si="10"/>
        <v>0</v>
      </c>
      <c r="P36" s="1251">
        <f t="shared" si="9"/>
        <v>0</v>
      </c>
      <c r="Q36" s="1252">
        <f>IF(ISTEXT(P36),0,IF(P58=0,0,P36/P58))</f>
        <v>0</v>
      </c>
      <c r="R36" s="3421"/>
      <c r="U36" s="1244"/>
      <c r="V36" s="1268"/>
      <c r="W36" s="1269"/>
      <c r="X36" s="1270"/>
      <c r="Y36" s="1265"/>
      <c r="Z36" s="1257"/>
      <c r="AA36" s="1258">
        <f>IF(ISTEXT(Z36),0,IF(Z58=0,0,Z36/Z58))</f>
        <v>0</v>
      </c>
      <c r="AB36" s="1257"/>
      <c r="AC36" s="1258">
        <f>IF(ISTEXT(AB36),0,IF(AB58=0,0,AB36/AB58))</f>
        <v>0</v>
      </c>
      <c r="AD36" s="1257"/>
      <c r="AE36" s="1258">
        <f>IF(ISTEXT(AD36),0,IF(AD58=0,0,AD36/AD58))</f>
        <v>0</v>
      </c>
      <c r="AF36" s="1257"/>
      <c r="AG36" s="1258">
        <f>IF(ISTEXT(AF36),0,IF(AF58=0,0,AF36/AF58))</f>
        <v>0</v>
      </c>
      <c r="AH36" s="1257"/>
      <c r="AI36" s="1259">
        <f>IF(ISTEXT(AH36),0,IF(AH58=0,0,AH36/AH58))</f>
        <v>0</v>
      </c>
    </row>
    <row r="37" spans="1:35" s="1281" customFormat="1" ht="23.25">
      <c r="A37" s="1244"/>
      <c r="B37" s="1245"/>
      <c r="C37" s="1288">
        <f t="shared" si="1"/>
        <v>0</v>
      </c>
      <c r="D37" s="1247">
        <f t="shared" si="2"/>
        <v>0</v>
      </c>
      <c r="E37" s="1248">
        <f>IF(ISTEXT(Z37),Z37,(Z37/Z7)*E6)</f>
        <v>0</v>
      </c>
      <c r="F37" s="1249">
        <f t="shared" si="3"/>
        <v>0</v>
      </c>
      <c r="G37" s="1248">
        <f>IF(ISTEXT(AB37),AB37,(AB37/AB7)*G6)</f>
        <v>0</v>
      </c>
      <c r="H37" s="1249">
        <f t="shared" si="4"/>
        <v>0</v>
      </c>
      <c r="I37" s="1248">
        <f>IF(ISTEXT(AD37),AD37,(AD37/AD7)*I6)</f>
        <v>0</v>
      </c>
      <c r="J37" s="1249">
        <f t="shared" si="5"/>
        <v>0</v>
      </c>
      <c r="K37" s="1248">
        <f>IF(ISTEXT(AF37),AF37,(AF37/AF7)*K6)</f>
        <v>0</v>
      </c>
      <c r="L37" s="1249">
        <f t="shared" si="6"/>
        <v>0</v>
      </c>
      <c r="M37" s="1248">
        <f>IF(ISTEXT(AH37),AH37,(AH37/AH7)*M6)</f>
        <v>0</v>
      </c>
      <c r="N37" s="1249">
        <f t="shared" si="7"/>
        <v>0</v>
      </c>
      <c r="O37" s="1250">
        <f t="shared" si="10"/>
        <v>0</v>
      </c>
      <c r="P37" s="1251">
        <f t="shared" si="9"/>
        <v>0</v>
      </c>
      <c r="Q37" s="1252">
        <f>IF(ISTEXT(P37),0,IF(P58=0,0,P37/P58))</f>
        <v>0</v>
      </c>
      <c r="R37" s="3421"/>
      <c r="U37" s="1244"/>
      <c r="V37" s="1268"/>
      <c r="W37" s="1269"/>
      <c r="X37" s="1270"/>
      <c r="Y37" s="1265"/>
      <c r="Z37" s="1257"/>
      <c r="AA37" s="1258">
        <f>IF(ISTEXT(Z37),0,IF(Z58=0,0,Z37/Z58))</f>
        <v>0</v>
      </c>
      <c r="AB37" s="1257"/>
      <c r="AC37" s="1258">
        <f>IF(ISTEXT(AB37),0,IF(AB58=0,0,AB37/AB58))</f>
        <v>0</v>
      </c>
      <c r="AD37" s="1257"/>
      <c r="AE37" s="1258">
        <f>IF(ISTEXT(AD37),0,IF(AD58=0,0,AD37/AD58))</f>
        <v>0</v>
      </c>
      <c r="AF37" s="1257"/>
      <c r="AG37" s="1258">
        <f>IF(ISTEXT(AF37),0,IF(AF58=0,0,AF37/AF58))</f>
        <v>0</v>
      </c>
      <c r="AH37" s="1257"/>
      <c r="AI37" s="1259">
        <f>IF(ISTEXT(AH37),0,IF(AH58=0,0,AH37/AH58))</f>
        <v>0</v>
      </c>
    </row>
    <row r="38" spans="1:35" s="1281" customFormat="1" ht="23.25">
      <c r="A38" s="1244"/>
      <c r="B38" s="1245"/>
      <c r="C38" s="1288">
        <f t="shared" si="1"/>
        <v>0</v>
      </c>
      <c r="D38" s="1247">
        <f t="shared" si="2"/>
        <v>0</v>
      </c>
      <c r="E38" s="1248">
        <f>IF(ISTEXT(Z38),Z38,(Z38/Z7)*E6)</f>
        <v>0</v>
      </c>
      <c r="F38" s="1249">
        <f t="shared" si="3"/>
        <v>0</v>
      </c>
      <c r="G38" s="1248">
        <f>IF(ISTEXT(AB38),AB38,(AB38/AB7)*G6)</f>
        <v>0</v>
      </c>
      <c r="H38" s="1249">
        <f t="shared" si="4"/>
        <v>0</v>
      </c>
      <c r="I38" s="1248">
        <f>IF(ISTEXT(AD38),AD38,(AD38/AD7)*I6)</f>
        <v>0</v>
      </c>
      <c r="J38" s="1249">
        <f t="shared" si="5"/>
        <v>0</v>
      </c>
      <c r="K38" s="1248">
        <f>IF(ISTEXT(AF38),AF38,(AF38/AF7)*K6)</f>
        <v>0</v>
      </c>
      <c r="L38" s="1249">
        <f t="shared" si="6"/>
        <v>0</v>
      </c>
      <c r="M38" s="1248">
        <f>IF(ISTEXT(AH38),AH38,(AH38/AH7)*M6)</f>
        <v>0</v>
      </c>
      <c r="N38" s="1249">
        <f t="shared" si="7"/>
        <v>0</v>
      </c>
      <c r="O38" s="1250">
        <f t="shared" si="10"/>
        <v>0</v>
      </c>
      <c r="P38" s="1251">
        <f t="shared" si="9"/>
        <v>0</v>
      </c>
      <c r="Q38" s="1252">
        <f>IF(ISTEXT(P38),0,IF(P58=0,0,P38/P58))</f>
        <v>0</v>
      </c>
      <c r="R38" s="3421"/>
      <c r="U38" s="1244"/>
      <c r="V38" s="1268"/>
      <c r="W38" s="1269"/>
      <c r="X38" s="1270"/>
      <c r="Y38" s="1265"/>
      <c r="Z38" s="1257"/>
      <c r="AA38" s="1258">
        <f>IF(ISTEXT(Z38),0,IF(Z58=0,0,Z38/Z58))</f>
        <v>0</v>
      </c>
      <c r="AB38" s="1257"/>
      <c r="AC38" s="1258">
        <f>IF(ISTEXT(AB38),0,IF(AB58=0,0,AB38/AB58))</f>
        <v>0</v>
      </c>
      <c r="AD38" s="1257"/>
      <c r="AE38" s="1258">
        <f>IF(ISTEXT(AD38),0,IF(AD58=0,0,AD38/AD58))</f>
        <v>0</v>
      </c>
      <c r="AF38" s="1257"/>
      <c r="AG38" s="1258">
        <f>IF(ISTEXT(AF38),0,IF(AF58=0,0,AF38/AF58))</f>
        <v>0</v>
      </c>
      <c r="AH38" s="1257"/>
      <c r="AI38" s="1259">
        <f>IF(ISTEXT(AH38),0,IF(AH58=0,0,AH38/AH58))</f>
        <v>0</v>
      </c>
    </row>
    <row r="39" spans="1:35" s="1281" customFormat="1" ht="23.25" customHeight="1">
      <c r="A39" s="1244"/>
      <c r="B39" s="1245"/>
      <c r="C39" s="1288">
        <f t="shared" si="1"/>
        <v>0</v>
      </c>
      <c r="D39" s="1247">
        <f t="shared" si="2"/>
        <v>0</v>
      </c>
      <c r="E39" s="1248">
        <f>IF(ISTEXT(Z39),Z39,(Z39/Z7)*E6)</f>
        <v>0</v>
      </c>
      <c r="F39" s="1249">
        <f t="shared" si="3"/>
        <v>0</v>
      </c>
      <c r="G39" s="1248">
        <f>IF(ISTEXT(AB39),AB39,(AB39/AB7)*G6)</f>
        <v>0</v>
      </c>
      <c r="H39" s="1249">
        <f t="shared" si="4"/>
        <v>0</v>
      </c>
      <c r="I39" s="1248">
        <f>IF(ISTEXT(AD39),AD39,(AD39/AD7)*I6)</f>
        <v>0</v>
      </c>
      <c r="J39" s="1249">
        <f t="shared" si="5"/>
        <v>0</v>
      </c>
      <c r="K39" s="1248">
        <f>IF(ISTEXT(AF39),AF39,(AF39/AF7)*K6)</f>
        <v>0</v>
      </c>
      <c r="L39" s="1249">
        <f t="shared" si="6"/>
        <v>0</v>
      </c>
      <c r="M39" s="1248">
        <f>IF(ISTEXT(AH39),AH39,(AH39/AH7)*M6)</f>
        <v>0</v>
      </c>
      <c r="N39" s="1249">
        <f t="shared" si="7"/>
        <v>0</v>
      </c>
      <c r="O39" s="1250">
        <f t="shared" si="10"/>
        <v>0</v>
      </c>
      <c r="P39" s="1251">
        <f t="shared" si="9"/>
        <v>0</v>
      </c>
      <c r="Q39" s="1252">
        <f>IF(ISTEXT(P39),0,IF(P58=0,0,P39/P58))</f>
        <v>0</v>
      </c>
      <c r="R39" s="3421"/>
      <c r="U39" s="1244"/>
      <c r="V39" s="1268"/>
      <c r="W39" s="1269"/>
      <c r="X39" s="1270"/>
      <c r="Y39" s="1265"/>
      <c r="Z39" s="1257"/>
      <c r="AA39" s="1258">
        <f>IF(ISTEXT(Z39),0,IF(Z58=0,0,Z39/Z58))</f>
        <v>0</v>
      </c>
      <c r="AB39" s="1257"/>
      <c r="AC39" s="1258">
        <f>IF(ISTEXT(AB39),0,IF(AB58=0,0,AB39/AB58))</f>
        <v>0</v>
      </c>
      <c r="AD39" s="1257"/>
      <c r="AE39" s="1258">
        <f>IF(ISTEXT(AD39),0,IF(AD58=0,0,AD39/AD58))</f>
        <v>0</v>
      </c>
      <c r="AF39" s="1257"/>
      <c r="AG39" s="1258">
        <f>IF(ISTEXT(AF39),0,IF(AF58=0,0,AF39/AF58))</f>
        <v>0</v>
      </c>
      <c r="AH39" s="1257"/>
      <c r="AI39" s="1259">
        <f>IF(ISTEXT(AH39),0,IF(AH58=0,0,AH39/AH58))</f>
        <v>0</v>
      </c>
    </row>
    <row r="40" spans="1:35" s="1281" customFormat="1" ht="23.25">
      <c r="A40" s="1244"/>
      <c r="B40" s="1245"/>
      <c r="C40" s="1288">
        <f t="shared" si="1"/>
        <v>0</v>
      </c>
      <c r="D40" s="1247">
        <f t="shared" si="2"/>
        <v>0</v>
      </c>
      <c r="E40" s="1248">
        <f>IF(ISTEXT(Z40),Z40,(Z40/Z7)*E6)</f>
        <v>0</v>
      </c>
      <c r="F40" s="1249">
        <f t="shared" ref="F40:F57" si="11">IF(ISTEXT(E40),0,E40*Y40)</f>
        <v>0</v>
      </c>
      <c r="G40" s="1248">
        <f>IF(ISTEXT(AB40),AB40,(AB40/AB7)*G6)</f>
        <v>0</v>
      </c>
      <c r="H40" s="1249">
        <f t="shared" ref="H40:H57" si="12">IF(ISTEXT(G40),0,G40*Y40)</f>
        <v>0</v>
      </c>
      <c r="I40" s="1248">
        <f>IF(ISTEXT(AD40),AD40,(AD40/AD7)*I6)</f>
        <v>0</v>
      </c>
      <c r="J40" s="1249">
        <f t="shared" ref="J40:J57" si="13">IF(ISTEXT(I40),0,I40*Y40)</f>
        <v>0</v>
      </c>
      <c r="K40" s="1248">
        <f>IF(ISTEXT(AF40),AF40,(AF40/AF7)*K6)</f>
        <v>0</v>
      </c>
      <c r="L40" s="1249">
        <f t="shared" ref="L40:L57" si="14">IF(ISTEXT(K40),0,K40*Y40)</f>
        <v>0</v>
      </c>
      <c r="M40" s="1248">
        <f>IF(ISTEXT(AH40),AH40,(AH40/AH7)*M6)</f>
        <v>0</v>
      </c>
      <c r="N40" s="1249">
        <f t="shared" ref="N40:N57" si="15">IF(ISTEXT(M40),0,M40*Y40)</f>
        <v>0</v>
      </c>
      <c r="O40" s="1250">
        <f t="shared" si="10"/>
        <v>0</v>
      </c>
      <c r="P40" s="1251">
        <f t="shared" ref="P40:P57" si="16">O40*Y40</f>
        <v>0</v>
      </c>
      <c r="Q40" s="1252">
        <f>IF(ISTEXT(P40),0,IF(P58=0,0,P40/P58))</f>
        <v>0</v>
      </c>
      <c r="R40" s="3421"/>
      <c r="U40" s="1244"/>
      <c r="V40" s="1268"/>
      <c r="W40" s="1269"/>
      <c r="X40" s="1270"/>
      <c r="Y40" s="1265"/>
      <c r="Z40" s="1257"/>
      <c r="AA40" s="1258">
        <f>IF(ISTEXT(Z40),0,IF(Z58=0,0,Z40/Z58))</f>
        <v>0</v>
      </c>
      <c r="AB40" s="1257"/>
      <c r="AC40" s="1258">
        <f>IF(ISTEXT(AB40),0,IF(AB58=0,0,AB40/AB58))</f>
        <v>0</v>
      </c>
      <c r="AD40" s="1257"/>
      <c r="AE40" s="1258">
        <f>IF(ISTEXT(AD40),0,IF(AD58=0,0,AD40/AD58))</f>
        <v>0</v>
      </c>
      <c r="AF40" s="1257"/>
      <c r="AG40" s="1258">
        <f>IF(ISTEXT(AF40),0,IF(AF58=0,0,AF40/AF58))</f>
        <v>0</v>
      </c>
      <c r="AH40" s="1257"/>
      <c r="AI40" s="1259">
        <f>IF(ISTEXT(AH40),0,IF(AH58=0,0,AH40/AH58))</f>
        <v>0</v>
      </c>
    </row>
    <row r="41" spans="1:35" s="1281" customFormat="1" ht="23.25">
      <c r="A41" s="1244"/>
      <c r="B41" s="1245"/>
      <c r="C41" s="1288">
        <f t="shared" si="1"/>
        <v>0</v>
      </c>
      <c r="D41" s="1247">
        <f t="shared" si="2"/>
        <v>0</v>
      </c>
      <c r="E41" s="1248">
        <f>IF(ISTEXT(Z41),Z41,(Z41/Z7)*E6)</f>
        <v>0</v>
      </c>
      <c r="F41" s="1249">
        <f t="shared" si="11"/>
        <v>0</v>
      </c>
      <c r="G41" s="1248">
        <f>IF(ISTEXT(AB41),AB41,(AB41/AB7)*G6)</f>
        <v>0</v>
      </c>
      <c r="H41" s="1249">
        <f t="shared" si="12"/>
        <v>0</v>
      </c>
      <c r="I41" s="1248">
        <f>IF(ISTEXT(AD41),AD41,(AD41/AD7)*I6)</f>
        <v>0</v>
      </c>
      <c r="J41" s="1249">
        <f t="shared" si="13"/>
        <v>0</v>
      </c>
      <c r="K41" s="1248">
        <f>IF(ISTEXT(AF41),AF41,(AF41/AF7)*K6)</f>
        <v>0</v>
      </c>
      <c r="L41" s="1249">
        <f t="shared" si="14"/>
        <v>0</v>
      </c>
      <c r="M41" s="1248">
        <f>IF(ISTEXT(AH41),AH41,(AH41/AH7)*M6)</f>
        <v>0</v>
      </c>
      <c r="N41" s="1249">
        <f t="shared" si="15"/>
        <v>0</v>
      </c>
      <c r="O41" s="1250">
        <f t="shared" si="10"/>
        <v>0</v>
      </c>
      <c r="P41" s="1251">
        <f t="shared" si="16"/>
        <v>0</v>
      </c>
      <c r="Q41" s="1252">
        <f>IF(ISTEXT(P41),0,IF(P58=0,0,P41/P58))</f>
        <v>0</v>
      </c>
      <c r="R41" s="3421"/>
      <c r="U41" s="1244"/>
      <c r="V41" s="1268"/>
      <c r="W41" s="1269"/>
      <c r="X41" s="1270"/>
      <c r="Y41" s="1265"/>
      <c r="Z41" s="1257"/>
      <c r="AA41" s="1258">
        <f>IF(ISTEXT(Z41),0,IF(Z58=0,0,Z41/Z58))</f>
        <v>0</v>
      </c>
      <c r="AB41" s="1257"/>
      <c r="AC41" s="1258">
        <f>IF(ISTEXT(AB41),0,IF(AB58=0,0,AB41/AB58))</f>
        <v>0</v>
      </c>
      <c r="AD41" s="1257"/>
      <c r="AE41" s="1258">
        <f>IF(ISTEXT(AD41),0,IF(AD58=0,0,AD41/AD58))</f>
        <v>0</v>
      </c>
      <c r="AF41" s="1257"/>
      <c r="AG41" s="1258">
        <f>IF(ISTEXT(AF41),0,IF(AF58=0,0,AF41/AF58))</f>
        <v>0</v>
      </c>
      <c r="AH41" s="1257"/>
      <c r="AI41" s="1259">
        <f>IF(ISTEXT(AH41),0,IF(AH58=0,0,AH41/AH58))</f>
        <v>0</v>
      </c>
    </row>
    <row r="42" spans="1:35" s="1281" customFormat="1" ht="23.25" customHeight="1">
      <c r="A42" s="1244"/>
      <c r="B42" s="1245"/>
      <c r="C42" s="1288">
        <f t="shared" si="1"/>
        <v>0</v>
      </c>
      <c r="D42" s="1247">
        <f t="shared" si="2"/>
        <v>0</v>
      </c>
      <c r="E42" s="1248">
        <f>IF(ISTEXT(Z42),Z42,(Z42/Z7)*E6)</f>
        <v>0</v>
      </c>
      <c r="F42" s="1249">
        <f t="shared" si="11"/>
        <v>0</v>
      </c>
      <c r="G42" s="1248">
        <f>IF(ISTEXT(AB42),AB42,(AB42/AB7)*G6)</f>
        <v>0</v>
      </c>
      <c r="H42" s="1249">
        <f t="shared" si="12"/>
        <v>0</v>
      </c>
      <c r="I42" s="1248">
        <f>IF(ISTEXT(AD42),AD42,(AD42/AD7)*I6)</f>
        <v>0</v>
      </c>
      <c r="J42" s="1249">
        <f t="shared" si="13"/>
        <v>0</v>
      </c>
      <c r="K42" s="1248">
        <f>IF(ISTEXT(AF42),AF42,(AF42/AF7)*K6)</f>
        <v>0</v>
      </c>
      <c r="L42" s="1249">
        <f t="shared" si="14"/>
        <v>0</v>
      </c>
      <c r="M42" s="1248">
        <f>IF(ISTEXT(AH42),AH42,(AH42/AH7)*M6)</f>
        <v>0</v>
      </c>
      <c r="N42" s="1249">
        <f t="shared" si="15"/>
        <v>0</v>
      </c>
      <c r="O42" s="1250">
        <f t="shared" si="10"/>
        <v>0</v>
      </c>
      <c r="P42" s="1251">
        <f t="shared" si="16"/>
        <v>0</v>
      </c>
      <c r="Q42" s="1252">
        <f>IF(ISTEXT(P42),0,IF(P58=0,0,P42/P58))</f>
        <v>0</v>
      </c>
      <c r="R42" s="3421"/>
      <c r="U42" s="1244"/>
      <c r="V42" s="1268"/>
      <c r="W42" s="1269"/>
      <c r="X42" s="1270"/>
      <c r="Y42" s="1265"/>
      <c r="Z42" s="1257"/>
      <c r="AA42" s="1258">
        <f>IF(ISTEXT(Z42),0,IF(Z58=0,0,Z42/Z58))</f>
        <v>0</v>
      </c>
      <c r="AB42" s="1257"/>
      <c r="AC42" s="1258">
        <f>IF(ISTEXT(AB42),0,IF(AB58=0,0,AB42/AB58))</f>
        <v>0</v>
      </c>
      <c r="AD42" s="1257"/>
      <c r="AE42" s="1258">
        <f>IF(ISTEXT(AD42),0,IF(AD58=0,0,AD42/AD58))</f>
        <v>0</v>
      </c>
      <c r="AF42" s="1257"/>
      <c r="AG42" s="1258">
        <f>IF(ISTEXT(AF42),0,IF(AF58=0,0,AF42/AF58))</f>
        <v>0</v>
      </c>
      <c r="AH42" s="1257"/>
      <c r="AI42" s="1259">
        <f>IF(ISTEXT(AH42),0,IF(AH58=0,0,AH42/AH58))</f>
        <v>0</v>
      </c>
    </row>
    <row r="43" spans="1:35" s="1281" customFormat="1" ht="23.25">
      <c r="A43" s="1244"/>
      <c r="B43" s="1245"/>
      <c r="C43" s="1288">
        <f t="shared" si="1"/>
        <v>0</v>
      </c>
      <c r="D43" s="1247">
        <f t="shared" si="2"/>
        <v>0</v>
      </c>
      <c r="E43" s="1248">
        <f>IF(ISTEXT(Z43),Z43,(Z43/Z7)*E6)</f>
        <v>0</v>
      </c>
      <c r="F43" s="1249">
        <f t="shared" si="11"/>
        <v>0</v>
      </c>
      <c r="G43" s="1248">
        <f>IF(ISTEXT(AB43),AB43,(AB43/AB7)*G6)</f>
        <v>0</v>
      </c>
      <c r="H43" s="1249">
        <f t="shared" si="12"/>
        <v>0</v>
      </c>
      <c r="I43" s="1248">
        <f>IF(ISTEXT(AD43),AD43,(AD43/AD7)*I6)</f>
        <v>0</v>
      </c>
      <c r="J43" s="1249">
        <f t="shared" si="13"/>
        <v>0</v>
      </c>
      <c r="K43" s="1248">
        <f>IF(ISTEXT(AF43),AF43,(AF43/AF7)*K6)</f>
        <v>0</v>
      </c>
      <c r="L43" s="1249">
        <f t="shared" si="14"/>
        <v>0</v>
      </c>
      <c r="M43" s="1248">
        <f>IF(ISTEXT(AH43),AH43,(AH43/AH7)*M6)</f>
        <v>0</v>
      </c>
      <c r="N43" s="1249">
        <f t="shared" si="15"/>
        <v>0</v>
      </c>
      <c r="O43" s="1250">
        <f t="shared" si="10"/>
        <v>0</v>
      </c>
      <c r="P43" s="1251">
        <f t="shared" si="16"/>
        <v>0</v>
      </c>
      <c r="Q43" s="1252">
        <f>IF(ISTEXT(P43),0,IF(P58=0,0,P43/P58))</f>
        <v>0</v>
      </c>
      <c r="R43" s="3421"/>
      <c r="U43" s="1244"/>
      <c r="V43" s="1268"/>
      <c r="W43" s="1269"/>
      <c r="X43" s="1270"/>
      <c r="Y43" s="1265"/>
      <c r="Z43" s="1257"/>
      <c r="AA43" s="1258">
        <f>IF(ISTEXT(Z43),0,IF(Z58=0,0,Z43/Z58))</f>
        <v>0</v>
      </c>
      <c r="AB43" s="1257"/>
      <c r="AC43" s="1258">
        <f>IF(ISTEXT(AB43),0,IF(AB58=0,0,AB43/AB58))</f>
        <v>0</v>
      </c>
      <c r="AD43" s="1257"/>
      <c r="AE43" s="1258">
        <f>IF(ISTEXT(AD43),0,IF(AD58=0,0,AD43/AD58))</f>
        <v>0</v>
      </c>
      <c r="AF43" s="1257"/>
      <c r="AG43" s="1258">
        <f>IF(ISTEXT(AF43),0,IF(AF58=0,0,AF43/AF58))</f>
        <v>0</v>
      </c>
      <c r="AH43" s="1257"/>
      <c r="AI43" s="1259">
        <f>IF(ISTEXT(AH43),0,IF(AH58=0,0,AH43/AH58))</f>
        <v>0</v>
      </c>
    </row>
    <row r="44" spans="1:35" s="1281" customFormat="1" ht="23.25">
      <c r="A44" s="1244"/>
      <c r="B44" s="1245"/>
      <c r="C44" s="1288">
        <f t="shared" si="1"/>
        <v>0</v>
      </c>
      <c r="D44" s="1247">
        <f t="shared" si="2"/>
        <v>0</v>
      </c>
      <c r="E44" s="1248">
        <f>IF(ISTEXT(Z44),Z44,(Z44/Z7)*E6)</f>
        <v>0</v>
      </c>
      <c r="F44" s="1249">
        <f t="shared" si="11"/>
        <v>0</v>
      </c>
      <c r="G44" s="1248">
        <f>IF(ISTEXT(AB44),AB44,(AB44/AB7)*G6)</f>
        <v>0</v>
      </c>
      <c r="H44" s="1249">
        <f t="shared" si="12"/>
        <v>0</v>
      </c>
      <c r="I44" s="1248">
        <f>IF(ISTEXT(AD44),AD44,(AD44/AD7)*I6)</f>
        <v>0</v>
      </c>
      <c r="J44" s="1249">
        <f t="shared" si="13"/>
        <v>0</v>
      </c>
      <c r="K44" s="1248">
        <f>IF(ISTEXT(AF44),AF44,(AF44/AF7)*K6)</f>
        <v>0</v>
      </c>
      <c r="L44" s="1249">
        <f t="shared" si="14"/>
        <v>0</v>
      </c>
      <c r="M44" s="1248">
        <f>IF(ISTEXT(AH44),AH44,(AH44/AH7)*M6)</f>
        <v>0</v>
      </c>
      <c r="N44" s="1249">
        <f t="shared" si="15"/>
        <v>0</v>
      </c>
      <c r="O44" s="1250">
        <f t="shared" si="10"/>
        <v>0</v>
      </c>
      <c r="P44" s="1251">
        <f t="shared" si="16"/>
        <v>0</v>
      </c>
      <c r="Q44" s="1252">
        <f>IF(ISTEXT(P44),0,IF(P58=0,0,P44/P58))</f>
        <v>0</v>
      </c>
      <c r="R44" s="3421"/>
      <c r="U44" s="1244"/>
      <c r="V44" s="1268"/>
      <c r="W44" s="1269"/>
      <c r="X44" s="1270"/>
      <c r="Y44" s="1265"/>
      <c r="Z44" s="1257"/>
      <c r="AA44" s="1258">
        <f>IF(ISTEXT(Z44),0,IF(Z58=0,0,Z44/Z58))</f>
        <v>0</v>
      </c>
      <c r="AB44" s="1257"/>
      <c r="AC44" s="1258">
        <f>IF(ISTEXT(AB44),0,IF(AB58=0,0,AB44/AB58))</f>
        <v>0</v>
      </c>
      <c r="AD44" s="1257"/>
      <c r="AE44" s="1258">
        <f>IF(ISTEXT(AD44),0,IF(AD58=0,0,AD44/AD58))</f>
        <v>0</v>
      </c>
      <c r="AF44" s="1257"/>
      <c r="AG44" s="1258">
        <f>IF(ISTEXT(AF44),0,IF(AF58=0,0,AF44/AF58))</f>
        <v>0</v>
      </c>
      <c r="AH44" s="1257"/>
      <c r="AI44" s="1259">
        <f>IF(ISTEXT(AH44),0,IF(AH58=0,0,AH44/AH58))</f>
        <v>0</v>
      </c>
    </row>
    <row r="45" spans="1:35" s="1281" customFormat="1" ht="23.25">
      <c r="A45" s="1244"/>
      <c r="B45" s="1245"/>
      <c r="C45" s="1288">
        <f t="shared" si="1"/>
        <v>0</v>
      </c>
      <c r="D45" s="1247">
        <f t="shared" si="2"/>
        <v>0</v>
      </c>
      <c r="E45" s="1248">
        <f>IF(ISTEXT(Z45),Z45,(Z45/Z7)*E6)</f>
        <v>0</v>
      </c>
      <c r="F45" s="1249">
        <f t="shared" si="11"/>
        <v>0</v>
      </c>
      <c r="G45" s="1248">
        <f>IF(ISTEXT(AB45),AB45,(AB45/AB7)*G6)</f>
        <v>0</v>
      </c>
      <c r="H45" s="1249">
        <f t="shared" si="12"/>
        <v>0</v>
      </c>
      <c r="I45" s="1248">
        <f>IF(ISTEXT(AD45),AD45,(AD45/AD7)*I6)</f>
        <v>0</v>
      </c>
      <c r="J45" s="1249">
        <f t="shared" si="13"/>
        <v>0</v>
      </c>
      <c r="K45" s="1248">
        <f>IF(ISTEXT(AF45),AF45,(AF45/AF7)*K6)</f>
        <v>0</v>
      </c>
      <c r="L45" s="1249">
        <f t="shared" si="14"/>
        <v>0</v>
      </c>
      <c r="M45" s="1248">
        <f>IF(ISTEXT(AH45),AH45,(AH45/AH7)*M6)</f>
        <v>0</v>
      </c>
      <c r="N45" s="1249">
        <f t="shared" si="15"/>
        <v>0</v>
      </c>
      <c r="O45" s="1250">
        <f t="shared" si="10"/>
        <v>0</v>
      </c>
      <c r="P45" s="1251">
        <f t="shared" si="16"/>
        <v>0</v>
      </c>
      <c r="Q45" s="1252">
        <f>IF(ISTEXT(P45),0,IF(P58=0,0,P45/P58))</f>
        <v>0</v>
      </c>
      <c r="R45" s="3421"/>
      <c r="U45" s="1244"/>
      <c r="V45" s="1268"/>
      <c r="W45" s="1269"/>
      <c r="X45" s="1270"/>
      <c r="Y45" s="1265"/>
      <c r="Z45" s="1257"/>
      <c r="AA45" s="1258">
        <f>IF(ISTEXT(Z45),0,IF(Z58=0,0,Z45/Z58))</f>
        <v>0</v>
      </c>
      <c r="AB45" s="1257"/>
      <c r="AC45" s="1258">
        <f>IF(ISTEXT(AB45),0,IF(AB58=0,0,AB45/AB58))</f>
        <v>0</v>
      </c>
      <c r="AD45" s="1257"/>
      <c r="AE45" s="1258">
        <f>IF(ISTEXT(AD45),0,IF(AD58=0,0,AD45/AD58))</f>
        <v>0</v>
      </c>
      <c r="AF45" s="1257"/>
      <c r="AG45" s="1258">
        <f>IF(ISTEXT(AF45),0,IF(AF58=0,0,AF45/AF58))</f>
        <v>0</v>
      </c>
      <c r="AH45" s="1257"/>
      <c r="AI45" s="1259">
        <f>IF(ISTEXT(AH45),0,IF(AH58=0,0,AH45/AH58))</f>
        <v>0</v>
      </c>
    </row>
    <row r="46" spans="1:35" s="1281" customFormat="1" ht="23.25">
      <c r="A46" s="1244"/>
      <c r="B46" s="1245"/>
      <c r="C46" s="1288">
        <f t="shared" si="1"/>
        <v>0</v>
      </c>
      <c r="D46" s="1247">
        <f t="shared" si="2"/>
        <v>0</v>
      </c>
      <c r="E46" s="1248">
        <f>IF(ISTEXT(Z46),Z46,(Z46/Z7)*E6)</f>
        <v>0</v>
      </c>
      <c r="F46" s="1249">
        <f t="shared" si="11"/>
        <v>0</v>
      </c>
      <c r="G46" s="1248">
        <f>IF(ISTEXT(AB46),AB46,(AB46/AB7)*G6)</f>
        <v>0</v>
      </c>
      <c r="H46" s="1249">
        <f t="shared" si="12"/>
        <v>0</v>
      </c>
      <c r="I46" s="1248">
        <f>IF(ISTEXT(AD46),AD46,(AD46/AD7)*I6)</f>
        <v>0</v>
      </c>
      <c r="J46" s="1249">
        <f t="shared" si="13"/>
        <v>0</v>
      </c>
      <c r="K46" s="1248">
        <f>IF(ISTEXT(AF46),AF46,(AF46/AF7)*K6)</f>
        <v>0</v>
      </c>
      <c r="L46" s="1249">
        <f t="shared" si="14"/>
        <v>0</v>
      </c>
      <c r="M46" s="1248">
        <f>IF(ISTEXT(AH46),AH46,(AH46/AH7)*M6)</f>
        <v>0</v>
      </c>
      <c r="N46" s="1249">
        <f t="shared" si="15"/>
        <v>0</v>
      </c>
      <c r="O46" s="1250">
        <f t="shared" si="10"/>
        <v>0</v>
      </c>
      <c r="P46" s="1251">
        <f t="shared" si="16"/>
        <v>0</v>
      </c>
      <c r="Q46" s="1252">
        <f>IF(ISTEXT(P46),0,IF(P58=0,0,P46/P58))</f>
        <v>0</v>
      </c>
      <c r="R46" s="3421"/>
      <c r="U46" s="1244"/>
      <c r="V46" s="1268"/>
      <c r="W46" s="1269"/>
      <c r="X46" s="1270"/>
      <c r="Y46" s="1265"/>
      <c r="Z46" s="1257"/>
      <c r="AA46" s="1258">
        <f>IF(ISTEXT(Z46),0,IF(Z58=0,0,Z46/Z58))</f>
        <v>0</v>
      </c>
      <c r="AB46" s="1257"/>
      <c r="AC46" s="1258">
        <f>IF(ISTEXT(AB46),0,IF(AB58=0,0,AB46/AB58))</f>
        <v>0</v>
      </c>
      <c r="AD46" s="1257"/>
      <c r="AE46" s="1258">
        <f>IF(ISTEXT(AD46),0,IF(AD58=0,0,AD46/AD58))</f>
        <v>0</v>
      </c>
      <c r="AF46" s="1257"/>
      <c r="AG46" s="1258">
        <f>IF(ISTEXT(AF46),0,IF(AF58=0,0,AF46/AF58))</f>
        <v>0</v>
      </c>
      <c r="AH46" s="1257"/>
      <c r="AI46" s="1259">
        <f>IF(ISTEXT(AH46),0,IF(AH58=0,0,AH46/AH58))</f>
        <v>0</v>
      </c>
    </row>
    <row r="47" spans="1:35" s="1281" customFormat="1" ht="23.25">
      <c r="A47" s="1244"/>
      <c r="B47" s="1245"/>
      <c r="C47" s="1288">
        <f t="shared" si="1"/>
        <v>0</v>
      </c>
      <c r="D47" s="1247">
        <f t="shared" si="2"/>
        <v>0</v>
      </c>
      <c r="E47" s="1248">
        <f>IF(ISTEXT(Z47),Z47,(Z47/Z7)*E6)</f>
        <v>0</v>
      </c>
      <c r="F47" s="1249">
        <f t="shared" si="11"/>
        <v>0</v>
      </c>
      <c r="G47" s="1248">
        <f>IF(ISTEXT(AB47),AB47,(AB47/AB7)*G6)</f>
        <v>0</v>
      </c>
      <c r="H47" s="1249">
        <f t="shared" si="12"/>
        <v>0</v>
      </c>
      <c r="I47" s="1248">
        <f>IF(ISTEXT(AD47),AD47,(AD47/AD7)*I6)</f>
        <v>0</v>
      </c>
      <c r="J47" s="1249">
        <f t="shared" si="13"/>
        <v>0</v>
      </c>
      <c r="K47" s="1248">
        <f>IF(ISTEXT(AF47),AF47,(AF47/AF7)*K6)</f>
        <v>0</v>
      </c>
      <c r="L47" s="1249">
        <f t="shared" si="14"/>
        <v>0</v>
      </c>
      <c r="M47" s="1248">
        <f>IF(ISTEXT(AH47),AH47,(AH47/AH7)*M6)</f>
        <v>0</v>
      </c>
      <c r="N47" s="1249">
        <f t="shared" si="15"/>
        <v>0</v>
      </c>
      <c r="O47" s="1250">
        <f t="shared" si="10"/>
        <v>0</v>
      </c>
      <c r="P47" s="1251">
        <f t="shared" si="16"/>
        <v>0</v>
      </c>
      <c r="Q47" s="1252">
        <f>IF(ISTEXT(P47),0,IF(P58=0,0,P47/P58))</f>
        <v>0</v>
      </c>
      <c r="R47" s="3421"/>
      <c r="U47" s="1244"/>
      <c r="V47" s="1268"/>
      <c r="W47" s="1269"/>
      <c r="X47" s="1270"/>
      <c r="Y47" s="1265"/>
      <c r="Z47" s="1257"/>
      <c r="AA47" s="1258">
        <f>IF(ISTEXT(Z47),0,IF(Z58=0,0,Z47/Z58))</f>
        <v>0</v>
      </c>
      <c r="AB47" s="1257"/>
      <c r="AC47" s="1258">
        <f>IF(ISTEXT(AB47),0,IF(AB58=0,0,AB47/AB58))</f>
        <v>0</v>
      </c>
      <c r="AD47" s="1257"/>
      <c r="AE47" s="1258">
        <f>IF(ISTEXT(AD47),0,IF(AD58=0,0,AD47/AD58))</f>
        <v>0</v>
      </c>
      <c r="AF47" s="1257"/>
      <c r="AG47" s="1258">
        <f>IF(ISTEXT(AF47),0,IF(AF58=0,0,AF47/AF58))</f>
        <v>0</v>
      </c>
      <c r="AH47" s="1257"/>
      <c r="AI47" s="1259">
        <f>IF(ISTEXT(AH47),0,IF(AH58=0,0,AH47/AH58))</f>
        <v>0</v>
      </c>
    </row>
    <row r="48" spans="1:35" ht="23.25">
      <c r="A48" s="1244"/>
      <c r="B48" s="1245"/>
      <c r="C48" s="1288">
        <f t="shared" si="1"/>
        <v>0</v>
      </c>
      <c r="D48" s="1247">
        <f t="shared" si="2"/>
        <v>0</v>
      </c>
      <c r="E48" s="1248">
        <f>IF(ISTEXT(Z48),Z48,(Z48/Z7)*E6)</f>
        <v>0</v>
      </c>
      <c r="F48" s="1249">
        <f t="shared" si="11"/>
        <v>0</v>
      </c>
      <c r="G48" s="1248">
        <f>IF(ISTEXT(AB48),AB48,(AB48/AB7)*G6)</f>
        <v>0</v>
      </c>
      <c r="H48" s="1249">
        <f t="shared" si="12"/>
        <v>0</v>
      </c>
      <c r="I48" s="1248">
        <f>IF(ISTEXT(AD48),AD48,(AD48/AD7)*I6)</f>
        <v>0</v>
      </c>
      <c r="J48" s="1249">
        <f t="shared" si="13"/>
        <v>0</v>
      </c>
      <c r="K48" s="1248">
        <f>IF(ISTEXT(AF48),AF48,(AF48/AF7)*K6)</f>
        <v>0</v>
      </c>
      <c r="L48" s="1249">
        <f t="shared" si="14"/>
        <v>0</v>
      </c>
      <c r="M48" s="1248">
        <f>IF(ISTEXT(AH48),AH48,(AH48/AH7)*M6)</f>
        <v>0</v>
      </c>
      <c r="N48" s="1249">
        <f t="shared" si="15"/>
        <v>0</v>
      </c>
      <c r="O48" s="1250">
        <f t="shared" si="10"/>
        <v>0</v>
      </c>
      <c r="P48" s="1251">
        <f t="shared" si="16"/>
        <v>0</v>
      </c>
      <c r="Q48" s="1252">
        <f>IF(ISTEXT(P48),0,IF(P58=0,0,P48/P58))</f>
        <v>0</v>
      </c>
      <c r="R48" s="3421"/>
      <c r="U48" s="1244"/>
      <c r="V48" s="1268"/>
      <c r="W48" s="1269"/>
      <c r="X48" s="1270"/>
      <c r="Y48" s="1265"/>
      <c r="Z48" s="1257"/>
      <c r="AA48" s="1258">
        <f>IF(ISTEXT(Z48),0,IF(Z58=0,0,Z48/Z58))</f>
        <v>0</v>
      </c>
      <c r="AB48" s="1257"/>
      <c r="AC48" s="1258">
        <f>IF(ISTEXT(AB48),0,IF(AB58=0,0,AB48/AB58))</f>
        <v>0</v>
      </c>
      <c r="AD48" s="1257"/>
      <c r="AE48" s="1258">
        <f>IF(ISTEXT(AD48),0,IF(AD58=0,0,AD48/AD58))</f>
        <v>0</v>
      </c>
      <c r="AF48" s="1257"/>
      <c r="AG48" s="1258">
        <f>IF(ISTEXT(AF48),0,IF(AF58=0,0,AF48/AF58))</f>
        <v>0</v>
      </c>
      <c r="AH48" s="1257"/>
      <c r="AI48" s="1259">
        <f>IF(ISTEXT(AH48),0,IF(AH58=0,0,AH48/AH58))</f>
        <v>0</v>
      </c>
    </row>
    <row r="49" spans="1:35" ht="23.25">
      <c r="A49" s="1244"/>
      <c r="B49" s="1245"/>
      <c r="C49" s="1288">
        <f t="shared" si="1"/>
        <v>0</v>
      </c>
      <c r="D49" s="1247">
        <f t="shared" si="2"/>
        <v>0</v>
      </c>
      <c r="E49" s="1248">
        <f>IF(ISTEXT(Z49),Z49,(Z49/Z7)*E6)</f>
        <v>0</v>
      </c>
      <c r="F49" s="1249">
        <f t="shared" si="11"/>
        <v>0</v>
      </c>
      <c r="G49" s="1248">
        <f>IF(ISTEXT(AB49),AB49,(AB49/AB7)*G6)</f>
        <v>0</v>
      </c>
      <c r="H49" s="1249">
        <f t="shared" si="12"/>
        <v>0</v>
      </c>
      <c r="I49" s="1248">
        <f>IF(ISTEXT(AD49),AD49,(AD49/AD7)*I6)</f>
        <v>0</v>
      </c>
      <c r="J49" s="1249">
        <f t="shared" si="13"/>
        <v>0</v>
      </c>
      <c r="K49" s="1248">
        <f>IF(ISTEXT(AF49),AF49,(AF49/AF7)*K6)</f>
        <v>0</v>
      </c>
      <c r="L49" s="1249">
        <f t="shared" si="14"/>
        <v>0</v>
      </c>
      <c r="M49" s="1248">
        <f>IF(ISTEXT(AH49),AH49,(AH49/AH7)*M6)</f>
        <v>0</v>
      </c>
      <c r="N49" s="1249">
        <f t="shared" si="15"/>
        <v>0</v>
      </c>
      <c r="O49" s="1250">
        <f t="shared" si="10"/>
        <v>0</v>
      </c>
      <c r="P49" s="1251">
        <f t="shared" si="16"/>
        <v>0</v>
      </c>
      <c r="Q49" s="1252">
        <f>IF(ISTEXT(P49),0,IF(P58=0,0,P49/P58))</f>
        <v>0</v>
      </c>
      <c r="R49" s="3421"/>
      <c r="U49" s="1244"/>
      <c r="V49" s="1268"/>
      <c r="W49" s="1269"/>
      <c r="X49" s="1270"/>
      <c r="Y49" s="1265"/>
      <c r="Z49" s="1257"/>
      <c r="AA49" s="1258">
        <f>IF(ISTEXT(Z49),0,IF(Z58=0,0,Z49/Z58))</f>
        <v>0</v>
      </c>
      <c r="AB49" s="1257"/>
      <c r="AC49" s="1258">
        <f>IF(ISTEXT(AB49),0,IF(AB58=0,0,AB49/AB58))</f>
        <v>0</v>
      </c>
      <c r="AD49" s="1257"/>
      <c r="AE49" s="1258">
        <f>IF(ISTEXT(AD49),0,IF(AD58=0,0,AD49/AD58))</f>
        <v>0</v>
      </c>
      <c r="AF49" s="1257"/>
      <c r="AG49" s="1258">
        <f>IF(ISTEXT(AF49),0,IF(AF58=0,0,AF49/AF58))</f>
        <v>0</v>
      </c>
      <c r="AH49" s="1257"/>
      <c r="AI49" s="1259">
        <f>IF(ISTEXT(AH49),0,IF(AH58=0,0,AH49/AH58))</f>
        <v>0</v>
      </c>
    </row>
    <row r="50" spans="1:35" ht="23.25">
      <c r="A50" s="1244"/>
      <c r="B50" s="1245"/>
      <c r="C50" s="1288">
        <f t="shared" si="1"/>
        <v>0</v>
      </c>
      <c r="D50" s="1247">
        <f t="shared" si="2"/>
        <v>0</v>
      </c>
      <c r="E50" s="1248">
        <f>IF(ISTEXT(Z50),Z50,(Z50/Z7)*E6)</f>
        <v>0</v>
      </c>
      <c r="F50" s="1249">
        <f t="shared" si="11"/>
        <v>0</v>
      </c>
      <c r="G50" s="1248">
        <f>IF(ISTEXT(AB50),AB50,(AB50/AB7)*G6)</f>
        <v>0</v>
      </c>
      <c r="H50" s="1249">
        <f t="shared" si="12"/>
        <v>0</v>
      </c>
      <c r="I50" s="1248">
        <f>IF(ISTEXT(AD50),AD50,(AD50/AD7)*I6)</f>
        <v>0</v>
      </c>
      <c r="J50" s="1249">
        <f t="shared" si="13"/>
        <v>0</v>
      </c>
      <c r="K50" s="1248">
        <f>IF(ISTEXT(AF50),AF50,(AF50/AF7)*K6)</f>
        <v>0</v>
      </c>
      <c r="L50" s="1249">
        <f t="shared" si="14"/>
        <v>0</v>
      </c>
      <c r="M50" s="1248">
        <f>IF(ISTEXT(AH50),AH50,(AH50/AH7)*M6)</f>
        <v>0</v>
      </c>
      <c r="N50" s="1249">
        <f t="shared" si="15"/>
        <v>0</v>
      </c>
      <c r="O50" s="1250">
        <f t="shared" si="10"/>
        <v>0</v>
      </c>
      <c r="P50" s="1251">
        <f t="shared" si="16"/>
        <v>0</v>
      </c>
      <c r="Q50" s="1252">
        <f>IF(ISTEXT(P50),0,IF(P58=0,0,P50/P58))</f>
        <v>0</v>
      </c>
      <c r="R50" s="3421"/>
      <c r="U50" s="1244"/>
      <c r="V50" s="1268"/>
      <c r="W50" s="1269"/>
      <c r="X50" s="1270"/>
      <c r="Y50" s="1265"/>
      <c r="Z50" s="1257"/>
      <c r="AA50" s="1258">
        <f>IF(ISTEXT(Z50),0,IF(Z58=0,0,Z50/Z58))</f>
        <v>0</v>
      </c>
      <c r="AB50" s="1257"/>
      <c r="AC50" s="1258">
        <f>IF(ISTEXT(AB50),0,IF(AB58=0,0,AB50/AB58))</f>
        <v>0</v>
      </c>
      <c r="AD50" s="1257"/>
      <c r="AE50" s="1258">
        <f>IF(ISTEXT(AD50),0,IF(AD58=0,0,AD50/AD58))</f>
        <v>0</v>
      </c>
      <c r="AF50" s="1257"/>
      <c r="AG50" s="1258">
        <f>IF(ISTEXT(AF50),0,IF(AF58=0,0,AF50/AF58))</f>
        <v>0</v>
      </c>
      <c r="AH50" s="1257"/>
      <c r="AI50" s="1259">
        <f>IF(ISTEXT(AH50),0,IF(AH58=0,0,AH50/AH58))</f>
        <v>0</v>
      </c>
    </row>
    <row r="51" spans="1:35" ht="23.25">
      <c r="A51" s="1244"/>
      <c r="B51" s="1245"/>
      <c r="C51" s="1288"/>
      <c r="D51" s="1247">
        <f t="shared" ref="D51:D57" si="17">X51</f>
        <v>0</v>
      </c>
      <c r="E51" s="1248">
        <f>IF(ISTEXT(Z51),Z51,(Z51/Z7)*E6)</f>
        <v>0</v>
      </c>
      <c r="F51" s="1249">
        <f t="shared" si="11"/>
        <v>0</v>
      </c>
      <c r="G51" s="1248">
        <f>IF(ISTEXT(AB51),AB51,(AB51/AB7)*G6)</f>
        <v>0</v>
      </c>
      <c r="H51" s="1249">
        <f t="shared" si="12"/>
        <v>0</v>
      </c>
      <c r="I51" s="1248">
        <f>IF(ISTEXT(AD51),AD51,(AD51/AD7)*I6)</f>
        <v>0</v>
      </c>
      <c r="J51" s="1249">
        <f t="shared" si="13"/>
        <v>0</v>
      </c>
      <c r="K51" s="1248">
        <f>IF(ISTEXT(AF51),AF51,(AF51/AF7)*K6)</f>
        <v>0</v>
      </c>
      <c r="L51" s="1249">
        <f t="shared" si="14"/>
        <v>0</v>
      </c>
      <c r="M51" s="1248">
        <f>IF(ISTEXT(AH51),AH51,(AH51/AH7)*M6)</f>
        <v>0</v>
      </c>
      <c r="N51" s="1249">
        <f t="shared" si="15"/>
        <v>0</v>
      </c>
      <c r="O51" s="1250">
        <f t="shared" si="10"/>
        <v>0</v>
      </c>
      <c r="P51" s="1251">
        <f t="shared" si="16"/>
        <v>0</v>
      </c>
      <c r="Q51" s="1252">
        <f>IF(ISTEXT(P51),0,IF(P58=0,0,P51/P58))</f>
        <v>0</v>
      </c>
      <c r="R51" s="3421"/>
      <c r="U51" s="1244"/>
      <c r="V51" s="1268"/>
      <c r="W51" s="1269"/>
      <c r="X51" s="1270"/>
      <c r="Y51" s="1265"/>
      <c r="Z51" s="1257"/>
      <c r="AA51" s="1258">
        <f>IF(ISTEXT(Z51),0,IF(Z58=0,0,Z51/Z58))</f>
        <v>0</v>
      </c>
      <c r="AB51" s="1257"/>
      <c r="AC51" s="1258">
        <f>IF(ISTEXT(AB51),0,IF(AB58=0,0,AB51/AB58))</f>
        <v>0</v>
      </c>
      <c r="AD51" s="1257"/>
      <c r="AE51" s="1258">
        <f>IF(ISTEXT(AD51),0,IF(AD58=0,0,AD51/AD58))</f>
        <v>0</v>
      </c>
      <c r="AF51" s="1257"/>
      <c r="AG51" s="1258">
        <f>IF(ISTEXT(AF51),0,IF(AF58=0,0,AF51/AF58))</f>
        <v>0</v>
      </c>
      <c r="AH51" s="1257"/>
      <c r="AI51" s="1259">
        <f>IF(ISTEXT(AH51),0,IF(AH58=0,0,AH51/AH58))</f>
        <v>0</v>
      </c>
    </row>
    <row r="52" spans="1:35" ht="23.25">
      <c r="A52" s="1244"/>
      <c r="B52" s="1245"/>
      <c r="C52" s="1288">
        <f t="shared" ref="C52:C57" si="18">W52</f>
        <v>0</v>
      </c>
      <c r="D52" s="1247">
        <f t="shared" si="17"/>
        <v>0</v>
      </c>
      <c r="E52" s="1248">
        <f>IF(ISTEXT(Z52),Z52,(Z52/Z7)*E6)</f>
        <v>0</v>
      </c>
      <c r="F52" s="1249">
        <f t="shared" si="11"/>
        <v>0</v>
      </c>
      <c r="G52" s="1248">
        <f>IF(ISTEXT(AB52),AB52,(AB52/AB7)*G6)</f>
        <v>0</v>
      </c>
      <c r="H52" s="1249">
        <f t="shared" si="12"/>
        <v>0</v>
      </c>
      <c r="I52" s="1248">
        <f>IF(ISTEXT(AD52),AD52,(AD52/AD7)*I6)</f>
        <v>0</v>
      </c>
      <c r="J52" s="1249">
        <f t="shared" si="13"/>
        <v>0</v>
      </c>
      <c r="K52" s="1248">
        <f>IF(ISTEXT(AF52),AF52,(AF52/AF7)*K6)</f>
        <v>0</v>
      </c>
      <c r="L52" s="1249">
        <f t="shared" si="14"/>
        <v>0</v>
      </c>
      <c r="M52" s="1248">
        <f>IF(ISTEXT(AH52),AH52,(AH52/AH7)*M6)</f>
        <v>0</v>
      </c>
      <c r="N52" s="1249">
        <f t="shared" si="15"/>
        <v>0</v>
      </c>
      <c r="O52" s="1250">
        <f t="shared" si="10"/>
        <v>0</v>
      </c>
      <c r="P52" s="1251">
        <f t="shared" si="16"/>
        <v>0</v>
      </c>
      <c r="Q52" s="1252">
        <f>IF(ISTEXT(P52),0,IF(P58=0,0,P52/P58))</f>
        <v>0</v>
      </c>
      <c r="R52" s="3421"/>
      <c r="U52" s="1244"/>
      <c r="V52" s="1268"/>
      <c r="W52" s="1269"/>
      <c r="X52" s="1270"/>
      <c r="Y52" s="1265"/>
      <c r="Z52" s="1257"/>
      <c r="AA52" s="1258">
        <f>IF(ISTEXT(Z52),0,IF(Z58=0,0,Z52/Z58))</f>
        <v>0</v>
      </c>
      <c r="AB52" s="1257"/>
      <c r="AC52" s="1258">
        <f>IF(ISTEXT(AB52),0,IF(AB58=0,0,AB52/AB58))</f>
        <v>0</v>
      </c>
      <c r="AD52" s="1257"/>
      <c r="AE52" s="1258">
        <f>IF(ISTEXT(AD52),0,IF(AD58=0,0,AD52/AD58))</f>
        <v>0</v>
      </c>
      <c r="AF52" s="1257"/>
      <c r="AG52" s="1258">
        <f>IF(ISTEXT(AF52),0,IF(AF58=0,0,AF52/AF58))</f>
        <v>0</v>
      </c>
      <c r="AH52" s="1257"/>
      <c r="AI52" s="1259">
        <f>IF(ISTEXT(AH52),0,IF(AH58=0,0,AH52/AH58))</f>
        <v>0</v>
      </c>
    </row>
    <row r="53" spans="1:35" ht="23.25">
      <c r="A53" s="1244"/>
      <c r="B53" s="1245"/>
      <c r="C53" s="1288">
        <f t="shared" si="18"/>
        <v>0</v>
      </c>
      <c r="D53" s="1247">
        <f t="shared" si="17"/>
        <v>0</v>
      </c>
      <c r="E53" s="1248">
        <f>IF(ISTEXT(Z53),Z53,(Z53/Z7)*E6)</f>
        <v>0</v>
      </c>
      <c r="F53" s="1249">
        <f t="shared" si="11"/>
        <v>0</v>
      </c>
      <c r="G53" s="1248">
        <f>IF(ISTEXT(AB53),AB53,(AB53/AB7)*G6)</f>
        <v>0</v>
      </c>
      <c r="H53" s="1249">
        <f t="shared" si="12"/>
        <v>0</v>
      </c>
      <c r="I53" s="1248">
        <f>IF(ISTEXT(AD53),AD53,(AD53/AD7)*I6)</f>
        <v>0</v>
      </c>
      <c r="J53" s="1249">
        <f t="shared" si="13"/>
        <v>0</v>
      </c>
      <c r="K53" s="1248">
        <f>IF(ISTEXT(AF53),AF53,(AF53/AF7)*K6)</f>
        <v>0</v>
      </c>
      <c r="L53" s="1249">
        <f t="shared" si="14"/>
        <v>0</v>
      </c>
      <c r="M53" s="1248">
        <f>IF(ISTEXT(AH53),AH53,(AH53/AH7)*M6)</f>
        <v>0</v>
      </c>
      <c r="N53" s="1249">
        <f t="shared" si="15"/>
        <v>0</v>
      </c>
      <c r="O53" s="1250">
        <f t="shared" si="10"/>
        <v>0</v>
      </c>
      <c r="P53" s="1251">
        <f t="shared" si="16"/>
        <v>0</v>
      </c>
      <c r="Q53" s="1252">
        <f>IF(ISTEXT(P53),0,IF(P58=0,0,P53/P58))</f>
        <v>0</v>
      </c>
      <c r="R53" s="3421"/>
      <c r="U53" s="1244"/>
      <c r="V53" s="1268"/>
      <c r="W53" s="1269"/>
      <c r="X53" s="1270"/>
      <c r="Y53" s="1265"/>
      <c r="Z53" s="1257"/>
      <c r="AA53" s="1258">
        <f>IF(ISTEXT(Z53),0,IF(Z58=0,0,Z53/Z58))</f>
        <v>0</v>
      </c>
      <c r="AB53" s="1257"/>
      <c r="AC53" s="1258">
        <f>IF(ISTEXT(AB53),0,IF(AB58=0,0,AB53/AB58))</f>
        <v>0</v>
      </c>
      <c r="AD53" s="1257"/>
      <c r="AE53" s="1258">
        <f>IF(ISTEXT(AD53),0,IF(AD58=0,0,AD53/AD58))</f>
        <v>0</v>
      </c>
      <c r="AF53" s="1257"/>
      <c r="AG53" s="1258">
        <f>IF(ISTEXT(AF53),0,IF(AF58=0,0,AF53/AF58))</f>
        <v>0</v>
      </c>
      <c r="AH53" s="1257"/>
      <c r="AI53" s="1259">
        <f>IF(ISTEXT(AH53),0,IF(AH58=0,0,AH53/AH58))</f>
        <v>0</v>
      </c>
    </row>
    <row r="54" spans="1:35" ht="23.25">
      <c r="A54" s="1244"/>
      <c r="B54" s="1245"/>
      <c r="C54" s="1288">
        <f t="shared" si="18"/>
        <v>0</v>
      </c>
      <c r="D54" s="1247">
        <f t="shared" si="17"/>
        <v>0</v>
      </c>
      <c r="E54" s="1248">
        <f>IF(ISTEXT(Z54),Z54,(Z54/Z7)*E6)</f>
        <v>0</v>
      </c>
      <c r="F54" s="1249">
        <f t="shared" si="11"/>
        <v>0</v>
      </c>
      <c r="G54" s="1248">
        <f>IF(ISTEXT(AB54),AB54,(AB54/AB7)*G6)</f>
        <v>0</v>
      </c>
      <c r="H54" s="1249">
        <f t="shared" si="12"/>
        <v>0</v>
      </c>
      <c r="I54" s="1248">
        <f>IF(ISTEXT(AD54),AD54,(AD54/AD7)*I6)</f>
        <v>0</v>
      </c>
      <c r="J54" s="1249">
        <f t="shared" si="13"/>
        <v>0</v>
      </c>
      <c r="K54" s="1248">
        <f>IF(ISTEXT(AF54),AF54,(AF54/AF7)*K6)</f>
        <v>0</v>
      </c>
      <c r="L54" s="1249">
        <f t="shared" si="14"/>
        <v>0</v>
      </c>
      <c r="M54" s="1248">
        <f>IF(ISTEXT(AH54),AH54,(AH54/AH7)*M6)</f>
        <v>0</v>
      </c>
      <c r="N54" s="1249">
        <f t="shared" si="15"/>
        <v>0</v>
      </c>
      <c r="O54" s="1250">
        <f t="shared" si="10"/>
        <v>0</v>
      </c>
      <c r="P54" s="1251">
        <f t="shared" si="16"/>
        <v>0</v>
      </c>
      <c r="Q54" s="1252">
        <f>IF(ISTEXT(P54),0,IF(P58=0,0,P54/P58))</f>
        <v>0</v>
      </c>
      <c r="R54" s="3421"/>
      <c r="U54" s="1244"/>
      <c r="V54" s="1268"/>
      <c r="W54" s="1269"/>
      <c r="X54" s="1270"/>
      <c r="Y54" s="1265"/>
      <c r="Z54" s="1257"/>
      <c r="AA54" s="1258">
        <f>IF(ISTEXT(Z54),0,IF(Z58=0,0,Z54/Z58))</f>
        <v>0</v>
      </c>
      <c r="AB54" s="1257"/>
      <c r="AC54" s="1258">
        <f>IF(ISTEXT(AB54),0,IF(AB58=0,0,AB54/AB58))</f>
        <v>0</v>
      </c>
      <c r="AD54" s="1257"/>
      <c r="AE54" s="1258">
        <f>IF(ISTEXT(AD54),0,IF(AD58=0,0,AD54/AD58))</f>
        <v>0</v>
      </c>
      <c r="AF54" s="1257"/>
      <c r="AG54" s="1258">
        <f>IF(ISTEXT(AF54),0,IF(AF58=0,0,AF54/AF58))</f>
        <v>0</v>
      </c>
      <c r="AH54" s="1257"/>
      <c r="AI54" s="1259">
        <f>IF(ISTEXT(AH54),0,IF(AH58=0,0,AH54/AH58))</f>
        <v>0</v>
      </c>
    </row>
    <row r="55" spans="1:35" ht="23.25">
      <c r="A55" s="1244"/>
      <c r="B55" s="1245"/>
      <c r="C55" s="1288">
        <f t="shared" si="18"/>
        <v>0</v>
      </c>
      <c r="D55" s="1247">
        <f t="shared" si="17"/>
        <v>0</v>
      </c>
      <c r="E55" s="1248">
        <f>IF(ISTEXT(Z55),Z55,(Z55/Z7)*E6)</f>
        <v>0</v>
      </c>
      <c r="F55" s="1249">
        <f t="shared" si="11"/>
        <v>0</v>
      </c>
      <c r="G55" s="1248">
        <f>IF(ISTEXT(AB55),AB55,(AB55/AB7)*G6)</f>
        <v>0</v>
      </c>
      <c r="H55" s="1249">
        <f t="shared" si="12"/>
        <v>0</v>
      </c>
      <c r="I55" s="1248">
        <f>IF(ISTEXT(AD55),AD55,(AD55/AD7)*I6)</f>
        <v>0</v>
      </c>
      <c r="J55" s="1249">
        <f t="shared" si="13"/>
        <v>0</v>
      </c>
      <c r="K55" s="1248">
        <f>IF(ISTEXT(AF55),AF55,(AF55/AF7)*K6)</f>
        <v>0</v>
      </c>
      <c r="L55" s="1249">
        <f t="shared" si="14"/>
        <v>0</v>
      </c>
      <c r="M55" s="1248">
        <f>IF(ISTEXT(AH55),AH55,(AH55/AH7)*M6)</f>
        <v>0</v>
      </c>
      <c r="N55" s="1249">
        <f t="shared" si="15"/>
        <v>0</v>
      </c>
      <c r="O55" s="1250">
        <f t="shared" si="10"/>
        <v>0</v>
      </c>
      <c r="P55" s="1251">
        <f t="shared" si="16"/>
        <v>0</v>
      </c>
      <c r="Q55" s="1252">
        <f>IF(ISTEXT(P55),0,IF(P58=0,0,P55/P58))</f>
        <v>0</v>
      </c>
      <c r="R55" s="3421"/>
      <c r="U55" s="1244"/>
      <c r="V55" s="1268"/>
      <c r="W55" s="1269"/>
      <c r="X55" s="1270"/>
      <c r="Y55" s="1265"/>
      <c r="Z55" s="1257"/>
      <c r="AA55" s="1258">
        <f>IF(ISTEXT(Z55),0,IF(Z58=0,0,Z55/Z58))</f>
        <v>0</v>
      </c>
      <c r="AB55" s="1257"/>
      <c r="AC55" s="1258">
        <f>IF(ISTEXT(AB55),0,IF(AB58=0,0,AB55/AB58))</f>
        <v>0</v>
      </c>
      <c r="AD55" s="1257"/>
      <c r="AE55" s="1258">
        <f>IF(ISTEXT(AD55),0,IF(AD58=0,0,AD55/AD58))</f>
        <v>0</v>
      </c>
      <c r="AF55" s="1257"/>
      <c r="AG55" s="1258">
        <f>IF(ISTEXT(AF55),0,IF(AF58=0,0,AF55/AF58))</f>
        <v>0</v>
      </c>
      <c r="AH55" s="1257"/>
      <c r="AI55" s="1259">
        <f>IF(ISTEXT(AH55),0,IF(AH58=0,0,AH55/AH58))</f>
        <v>0</v>
      </c>
    </row>
    <row r="56" spans="1:35" ht="23.25">
      <c r="A56" s="1244"/>
      <c r="B56" s="1245"/>
      <c r="C56" s="1288">
        <f t="shared" si="18"/>
        <v>0</v>
      </c>
      <c r="D56" s="1247">
        <f t="shared" si="17"/>
        <v>0</v>
      </c>
      <c r="E56" s="1248">
        <f>IF(ISTEXT(Z56),Z56,(Z56/Z7)*E6)</f>
        <v>0</v>
      </c>
      <c r="F56" s="1249">
        <f t="shared" si="11"/>
        <v>0</v>
      </c>
      <c r="G56" s="1248">
        <f>IF(ISTEXT(AB56),AB56,(AB56/AB7)*G6)</f>
        <v>0</v>
      </c>
      <c r="H56" s="1249">
        <f t="shared" si="12"/>
        <v>0</v>
      </c>
      <c r="I56" s="1248">
        <f>IF(ISTEXT(AD56),AD56,(AD56/AD7)*I6)</f>
        <v>0</v>
      </c>
      <c r="J56" s="1249">
        <f t="shared" si="13"/>
        <v>0</v>
      </c>
      <c r="K56" s="1248">
        <f>IF(ISTEXT(AF56),AF56,(AF56/AF7)*K6)</f>
        <v>0</v>
      </c>
      <c r="L56" s="1249">
        <f t="shared" si="14"/>
        <v>0</v>
      </c>
      <c r="M56" s="1248">
        <f>IF(ISTEXT(AH56),AH56,(AH56/AH7)*M6)</f>
        <v>0</v>
      </c>
      <c r="N56" s="1249">
        <f t="shared" si="15"/>
        <v>0</v>
      </c>
      <c r="O56" s="1250">
        <f t="shared" si="10"/>
        <v>0</v>
      </c>
      <c r="P56" s="1251">
        <f t="shared" si="16"/>
        <v>0</v>
      </c>
      <c r="Q56" s="1252">
        <f>IF(ISTEXT(P56),0,IF(P58=0,0,P56/P58))</f>
        <v>0</v>
      </c>
      <c r="R56" s="3421"/>
      <c r="U56" s="1244"/>
      <c r="V56" s="1268"/>
      <c r="W56" s="1269"/>
      <c r="X56" s="1270"/>
      <c r="Y56" s="1265"/>
      <c r="Z56" s="1257"/>
      <c r="AA56" s="1258">
        <f>IF(ISTEXT(Z56),0,IF(Z58=0,0,Z56/Z58))</f>
        <v>0</v>
      </c>
      <c r="AB56" s="1257"/>
      <c r="AC56" s="1258">
        <f>IF(ISTEXT(AB56),0,IF(AB58=0,0,AB56/AB58))</f>
        <v>0</v>
      </c>
      <c r="AD56" s="1257"/>
      <c r="AE56" s="1258">
        <f>IF(ISTEXT(AD56),0,IF(AD58=0,0,AD56/AD58))</f>
        <v>0</v>
      </c>
      <c r="AF56" s="1257"/>
      <c r="AG56" s="1258">
        <f>IF(ISTEXT(AF56),0,IF(AF58=0,0,AF56/AF58))</f>
        <v>0</v>
      </c>
      <c r="AH56" s="1257"/>
      <c r="AI56" s="1259">
        <f>IF(ISTEXT(AH56),0,IF(AH58=0,0,AH56/AH58))</f>
        <v>0</v>
      </c>
    </row>
    <row r="57" spans="1:35" ht="20.25" customHeight="1">
      <c r="A57" s="1244"/>
      <c r="B57" s="1245"/>
      <c r="C57" s="1288">
        <f t="shared" si="18"/>
        <v>0</v>
      </c>
      <c r="D57" s="1247">
        <f t="shared" si="17"/>
        <v>0</v>
      </c>
      <c r="E57" s="1248">
        <f>IF(ISTEXT(Z57),Z57,(Z57/Z7)*E6)</f>
        <v>0</v>
      </c>
      <c r="F57" s="1249">
        <f t="shared" si="11"/>
        <v>0</v>
      </c>
      <c r="G57" s="1248">
        <f>IF(ISTEXT(AB57),AB57,(AB57/AB7)*G6)</f>
        <v>0</v>
      </c>
      <c r="H57" s="1249">
        <f t="shared" si="12"/>
        <v>0</v>
      </c>
      <c r="I57" s="1248">
        <f>IF(ISTEXT(AD57),AD57,(AD57/AD7)*I6)</f>
        <v>0</v>
      </c>
      <c r="J57" s="1249">
        <f t="shared" si="13"/>
        <v>0</v>
      </c>
      <c r="K57" s="1248">
        <f>IF(ISTEXT(AF57),AF57,(AF57/AF7)*K6)</f>
        <v>0</v>
      </c>
      <c r="L57" s="1249">
        <f t="shared" si="14"/>
        <v>0</v>
      </c>
      <c r="M57" s="1248">
        <f>IF(ISTEXT(AH57),AH57,(AH57/AH7)*M6)</f>
        <v>0</v>
      </c>
      <c r="N57" s="1249">
        <f t="shared" si="15"/>
        <v>0</v>
      </c>
      <c r="O57" s="1316">
        <f t="shared" si="10"/>
        <v>0</v>
      </c>
      <c r="P57" s="1317">
        <f t="shared" si="16"/>
        <v>0</v>
      </c>
      <c r="Q57" s="1252">
        <f>IF(ISTEXT(P57),0,IF(P58=0,0,P57/P58))</f>
        <v>0</v>
      </c>
      <c r="R57" s="3421"/>
      <c r="U57" s="1244"/>
      <c r="V57" s="1268"/>
      <c r="W57" s="1269">
        <v>0</v>
      </c>
      <c r="X57" s="1270">
        <v>0</v>
      </c>
      <c r="Y57" s="1265"/>
      <c r="Z57" s="1318"/>
      <c r="AA57" s="1258">
        <f>IF(ISTEXT(Z57),0,IF(Z58=0,0,Z57/Z58))</f>
        <v>0</v>
      </c>
      <c r="AB57" s="1318"/>
      <c r="AC57" s="1258">
        <f>IF(ISTEXT(AB57),0,IF(AB58=0,0,AB57/AB58))</f>
        <v>0</v>
      </c>
      <c r="AD57" s="1318"/>
      <c r="AE57" s="1258">
        <f>IF(ISTEXT(AD57),0,IF(AD58=0,0,AD57/AD58))</f>
        <v>0</v>
      </c>
      <c r="AF57" s="1318"/>
      <c r="AG57" s="1258">
        <f>IF(ISTEXT(AF57),0,IF(AF58=0,0,AF57/AF58))</f>
        <v>0</v>
      </c>
      <c r="AH57" s="1318"/>
      <c r="AI57" s="1259">
        <f>IF(ISTEXT(AH57),0,IF(AH58=0,0,AH57/AH58))</f>
        <v>0</v>
      </c>
    </row>
    <row r="58" spans="1:35" ht="20.25" customHeight="1">
      <c r="A58" s="1319"/>
      <c r="B58" s="1320"/>
      <c r="C58" s="1321"/>
      <c r="D58" s="1322">
        <v>0</v>
      </c>
      <c r="E58" s="1323">
        <f t="shared" ref="E58:Q58" si="19">SUM(E8:E57)</f>
        <v>4</v>
      </c>
      <c r="F58" s="1324">
        <f t="shared" si="19"/>
        <v>67.2</v>
      </c>
      <c r="G58" s="1323">
        <f t="shared" si="19"/>
        <v>0</v>
      </c>
      <c r="H58" s="1324">
        <f t="shared" si="19"/>
        <v>0</v>
      </c>
      <c r="I58" s="1323">
        <f t="shared" si="19"/>
        <v>0</v>
      </c>
      <c r="J58" s="1324">
        <f t="shared" si="19"/>
        <v>0</v>
      </c>
      <c r="K58" s="1323">
        <f t="shared" si="19"/>
        <v>0</v>
      </c>
      <c r="L58" s="1324">
        <f t="shared" si="19"/>
        <v>0</v>
      </c>
      <c r="M58" s="1323">
        <f t="shared" si="19"/>
        <v>0</v>
      </c>
      <c r="N58" s="1325">
        <f t="shared" si="19"/>
        <v>0</v>
      </c>
      <c r="O58" s="1326">
        <f t="shared" si="19"/>
        <v>4</v>
      </c>
      <c r="P58" s="1327">
        <f t="shared" si="19"/>
        <v>67.2</v>
      </c>
      <c r="Q58" s="1328">
        <f t="shared" si="19"/>
        <v>1</v>
      </c>
      <c r="R58" s="3421"/>
      <c r="U58" s="1319"/>
      <c r="V58" s="3465" t="s">
        <v>80</v>
      </c>
      <c r="W58" s="3466"/>
      <c r="X58" s="3466"/>
      <c r="Y58" s="3467"/>
      <c r="Z58" s="1493">
        <f t="shared" ref="Z58:AI58" si="20">SUM(Z8:Z57)</f>
        <v>2</v>
      </c>
      <c r="AA58" s="1494">
        <f t="shared" si="20"/>
        <v>1</v>
      </c>
      <c r="AB58" s="1495">
        <f t="shared" si="20"/>
        <v>0</v>
      </c>
      <c r="AC58" s="1494">
        <f t="shared" si="20"/>
        <v>0</v>
      </c>
      <c r="AD58" s="1495">
        <f t="shared" si="20"/>
        <v>0</v>
      </c>
      <c r="AE58" s="1494">
        <f t="shared" si="20"/>
        <v>0</v>
      </c>
      <c r="AF58" s="1495">
        <f t="shared" si="20"/>
        <v>0</v>
      </c>
      <c r="AG58" s="1494">
        <f t="shared" si="20"/>
        <v>0</v>
      </c>
      <c r="AH58" s="1495">
        <f t="shared" si="20"/>
        <v>0</v>
      </c>
      <c r="AI58" s="1496">
        <f t="shared" si="20"/>
        <v>0</v>
      </c>
    </row>
    <row r="59" spans="1:35" ht="21" customHeight="1">
      <c r="A59" s="1333"/>
      <c r="B59" s="1334"/>
      <c r="C59" s="1335"/>
      <c r="D59" s="1336" t="s">
        <v>123</v>
      </c>
      <c r="E59" s="1337">
        <f>IF(E6=0,0,(E58/E6)*1)</f>
        <v>0.2</v>
      </c>
      <c r="F59" s="1338" t="s">
        <v>122</v>
      </c>
      <c r="G59" s="1337">
        <f>IF(G6=0,0,(G58/G6)*1)</f>
        <v>0</v>
      </c>
      <c r="H59" s="1338" t="s">
        <v>122</v>
      </c>
      <c r="I59" s="1337">
        <f>IF(I6=0,0,(I58/I6)*1)</f>
        <v>0</v>
      </c>
      <c r="J59" s="1338" t="s">
        <v>122</v>
      </c>
      <c r="K59" s="1337">
        <f>IF(K6=0,0,(K58/K6)*1)</f>
        <v>0</v>
      </c>
      <c r="L59" s="1338" t="s">
        <v>122</v>
      </c>
      <c r="M59" s="1337">
        <f>IF(M6=0,0,(M58/M6)*1)</f>
        <v>0</v>
      </c>
      <c r="N59" s="1339" t="s">
        <v>122</v>
      </c>
      <c r="O59" s="3468" t="s">
        <v>124</v>
      </c>
      <c r="P59" s="3469"/>
      <c r="Q59" s="3469"/>
      <c r="R59" s="3421"/>
      <c r="U59" s="1333"/>
      <c r="V59" s="3465"/>
      <c r="W59" s="3466"/>
      <c r="X59" s="3466"/>
      <c r="Y59" s="3467"/>
      <c r="Z59" s="1340">
        <f>Z58/Z7</f>
        <v>0.2</v>
      </c>
      <c r="AA59" s="1341">
        <v>0</v>
      </c>
      <c r="AB59" s="1340">
        <f>AB58/AB7</f>
        <v>0</v>
      </c>
      <c r="AC59" s="1341">
        <v>0</v>
      </c>
      <c r="AD59" s="1340">
        <f>AD58/AD7</f>
        <v>0</v>
      </c>
      <c r="AE59" s="1341">
        <v>0</v>
      </c>
      <c r="AF59" s="1340">
        <f>AF58/AF7</f>
        <v>0</v>
      </c>
      <c r="AG59" s="1341">
        <v>0</v>
      </c>
      <c r="AH59" s="1340">
        <f>AH58/AH7</f>
        <v>0</v>
      </c>
      <c r="AI59" s="1342">
        <v>0</v>
      </c>
    </row>
    <row r="60" spans="1:35" ht="24" customHeight="1" thickBot="1">
      <c r="A60" s="1343"/>
      <c r="B60" s="1344"/>
      <c r="C60" s="1345"/>
      <c r="D60" s="1346" t="s">
        <v>125</v>
      </c>
      <c r="E60" s="1347"/>
      <c r="F60" s="1348">
        <f>IF(E6=0,0,(F58/E6)*1)</f>
        <v>3.3600000000000003</v>
      </c>
      <c r="G60" s="1347"/>
      <c r="H60" s="1348">
        <f>IF(G6=0,0,(H58/G6)*1)</f>
        <v>0</v>
      </c>
      <c r="I60" s="1347"/>
      <c r="J60" s="1348">
        <f>IF(I6=0,0,(J58/I6)*1)</f>
        <v>0</v>
      </c>
      <c r="K60" s="1347"/>
      <c r="L60" s="1348">
        <f>IF(K6=0,0,(L58/K6)*1)</f>
        <v>0</v>
      </c>
      <c r="M60" s="1347"/>
      <c r="N60" s="1348">
        <f>IF(M6=0,0,(N58/M6)*1)</f>
        <v>0</v>
      </c>
      <c r="O60" s="1349"/>
      <c r="P60" s="1350">
        <f>P58</f>
        <v>67.2</v>
      </c>
      <c r="Q60" s="1351"/>
      <c r="R60" s="3421"/>
      <c r="U60" s="1343"/>
      <c r="V60" s="3465"/>
      <c r="W60" s="3466"/>
      <c r="X60" s="3466"/>
      <c r="Y60" s="3467"/>
      <c r="Z60" s="3470" t="s">
        <v>123</v>
      </c>
      <c r="AA60" s="3471"/>
      <c r="AB60" s="3471"/>
      <c r="AC60" s="3471"/>
      <c r="AD60" s="3471"/>
      <c r="AE60" s="3471"/>
      <c r="AF60" s="3471"/>
      <c r="AG60" s="3471"/>
      <c r="AH60" s="3471"/>
      <c r="AI60" s="3472"/>
    </row>
    <row r="61" spans="1:35" ht="24" customHeight="1">
      <c r="A61" s="1343"/>
      <c r="B61" s="1352"/>
      <c r="C61" s="1192"/>
      <c r="D61" s="1353" t="s">
        <v>88</v>
      </c>
      <c r="E61" s="1354"/>
      <c r="F61" s="1355">
        <v>2</v>
      </c>
      <c r="G61" s="1354"/>
      <c r="H61" s="1355">
        <v>2</v>
      </c>
      <c r="I61" s="1354"/>
      <c r="J61" s="1355">
        <v>2</v>
      </c>
      <c r="K61" s="1354"/>
      <c r="L61" s="1355">
        <v>2</v>
      </c>
      <c r="M61" s="1354"/>
      <c r="N61" s="1356">
        <v>2</v>
      </c>
      <c r="O61" s="1357"/>
      <c r="P61" s="1358">
        <v>2</v>
      </c>
      <c r="Q61" s="1359"/>
      <c r="R61" s="3421"/>
      <c r="U61" s="1343"/>
      <c r="V61" s="1455"/>
      <c r="W61" s="1456" t="s">
        <v>126</v>
      </c>
      <c r="X61" s="1457"/>
      <c r="Y61" s="1457"/>
      <c r="Z61" s="1457"/>
      <c r="AA61" s="1457"/>
      <c r="AB61" s="1457"/>
      <c r="AC61" s="1457"/>
      <c r="AD61" s="1457"/>
      <c r="AE61" s="1457"/>
      <c r="AF61" s="1457"/>
      <c r="AG61" s="1457"/>
      <c r="AH61" s="1457"/>
      <c r="AI61" s="1458"/>
    </row>
    <row r="62" spans="1:35" ht="20.25" customHeight="1">
      <c r="A62" s="1343"/>
      <c r="B62" s="1363"/>
      <c r="C62" s="1364"/>
      <c r="D62" s="1365" t="s">
        <v>127</v>
      </c>
      <c r="E62" s="1366"/>
      <c r="F62" s="1367">
        <f>F60*F61</f>
        <v>6.7200000000000006</v>
      </c>
      <c r="G62" s="1366"/>
      <c r="H62" s="1367">
        <f>H60*H61</f>
        <v>0</v>
      </c>
      <c r="I62" s="1366"/>
      <c r="J62" s="1367">
        <f>J60*J61</f>
        <v>0</v>
      </c>
      <c r="K62" s="1366"/>
      <c r="L62" s="1367">
        <f>L60*L61</f>
        <v>0</v>
      </c>
      <c r="M62" s="1366"/>
      <c r="N62" s="1368">
        <f>N60*N61</f>
        <v>0</v>
      </c>
      <c r="O62" s="1369"/>
      <c r="P62" s="1368">
        <f>P58*P61</f>
        <v>134.4</v>
      </c>
      <c r="Q62" s="1370"/>
      <c r="R62" s="3421"/>
      <c r="U62" s="1343"/>
      <c r="V62" s="1491"/>
      <c r="W62" s="1497" t="s">
        <v>128</v>
      </c>
      <c r="X62" s="1464"/>
      <c r="Y62" s="1464"/>
      <c r="Z62" s="1464"/>
      <c r="AA62" s="1464"/>
      <c r="AB62" s="1464"/>
      <c r="AC62" s="1464"/>
      <c r="AD62" s="1464"/>
      <c r="AE62" s="1464"/>
      <c r="AF62" s="1464"/>
      <c r="AG62" s="1464"/>
      <c r="AH62" s="1464"/>
      <c r="AI62" s="1465"/>
    </row>
    <row r="63" spans="1:35" ht="20.25" customHeight="1">
      <c r="A63" s="1343"/>
      <c r="B63" s="1372" t="s">
        <v>80</v>
      </c>
      <c r="C63" s="1192"/>
      <c r="D63" s="1192"/>
      <c r="E63" s="1192"/>
      <c r="F63" s="1192"/>
      <c r="G63" s="1192"/>
      <c r="H63" s="1192"/>
      <c r="I63" s="1192"/>
      <c r="J63" s="1192"/>
      <c r="K63" s="1192"/>
      <c r="L63" s="1192"/>
      <c r="M63" s="1192"/>
      <c r="N63" s="1192"/>
      <c r="O63" s="1373"/>
      <c r="P63" s="1373"/>
      <c r="Q63" s="1373"/>
      <c r="R63" s="3421"/>
      <c r="U63" s="1343"/>
      <c r="V63" s="1491"/>
      <c r="W63" s="1497" t="s">
        <v>129</v>
      </c>
      <c r="X63" s="1457"/>
      <c r="Y63" s="1457"/>
      <c r="Z63" s="1457"/>
      <c r="AA63" s="1457"/>
      <c r="AB63" s="1457"/>
      <c r="AC63" s="1457"/>
      <c r="AD63" s="1457"/>
      <c r="AE63" s="1457"/>
      <c r="AF63" s="1457"/>
      <c r="AG63" s="1457"/>
      <c r="AH63" s="1457"/>
      <c r="AI63" s="1458"/>
    </row>
    <row r="64" spans="1:35" ht="20.25" customHeight="1">
      <c r="A64" s="1343"/>
      <c r="B64" s="1375"/>
      <c r="C64" s="1376"/>
      <c r="D64" s="1376"/>
      <c r="E64" s="1376"/>
      <c r="F64" s="1376"/>
      <c r="G64" s="1376"/>
      <c r="H64" s="1376"/>
      <c r="I64" s="1376"/>
      <c r="J64" s="1376"/>
      <c r="K64" s="1376"/>
      <c r="L64" s="1376"/>
      <c r="M64" s="1376"/>
      <c r="N64" s="1376"/>
      <c r="O64" s="1376"/>
      <c r="P64" s="1376"/>
      <c r="Q64" s="1376"/>
      <c r="R64" s="3421"/>
      <c r="U64" s="1343"/>
      <c r="V64" s="1491"/>
      <c r="W64" s="1497" t="s">
        <v>130</v>
      </c>
      <c r="X64" s="1457"/>
      <c r="Y64" s="1457"/>
      <c r="Z64" s="1457"/>
      <c r="AA64" s="1457"/>
      <c r="AB64" s="1457"/>
      <c r="AC64" s="1457"/>
      <c r="AD64" s="1457"/>
      <c r="AE64" s="1457"/>
      <c r="AF64" s="1457"/>
      <c r="AG64" s="1457"/>
      <c r="AH64" s="1457"/>
      <c r="AI64" s="1458"/>
    </row>
    <row r="65" spans="1:35" ht="20.25" customHeight="1">
      <c r="A65" s="1343"/>
      <c r="B65" s="3435" t="s">
        <v>131</v>
      </c>
      <c r="C65" s="3436"/>
      <c r="D65" s="3436"/>
      <c r="E65" s="3436"/>
      <c r="F65" s="3436"/>
      <c r="G65" s="3436"/>
      <c r="H65" s="3436"/>
      <c r="I65" s="3436"/>
      <c r="J65" s="3436"/>
      <c r="K65" s="3436"/>
      <c r="L65" s="3436"/>
      <c r="M65" s="3436"/>
      <c r="N65" s="3436"/>
      <c r="O65" s="3436"/>
      <c r="P65" s="3436"/>
      <c r="Q65" s="3436"/>
      <c r="R65" s="3422"/>
      <c r="U65" s="1343"/>
      <c r="V65" s="1491"/>
      <c r="W65" s="1497" t="s">
        <v>132</v>
      </c>
      <c r="X65" s="1457"/>
      <c r="Y65" s="1457"/>
      <c r="Z65" s="1457"/>
      <c r="AA65" s="1457"/>
      <c r="AB65" s="1457"/>
      <c r="AC65" s="1457"/>
      <c r="AD65" s="1457"/>
      <c r="AE65" s="1457"/>
      <c r="AF65" s="1457"/>
      <c r="AG65" s="1457"/>
      <c r="AH65" s="1457"/>
      <c r="AI65" s="1458"/>
    </row>
    <row r="66" spans="1:35" ht="20.25" customHeight="1">
      <c r="A66" s="1343"/>
      <c r="B66" s="3435"/>
      <c r="C66" s="3436"/>
      <c r="D66" s="3436"/>
      <c r="E66" s="3436"/>
      <c r="F66" s="3436"/>
      <c r="G66" s="3436"/>
      <c r="H66" s="3436"/>
      <c r="I66" s="3436"/>
      <c r="J66" s="3436"/>
      <c r="K66" s="3436"/>
      <c r="L66" s="3436"/>
      <c r="M66" s="3436"/>
      <c r="N66" s="3436"/>
      <c r="O66" s="3436"/>
      <c r="P66" s="3436"/>
      <c r="Q66" s="3436"/>
      <c r="R66" s="3412">
        <f>R2</f>
        <v>7</v>
      </c>
      <c r="U66" s="1343"/>
      <c r="V66" s="1491"/>
      <c r="W66" s="1497" t="s">
        <v>133</v>
      </c>
      <c r="X66" s="1457"/>
      <c r="Y66" s="1457"/>
      <c r="Z66" s="1457"/>
      <c r="AA66" s="1457"/>
      <c r="AB66" s="1457"/>
      <c r="AC66" s="1457"/>
      <c r="AD66" s="1457"/>
      <c r="AE66" s="1457"/>
      <c r="AF66" s="1457"/>
      <c r="AG66" s="1457"/>
      <c r="AH66" s="1457"/>
      <c r="AI66" s="1458"/>
    </row>
    <row r="67" spans="1:35" ht="20.25" customHeight="1">
      <c r="A67" s="1343"/>
      <c r="B67" s="3435"/>
      <c r="C67" s="3436"/>
      <c r="D67" s="3436"/>
      <c r="E67" s="3436"/>
      <c r="F67" s="3436"/>
      <c r="G67" s="3436"/>
      <c r="H67" s="3436"/>
      <c r="I67" s="3436"/>
      <c r="J67" s="3436"/>
      <c r="K67" s="3436"/>
      <c r="L67" s="3436"/>
      <c r="M67" s="3436"/>
      <c r="N67" s="3436"/>
      <c r="O67" s="3436"/>
      <c r="P67" s="3436"/>
      <c r="Q67" s="3436"/>
      <c r="R67" s="3413"/>
      <c r="U67" s="1343"/>
      <c r="V67" s="1491"/>
      <c r="W67" s="1497" t="s">
        <v>134</v>
      </c>
      <c r="X67" s="1457"/>
      <c r="Y67" s="1457"/>
      <c r="Z67" s="1457"/>
      <c r="AA67" s="1457"/>
      <c r="AB67" s="1457"/>
      <c r="AC67" s="1457"/>
      <c r="AD67" s="1457"/>
      <c r="AE67" s="1457"/>
      <c r="AF67" s="1457"/>
      <c r="AG67" s="1457"/>
      <c r="AH67" s="1457"/>
      <c r="AI67" s="1458"/>
    </row>
    <row r="68" spans="1:35" ht="20.25" customHeight="1" thickBot="1">
      <c r="A68" s="1343"/>
      <c r="B68" s="1360"/>
      <c r="C68" s="1361">
        <v>0</v>
      </c>
      <c r="D68" s="1361">
        <v>0</v>
      </c>
      <c r="E68" s="1361"/>
      <c r="F68" s="1361">
        <v>0</v>
      </c>
      <c r="G68" s="1361"/>
      <c r="H68" s="1361"/>
      <c r="I68" s="1361"/>
      <c r="J68" s="1361"/>
      <c r="K68" s="1361"/>
      <c r="L68" s="1361"/>
      <c r="M68" s="1361"/>
      <c r="N68" s="1361"/>
      <c r="O68" s="1361"/>
      <c r="P68" s="1361"/>
      <c r="Q68" s="1361"/>
      <c r="R68" s="3414"/>
      <c r="U68" s="1343"/>
      <c r="V68" s="1469"/>
      <c r="W68" s="1470"/>
      <c r="X68" s="1470"/>
      <c r="Y68" s="1470"/>
      <c r="Z68" s="1470"/>
      <c r="AA68" s="1470"/>
      <c r="AB68" s="1470"/>
      <c r="AC68" s="1470"/>
      <c r="AD68" s="1470"/>
      <c r="AE68" s="1470"/>
      <c r="AF68" s="1470"/>
      <c r="AG68" s="1470"/>
      <c r="AH68" s="1470"/>
      <c r="AI68" s="1471"/>
    </row>
    <row r="69" spans="1:35" ht="20.25" customHeight="1" thickBot="1">
      <c r="A69" s="1177"/>
      <c r="B69" s="1177"/>
      <c r="C69" s="1177"/>
      <c r="D69" s="1177"/>
      <c r="E69" s="1177"/>
      <c r="F69" s="1177"/>
      <c r="G69" s="1177"/>
      <c r="H69" s="1177"/>
      <c r="I69" s="1177"/>
      <c r="J69" s="1177"/>
      <c r="K69" s="1177"/>
      <c r="L69" s="1177"/>
      <c r="M69" s="1177"/>
      <c r="N69" s="1177"/>
      <c r="O69" s="1177"/>
      <c r="P69" s="1177"/>
      <c r="Q69" s="1177"/>
      <c r="R69" s="1177"/>
    </row>
    <row r="70" spans="1:35" ht="35.25" customHeight="1">
      <c r="A70" s="1343"/>
      <c r="B70" s="1182"/>
      <c r="C70" s="1183" t="str">
        <f>C2</f>
        <v>FF.8.A.Restauration, mis à jour le 13/08/2020 </v>
      </c>
      <c r="D70" s="1184"/>
      <c r="E70" s="1184"/>
      <c r="F70" s="1184"/>
      <c r="G70" s="1184"/>
      <c r="H70" s="1184"/>
      <c r="I70" s="1184"/>
      <c r="J70" s="1184"/>
      <c r="K70" s="1184"/>
      <c r="L70" s="1184"/>
      <c r="M70" s="3437" t="s">
        <v>103</v>
      </c>
      <c r="N70" s="3438"/>
      <c r="O70" s="3439"/>
      <c r="P70" s="3440" t="s">
        <v>104</v>
      </c>
      <c r="Q70" s="3441"/>
      <c r="R70" s="3442">
        <f>R2</f>
        <v>7</v>
      </c>
      <c r="V70" s="1374" t="s">
        <v>135</v>
      </c>
    </row>
    <row r="71" spans="1:35" ht="40.5" customHeight="1">
      <c r="A71" s="1343"/>
      <c r="B71" s="1187"/>
      <c r="C71" s="3444" t="str">
        <f>C3</f>
        <v>Modèle 8.A - NOM DU PLAT</v>
      </c>
      <c r="D71" s="3444"/>
      <c r="E71" s="3444"/>
      <c r="F71" s="3444"/>
      <c r="G71" s="3444"/>
      <c r="H71" s="3444"/>
      <c r="I71" s="3444"/>
      <c r="J71" s="3444"/>
      <c r="K71" s="3444"/>
      <c r="L71" s="3445"/>
      <c r="M71" s="3446">
        <f ca="1">NOW()</f>
        <v>44545.461550462962</v>
      </c>
      <c r="N71" s="3447"/>
      <c r="O71" s="3448"/>
      <c r="P71" s="3449">
        <f>P3</f>
        <v>7</v>
      </c>
      <c r="Q71" s="3450"/>
      <c r="R71" s="3443"/>
    </row>
    <row r="72" spans="1:35" ht="35.25" customHeight="1">
      <c r="A72" s="1343"/>
      <c r="B72" s="1190"/>
      <c r="C72" s="1191" t="str">
        <f ca="1">MID(CELL("filename",C72),FIND("[",CELL("filename",C72)),300)</f>
        <v>[ff-8-restauration-Christian.Frechede.xlsx]Modèle 8.A-Frechede</v>
      </c>
      <c r="D72" s="1192"/>
      <c r="E72" s="3451" t="s">
        <v>136</v>
      </c>
      <c r="F72" s="3451"/>
      <c r="G72" s="3451"/>
      <c r="H72" s="3451"/>
      <c r="I72" s="3451"/>
      <c r="J72" s="3452">
        <f>J4</f>
        <v>0</v>
      </c>
      <c r="K72" s="3452"/>
      <c r="L72" s="3453"/>
      <c r="M72" s="3454">
        <f ca="1">NOW()</f>
        <v>44545.461550462962</v>
      </c>
      <c r="N72" s="3447"/>
      <c r="O72" s="3448"/>
      <c r="P72" s="3449"/>
      <c r="Q72" s="3449"/>
      <c r="R72" s="3421" t="str">
        <f>R4</f>
        <v>Modèle 8.A - NOM DU PLAT</v>
      </c>
    </row>
    <row r="73" spans="1:35" ht="20.25" customHeight="1">
      <c r="A73" s="1343"/>
      <c r="B73" s="1384"/>
      <c r="C73" s="1385"/>
      <c r="D73" s="1385"/>
      <c r="E73" s="1385"/>
      <c r="F73" s="1385"/>
      <c r="G73" s="1385"/>
      <c r="H73" s="1385"/>
      <c r="I73" s="1385"/>
      <c r="J73" s="1385"/>
      <c r="K73" s="1385"/>
      <c r="L73" s="1385"/>
      <c r="M73" s="1385"/>
      <c r="N73" s="1385"/>
      <c r="O73" s="1386"/>
      <c r="P73" s="1386"/>
      <c r="Q73" s="1386"/>
      <c r="R73" s="3421"/>
    </row>
    <row r="74" spans="1:35" ht="30" customHeight="1">
      <c r="A74" s="1343"/>
      <c r="B74" s="3455" t="s">
        <v>137</v>
      </c>
      <c r="C74" s="3456"/>
      <c r="D74" s="3456"/>
      <c r="E74" s="3456"/>
      <c r="F74" s="3456"/>
      <c r="G74" s="3456"/>
      <c r="H74" s="3456"/>
      <c r="I74" s="3456"/>
      <c r="J74" s="3456"/>
      <c r="K74" s="3456"/>
      <c r="L74" s="3456"/>
      <c r="M74" s="3456"/>
      <c r="N74" s="3456"/>
      <c r="O74" s="3456"/>
      <c r="P74" s="3456"/>
      <c r="Q74" s="3456"/>
      <c r="R74" s="3421"/>
    </row>
    <row r="75" spans="1:35" ht="41.25" customHeight="1">
      <c r="A75" s="1343"/>
      <c r="B75" s="1387"/>
      <c r="C75" s="3457" t="s">
        <v>138</v>
      </c>
      <c r="D75" s="3458"/>
      <c r="E75" s="3458"/>
      <c r="F75" s="3458"/>
      <c r="G75" s="3458"/>
      <c r="H75" s="3459"/>
      <c r="I75" s="1388"/>
      <c r="J75" s="3457" t="s">
        <v>139</v>
      </c>
      <c r="K75" s="3457"/>
      <c r="L75" s="3457"/>
      <c r="M75" s="3457"/>
      <c r="N75" s="3457"/>
      <c r="O75" s="3457"/>
      <c r="P75" s="3457"/>
      <c r="Q75" s="3457"/>
      <c r="R75" s="3421"/>
    </row>
    <row r="76" spans="1:35" ht="27.75" customHeight="1">
      <c r="A76" s="1343"/>
      <c r="B76" s="1390">
        <v>1</v>
      </c>
      <c r="C76" s="3427" t="s">
        <v>140</v>
      </c>
      <c r="D76" s="3427"/>
      <c r="E76" s="3427"/>
      <c r="F76" s="3427"/>
      <c r="G76" s="3427"/>
      <c r="H76" s="3428"/>
      <c r="I76" s="1388">
        <v>1</v>
      </c>
      <c r="J76" s="3429"/>
      <c r="K76" s="3429"/>
      <c r="L76" s="3429"/>
      <c r="M76" s="3429"/>
      <c r="N76" s="3429"/>
      <c r="O76" s="3429"/>
      <c r="P76" s="3429"/>
      <c r="Q76" s="3430"/>
      <c r="R76" s="3421"/>
    </row>
    <row r="77" spans="1:35" ht="38.25" customHeight="1">
      <c r="A77" s="1343"/>
      <c r="B77" s="1390">
        <v>2</v>
      </c>
      <c r="C77" s="3427" t="s">
        <v>141</v>
      </c>
      <c r="D77" s="3427"/>
      <c r="E77" s="3427"/>
      <c r="F77" s="3427"/>
      <c r="G77" s="3427"/>
      <c r="H77" s="3428"/>
      <c r="I77" s="1388">
        <v>2</v>
      </c>
      <c r="J77" s="3429"/>
      <c r="K77" s="3429"/>
      <c r="L77" s="3429"/>
      <c r="M77" s="3429"/>
      <c r="N77" s="3429"/>
      <c r="O77" s="3429"/>
      <c r="P77" s="3429"/>
      <c r="Q77" s="3430"/>
      <c r="R77" s="3421"/>
    </row>
    <row r="78" spans="1:35" ht="39" customHeight="1">
      <c r="A78" s="1343"/>
      <c r="B78" s="1390">
        <v>3</v>
      </c>
      <c r="C78" s="3427"/>
      <c r="D78" s="3427"/>
      <c r="E78" s="3427"/>
      <c r="F78" s="3427"/>
      <c r="G78" s="3427"/>
      <c r="H78" s="3428"/>
      <c r="I78" s="1388">
        <v>3</v>
      </c>
      <c r="J78" s="3429"/>
      <c r="K78" s="3429"/>
      <c r="L78" s="3429"/>
      <c r="M78" s="3429"/>
      <c r="N78" s="3429"/>
      <c r="O78" s="3429"/>
      <c r="P78" s="3429"/>
      <c r="Q78" s="3430"/>
      <c r="R78" s="3421"/>
    </row>
    <row r="79" spans="1:35" ht="39" customHeight="1">
      <c r="A79" s="1343"/>
      <c r="B79" s="1390">
        <v>4</v>
      </c>
      <c r="C79" s="3427"/>
      <c r="D79" s="3427"/>
      <c r="E79" s="3427"/>
      <c r="F79" s="3427"/>
      <c r="G79" s="3427"/>
      <c r="H79" s="3428"/>
      <c r="I79" s="1388">
        <v>4</v>
      </c>
      <c r="J79" s="3429"/>
      <c r="K79" s="3429"/>
      <c r="L79" s="3429"/>
      <c r="M79" s="3429"/>
      <c r="N79" s="3429"/>
      <c r="O79" s="3429"/>
      <c r="P79" s="3429"/>
      <c r="Q79" s="3430"/>
      <c r="R79" s="3421"/>
    </row>
    <row r="80" spans="1:35" ht="39" customHeight="1">
      <c r="A80" s="1343"/>
      <c r="B80" s="1390">
        <v>5</v>
      </c>
      <c r="C80" s="3427"/>
      <c r="D80" s="3427"/>
      <c r="E80" s="3427"/>
      <c r="F80" s="3427"/>
      <c r="G80" s="3427"/>
      <c r="H80" s="3428"/>
      <c r="I80" s="1388">
        <v>5</v>
      </c>
      <c r="J80" s="3429"/>
      <c r="K80" s="3429"/>
      <c r="L80" s="3429"/>
      <c r="M80" s="3429"/>
      <c r="N80" s="3429"/>
      <c r="O80" s="3429"/>
      <c r="P80" s="3429"/>
      <c r="Q80" s="3430"/>
      <c r="R80" s="3421"/>
    </row>
    <row r="81" spans="1:31" s="1281" customFormat="1" ht="39" customHeight="1">
      <c r="A81" s="1343"/>
      <c r="B81" s="1390">
        <v>6</v>
      </c>
      <c r="C81" s="3427"/>
      <c r="D81" s="3427"/>
      <c r="E81" s="3427"/>
      <c r="F81" s="3427"/>
      <c r="G81" s="3427"/>
      <c r="H81" s="3428"/>
      <c r="I81" s="1388">
        <v>6</v>
      </c>
      <c r="J81" s="3429"/>
      <c r="K81" s="3429"/>
      <c r="L81" s="3429"/>
      <c r="M81" s="3429"/>
      <c r="N81" s="3429"/>
      <c r="O81" s="3429"/>
      <c r="P81" s="3429"/>
      <c r="Q81" s="3430"/>
      <c r="R81" s="3421"/>
      <c r="S81" s="1177"/>
    </row>
    <row r="82" spans="1:31" s="1281" customFormat="1" ht="39" customHeight="1">
      <c r="A82" s="1343"/>
      <c r="B82" s="1390">
        <v>7</v>
      </c>
      <c r="C82" s="3427"/>
      <c r="D82" s="3427"/>
      <c r="E82" s="3427"/>
      <c r="F82" s="3427"/>
      <c r="G82" s="3427"/>
      <c r="H82" s="3428"/>
      <c r="I82" s="1388">
        <v>7</v>
      </c>
      <c r="J82" s="3429"/>
      <c r="K82" s="3429"/>
      <c r="L82" s="3429"/>
      <c r="M82" s="3429"/>
      <c r="N82" s="3429"/>
      <c r="O82" s="3429"/>
      <c r="P82" s="3429"/>
      <c r="Q82" s="3430"/>
      <c r="R82" s="3421"/>
      <c r="S82" s="1177"/>
    </row>
    <row r="83" spans="1:31" s="1281" customFormat="1" ht="39" customHeight="1">
      <c r="A83" s="1343"/>
      <c r="B83" s="1390">
        <v>8</v>
      </c>
      <c r="C83" s="3427"/>
      <c r="D83" s="3427"/>
      <c r="E83" s="3427"/>
      <c r="F83" s="3427"/>
      <c r="G83" s="3427"/>
      <c r="H83" s="3428"/>
      <c r="I83" s="1388">
        <v>8</v>
      </c>
      <c r="J83" s="3429"/>
      <c r="K83" s="3429"/>
      <c r="L83" s="3429"/>
      <c r="M83" s="3429"/>
      <c r="N83" s="3429"/>
      <c r="O83" s="3429"/>
      <c r="P83" s="3429"/>
      <c r="Q83" s="3430"/>
      <c r="R83" s="3421"/>
      <c r="S83" s="1177"/>
      <c r="AE83" s="1389"/>
    </row>
    <row r="84" spans="1:31" s="1281" customFormat="1" ht="39" customHeight="1">
      <c r="A84" s="1343"/>
      <c r="B84" s="1390">
        <v>9</v>
      </c>
      <c r="C84" s="3427"/>
      <c r="D84" s="3427"/>
      <c r="E84" s="3427"/>
      <c r="F84" s="3427"/>
      <c r="G84" s="3427"/>
      <c r="H84" s="3428"/>
      <c r="I84" s="1388">
        <v>9</v>
      </c>
      <c r="J84" s="3429"/>
      <c r="K84" s="3429"/>
      <c r="L84" s="3429"/>
      <c r="M84" s="3429"/>
      <c r="N84" s="3429"/>
      <c r="O84" s="3429"/>
      <c r="P84" s="3429"/>
      <c r="Q84" s="3430"/>
      <c r="R84" s="3421"/>
      <c r="S84" s="1177"/>
      <c r="AE84" s="1389"/>
    </row>
    <row r="85" spans="1:31" s="1281" customFormat="1" ht="39" customHeight="1">
      <c r="A85" s="1343"/>
      <c r="B85" s="1390">
        <v>10</v>
      </c>
      <c r="C85" s="3427"/>
      <c r="D85" s="3427"/>
      <c r="E85" s="3427"/>
      <c r="F85" s="3427"/>
      <c r="G85" s="3427"/>
      <c r="H85" s="3428"/>
      <c r="I85" s="1388">
        <v>10</v>
      </c>
      <c r="J85" s="3429"/>
      <c r="K85" s="3429"/>
      <c r="L85" s="3429"/>
      <c r="M85" s="3429"/>
      <c r="N85" s="3429"/>
      <c r="O85" s="3429"/>
      <c r="P85" s="3429"/>
      <c r="Q85" s="3430"/>
      <c r="R85" s="3421"/>
      <c r="S85" s="1177"/>
      <c r="AE85" s="1389"/>
    </row>
    <row r="86" spans="1:31" s="1281" customFormat="1" ht="39" customHeight="1">
      <c r="A86" s="1343"/>
      <c r="B86" s="1390">
        <v>11</v>
      </c>
      <c r="C86" s="3427"/>
      <c r="D86" s="3427"/>
      <c r="E86" s="3427"/>
      <c r="F86" s="3427"/>
      <c r="G86" s="3427"/>
      <c r="H86" s="3428"/>
      <c r="I86" s="1388">
        <v>11</v>
      </c>
      <c r="J86" s="3429"/>
      <c r="K86" s="3429"/>
      <c r="L86" s="3429"/>
      <c r="M86" s="3429"/>
      <c r="N86" s="3429"/>
      <c r="O86" s="3429"/>
      <c r="P86" s="3429"/>
      <c r="Q86" s="3430"/>
      <c r="R86" s="3421"/>
      <c r="S86" s="1177"/>
      <c r="AE86" s="1389"/>
    </row>
    <row r="87" spans="1:31" s="1281" customFormat="1" ht="39" customHeight="1">
      <c r="A87" s="1343"/>
      <c r="B87" s="1390">
        <v>12</v>
      </c>
      <c r="C87" s="3427"/>
      <c r="D87" s="3427"/>
      <c r="E87" s="3427"/>
      <c r="F87" s="3427"/>
      <c r="G87" s="3427"/>
      <c r="H87" s="3428"/>
      <c r="I87" s="1388">
        <v>12</v>
      </c>
      <c r="J87" s="3429"/>
      <c r="K87" s="3429"/>
      <c r="L87" s="3429"/>
      <c r="M87" s="3429"/>
      <c r="N87" s="3429"/>
      <c r="O87" s="3429"/>
      <c r="P87" s="3429"/>
      <c r="Q87" s="3430"/>
      <c r="R87" s="3421"/>
      <c r="S87" s="1177"/>
      <c r="AE87" s="1389"/>
    </row>
    <row r="88" spans="1:31" s="1281" customFormat="1" ht="39" customHeight="1">
      <c r="A88" s="1343"/>
      <c r="B88" s="1390">
        <v>13</v>
      </c>
      <c r="C88" s="3427"/>
      <c r="D88" s="3427"/>
      <c r="E88" s="3427"/>
      <c r="F88" s="3427"/>
      <c r="G88" s="3427"/>
      <c r="H88" s="3428"/>
      <c r="I88" s="1388">
        <v>13</v>
      </c>
      <c r="J88" s="3429"/>
      <c r="K88" s="3429"/>
      <c r="L88" s="3429"/>
      <c r="M88" s="3429"/>
      <c r="N88" s="3429"/>
      <c r="O88" s="3429"/>
      <c r="P88" s="3429"/>
      <c r="Q88" s="3430"/>
      <c r="R88" s="3421"/>
      <c r="S88" s="1177"/>
      <c r="AE88" s="1389"/>
    </row>
    <row r="89" spans="1:31" s="1281" customFormat="1" ht="39" customHeight="1">
      <c r="A89" s="1343"/>
      <c r="B89" s="1390">
        <v>14</v>
      </c>
      <c r="C89" s="3427"/>
      <c r="D89" s="3427"/>
      <c r="E89" s="3427"/>
      <c r="F89" s="3427"/>
      <c r="G89" s="3427"/>
      <c r="H89" s="3428"/>
      <c r="I89" s="1388">
        <v>14</v>
      </c>
      <c r="J89" s="3429"/>
      <c r="K89" s="3429"/>
      <c r="L89" s="3429"/>
      <c r="M89" s="3429"/>
      <c r="N89" s="3429"/>
      <c r="O89" s="3429"/>
      <c r="P89" s="3429"/>
      <c r="Q89" s="3430"/>
      <c r="R89" s="3421"/>
      <c r="S89" s="1177"/>
      <c r="AE89" s="1389"/>
    </row>
    <row r="90" spans="1:31" s="1281" customFormat="1" ht="39" customHeight="1">
      <c r="A90" s="1343"/>
      <c r="B90" s="1390">
        <v>15</v>
      </c>
      <c r="C90" s="3427"/>
      <c r="D90" s="3427"/>
      <c r="E90" s="3427"/>
      <c r="F90" s="3427"/>
      <c r="G90" s="3427"/>
      <c r="H90" s="3428"/>
      <c r="I90" s="1388">
        <v>15</v>
      </c>
      <c r="J90" s="3429"/>
      <c r="K90" s="3429"/>
      <c r="L90" s="3429"/>
      <c r="M90" s="3429"/>
      <c r="N90" s="3429"/>
      <c r="O90" s="3429"/>
      <c r="P90" s="3429"/>
      <c r="Q90" s="3430"/>
      <c r="R90" s="3421"/>
      <c r="S90" s="1177"/>
      <c r="AE90" s="1389"/>
    </row>
    <row r="91" spans="1:31" s="1281" customFormat="1" ht="39" customHeight="1">
      <c r="A91" s="1343"/>
      <c r="B91" s="1390">
        <v>16</v>
      </c>
      <c r="C91" s="3427"/>
      <c r="D91" s="3427"/>
      <c r="E91" s="3427"/>
      <c r="F91" s="3427"/>
      <c r="G91" s="3427"/>
      <c r="H91" s="3428"/>
      <c r="I91" s="1388">
        <v>16</v>
      </c>
      <c r="J91" s="3429"/>
      <c r="K91" s="3429"/>
      <c r="L91" s="3429"/>
      <c r="M91" s="3429"/>
      <c r="N91" s="3429"/>
      <c r="O91" s="3429"/>
      <c r="P91" s="3429"/>
      <c r="Q91" s="3430"/>
      <c r="R91" s="3421"/>
      <c r="S91" s="1177"/>
      <c r="AE91" s="1389"/>
    </row>
    <row r="92" spans="1:31" s="1281" customFormat="1" ht="39" customHeight="1">
      <c r="A92" s="1343"/>
      <c r="B92" s="1390">
        <v>17</v>
      </c>
      <c r="C92" s="3427"/>
      <c r="D92" s="3427"/>
      <c r="E92" s="3427"/>
      <c r="F92" s="3427"/>
      <c r="G92" s="3427"/>
      <c r="H92" s="3428"/>
      <c r="I92" s="1388">
        <v>17</v>
      </c>
      <c r="J92" s="3429"/>
      <c r="K92" s="3429"/>
      <c r="L92" s="3429"/>
      <c r="M92" s="3429"/>
      <c r="N92" s="3429"/>
      <c r="O92" s="3429"/>
      <c r="P92" s="3429"/>
      <c r="Q92" s="3430"/>
      <c r="R92" s="3421"/>
      <c r="S92" s="1177"/>
      <c r="AE92" s="1389"/>
    </row>
    <row r="93" spans="1:31" s="1281" customFormat="1" ht="39" customHeight="1">
      <c r="A93" s="1343"/>
      <c r="B93" s="1390">
        <v>18</v>
      </c>
      <c r="C93" s="3427"/>
      <c r="D93" s="3427"/>
      <c r="E93" s="3427"/>
      <c r="F93" s="3427"/>
      <c r="G93" s="3427"/>
      <c r="H93" s="3428"/>
      <c r="I93" s="1388">
        <v>18</v>
      </c>
      <c r="J93" s="3429"/>
      <c r="K93" s="3429"/>
      <c r="L93" s="3429"/>
      <c r="M93" s="3429"/>
      <c r="N93" s="3429"/>
      <c r="O93" s="3429"/>
      <c r="P93" s="3429"/>
      <c r="Q93" s="3430"/>
      <c r="R93" s="3421"/>
      <c r="S93" s="1177"/>
      <c r="AE93" s="1389"/>
    </row>
    <row r="94" spans="1:31" s="1281" customFormat="1" ht="24.75" customHeight="1">
      <c r="A94" s="1343"/>
      <c r="B94" s="3431" t="s">
        <v>94</v>
      </c>
      <c r="C94" s="3432"/>
      <c r="D94" s="3432"/>
      <c r="E94" s="3432"/>
      <c r="F94" s="3432"/>
      <c r="G94" s="3432"/>
      <c r="H94" s="3433"/>
      <c r="I94" s="3434" t="s">
        <v>95</v>
      </c>
      <c r="J94" s="3432"/>
      <c r="K94" s="3432"/>
      <c r="L94" s="3432"/>
      <c r="M94" s="3432"/>
      <c r="N94" s="3432"/>
      <c r="O94" s="3432"/>
      <c r="P94" s="3432"/>
      <c r="Q94" s="3432"/>
      <c r="R94" s="3421"/>
      <c r="S94" s="1177"/>
    </row>
    <row r="95" spans="1:31" s="1281" customFormat="1" ht="20.100000000000001" customHeight="1">
      <c r="A95" s="1343"/>
      <c r="B95" s="1410">
        <v>1</v>
      </c>
      <c r="C95" s="3358"/>
      <c r="D95" s="3358"/>
      <c r="E95" s="3358"/>
      <c r="F95" s="3358"/>
      <c r="G95" s="3358"/>
      <c r="H95" s="3426"/>
      <c r="I95" s="1392">
        <v>1</v>
      </c>
      <c r="J95" s="3358"/>
      <c r="K95" s="3358"/>
      <c r="L95" s="3358"/>
      <c r="M95" s="3358"/>
      <c r="N95" s="3358"/>
      <c r="O95" s="3358"/>
      <c r="P95" s="3358"/>
      <c r="Q95" s="3358"/>
      <c r="R95" s="3421"/>
      <c r="S95" s="1177"/>
    </row>
    <row r="96" spans="1:31" s="1281" customFormat="1" ht="20.100000000000001" customHeight="1">
      <c r="A96" s="1343"/>
      <c r="B96" s="1410">
        <v>2</v>
      </c>
      <c r="C96" s="3348"/>
      <c r="D96" s="3348"/>
      <c r="E96" s="3348"/>
      <c r="F96" s="3348"/>
      <c r="G96" s="3348"/>
      <c r="H96" s="3423"/>
      <c r="I96" s="1392">
        <v>2</v>
      </c>
      <c r="J96" s="3348"/>
      <c r="K96" s="3348"/>
      <c r="L96" s="3348"/>
      <c r="M96" s="3348"/>
      <c r="N96" s="3348"/>
      <c r="O96" s="3348"/>
      <c r="P96" s="3348"/>
      <c r="Q96" s="3348"/>
      <c r="R96" s="3421"/>
      <c r="S96" s="1177"/>
    </row>
    <row r="97" spans="1:19" s="1281" customFormat="1" ht="20.100000000000001" customHeight="1">
      <c r="A97" s="1343"/>
      <c r="B97" s="1411">
        <v>3</v>
      </c>
      <c r="C97" s="3348"/>
      <c r="D97" s="3348"/>
      <c r="E97" s="3348"/>
      <c r="F97" s="3348"/>
      <c r="G97" s="3348"/>
      <c r="H97" s="3423"/>
      <c r="I97" s="1392">
        <v>3</v>
      </c>
      <c r="J97" s="3348"/>
      <c r="K97" s="3348"/>
      <c r="L97" s="3348"/>
      <c r="M97" s="3348"/>
      <c r="N97" s="3348"/>
      <c r="O97" s="3348"/>
      <c r="P97" s="3348"/>
      <c r="Q97" s="3348"/>
      <c r="R97" s="3421"/>
      <c r="S97" s="1177"/>
    </row>
    <row r="98" spans="1:19" s="1281" customFormat="1" ht="20.100000000000001" customHeight="1">
      <c r="A98" s="1343"/>
      <c r="B98" s="1410">
        <v>4</v>
      </c>
      <c r="C98" s="3348"/>
      <c r="D98" s="3348"/>
      <c r="E98" s="3348"/>
      <c r="F98" s="3348"/>
      <c r="G98" s="3348"/>
      <c r="H98" s="3423"/>
      <c r="I98" s="1392">
        <v>4</v>
      </c>
      <c r="J98" s="3348"/>
      <c r="K98" s="3348"/>
      <c r="L98" s="3348"/>
      <c r="M98" s="3348"/>
      <c r="N98" s="3348"/>
      <c r="O98" s="3348"/>
      <c r="P98" s="3348"/>
      <c r="Q98" s="3348"/>
      <c r="R98" s="3421"/>
      <c r="S98" s="1177"/>
    </row>
    <row r="99" spans="1:19" s="1281" customFormat="1" ht="20.100000000000001" customHeight="1">
      <c r="A99" s="1343"/>
      <c r="B99" s="1410">
        <v>5</v>
      </c>
      <c r="C99" s="3348"/>
      <c r="D99" s="3348"/>
      <c r="E99" s="3348"/>
      <c r="F99" s="3348"/>
      <c r="G99" s="3348"/>
      <c r="H99" s="3423"/>
      <c r="I99" s="1392">
        <v>5</v>
      </c>
      <c r="J99" s="3348"/>
      <c r="K99" s="3348"/>
      <c r="L99" s="3348"/>
      <c r="M99" s="3348"/>
      <c r="N99" s="3348"/>
      <c r="O99" s="3348"/>
      <c r="P99" s="3348"/>
      <c r="Q99" s="3348"/>
      <c r="R99" s="3421"/>
      <c r="S99" s="1177"/>
    </row>
    <row r="100" spans="1:19" s="1281" customFormat="1" ht="20.100000000000001" customHeight="1">
      <c r="A100" s="1343"/>
      <c r="B100" s="1410">
        <v>6</v>
      </c>
      <c r="C100" s="3348"/>
      <c r="D100" s="3348"/>
      <c r="E100" s="3348"/>
      <c r="F100" s="3348"/>
      <c r="G100" s="3348"/>
      <c r="H100" s="3423"/>
      <c r="I100" s="1392">
        <v>6</v>
      </c>
      <c r="J100" s="3348"/>
      <c r="K100" s="3348"/>
      <c r="L100" s="3348"/>
      <c r="M100" s="3348"/>
      <c r="N100" s="3348"/>
      <c r="O100" s="3348"/>
      <c r="P100" s="3348"/>
      <c r="Q100" s="3348"/>
      <c r="R100" s="3421"/>
      <c r="S100" s="1177"/>
    </row>
    <row r="101" spans="1:19" s="1281" customFormat="1" ht="20.100000000000001" customHeight="1">
      <c r="A101" s="1343"/>
      <c r="B101" s="1410">
        <v>7</v>
      </c>
      <c r="C101" s="3348"/>
      <c r="D101" s="3348"/>
      <c r="E101" s="3348"/>
      <c r="F101" s="3348"/>
      <c r="G101" s="3348"/>
      <c r="H101" s="3423"/>
      <c r="I101" s="1392">
        <v>7</v>
      </c>
      <c r="J101" s="3348"/>
      <c r="K101" s="3348"/>
      <c r="L101" s="3348"/>
      <c r="M101" s="3348"/>
      <c r="N101" s="3348"/>
      <c r="O101" s="3348"/>
      <c r="P101" s="3348"/>
      <c r="Q101" s="3348"/>
      <c r="R101" s="3421"/>
      <c r="S101" s="1177"/>
    </row>
    <row r="102" spans="1:19" s="1281" customFormat="1" ht="15">
      <c r="A102" s="1343"/>
      <c r="B102" s="1414">
        <f>A106*AI106</f>
        <v>0</v>
      </c>
      <c r="C102" s="1399">
        <f>B102*A106</f>
        <v>0</v>
      </c>
      <c r="D102" s="1399">
        <f>C102*B102</f>
        <v>0</v>
      </c>
      <c r="E102" s="1399">
        <f>D102*C102</f>
        <v>0</v>
      </c>
      <c r="F102" s="1399">
        <f>E102*D102</f>
        <v>0</v>
      </c>
      <c r="G102" s="1399">
        <f>D102*C102</f>
        <v>0</v>
      </c>
      <c r="H102" s="1399">
        <f t="shared" ref="H102:M102" si="21">G102*F102</f>
        <v>0</v>
      </c>
      <c r="I102" s="1399">
        <f t="shared" si="21"/>
        <v>0</v>
      </c>
      <c r="J102" s="1399">
        <f t="shared" si="21"/>
        <v>0</v>
      </c>
      <c r="K102" s="1399">
        <f t="shared" si="21"/>
        <v>0</v>
      </c>
      <c r="L102" s="1399">
        <f t="shared" si="21"/>
        <v>0</v>
      </c>
      <c r="M102" s="1399">
        <f t="shared" si="21"/>
        <v>0</v>
      </c>
      <c r="N102" s="1399">
        <f>G102*D102</f>
        <v>0</v>
      </c>
      <c r="O102" s="1399">
        <f>N102*M102</f>
        <v>0</v>
      </c>
      <c r="P102" s="1399">
        <f>O102*N102</f>
        <v>0</v>
      </c>
      <c r="Q102" s="1399">
        <f>P102*O102</f>
        <v>0</v>
      </c>
      <c r="R102" s="3421"/>
      <c r="S102" s="1177"/>
    </row>
    <row r="103" spans="1:19" s="1281" customFormat="1" ht="21">
      <c r="A103" s="1343"/>
      <c r="B103" s="3424" t="s">
        <v>96</v>
      </c>
      <c r="C103" s="3351"/>
      <c r="D103" s="3351"/>
      <c r="E103" s="3351"/>
      <c r="F103" s="3351"/>
      <c r="G103" s="3351"/>
      <c r="H103" s="3351"/>
      <c r="I103" s="3351"/>
      <c r="J103" s="3351"/>
      <c r="K103" s="3351"/>
      <c r="L103" s="3351"/>
      <c r="M103" s="3351"/>
      <c r="N103" s="3351"/>
      <c r="O103" s="3351"/>
      <c r="P103" s="3351"/>
      <c r="Q103" s="3351"/>
      <c r="R103" s="3421"/>
      <c r="S103" s="1177"/>
    </row>
    <row r="104" spans="1:19" s="1281" customFormat="1" ht="21">
      <c r="A104" s="1343"/>
      <c r="B104" s="3425" t="s">
        <v>97</v>
      </c>
      <c r="C104" s="3354"/>
      <c r="D104" s="3354"/>
      <c r="E104" s="3354"/>
      <c r="F104" s="3354"/>
      <c r="G104" s="3354"/>
      <c r="H104" s="3354"/>
      <c r="I104" s="3355" t="s">
        <v>98</v>
      </c>
      <c r="J104" s="3355"/>
      <c r="K104" s="3355"/>
      <c r="L104" s="3355"/>
      <c r="M104" s="3355"/>
      <c r="N104" s="3355"/>
      <c r="O104" s="3355"/>
      <c r="P104" s="3355"/>
      <c r="Q104" s="3355"/>
      <c r="R104" s="3421"/>
      <c r="S104" s="1177"/>
    </row>
    <row r="105" spans="1:19" s="1281" customFormat="1" ht="21">
      <c r="A105" s="1343"/>
      <c r="B105" s="1415">
        <v>0</v>
      </c>
      <c r="C105" s="1416"/>
      <c r="D105" s="1416"/>
      <c r="E105" s="1416"/>
      <c r="F105" s="1416"/>
      <c r="G105" s="1416"/>
      <c r="H105" s="1416"/>
      <c r="I105" s="3339"/>
      <c r="J105" s="3340"/>
      <c r="K105" s="3340"/>
      <c r="L105" s="3340"/>
      <c r="M105" s="3340"/>
      <c r="N105" s="3340"/>
      <c r="O105" s="3340"/>
      <c r="P105" s="3340"/>
      <c r="Q105" s="3340"/>
      <c r="R105" s="3421"/>
      <c r="S105" s="1177"/>
    </row>
    <row r="106" spans="1:19" s="1281" customFormat="1" ht="21">
      <c r="A106" s="1343"/>
      <c r="B106" s="1417" t="s">
        <v>99</v>
      </c>
      <c r="C106" s="3337"/>
      <c r="D106" s="3337"/>
      <c r="E106" s="3337"/>
      <c r="F106" s="3337"/>
      <c r="G106" s="3337"/>
      <c r="H106" s="3338"/>
      <c r="I106" s="3339"/>
      <c r="J106" s="3340"/>
      <c r="K106" s="3340"/>
      <c r="L106" s="3340"/>
      <c r="M106" s="3340"/>
      <c r="N106" s="3340"/>
      <c r="O106" s="3340"/>
      <c r="P106" s="3340"/>
      <c r="Q106" s="3340"/>
      <c r="R106" s="3421"/>
      <c r="S106" s="1177"/>
    </row>
    <row r="107" spans="1:19" s="1281" customFormat="1" ht="21">
      <c r="A107" s="1343"/>
      <c r="B107" s="1417" t="s">
        <v>100</v>
      </c>
      <c r="C107" s="3337"/>
      <c r="D107" s="3337"/>
      <c r="E107" s="3337"/>
      <c r="F107" s="3337"/>
      <c r="G107" s="3337"/>
      <c r="H107" s="3338"/>
      <c r="I107" s="3339"/>
      <c r="J107" s="3340"/>
      <c r="K107" s="3340"/>
      <c r="L107" s="3340"/>
      <c r="M107" s="3340"/>
      <c r="N107" s="3340"/>
      <c r="O107" s="3340"/>
      <c r="P107" s="3340"/>
      <c r="Q107" s="3340"/>
      <c r="R107" s="3421"/>
      <c r="S107" s="1177"/>
    </row>
    <row r="108" spans="1:19" s="1281" customFormat="1" ht="21">
      <c r="A108" s="1343"/>
      <c r="B108" s="1417" t="s">
        <v>101</v>
      </c>
      <c r="C108" s="3337"/>
      <c r="D108" s="3337"/>
      <c r="E108" s="3337"/>
      <c r="F108" s="3337"/>
      <c r="G108" s="3337"/>
      <c r="H108" s="3338"/>
      <c r="I108" s="3339"/>
      <c r="J108" s="3340"/>
      <c r="K108" s="3340"/>
      <c r="L108" s="3340"/>
      <c r="M108" s="3340"/>
      <c r="N108" s="3340"/>
      <c r="O108" s="3340"/>
      <c r="P108" s="3340"/>
      <c r="Q108" s="3340"/>
      <c r="R108" s="3421"/>
      <c r="S108" s="1177"/>
    </row>
    <row r="109" spans="1:19" s="1281" customFormat="1" ht="21">
      <c r="A109" s="1343"/>
      <c r="B109" s="1417" t="s">
        <v>111</v>
      </c>
      <c r="C109" s="3337"/>
      <c r="D109" s="3337"/>
      <c r="E109" s="3337"/>
      <c r="F109" s="3337"/>
      <c r="G109" s="3337"/>
      <c r="H109" s="3338"/>
      <c r="I109" s="3339"/>
      <c r="J109" s="3340"/>
      <c r="K109" s="3340"/>
      <c r="L109" s="3340"/>
      <c r="M109" s="3340"/>
      <c r="N109" s="3340"/>
      <c r="O109" s="3340"/>
      <c r="P109" s="3340"/>
      <c r="Q109" s="3340"/>
      <c r="R109" s="3421"/>
      <c r="S109" s="1177"/>
    </row>
    <row r="110" spans="1:19" s="1281" customFormat="1" ht="21">
      <c r="A110" s="1343"/>
      <c r="B110" s="1417" t="s">
        <v>112</v>
      </c>
      <c r="C110" s="3337"/>
      <c r="D110" s="3337"/>
      <c r="E110" s="3337"/>
      <c r="F110" s="3337"/>
      <c r="G110" s="3337"/>
      <c r="H110" s="3338"/>
      <c r="I110" s="3339"/>
      <c r="J110" s="3340"/>
      <c r="K110" s="3340"/>
      <c r="L110" s="3340"/>
      <c r="M110" s="3340"/>
      <c r="N110" s="3340"/>
      <c r="O110" s="3340"/>
      <c r="P110" s="3340"/>
      <c r="Q110" s="3340"/>
      <c r="R110" s="3421"/>
      <c r="S110" s="1177"/>
    </row>
    <row r="111" spans="1:19" s="1281" customFormat="1" ht="21">
      <c r="A111" s="1343"/>
      <c r="B111" s="1417" t="s">
        <v>142</v>
      </c>
      <c r="C111" s="3337"/>
      <c r="D111" s="3337"/>
      <c r="E111" s="3337"/>
      <c r="F111" s="3337"/>
      <c r="G111" s="3337"/>
      <c r="H111" s="3338"/>
      <c r="I111" s="3339"/>
      <c r="J111" s="3340"/>
      <c r="K111" s="3340"/>
      <c r="L111" s="3340"/>
      <c r="M111" s="3340"/>
      <c r="N111" s="3340"/>
      <c r="O111" s="3340"/>
      <c r="P111" s="3340"/>
      <c r="Q111" s="3340"/>
      <c r="R111" s="3421"/>
      <c r="S111" s="1177"/>
    </row>
    <row r="112" spans="1:19" s="1281" customFormat="1" ht="21">
      <c r="A112" s="1343"/>
      <c r="B112" s="1417" t="s">
        <v>143</v>
      </c>
      <c r="C112" s="3337"/>
      <c r="D112" s="3337"/>
      <c r="E112" s="3337"/>
      <c r="F112" s="3337"/>
      <c r="G112" s="3337"/>
      <c r="H112" s="3338"/>
      <c r="I112" s="3339"/>
      <c r="J112" s="3340"/>
      <c r="K112" s="3340"/>
      <c r="L112" s="3340"/>
      <c r="M112" s="3340"/>
      <c r="N112" s="3340"/>
      <c r="O112" s="3340"/>
      <c r="P112" s="3340"/>
      <c r="Q112" s="3340"/>
      <c r="R112" s="3421"/>
      <c r="S112" s="1177"/>
    </row>
    <row r="113" spans="1:20" s="1281" customFormat="1" ht="21">
      <c r="A113" s="1343"/>
      <c r="B113" s="1417" t="s">
        <v>144</v>
      </c>
      <c r="C113" s="3337"/>
      <c r="D113" s="3337"/>
      <c r="E113" s="3337"/>
      <c r="F113" s="3337"/>
      <c r="G113" s="3337"/>
      <c r="H113" s="3338"/>
      <c r="I113" s="3339"/>
      <c r="J113" s="3340"/>
      <c r="K113" s="3340"/>
      <c r="L113" s="3340"/>
      <c r="M113" s="3340"/>
      <c r="N113" s="3340"/>
      <c r="O113" s="3340"/>
      <c r="P113" s="3340"/>
      <c r="Q113" s="3340"/>
      <c r="R113" s="3422"/>
      <c r="S113" s="1177"/>
    </row>
    <row r="114" spans="1:20" s="1281" customFormat="1" ht="21">
      <c r="A114" s="1343"/>
      <c r="B114" s="1417" t="s">
        <v>145</v>
      </c>
      <c r="C114" s="3337"/>
      <c r="D114" s="3337"/>
      <c r="E114" s="3337"/>
      <c r="F114" s="3337"/>
      <c r="G114" s="3337"/>
      <c r="H114" s="3338"/>
      <c r="I114" s="3339"/>
      <c r="J114" s="3340"/>
      <c r="K114" s="3340"/>
      <c r="L114" s="3340"/>
      <c r="M114" s="3340"/>
      <c r="N114" s="3340"/>
      <c r="O114" s="3340"/>
      <c r="P114" s="3340"/>
      <c r="Q114" s="3415"/>
      <c r="R114" s="3412">
        <f>R66</f>
        <v>7</v>
      </c>
      <c r="S114" s="1177"/>
    </row>
    <row r="115" spans="1:20" s="1281" customFormat="1" ht="21">
      <c r="A115" s="1343"/>
      <c r="B115" s="1417" t="s">
        <v>146</v>
      </c>
      <c r="C115" s="3337"/>
      <c r="D115" s="3337"/>
      <c r="E115" s="3337"/>
      <c r="F115" s="3337"/>
      <c r="G115" s="3337"/>
      <c r="H115" s="3338"/>
      <c r="I115" s="3339"/>
      <c r="J115" s="3340"/>
      <c r="K115" s="3340"/>
      <c r="L115" s="3340"/>
      <c r="M115" s="3340"/>
      <c r="N115" s="3340"/>
      <c r="O115" s="3340"/>
      <c r="P115" s="3340"/>
      <c r="Q115" s="3415"/>
      <c r="R115" s="3413"/>
      <c r="S115" s="1177"/>
    </row>
    <row r="116" spans="1:20" s="1281" customFormat="1" ht="28.5" customHeight="1" thickBot="1">
      <c r="A116" s="1343"/>
      <c r="B116" s="1418" t="s">
        <v>147</v>
      </c>
      <c r="C116" s="3416"/>
      <c r="D116" s="3416"/>
      <c r="E116" s="3416"/>
      <c r="F116" s="3416"/>
      <c r="G116" s="3416"/>
      <c r="H116" s="3417"/>
      <c r="I116" s="3418"/>
      <c r="J116" s="3419"/>
      <c r="K116" s="3419"/>
      <c r="L116" s="3419"/>
      <c r="M116" s="3419"/>
      <c r="N116" s="3419"/>
      <c r="O116" s="3419"/>
      <c r="P116" s="3419"/>
      <c r="Q116" s="3420"/>
      <c r="R116" s="3414"/>
      <c r="S116" s="1177"/>
    </row>
    <row r="117" spans="1:20" s="1281" customFormat="1">
      <c r="P117" s="1177"/>
      <c r="Q117" s="1177"/>
      <c r="S117" s="1177"/>
    </row>
    <row r="118" spans="1:20" ht="13.5" thickBot="1"/>
    <row r="119" spans="1:20">
      <c r="A119" s="1498" t="s">
        <v>909</v>
      </c>
      <c r="B119" s="3395">
        <f>B81</f>
        <v>6</v>
      </c>
      <c r="C119" s="3396"/>
      <c r="D119" s="3396"/>
      <c r="E119" s="3396"/>
      <c r="F119" s="3396"/>
      <c r="G119" s="3396"/>
      <c r="H119" s="3396"/>
      <c r="I119" s="3399">
        <f>I81</f>
        <v>6</v>
      </c>
    </row>
    <row r="120" spans="1:20" ht="12.75" customHeight="1">
      <c r="A120" s="3401"/>
      <c r="B120" s="3397"/>
      <c r="C120" s="3398"/>
      <c r="D120" s="3398"/>
      <c r="E120" s="3398"/>
      <c r="F120" s="3398"/>
      <c r="G120" s="3398"/>
      <c r="H120" s="3398"/>
      <c r="I120" s="3400"/>
      <c r="S120" s="1281"/>
      <c r="T120" s="1281"/>
    </row>
    <row r="121" spans="1:20" ht="18.75">
      <c r="A121" s="3401"/>
      <c r="B121" s="3402">
        <f>B83</f>
        <v>8</v>
      </c>
      <c r="C121" s="3403"/>
      <c r="D121" s="3403"/>
      <c r="E121" s="3403"/>
      <c r="F121" s="3403"/>
      <c r="G121" s="3403"/>
      <c r="H121" s="3403"/>
      <c r="I121" s="3404"/>
    </row>
    <row r="122" spans="1:20" ht="18.75">
      <c r="A122" s="3401"/>
      <c r="B122" s="1058"/>
      <c r="C122" s="1059"/>
      <c r="D122" s="1059"/>
      <c r="E122" s="1059"/>
      <c r="F122" s="1059"/>
      <c r="G122" s="1059"/>
      <c r="H122" s="1059"/>
      <c r="I122" s="1060"/>
    </row>
    <row r="123" spans="1:20" ht="18.75">
      <c r="A123" s="3401"/>
      <c r="B123" s="339"/>
      <c r="C123" s="340" t="s">
        <v>1949</v>
      </c>
      <c r="D123" s="341">
        <v>2</v>
      </c>
      <c r="E123" s="342"/>
      <c r="F123" s="342"/>
      <c r="G123" s="340" t="s">
        <v>1950</v>
      </c>
      <c r="H123" s="341">
        <v>2</v>
      </c>
      <c r="I123" s="343"/>
    </row>
    <row r="124" spans="1:20" ht="18.75">
      <c r="A124" s="3401"/>
      <c r="B124" s="344"/>
      <c r="C124" s="345"/>
      <c r="D124" s="346"/>
      <c r="E124" s="347"/>
      <c r="F124" s="347"/>
      <c r="G124" s="345"/>
      <c r="H124" s="346"/>
      <c r="I124" s="348"/>
    </row>
    <row r="125" spans="1:20" ht="18.75">
      <c r="A125" s="3401"/>
      <c r="B125" s="3405" t="s">
        <v>1951</v>
      </c>
      <c r="C125" s="3406"/>
      <c r="D125" s="3406"/>
      <c r="E125" s="3406"/>
      <c r="F125" s="3406"/>
      <c r="G125" s="3406"/>
      <c r="H125" s="3406"/>
      <c r="I125" s="3407"/>
    </row>
    <row r="126" spans="1:20" ht="18.75">
      <c r="A126" s="3401"/>
      <c r="B126" s="1061">
        <v>1</v>
      </c>
      <c r="C126" s="349"/>
      <c r="D126" s="349"/>
      <c r="E126" s="349"/>
      <c r="F126" s="349"/>
      <c r="G126" s="349"/>
      <c r="H126" s="349"/>
      <c r="I126" s="350"/>
    </row>
    <row r="127" spans="1:20" ht="18.75">
      <c r="A127" s="3401"/>
      <c r="B127" s="1061">
        <f>LARGE(B126:B126,1)+1</f>
        <v>2</v>
      </c>
      <c r="C127" s="349"/>
      <c r="D127" s="349"/>
      <c r="E127" s="349"/>
      <c r="F127" s="349"/>
      <c r="G127" s="349"/>
      <c r="H127" s="349"/>
      <c r="I127" s="350"/>
    </row>
    <row r="128" spans="1:20" ht="18.75">
      <c r="A128" s="3401"/>
      <c r="B128" s="1061">
        <f>LARGE(B126:B127,1)+1</f>
        <v>3</v>
      </c>
      <c r="C128" s="349"/>
      <c r="D128" s="349"/>
      <c r="E128" s="349"/>
      <c r="F128" s="349"/>
      <c r="G128" s="349"/>
      <c r="H128" s="349"/>
      <c r="I128" s="350"/>
    </row>
    <row r="129" spans="1:9" ht="18.75">
      <c r="A129" s="3401"/>
      <c r="B129" s="1061">
        <f>LARGE(B126:B128,1)+1</f>
        <v>4</v>
      </c>
      <c r="C129" s="349"/>
      <c r="D129" s="349"/>
      <c r="E129" s="349"/>
      <c r="F129" s="349"/>
      <c r="G129" s="349"/>
      <c r="H129" s="349"/>
      <c r="I129" s="350"/>
    </row>
    <row r="130" spans="1:9" ht="18.75">
      <c r="A130" s="3401"/>
      <c r="B130" s="1061">
        <f>LARGE(B126:B129,1)+1</f>
        <v>5</v>
      </c>
      <c r="C130" s="349"/>
      <c r="D130" s="349"/>
      <c r="E130" s="349"/>
      <c r="F130" s="349"/>
      <c r="G130" s="349"/>
      <c r="H130" s="349"/>
      <c r="I130" s="350"/>
    </row>
    <row r="131" spans="1:9" ht="18.75">
      <c r="A131" s="3401"/>
      <c r="B131" s="1061">
        <f>LARGE(B126:B130,1)+1</f>
        <v>6</v>
      </c>
      <c r="C131" s="349"/>
      <c r="D131" s="349"/>
      <c r="E131" s="349"/>
      <c r="F131" s="349"/>
      <c r="G131" s="349"/>
      <c r="H131" s="349"/>
      <c r="I131" s="350"/>
    </row>
    <row r="132" spans="1:9" ht="18.75">
      <c r="A132" s="3401"/>
      <c r="B132" s="1061">
        <f>LARGE(B126:B131,1)+1</f>
        <v>7</v>
      </c>
      <c r="C132" s="349"/>
      <c r="D132" s="349"/>
      <c r="E132" s="349"/>
      <c r="F132" s="349"/>
      <c r="G132" s="349"/>
      <c r="H132" s="349"/>
      <c r="I132" s="350"/>
    </row>
    <row r="133" spans="1:9" ht="18.75">
      <c r="A133" s="3401"/>
      <c r="B133" s="1061">
        <f>LARGE(B126:B132,1)+1</f>
        <v>8</v>
      </c>
      <c r="C133" s="349"/>
      <c r="D133" s="349"/>
      <c r="E133" s="349"/>
      <c r="F133" s="349"/>
      <c r="G133" s="349"/>
      <c r="H133" s="349"/>
      <c r="I133" s="350"/>
    </row>
    <row r="134" spans="1:9" ht="18.75">
      <c r="A134" s="3401"/>
      <c r="B134" s="1061">
        <f>LARGE(B126:B133,1)+1</f>
        <v>9</v>
      </c>
      <c r="C134" s="349"/>
      <c r="D134" s="349"/>
      <c r="E134" s="349"/>
      <c r="F134" s="349"/>
      <c r="G134" s="349"/>
      <c r="H134" s="349"/>
      <c r="I134" s="350"/>
    </row>
    <row r="135" spans="1:9" ht="18.75">
      <c r="A135" s="3401"/>
      <c r="B135" s="1061">
        <f>LARGE(B126:B134,1)+1</f>
        <v>10</v>
      </c>
      <c r="C135" s="349"/>
      <c r="D135" s="349"/>
      <c r="E135" s="349"/>
      <c r="F135" s="349"/>
      <c r="G135" s="349"/>
      <c r="H135" s="349"/>
      <c r="I135" s="350"/>
    </row>
    <row r="136" spans="1:9" ht="18.75">
      <c r="A136" s="3401"/>
      <c r="B136" s="1061">
        <f>LARGE(B126:B135,1)+1</f>
        <v>11</v>
      </c>
      <c r="C136" s="349"/>
      <c r="D136" s="349"/>
      <c r="E136" s="349"/>
      <c r="F136" s="349"/>
      <c r="G136" s="349"/>
      <c r="H136" s="349"/>
      <c r="I136" s="350"/>
    </row>
    <row r="137" spans="1:9" ht="18.75">
      <c r="A137" s="3401"/>
      <c r="B137" s="1061">
        <f>LARGE(B126:B136,1)+1</f>
        <v>12</v>
      </c>
      <c r="C137" s="349"/>
      <c r="D137" s="349"/>
      <c r="E137" s="349"/>
      <c r="F137" s="349"/>
      <c r="G137" s="349"/>
      <c r="H137" s="349"/>
      <c r="I137" s="350"/>
    </row>
    <row r="138" spans="1:9" ht="18.75">
      <c r="A138" s="3401"/>
      <c r="B138" s="1061">
        <f>LARGE(B126:B137,1)+1</f>
        <v>13</v>
      </c>
      <c r="C138" s="349"/>
      <c r="D138" s="349"/>
      <c r="E138" s="349"/>
      <c r="F138" s="349"/>
      <c r="G138" s="349"/>
      <c r="H138" s="349"/>
      <c r="I138" s="350"/>
    </row>
    <row r="139" spans="1:9" ht="18.75">
      <c r="A139" s="3401"/>
      <c r="B139" s="1061">
        <f>LARGE(B126:B138,1)+1</f>
        <v>14</v>
      </c>
      <c r="C139" s="349"/>
      <c r="D139" s="349"/>
      <c r="E139" s="349"/>
      <c r="F139" s="349"/>
      <c r="G139" s="349"/>
      <c r="H139" s="349"/>
      <c r="I139" s="350"/>
    </row>
    <row r="140" spans="1:9" ht="18.75">
      <c r="A140" s="3401"/>
      <c r="B140" s="1061">
        <f>LARGE(B126:B139,1)+1</f>
        <v>15</v>
      </c>
      <c r="C140" s="349"/>
      <c r="D140" s="349"/>
      <c r="E140" s="349"/>
      <c r="F140" s="349"/>
      <c r="G140" s="349"/>
      <c r="H140" s="349"/>
      <c r="I140" s="350"/>
    </row>
    <row r="141" spans="1:9" ht="18.75">
      <c r="A141" s="3401"/>
      <c r="B141" s="1061">
        <f>LARGE(B126:B140,1)+1</f>
        <v>16</v>
      </c>
      <c r="C141" s="349"/>
      <c r="D141" s="349"/>
      <c r="E141" s="349"/>
      <c r="F141" s="349"/>
      <c r="G141" s="349"/>
      <c r="H141" s="349"/>
      <c r="I141" s="350"/>
    </row>
    <row r="142" spans="1:9" ht="18.75">
      <c r="A142" s="3401"/>
      <c r="B142" s="1061">
        <f>LARGE(B126:B141,1)+1</f>
        <v>17</v>
      </c>
      <c r="C142" s="349"/>
      <c r="D142" s="349"/>
      <c r="E142" s="349"/>
      <c r="F142" s="349"/>
      <c r="G142" s="349"/>
      <c r="H142" s="349"/>
      <c r="I142" s="350"/>
    </row>
    <row r="143" spans="1:9" ht="18.75">
      <c r="A143" s="3401"/>
      <c r="B143" s="1061">
        <f>LARGE(B126:B142,1)+1</f>
        <v>18</v>
      </c>
      <c r="C143" s="349"/>
      <c r="D143" s="349"/>
      <c r="E143" s="349"/>
      <c r="F143" s="349"/>
      <c r="G143" s="349"/>
      <c r="H143" s="349"/>
      <c r="I143" s="350"/>
    </row>
    <row r="144" spans="1:9" ht="18.75">
      <c r="A144" s="3401"/>
      <c r="B144" s="1061">
        <f>LARGE(B126:B143,1)+1</f>
        <v>19</v>
      </c>
      <c r="C144" s="349"/>
      <c r="D144" s="349"/>
      <c r="E144" s="349"/>
      <c r="F144" s="349"/>
      <c r="G144" s="349"/>
      <c r="H144" s="349"/>
      <c r="I144" s="350"/>
    </row>
    <row r="145" spans="1:9" ht="18.75">
      <c r="A145" s="3401"/>
      <c r="B145" s="1061">
        <f>LARGE(B126:B144,1)+1</f>
        <v>20</v>
      </c>
      <c r="C145" s="349"/>
      <c r="D145" s="349"/>
      <c r="E145" s="349"/>
      <c r="F145" s="349"/>
      <c r="G145" s="349"/>
      <c r="H145" s="349"/>
      <c r="I145" s="350"/>
    </row>
    <row r="146" spans="1:9" ht="18.75">
      <c r="A146" s="3401"/>
      <c r="B146" s="1061">
        <f>LARGE(B126:B145,1)+1</f>
        <v>21</v>
      </c>
      <c r="C146" s="349"/>
      <c r="D146" s="349"/>
      <c r="E146" s="349"/>
      <c r="F146" s="349"/>
      <c r="G146" s="349"/>
      <c r="H146" s="349"/>
      <c r="I146" s="350"/>
    </row>
    <row r="147" spans="1:9" ht="18.75">
      <c r="A147" s="3401"/>
      <c r="B147" s="1061">
        <f>LARGE(B126:B146,1)+1</f>
        <v>22</v>
      </c>
      <c r="C147" s="349"/>
      <c r="D147" s="349"/>
      <c r="E147" s="349"/>
      <c r="F147" s="349"/>
      <c r="G147" s="349"/>
      <c r="H147" s="349"/>
      <c r="I147" s="350"/>
    </row>
    <row r="148" spans="1:9" ht="18.75">
      <c r="A148" s="3401"/>
      <c r="B148" s="1061">
        <f>LARGE(B126:B147,1)+1</f>
        <v>23</v>
      </c>
      <c r="C148" s="349"/>
      <c r="D148" s="349"/>
      <c r="E148" s="349"/>
      <c r="F148" s="349"/>
      <c r="G148" s="349"/>
      <c r="H148" s="349"/>
      <c r="I148" s="350"/>
    </row>
    <row r="149" spans="1:9" ht="18.75">
      <c r="A149" s="3401"/>
      <c r="B149" s="1061">
        <f>LARGE(B126:B148,1)+1</f>
        <v>24</v>
      </c>
      <c r="C149" s="349"/>
      <c r="D149" s="349"/>
      <c r="E149" s="349"/>
      <c r="F149" s="349"/>
      <c r="G149" s="349"/>
      <c r="H149" s="349"/>
      <c r="I149" s="350"/>
    </row>
    <row r="150" spans="1:9" ht="18.75">
      <c r="A150" s="3401"/>
      <c r="B150" s="1061">
        <f>LARGE(B126:B149,1)+1</f>
        <v>25</v>
      </c>
      <c r="C150" s="349"/>
      <c r="D150" s="349"/>
      <c r="E150" s="349"/>
      <c r="F150" s="349"/>
      <c r="G150" s="349"/>
      <c r="H150" s="349"/>
      <c r="I150" s="350"/>
    </row>
    <row r="151" spans="1:9" ht="18.75">
      <c r="A151" s="3401"/>
      <c r="B151" s="1061">
        <f>LARGE(B126:B150,1)+1</f>
        <v>26</v>
      </c>
      <c r="C151" s="349"/>
      <c r="D151" s="349"/>
      <c r="E151" s="349"/>
      <c r="F151" s="349"/>
      <c r="G151" s="349"/>
      <c r="H151" s="349"/>
      <c r="I151" s="350"/>
    </row>
    <row r="152" spans="1:9" ht="18.75">
      <c r="A152" s="3401"/>
      <c r="B152" s="1061">
        <f>LARGE(B126:B151,1)+1</f>
        <v>27</v>
      </c>
      <c r="C152" s="349"/>
      <c r="D152" s="349"/>
      <c r="E152" s="349"/>
      <c r="F152" s="349"/>
      <c r="G152" s="349"/>
      <c r="H152" s="349"/>
      <c r="I152" s="350"/>
    </row>
    <row r="153" spans="1:9" ht="18.75">
      <c r="A153" s="3401"/>
      <c r="B153" s="1061">
        <f>LARGE(B126:B152,1)+1</f>
        <v>28</v>
      </c>
      <c r="C153" s="349"/>
      <c r="D153" s="349"/>
      <c r="E153" s="349"/>
      <c r="F153" s="349"/>
      <c r="G153" s="349"/>
      <c r="H153" s="349"/>
      <c r="I153" s="350"/>
    </row>
    <row r="154" spans="1:9" ht="18.75">
      <c r="A154" s="3401"/>
      <c r="B154" s="1061">
        <f>LARGE(B126:B153,1)+1</f>
        <v>29</v>
      </c>
      <c r="C154" s="349"/>
      <c r="D154" s="349"/>
      <c r="E154" s="349"/>
      <c r="F154" s="349"/>
      <c r="G154" s="349"/>
      <c r="H154" s="349"/>
      <c r="I154" s="350"/>
    </row>
    <row r="155" spans="1:9" ht="18.75">
      <c r="A155" s="3401"/>
      <c r="B155" s="1061">
        <f>LARGE(B126:B154,1)+1</f>
        <v>30</v>
      </c>
      <c r="C155" s="349"/>
      <c r="D155" s="349"/>
      <c r="E155" s="349"/>
      <c r="F155" s="349"/>
      <c r="G155" s="349"/>
      <c r="H155" s="349"/>
      <c r="I155" s="350"/>
    </row>
    <row r="156" spans="1:9" ht="18.75">
      <c r="A156" s="3401"/>
      <c r="B156" s="1061">
        <f>LARGE(B126:B155,1)+1</f>
        <v>31</v>
      </c>
      <c r="C156" s="349"/>
      <c r="D156" s="349"/>
      <c r="E156" s="349"/>
      <c r="F156" s="349"/>
      <c r="G156" s="349"/>
      <c r="H156" s="349"/>
      <c r="I156" s="350"/>
    </row>
    <row r="157" spans="1:9" ht="18.75">
      <c r="A157" s="3401"/>
      <c r="B157" s="1061">
        <f>LARGE(B126:B156,1)+1</f>
        <v>32</v>
      </c>
      <c r="C157" s="349"/>
      <c r="D157" s="349"/>
      <c r="E157" s="349"/>
      <c r="F157" s="349"/>
      <c r="G157" s="349"/>
      <c r="H157" s="349"/>
      <c r="I157" s="350"/>
    </row>
    <row r="158" spans="1:9" ht="19.5" thickBot="1">
      <c r="A158" s="3401"/>
      <c r="B158" s="351">
        <f>LARGE(B126:B157,1)+1</f>
        <v>33</v>
      </c>
      <c r="C158" s="352"/>
      <c r="D158" s="352"/>
      <c r="E158" s="352"/>
      <c r="F158" s="352"/>
      <c r="G158" s="352"/>
      <c r="H158" s="352"/>
      <c r="I158" s="353"/>
    </row>
    <row r="159" spans="1:9" ht="19.5" thickTop="1">
      <c r="A159" s="3401"/>
      <c r="B159" s="354" t="s">
        <v>1952</v>
      </c>
      <c r="C159" s="355"/>
      <c r="D159" s="3408"/>
      <c r="E159" s="3408"/>
      <c r="F159" s="3408"/>
      <c r="G159" s="3408"/>
      <c r="H159" s="3408"/>
      <c r="I159" s="3409"/>
    </row>
    <row r="160" spans="1:9" ht="18.75">
      <c r="A160" s="3401"/>
      <c r="B160" s="1499" t="s">
        <v>1953</v>
      </c>
      <c r="C160" s="3410" t="s">
        <v>1954</v>
      </c>
      <c r="D160" s="3410"/>
      <c r="E160" s="3410"/>
      <c r="F160" s="3410"/>
      <c r="G160" s="3410"/>
      <c r="H160" s="3410"/>
      <c r="I160" s="3411"/>
    </row>
    <row r="161" spans="1:9" ht="15">
      <c r="A161" s="3401"/>
      <c r="B161" s="1500" t="s">
        <v>358</v>
      </c>
      <c r="C161" s="1501" t="str">
        <f ca="1">CELL("nomfichier")</f>
        <v>E:\0-UPRT\1-UPRT.FR-SITE-WEB\ff-fiches-fabrications\ff-fiches-fabrication-maj-08-2020\[ff-8-restauration-Christian.Frechede.xlsx]Formats-Formules-Fonctions</v>
      </c>
      <c r="D161" s="1464"/>
      <c r="E161" s="1502"/>
      <c r="F161" s="1502"/>
      <c r="G161" s="1502"/>
      <c r="H161" s="1502"/>
      <c r="I161" s="1503"/>
    </row>
    <row r="162" spans="1:9" ht="15">
      <c r="A162" s="3401"/>
      <c r="B162" s="1504" t="s">
        <v>1955</v>
      </c>
      <c r="C162" s="1464"/>
      <c r="D162" s="1501"/>
      <c r="E162" s="1502"/>
      <c r="F162" s="1502"/>
      <c r="G162" s="1502"/>
      <c r="H162" s="1502"/>
      <c r="I162" s="1503"/>
    </row>
    <row r="163" spans="1:9" ht="15">
      <c r="A163" s="3401"/>
      <c r="B163" s="1504" t="s">
        <v>1956</v>
      </c>
      <c r="C163" s="1464"/>
      <c r="D163" s="1501"/>
      <c r="E163" s="1502"/>
      <c r="F163" s="1502"/>
      <c r="G163" s="1502"/>
      <c r="H163" s="1502"/>
      <c r="I163" s="1503"/>
    </row>
    <row r="164" spans="1:9" ht="15.75" thickBot="1">
      <c r="A164" s="3401"/>
      <c r="B164" s="356" t="s">
        <v>361</v>
      </c>
      <c r="C164" s="1505"/>
      <c r="D164" s="1506"/>
      <c r="E164" s="1506"/>
      <c r="F164" s="1506"/>
      <c r="G164" s="1506"/>
      <c r="H164" s="1506"/>
      <c r="I164" s="1507"/>
    </row>
  </sheetData>
  <mergeCells count="134">
    <mergeCell ref="M2:O2"/>
    <mergeCell ref="P2:Q2"/>
    <mergeCell ref="R2:R3"/>
    <mergeCell ref="Z2:AG2"/>
    <mergeCell ref="AH2:AI2"/>
    <mergeCell ref="C3:L3"/>
    <mergeCell ref="M3:O3"/>
    <mergeCell ref="P3:Q4"/>
    <mergeCell ref="W3:AG3"/>
    <mergeCell ref="AH3:AI4"/>
    <mergeCell ref="E4:I4"/>
    <mergeCell ref="M4:O4"/>
    <mergeCell ref="R4:R65"/>
    <mergeCell ref="Z4:AG4"/>
    <mergeCell ref="E5:F5"/>
    <mergeCell ref="G5:H5"/>
    <mergeCell ref="I5:J5"/>
    <mergeCell ref="K5:L5"/>
    <mergeCell ref="M5:N5"/>
    <mergeCell ref="O5:Q5"/>
    <mergeCell ref="Z5:AA5"/>
    <mergeCell ref="AB5:AC5"/>
    <mergeCell ref="AD5:AE5"/>
    <mergeCell ref="AF5:AG5"/>
    <mergeCell ref="AH5:AI5"/>
    <mergeCell ref="Z6:AA6"/>
    <mergeCell ref="AB6:AC6"/>
    <mergeCell ref="AD6:AE6"/>
    <mergeCell ref="AF6:AG6"/>
    <mergeCell ref="AH6:AI6"/>
    <mergeCell ref="V58:Y60"/>
    <mergeCell ref="O59:Q59"/>
    <mergeCell ref="Z60:AI60"/>
    <mergeCell ref="B65:Q67"/>
    <mergeCell ref="R66:R68"/>
    <mergeCell ref="M70:O70"/>
    <mergeCell ref="P70:Q70"/>
    <mergeCell ref="R70:R71"/>
    <mergeCell ref="C71:L71"/>
    <mergeCell ref="M71:O71"/>
    <mergeCell ref="C77:H77"/>
    <mergeCell ref="J77:Q77"/>
    <mergeCell ref="P71:Q72"/>
    <mergeCell ref="E72:I72"/>
    <mergeCell ref="J72:L72"/>
    <mergeCell ref="M72:O72"/>
    <mergeCell ref="B74:Q74"/>
    <mergeCell ref="C75:H75"/>
    <mergeCell ref="J75:Q75"/>
    <mergeCell ref="C76:H76"/>
    <mergeCell ref="J76:Q76"/>
    <mergeCell ref="C80:H80"/>
    <mergeCell ref="J80:Q80"/>
    <mergeCell ref="C81:H81"/>
    <mergeCell ref="J81:Q81"/>
    <mergeCell ref="C82:H82"/>
    <mergeCell ref="J82:Q82"/>
    <mergeCell ref="C78:H78"/>
    <mergeCell ref="J78:Q78"/>
    <mergeCell ref="C79:H79"/>
    <mergeCell ref="J79:Q79"/>
    <mergeCell ref="C86:H86"/>
    <mergeCell ref="J86:Q86"/>
    <mergeCell ref="C87:H87"/>
    <mergeCell ref="J87:Q87"/>
    <mergeCell ref="C88:H88"/>
    <mergeCell ref="J88:Q88"/>
    <mergeCell ref="C83:H83"/>
    <mergeCell ref="J83:Q83"/>
    <mergeCell ref="C84:H84"/>
    <mergeCell ref="J84:Q84"/>
    <mergeCell ref="C85:H85"/>
    <mergeCell ref="J85:Q85"/>
    <mergeCell ref="C92:H92"/>
    <mergeCell ref="J92:Q92"/>
    <mergeCell ref="C93:H93"/>
    <mergeCell ref="J93:Q93"/>
    <mergeCell ref="B94:H94"/>
    <mergeCell ref="I94:Q94"/>
    <mergeCell ref="C89:H89"/>
    <mergeCell ref="J89:Q89"/>
    <mergeCell ref="C90:H90"/>
    <mergeCell ref="J90:Q90"/>
    <mergeCell ref="C91:H91"/>
    <mergeCell ref="J91:Q91"/>
    <mergeCell ref="I105:Q105"/>
    <mergeCell ref="C98:H98"/>
    <mergeCell ref="J98:Q98"/>
    <mergeCell ref="C99:H99"/>
    <mergeCell ref="J99:Q99"/>
    <mergeCell ref="C100:H100"/>
    <mergeCell ref="J100:Q100"/>
    <mergeCell ref="C95:H95"/>
    <mergeCell ref="J95:Q95"/>
    <mergeCell ref="C96:H96"/>
    <mergeCell ref="J96:Q96"/>
    <mergeCell ref="C97:H97"/>
    <mergeCell ref="J97:Q97"/>
    <mergeCell ref="C112:H112"/>
    <mergeCell ref="I112:Q112"/>
    <mergeCell ref="C113:H113"/>
    <mergeCell ref="I113:Q113"/>
    <mergeCell ref="C114:H114"/>
    <mergeCell ref="I114:Q114"/>
    <mergeCell ref="R72:R113"/>
    <mergeCell ref="C109:H109"/>
    <mergeCell ref="I109:Q109"/>
    <mergeCell ref="C110:H110"/>
    <mergeCell ref="I110:Q110"/>
    <mergeCell ref="C111:H111"/>
    <mergeCell ref="I111:Q111"/>
    <mergeCell ref="C106:H106"/>
    <mergeCell ref="I106:Q106"/>
    <mergeCell ref="C107:H107"/>
    <mergeCell ref="I107:Q107"/>
    <mergeCell ref="C108:H108"/>
    <mergeCell ref="I108:Q108"/>
    <mergeCell ref="C101:H101"/>
    <mergeCell ref="J101:Q101"/>
    <mergeCell ref="B103:Q103"/>
    <mergeCell ref="B104:H104"/>
    <mergeCell ref="I104:Q104"/>
    <mergeCell ref="B119:H120"/>
    <mergeCell ref="I119:I120"/>
    <mergeCell ref="A120:A164"/>
    <mergeCell ref="B121:I121"/>
    <mergeCell ref="B125:I125"/>
    <mergeCell ref="D159:I159"/>
    <mergeCell ref="C160:I160"/>
    <mergeCell ref="R114:R116"/>
    <mergeCell ref="C115:H115"/>
    <mergeCell ref="I115:Q115"/>
    <mergeCell ref="C116:H116"/>
    <mergeCell ref="I116:Q116"/>
  </mergeCells>
  <hyperlinks>
    <hyperlink ref="I2" r:id="rId1" xr:uid="{8E913F46-FDCE-4722-A2C1-0D7CAFDB7927}"/>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2"/>
  <headerFooter alignWithMargins="0"/>
  <rowBreaks count="1" manualBreakCount="1">
    <brk id="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0"/>
  <sheetViews>
    <sheetView showZeros="0" showWhiteSpace="0" topLeftCell="A4" zoomScale="61" zoomScaleNormal="61" zoomScalePageLayoutView="58" workbookViewId="0">
      <selection activeCell="Y16" sqref="Y16"/>
    </sheetView>
  </sheetViews>
  <sheetFormatPr baseColWidth="10" defaultRowHeight="15"/>
  <cols>
    <col min="1" max="1" width="5.140625" style="1178" customWidth="1"/>
    <col min="2" max="2" width="10.42578125" style="1178" customWidth="1"/>
    <col min="3" max="7" width="11.42578125" style="1178"/>
    <col min="8" max="8" width="8" style="1178" customWidth="1"/>
    <col min="9" max="12" width="11.42578125" style="1178"/>
    <col min="13" max="15" width="11.42578125" style="1180"/>
    <col min="16" max="16" width="17" style="1180" customWidth="1"/>
    <col min="17" max="17" width="11.42578125" style="1180"/>
    <col min="18" max="256" width="11.42578125" style="1177"/>
    <col min="257" max="257" width="5.140625" style="1177" customWidth="1"/>
    <col min="258" max="258" width="10.42578125" style="1177" customWidth="1"/>
    <col min="259" max="263" width="11.42578125" style="1177"/>
    <col min="264" max="264" width="8" style="1177" customWidth="1"/>
    <col min="265" max="271" width="11.42578125" style="1177"/>
    <col min="272" max="272" width="17" style="1177" customWidth="1"/>
    <col min="273" max="512" width="11.42578125" style="1177"/>
    <col min="513" max="513" width="5.140625" style="1177" customWidth="1"/>
    <col min="514" max="514" width="10.42578125" style="1177" customWidth="1"/>
    <col min="515" max="519" width="11.42578125" style="1177"/>
    <col min="520" max="520" width="8" style="1177" customWidth="1"/>
    <col min="521" max="527" width="11.42578125" style="1177"/>
    <col min="528" max="528" width="17" style="1177" customWidth="1"/>
    <col min="529" max="768" width="11.42578125" style="1177"/>
    <col min="769" max="769" width="5.140625" style="1177" customWidth="1"/>
    <col min="770" max="770" width="10.42578125" style="1177" customWidth="1"/>
    <col min="771" max="775" width="11.42578125" style="1177"/>
    <col min="776" max="776" width="8" style="1177" customWidth="1"/>
    <col min="777" max="783" width="11.42578125" style="1177"/>
    <col min="784" max="784" width="17" style="1177" customWidth="1"/>
    <col min="785" max="1024" width="11.42578125" style="1177"/>
    <col min="1025" max="1025" width="5.140625" style="1177" customWidth="1"/>
    <col min="1026" max="1026" width="10.42578125" style="1177" customWidth="1"/>
    <col min="1027" max="1031" width="11.42578125" style="1177"/>
    <col min="1032" max="1032" width="8" style="1177" customWidth="1"/>
    <col min="1033" max="1039" width="11.42578125" style="1177"/>
    <col min="1040" max="1040" width="17" style="1177" customWidth="1"/>
    <col min="1041" max="1280" width="11.42578125" style="1177"/>
    <col min="1281" max="1281" width="5.140625" style="1177" customWidth="1"/>
    <col min="1282" max="1282" width="10.42578125" style="1177" customWidth="1"/>
    <col min="1283" max="1287" width="11.42578125" style="1177"/>
    <col min="1288" max="1288" width="8" style="1177" customWidth="1"/>
    <col min="1289" max="1295" width="11.42578125" style="1177"/>
    <col min="1296" max="1296" width="17" style="1177" customWidth="1"/>
    <col min="1297" max="1536" width="11.42578125" style="1177"/>
    <col min="1537" max="1537" width="5.140625" style="1177" customWidth="1"/>
    <col min="1538" max="1538" width="10.42578125" style="1177" customWidth="1"/>
    <col min="1539" max="1543" width="11.42578125" style="1177"/>
    <col min="1544" max="1544" width="8" style="1177" customWidth="1"/>
    <col min="1545" max="1551" width="11.42578125" style="1177"/>
    <col min="1552" max="1552" width="17" style="1177" customWidth="1"/>
    <col min="1553" max="1792" width="11.42578125" style="1177"/>
    <col min="1793" max="1793" width="5.140625" style="1177" customWidth="1"/>
    <col min="1794" max="1794" width="10.42578125" style="1177" customWidth="1"/>
    <col min="1795" max="1799" width="11.42578125" style="1177"/>
    <col min="1800" max="1800" width="8" style="1177" customWidth="1"/>
    <col min="1801" max="1807" width="11.42578125" style="1177"/>
    <col min="1808" max="1808" width="17" style="1177" customWidth="1"/>
    <col min="1809" max="2048" width="11.42578125" style="1177"/>
    <col min="2049" max="2049" width="5.140625" style="1177" customWidth="1"/>
    <col min="2050" max="2050" width="10.42578125" style="1177" customWidth="1"/>
    <col min="2051" max="2055" width="11.42578125" style="1177"/>
    <col min="2056" max="2056" width="8" style="1177" customWidth="1"/>
    <col min="2057" max="2063" width="11.42578125" style="1177"/>
    <col min="2064" max="2064" width="17" style="1177" customWidth="1"/>
    <col min="2065" max="2304" width="11.42578125" style="1177"/>
    <col min="2305" max="2305" width="5.140625" style="1177" customWidth="1"/>
    <col min="2306" max="2306" width="10.42578125" style="1177" customWidth="1"/>
    <col min="2307" max="2311" width="11.42578125" style="1177"/>
    <col min="2312" max="2312" width="8" style="1177" customWidth="1"/>
    <col min="2313" max="2319" width="11.42578125" style="1177"/>
    <col min="2320" max="2320" width="17" style="1177" customWidth="1"/>
    <col min="2321" max="2560" width="11.42578125" style="1177"/>
    <col min="2561" max="2561" width="5.140625" style="1177" customWidth="1"/>
    <col min="2562" max="2562" width="10.42578125" style="1177" customWidth="1"/>
    <col min="2563" max="2567" width="11.42578125" style="1177"/>
    <col min="2568" max="2568" width="8" style="1177" customWidth="1"/>
    <col min="2569" max="2575" width="11.42578125" style="1177"/>
    <col min="2576" max="2576" width="17" style="1177" customWidth="1"/>
    <col min="2577" max="2816" width="11.42578125" style="1177"/>
    <col min="2817" max="2817" width="5.140625" style="1177" customWidth="1"/>
    <col min="2818" max="2818" width="10.42578125" style="1177" customWidth="1"/>
    <col min="2819" max="2823" width="11.42578125" style="1177"/>
    <col min="2824" max="2824" width="8" style="1177" customWidth="1"/>
    <col min="2825" max="2831" width="11.42578125" style="1177"/>
    <col min="2832" max="2832" width="17" style="1177" customWidth="1"/>
    <col min="2833" max="3072" width="11.42578125" style="1177"/>
    <col min="3073" max="3073" width="5.140625" style="1177" customWidth="1"/>
    <col min="3074" max="3074" width="10.42578125" style="1177" customWidth="1"/>
    <col min="3075" max="3079" width="11.42578125" style="1177"/>
    <col min="3080" max="3080" width="8" style="1177" customWidth="1"/>
    <col min="3081" max="3087" width="11.42578125" style="1177"/>
    <col min="3088" max="3088" width="17" style="1177" customWidth="1"/>
    <col min="3089" max="3328" width="11.42578125" style="1177"/>
    <col min="3329" max="3329" width="5.140625" style="1177" customWidth="1"/>
    <col min="3330" max="3330" width="10.42578125" style="1177" customWidth="1"/>
    <col min="3331" max="3335" width="11.42578125" style="1177"/>
    <col min="3336" max="3336" width="8" style="1177" customWidth="1"/>
    <col min="3337" max="3343" width="11.42578125" style="1177"/>
    <col min="3344" max="3344" width="17" style="1177" customWidth="1"/>
    <col min="3345" max="3584" width="11.42578125" style="1177"/>
    <col min="3585" max="3585" width="5.140625" style="1177" customWidth="1"/>
    <col min="3586" max="3586" width="10.42578125" style="1177" customWidth="1"/>
    <col min="3587" max="3591" width="11.42578125" style="1177"/>
    <col min="3592" max="3592" width="8" style="1177" customWidth="1"/>
    <col min="3593" max="3599" width="11.42578125" style="1177"/>
    <col min="3600" max="3600" width="17" style="1177" customWidth="1"/>
    <col min="3601" max="3840" width="11.42578125" style="1177"/>
    <col min="3841" max="3841" width="5.140625" style="1177" customWidth="1"/>
    <col min="3842" max="3842" width="10.42578125" style="1177" customWidth="1"/>
    <col min="3843" max="3847" width="11.42578125" style="1177"/>
    <col min="3848" max="3848" width="8" style="1177" customWidth="1"/>
    <col min="3849" max="3855" width="11.42578125" style="1177"/>
    <col min="3856" max="3856" width="17" style="1177" customWidth="1"/>
    <col min="3857" max="4096" width="11.42578125" style="1177"/>
    <col min="4097" max="4097" width="5.140625" style="1177" customWidth="1"/>
    <col min="4098" max="4098" width="10.42578125" style="1177" customWidth="1"/>
    <col min="4099" max="4103" width="11.42578125" style="1177"/>
    <col min="4104" max="4104" width="8" style="1177" customWidth="1"/>
    <col min="4105" max="4111" width="11.42578125" style="1177"/>
    <col min="4112" max="4112" width="17" style="1177" customWidth="1"/>
    <col min="4113" max="4352" width="11.42578125" style="1177"/>
    <col min="4353" max="4353" width="5.140625" style="1177" customWidth="1"/>
    <col min="4354" max="4354" width="10.42578125" style="1177" customWidth="1"/>
    <col min="4355" max="4359" width="11.42578125" style="1177"/>
    <col min="4360" max="4360" width="8" style="1177" customWidth="1"/>
    <col min="4361" max="4367" width="11.42578125" style="1177"/>
    <col min="4368" max="4368" width="17" style="1177" customWidth="1"/>
    <col min="4369" max="4608" width="11.42578125" style="1177"/>
    <col min="4609" max="4609" width="5.140625" style="1177" customWidth="1"/>
    <col min="4610" max="4610" width="10.42578125" style="1177" customWidth="1"/>
    <col min="4611" max="4615" width="11.42578125" style="1177"/>
    <col min="4616" max="4616" width="8" style="1177" customWidth="1"/>
    <col min="4617" max="4623" width="11.42578125" style="1177"/>
    <col min="4624" max="4624" width="17" style="1177" customWidth="1"/>
    <col min="4625" max="4864" width="11.42578125" style="1177"/>
    <col min="4865" max="4865" width="5.140625" style="1177" customWidth="1"/>
    <col min="4866" max="4866" width="10.42578125" style="1177" customWidth="1"/>
    <col min="4867" max="4871" width="11.42578125" style="1177"/>
    <col min="4872" max="4872" width="8" style="1177" customWidth="1"/>
    <col min="4873" max="4879" width="11.42578125" style="1177"/>
    <col min="4880" max="4880" width="17" style="1177" customWidth="1"/>
    <col min="4881" max="5120" width="11.42578125" style="1177"/>
    <col min="5121" max="5121" width="5.140625" style="1177" customWidth="1"/>
    <col min="5122" max="5122" width="10.42578125" style="1177" customWidth="1"/>
    <col min="5123" max="5127" width="11.42578125" style="1177"/>
    <col min="5128" max="5128" width="8" style="1177" customWidth="1"/>
    <col min="5129" max="5135" width="11.42578125" style="1177"/>
    <col min="5136" max="5136" width="17" style="1177" customWidth="1"/>
    <col min="5137" max="5376" width="11.42578125" style="1177"/>
    <col min="5377" max="5377" width="5.140625" style="1177" customWidth="1"/>
    <col min="5378" max="5378" width="10.42578125" style="1177" customWidth="1"/>
    <col min="5379" max="5383" width="11.42578125" style="1177"/>
    <col min="5384" max="5384" width="8" style="1177" customWidth="1"/>
    <col min="5385" max="5391" width="11.42578125" style="1177"/>
    <col min="5392" max="5392" width="17" style="1177" customWidth="1"/>
    <col min="5393" max="5632" width="11.42578125" style="1177"/>
    <col min="5633" max="5633" width="5.140625" style="1177" customWidth="1"/>
    <col min="5634" max="5634" width="10.42578125" style="1177" customWidth="1"/>
    <col min="5635" max="5639" width="11.42578125" style="1177"/>
    <col min="5640" max="5640" width="8" style="1177" customWidth="1"/>
    <col min="5641" max="5647" width="11.42578125" style="1177"/>
    <col min="5648" max="5648" width="17" style="1177" customWidth="1"/>
    <col min="5649" max="5888" width="11.42578125" style="1177"/>
    <col min="5889" max="5889" width="5.140625" style="1177" customWidth="1"/>
    <col min="5890" max="5890" width="10.42578125" style="1177" customWidth="1"/>
    <col min="5891" max="5895" width="11.42578125" style="1177"/>
    <col min="5896" max="5896" width="8" style="1177" customWidth="1"/>
    <col min="5897" max="5903" width="11.42578125" style="1177"/>
    <col min="5904" max="5904" width="17" style="1177" customWidth="1"/>
    <col min="5905" max="6144" width="11.42578125" style="1177"/>
    <col min="6145" max="6145" width="5.140625" style="1177" customWidth="1"/>
    <col min="6146" max="6146" width="10.42578125" style="1177" customWidth="1"/>
    <col min="6147" max="6151" width="11.42578125" style="1177"/>
    <col min="6152" max="6152" width="8" style="1177" customWidth="1"/>
    <col min="6153" max="6159" width="11.42578125" style="1177"/>
    <col min="6160" max="6160" width="17" style="1177" customWidth="1"/>
    <col min="6161" max="6400" width="11.42578125" style="1177"/>
    <col min="6401" max="6401" width="5.140625" style="1177" customWidth="1"/>
    <col min="6402" max="6402" width="10.42578125" style="1177" customWidth="1"/>
    <col min="6403" max="6407" width="11.42578125" style="1177"/>
    <col min="6408" max="6408" width="8" style="1177" customWidth="1"/>
    <col min="6409" max="6415" width="11.42578125" style="1177"/>
    <col min="6416" max="6416" width="17" style="1177" customWidth="1"/>
    <col min="6417" max="6656" width="11.42578125" style="1177"/>
    <col min="6657" max="6657" width="5.140625" style="1177" customWidth="1"/>
    <col min="6658" max="6658" width="10.42578125" style="1177" customWidth="1"/>
    <col min="6659" max="6663" width="11.42578125" style="1177"/>
    <col min="6664" max="6664" width="8" style="1177" customWidth="1"/>
    <col min="6665" max="6671" width="11.42578125" style="1177"/>
    <col min="6672" max="6672" width="17" style="1177" customWidth="1"/>
    <col min="6673" max="6912" width="11.42578125" style="1177"/>
    <col min="6913" max="6913" width="5.140625" style="1177" customWidth="1"/>
    <col min="6914" max="6914" width="10.42578125" style="1177" customWidth="1"/>
    <col min="6915" max="6919" width="11.42578125" style="1177"/>
    <col min="6920" max="6920" width="8" style="1177" customWidth="1"/>
    <col min="6921" max="6927" width="11.42578125" style="1177"/>
    <col min="6928" max="6928" width="17" style="1177" customWidth="1"/>
    <col min="6929" max="7168" width="11.42578125" style="1177"/>
    <col min="7169" max="7169" width="5.140625" style="1177" customWidth="1"/>
    <col min="7170" max="7170" width="10.42578125" style="1177" customWidth="1"/>
    <col min="7171" max="7175" width="11.42578125" style="1177"/>
    <col min="7176" max="7176" width="8" style="1177" customWidth="1"/>
    <col min="7177" max="7183" width="11.42578125" style="1177"/>
    <col min="7184" max="7184" width="17" style="1177" customWidth="1"/>
    <col min="7185" max="7424" width="11.42578125" style="1177"/>
    <col min="7425" max="7425" width="5.140625" style="1177" customWidth="1"/>
    <col min="7426" max="7426" width="10.42578125" style="1177" customWidth="1"/>
    <col min="7427" max="7431" width="11.42578125" style="1177"/>
    <col min="7432" max="7432" width="8" style="1177" customWidth="1"/>
    <col min="7433" max="7439" width="11.42578125" style="1177"/>
    <col min="7440" max="7440" width="17" style="1177" customWidth="1"/>
    <col min="7441" max="7680" width="11.42578125" style="1177"/>
    <col min="7681" max="7681" width="5.140625" style="1177" customWidth="1"/>
    <col min="7682" max="7682" width="10.42578125" style="1177" customWidth="1"/>
    <col min="7683" max="7687" width="11.42578125" style="1177"/>
    <col min="7688" max="7688" width="8" style="1177" customWidth="1"/>
    <col min="7689" max="7695" width="11.42578125" style="1177"/>
    <col min="7696" max="7696" width="17" style="1177" customWidth="1"/>
    <col min="7697" max="7936" width="11.42578125" style="1177"/>
    <col min="7937" max="7937" width="5.140625" style="1177" customWidth="1"/>
    <col min="7938" max="7938" width="10.42578125" style="1177" customWidth="1"/>
    <col min="7939" max="7943" width="11.42578125" style="1177"/>
    <col min="7944" max="7944" width="8" style="1177" customWidth="1"/>
    <col min="7945" max="7951" width="11.42578125" style="1177"/>
    <col min="7952" max="7952" width="17" style="1177" customWidth="1"/>
    <col min="7953" max="8192" width="11.42578125" style="1177"/>
    <col min="8193" max="8193" width="5.140625" style="1177" customWidth="1"/>
    <col min="8194" max="8194" width="10.42578125" style="1177" customWidth="1"/>
    <col min="8195" max="8199" width="11.42578125" style="1177"/>
    <col min="8200" max="8200" width="8" style="1177" customWidth="1"/>
    <col min="8201" max="8207" width="11.42578125" style="1177"/>
    <col min="8208" max="8208" width="17" style="1177" customWidth="1"/>
    <col min="8209" max="8448" width="11.42578125" style="1177"/>
    <col min="8449" max="8449" width="5.140625" style="1177" customWidth="1"/>
    <col min="8450" max="8450" width="10.42578125" style="1177" customWidth="1"/>
    <col min="8451" max="8455" width="11.42578125" style="1177"/>
    <col min="8456" max="8456" width="8" style="1177" customWidth="1"/>
    <col min="8457" max="8463" width="11.42578125" style="1177"/>
    <col min="8464" max="8464" width="17" style="1177" customWidth="1"/>
    <col min="8465" max="8704" width="11.42578125" style="1177"/>
    <col min="8705" max="8705" width="5.140625" style="1177" customWidth="1"/>
    <col min="8706" max="8706" width="10.42578125" style="1177" customWidth="1"/>
    <col min="8707" max="8711" width="11.42578125" style="1177"/>
    <col min="8712" max="8712" width="8" style="1177" customWidth="1"/>
    <col min="8713" max="8719" width="11.42578125" style="1177"/>
    <col min="8720" max="8720" width="17" style="1177" customWidth="1"/>
    <col min="8721" max="8960" width="11.42578125" style="1177"/>
    <col min="8961" max="8961" width="5.140625" style="1177" customWidth="1"/>
    <col min="8962" max="8962" width="10.42578125" style="1177" customWidth="1"/>
    <col min="8963" max="8967" width="11.42578125" style="1177"/>
    <col min="8968" max="8968" width="8" style="1177" customWidth="1"/>
    <col min="8969" max="8975" width="11.42578125" style="1177"/>
    <col min="8976" max="8976" width="17" style="1177" customWidth="1"/>
    <col min="8977" max="9216" width="11.42578125" style="1177"/>
    <col min="9217" max="9217" width="5.140625" style="1177" customWidth="1"/>
    <col min="9218" max="9218" width="10.42578125" style="1177" customWidth="1"/>
    <col min="9219" max="9223" width="11.42578125" style="1177"/>
    <col min="9224" max="9224" width="8" style="1177" customWidth="1"/>
    <col min="9225" max="9231" width="11.42578125" style="1177"/>
    <col min="9232" max="9232" width="17" style="1177" customWidth="1"/>
    <col min="9233" max="9472" width="11.42578125" style="1177"/>
    <col min="9473" max="9473" width="5.140625" style="1177" customWidth="1"/>
    <col min="9474" max="9474" width="10.42578125" style="1177" customWidth="1"/>
    <col min="9475" max="9479" width="11.42578125" style="1177"/>
    <col min="9480" max="9480" width="8" style="1177" customWidth="1"/>
    <col min="9481" max="9487" width="11.42578125" style="1177"/>
    <col min="9488" max="9488" width="17" style="1177" customWidth="1"/>
    <col min="9489" max="9728" width="11.42578125" style="1177"/>
    <col min="9729" max="9729" width="5.140625" style="1177" customWidth="1"/>
    <col min="9730" max="9730" width="10.42578125" style="1177" customWidth="1"/>
    <col min="9731" max="9735" width="11.42578125" style="1177"/>
    <col min="9736" max="9736" width="8" style="1177" customWidth="1"/>
    <col min="9737" max="9743" width="11.42578125" style="1177"/>
    <col min="9744" max="9744" width="17" style="1177" customWidth="1"/>
    <col min="9745" max="9984" width="11.42578125" style="1177"/>
    <col min="9985" max="9985" width="5.140625" style="1177" customWidth="1"/>
    <col min="9986" max="9986" width="10.42578125" style="1177" customWidth="1"/>
    <col min="9987" max="9991" width="11.42578125" style="1177"/>
    <col min="9992" max="9992" width="8" style="1177" customWidth="1"/>
    <col min="9993" max="9999" width="11.42578125" style="1177"/>
    <col min="10000" max="10000" width="17" style="1177" customWidth="1"/>
    <col min="10001" max="10240" width="11.42578125" style="1177"/>
    <col min="10241" max="10241" width="5.140625" style="1177" customWidth="1"/>
    <col min="10242" max="10242" width="10.42578125" style="1177" customWidth="1"/>
    <col min="10243" max="10247" width="11.42578125" style="1177"/>
    <col min="10248" max="10248" width="8" style="1177" customWidth="1"/>
    <col min="10249" max="10255" width="11.42578125" style="1177"/>
    <col min="10256" max="10256" width="17" style="1177" customWidth="1"/>
    <col min="10257" max="10496" width="11.42578125" style="1177"/>
    <col min="10497" max="10497" width="5.140625" style="1177" customWidth="1"/>
    <col min="10498" max="10498" width="10.42578125" style="1177" customWidth="1"/>
    <col min="10499" max="10503" width="11.42578125" style="1177"/>
    <col min="10504" max="10504" width="8" style="1177" customWidth="1"/>
    <col min="10505" max="10511" width="11.42578125" style="1177"/>
    <col min="10512" max="10512" width="17" style="1177" customWidth="1"/>
    <col min="10513" max="10752" width="11.42578125" style="1177"/>
    <col min="10753" max="10753" width="5.140625" style="1177" customWidth="1"/>
    <col min="10754" max="10754" width="10.42578125" style="1177" customWidth="1"/>
    <col min="10755" max="10759" width="11.42578125" style="1177"/>
    <col min="10760" max="10760" width="8" style="1177" customWidth="1"/>
    <col min="10761" max="10767" width="11.42578125" style="1177"/>
    <col min="10768" max="10768" width="17" style="1177" customWidth="1"/>
    <col min="10769" max="11008" width="11.42578125" style="1177"/>
    <col min="11009" max="11009" width="5.140625" style="1177" customWidth="1"/>
    <col min="11010" max="11010" width="10.42578125" style="1177" customWidth="1"/>
    <col min="11011" max="11015" width="11.42578125" style="1177"/>
    <col min="11016" max="11016" width="8" style="1177" customWidth="1"/>
    <col min="11017" max="11023" width="11.42578125" style="1177"/>
    <col min="11024" max="11024" width="17" style="1177" customWidth="1"/>
    <col min="11025" max="11264" width="11.42578125" style="1177"/>
    <col min="11265" max="11265" width="5.140625" style="1177" customWidth="1"/>
    <col min="11266" max="11266" width="10.42578125" style="1177" customWidth="1"/>
    <col min="11267" max="11271" width="11.42578125" style="1177"/>
    <col min="11272" max="11272" width="8" style="1177" customWidth="1"/>
    <col min="11273" max="11279" width="11.42578125" style="1177"/>
    <col min="11280" max="11280" width="17" style="1177" customWidth="1"/>
    <col min="11281" max="11520" width="11.42578125" style="1177"/>
    <col min="11521" max="11521" width="5.140625" style="1177" customWidth="1"/>
    <col min="11522" max="11522" width="10.42578125" style="1177" customWidth="1"/>
    <col min="11523" max="11527" width="11.42578125" style="1177"/>
    <col min="11528" max="11528" width="8" style="1177" customWidth="1"/>
    <col min="11529" max="11535" width="11.42578125" style="1177"/>
    <col min="11536" max="11536" width="17" style="1177" customWidth="1"/>
    <col min="11537" max="11776" width="11.42578125" style="1177"/>
    <col min="11777" max="11777" width="5.140625" style="1177" customWidth="1"/>
    <col min="11778" max="11778" width="10.42578125" style="1177" customWidth="1"/>
    <col min="11779" max="11783" width="11.42578125" style="1177"/>
    <col min="11784" max="11784" width="8" style="1177" customWidth="1"/>
    <col min="11785" max="11791" width="11.42578125" style="1177"/>
    <col min="11792" max="11792" width="17" style="1177" customWidth="1"/>
    <col min="11793" max="12032" width="11.42578125" style="1177"/>
    <col min="12033" max="12033" width="5.140625" style="1177" customWidth="1"/>
    <col min="12034" max="12034" width="10.42578125" style="1177" customWidth="1"/>
    <col min="12035" max="12039" width="11.42578125" style="1177"/>
    <col min="12040" max="12040" width="8" style="1177" customWidth="1"/>
    <col min="12041" max="12047" width="11.42578125" style="1177"/>
    <col min="12048" max="12048" width="17" style="1177" customWidth="1"/>
    <col min="12049" max="12288" width="11.42578125" style="1177"/>
    <col min="12289" max="12289" width="5.140625" style="1177" customWidth="1"/>
    <col min="12290" max="12290" width="10.42578125" style="1177" customWidth="1"/>
    <col min="12291" max="12295" width="11.42578125" style="1177"/>
    <col min="12296" max="12296" width="8" style="1177" customWidth="1"/>
    <col min="12297" max="12303" width="11.42578125" style="1177"/>
    <col min="12304" max="12304" width="17" style="1177" customWidth="1"/>
    <col min="12305" max="12544" width="11.42578125" style="1177"/>
    <col min="12545" max="12545" width="5.140625" style="1177" customWidth="1"/>
    <col min="12546" max="12546" width="10.42578125" style="1177" customWidth="1"/>
    <col min="12547" max="12551" width="11.42578125" style="1177"/>
    <col min="12552" max="12552" width="8" style="1177" customWidth="1"/>
    <col min="12553" max="12559" width="11.42578125" style="1177"/>
    <col min="12560" max="12560" width="17" style="1177" customWidth="1"/>
    <col min="12561" max="12800" width="11.42578125" style="1177"/>
    <col min="12801" max="12801" width="5.140625" style="1177" customWidth="1"/>
    <col min="12802" max="12802" width="10.42578125" style="1177" customWidth="1"/>
    <col min="12803" max="12807" width="11.42578125" style="1177"/>
    <col min="12808" max="12808" width="8" style="1177" customWidth="1"/>
    <col min="12809" max="12815" width="11.42578125" style="1177"/>
    <col min="12816" max="12816" width="17" style="1177" customWidth="1"/>
    <col min="12817" max="13056" width="11.42578125" style="1177"/>
    <col min="13057" max="13057" width="5.140625" style="1177" customWidth="1"/>
    <col min="13058" max="13058" width="10.42578125" style="1177" customWidth="1"/>
    <col min="13059" max="13063" width="11.42578125" style="1177"/>
    <col min="13064" max="13064" width="8" style="1177" customWidth="1"/>
    <col min="13065" max="13071" width="11.42578125" style="1177"/>
    <col min="13072" max="13072" width="17" style="1177" customWidth="1"/>
    <col min="13073" max="13312" width="11.42578125" style="1177"/>
    <col min="13313" max="13313" width="5.140625" style="1177" customWidth="1"/>
    <col min="13314" max="13314" width="10.42578125" style="1177" customWidth="1"/>
    <col min="13315" max="13319" width="11.42578125" style="1177"/>
    <col min="13320" max="13320" width="8" style="1177" customWidth="1"/>
    <col min="13321" max="13327" width="11.42578125" style="1177"/>
    <col min="13328" max="13328" width="17" style="1177" customWidth="1"/>
    <col min="13329" max="13568" width="11.42578125" style="1177"/>
    <col min="13569" max="13569" width="5.140625" style="1177" customWidth="1"/>
    <col min="13570" max="13570" width="10.42578125" style="1177" customWidth="1"/>
    <col min="13571" max="13575" width="11.42578125" style="1177"/>
    <col min="13576" max="13576" width="8" style="1177" customWidth="1"/>
    <col min="13577" max="13583" width="11.42578125" style="1177"/>
    <col min="13584" max="13584" width="17" style="1177" customWidth="1"/>
    <col min="13585" max="13824" width="11.42578125" style="1177"/>
    <col min="13825" max="13825" width="5.140625" style="1177" customWidth="1"/>
    <col min="13826" max="13826" width="10.42578125" style="1177" customWidth="1"/>
    <col min="13827" max="13831" width="11.42578125" style="1177"/>
    <col min="13832" max="13832" width="8" style="1177" customWidth="1"/>
    <col min="13833" max="13839" width="11.42578125" style="1177"/>
    <col min="13840" max="13840" width="17" style="1177" customWidth="1"/>
    <col min="13841" max="14080" width="11.42578125" style="1177"/>
    <col min="14081" max="14081" width="5.140625" style="1177" customWidth="1"/>
    <col min="14082" max="14082" width="10.42578125" style="1177" customWidth="1"/>
    <col min="14083" max="14087" width="11.42578125" style="1177"/>
    <col min="14088" max="14088" width="8" style="1177" customWidth="1"/>
    <col min="14089" max="14095" width="11.42578125" style="1177"/>
    <col min="14096" max="14096" width="17" style="1177" customWidth="1"/>
    <col min="14097" max="14336" width="11.42578125" style="1177"/>
    <col min="14337" max="14337" width="5.140625" style="1177" customWidth="1"/>
    <col min="14338" max="14338" width="10.42578125" style="1177" customWidth="1"/>
    <col min="14339" max="14343" width="11.42578125" style="1177"/>
    <col min="14344" max="14344" width="8" style="1177" customWidth="1"/>
    <col min="14345" max="14351" width="11.42578125" style="1177"/>
    <col min="14352" max="14352" width="17" style="1177" customWidth="1"/>
    <col min="14353" max="14592" width="11.42578125" style="1177"/>
    <col min="14593" max="14593" width="5.140625" style="1177" customWidth="1"/>
    <col min="14594" max="14594" width="10.42578125" style="1177" customWidth="1"/>
    <col min="14595" max="14599" width="11.42578125" style="1177"/>
    <col min="14600" max="14600" width="8" style="1177" customWidth="1"/>
    <col min="14601" max="14607" width="11.42578125" style="1177"/>
    <col min="14608" max="14608" width="17" style="1177" customWidth="1"/>
    <col min="14609" max="14848" width="11.42578125" style="1177"/>
    <col min="14849" max="14849" width="5.140625" style="1177" customWidth="1"/>
    <col min="14850" max="14850" width="10.42578125" style="1177" customWidth="1"/>
    <col min="14851" max="14855" width="11.42578125" style="1177"/>
    <col min="14856" max="14856" width="8" style="1177" customWidth="1"/>
    <col min="14857" max="14863" width="11.42578125" style="1177"/>
    <col min="14864" max="14864" width="17" style="1177" customWidth="1"/>
    <col min="14865" max="15104" width="11.42578125" style="1177"/>
    <col min="15105" max="15105" width="5.140625" style="1177" customWidth="1"/>
    <col min="15106" max="15106" width="10.42578125" style="1177" customWidth="1"/>
    <col min="15107" max="15111" width="11.42578125" style="1177"/>
    <col min="15112" max="15112" width="8" style="1177" customWidth="1"/>
    <col min="15113" max="15119" width="11.42578125" style="1177"/>
    <col min="15120" max="15120" width="17" style="1177" customWidth="1"/>
    <col min="15121" max="15360" width="11.42578125" style="1177"/>
    <col min="15361" max="15361" width="5.140625" style="1177" customWidth="1"/>
    <col min="15362" max="15362" width="10.42578125" style="1177" customWidth="1"/>
    <col min="15363" max="15367" width="11.42578125" style="1177"/>
    <col min="15368" max="15368" width="8" style="1177" customWidth="1"/>
    <col min="15369" max="15375" width="11.42578125" style="1177"/>
    <col min="15376" max="15376" width="17" style="1177" customWidth="1"/>
    <col min="15377" max="15616" width="11.42578125" style="1177"/>
    <col min="15617" max="15617" width="5.140625" style="1177" customWidth="1"/>
    <col min="15618" max="15618" width="10.42578125" style="1177" customWidth="1"/>
    <col min="15619" max="15623" width="11.42578125" style="1177"/>
    <col min="15624" max="15624" width="8" style="1177" customWidth="1"/>
    <col min="15625" max="15631" width="11.42578125" style="1177"/>
    <col min="15632" max="15632" width="17" style="1177" customWidth="1"/>
    <col min="15633" max="15872" width="11.42578125" style="1177"/>
    <col min="15873" max="15873" width="5.140625" style="1177" customWidth="1"/>
    <col min="15874" max="15874" width="10.42578125" style="1177" customWidth="1"/>
    <col min="15875" max="15879" width="11.42578125" style="1177"/>
    <col min="15880" max="15880" width="8" style="1177" customWidth="1"/>
    <col min="15881" max="15887" width="11.42578125" style="1177"/>
    <col min="15888" max="15888" width="17" style="1177" customWidth="1"/>
    <col min="15889" max="16128" width="11.42578125" style="1177"/>
    <col min="16129" max="16129" width="5.140625" style="1177" customWidth="1"/>
    <col min="16130" max="16130" width="10.42578125" style="1177" customWidth="1"/>
    <col min="16131" max="16135" width="11.42578125" style="1177"/>
    <col min="16136" max="16136" width="8" style="1177" customWidth="1"/>
    <col min="16137" max="16143" width="11.42578125" style="1177"/>
    <col min="16144" max="16144" width="17" style="1177" customWidth="1"/>
    <col min="16145" max="16384" width="11.42578125" style="1177"/>
  </cols>
  <sheetData>
    <row r="1" spans="1:21" ht="15.75" thickBot="1">
      <c r="A1" s="1185"/>
    </row>
    <row r="2" spans="1:21" ht="46.5" customHeight="1">
      <c r="A2" s="1185"/>
      <c r="B2" s="3496" t="s">
        <v>2870</v>
      </c>
      <c r="C2" s="3497"/>
      <c r="D2" s="3497"/>
      <c r="E2" s="3497"/>
      <c r="F2" s="3497"/>
      <c r="G2" s="3497"/>
      <c r="H2" s="3497"/>
      <c r="I2" s="3497"/>
      <c r="J2" s="3497"/>
      <c r="K2" s="3497"/>
      <c r="L2" s="3497"/>
      <c r="M2" s="3497"/>
      <c r="N2" s="3497"/>
      <c r="O2" s="3497"/>
      <c r="P2" s="3497"/>
      <c r="Q2" s="3497"/>
      <c r="R2" s="3497"/>
      <c r="S2" s="3497"/>
      <c r="T2" s="3497"/>
      <c r="U2" s="3498"/>
    </row>
    <row r="3" spans="1:21" ht="46.5" customHeight="1" thickBot="1">
      <c r="A3" s="1185"/>
      <c r="B3" s="3387" t="s">
        <v>2869</v>
      </c>
      <c r="C3" s="3388"/>
      <c r="D3" s="3388"/>
      <c r="E3" s="3388"/>
      <c r="F3" s="3388"/>
      <c r="G3" s="3388"/>
      <c r="H3" s="3388"/>
      <c r="I3" s="3388"/>
      <c r="J3" s="3388"/>
      <c r="K3" s="3388"/>
      <c r="L3" s="3388"/>
      <c r="M3" s="3388"/>
      <c r="N3" s="3388"/>
      <c r="O3" s="3388"/>
      <c r="P3" s="3388"/>
      <c r="Q3" s="3388"/>
      <c r="R3" s="3388"/>
      <c r="S3" s="3388"/>
      <c r="T3" s="3388"/>
      <c r="U3" s="3389"/>
    </row>
    <row r="4" spans="1:21" ht="42.75" customHeight="1">
      <c r="A4" s="1185"/>
      <c r="B4" s="1197" t="s">
        <v>8</v>
      </c>
      <c r="C4" s="3383" t="s">
        <v>9</v>
      </c>
      <c r="D4" s="3383"/>
      <c r="E4" s="3383"/>
      <c r="F4" s="3383"/>
      <c r="G4" s="3383"/>
      <c r="H4" s="3383"/>
      <c r="I4" s="3383"/>
      <c r="J4" s="3383"/>
      <c r="K4" s="3383"/>
      <c r="L4" s="3383"/>
      <c r="M4" s="1201"/>
      <c r="N4" s="1201"/>
      <c r="O4" s="1201"/>
      <c r="P4" s="1202"/>
      <c r="Q4" s="1202"/>
      <c r="R4" s="1202"/>
      <c r="S4" s="1202"/>
      <c r="T4" s="1202"/>
      <c r="U4" s="1202"/>
    </row>
    <row r="5" spans="1:21" ht="42.75" customHeight="1">
      <c r="A5" s="1185"/>
      <c r="B5" s="1197"/>
      <c r="C5" s="3394" t="s">
        <v>2866</v>
      </c>
      <c r="D5" s="3394"/>
      <c r="E5" s="3394"/>
      <c r="F5" s="3394"/>
      <c r="G5" s="3394"/>
      <c r="H5" s="3394"/>
      <c r="I5" s="3394"/>
      <c r="J5" s="3394"/>
      <c r="K5" s="3394"/>
      <c r="L5" s="3394"/>
      <c r="M5" s="3394"/>
      <c r="N5" s="3394"/>
      <c r="O5" s="3394"/>
      <c r="P5" s="3391" t="s">
        <v>2836</v>
      </c>
      <c r="Q5" s="3391"/>
      <c r="R5" s="3391"/>
      <c r="S5" s="1202"/>
      <c r="T5" s="1202"/>
      <c r="U5" s="1202"/>
    </row>
    <row r="6" spans="1:21" ht="42.75" customHeight="1">
      <c r="A6" s="1185"/>
      <c r="B6" s="1197" t="s">
        <v>8</v>
      </c>
      <c r="C6" s="3392" t="s">
        <v>107</v>
      </c>
      <c r="D6" s="3392"/>
      <c r="E6" s="3392"/>
      <c r="F6" s="3392"/>
      <c r="G6" s="3392"/>
      <c r="H6" s="3392"/>
      <c r="I6" s="3393" t="s">
        <v>2835</v>
      </c>
      <c r="J6" s="3393"/>
      <c r="K6" s="3393"/>
      <c r="L6" s="3393"/>
      <c r="M6" s="3393"/>
      <c r="N6" s="3393"/>
      <c r="O6" s="3393"/>
      <c r="P6" s="3393"/>
      <c r="Q6" s="3393"/>
      <c r="R6" s="3393"/>
      <c r="S6" s="3393"/>
      <c r="T6" s="3393"/>
      <c r="U6" s="3393"/>
    </row>
    <row r="7" spans="1:21" ht="42.75" customHeight="1">
      <c r="A7" s="1185"/>
      <c r="B7" s="1197"/>
      <c r="C7" s="1197"/>
      <c r="D7" s="1211" t="s">
        <v>195</v>
      </c>
      <c r="E7" s="1197"/>
      <c r="F7" s="1197"/>
      <c r="G7" s="1185"/>
      <c r="H7" s="1185"/>
      <c r="I7" s="1185"/>
      <c r="J7" s="1185"/>
      <c r="K7" s="1185"/>
      <c r="L7" s="1185"/>
      <c r="M7" s="1201"/>
      <c r="N7" s="1201"/>
      <c r="O7" s="1201"/>
      <c r="P7" s="1201"/>
      <c r="Q7" s="1201"/>
      <c r="R7" s="1202"/>
      <c r="S7" s="1202"/>
      <c r="T7" s="1202"/>
      <c r="U7" s="1202"/>
    </row>
    <row r="8" spans="1:21" ht="42.75" customHeight="1">
      <c r="A8" s="1185"/>
      <c r="B8" s="1199"/>
      <c r="C8" s="1199"/>
      <c r="D8" s="1199"/>
      <c r="E8" s="1199"/>
      <c r="F8" s="1199"/>
      <c r="G8" s="1185"/>
      <c r="H8" s="1185"/>
      <c r="I8" s="1185"/>
      <c r="J8" s="1185"/>
      <c r="K8" s="1185"/>
      <c r="L8" s="1185"/>
      <c r="M8" s="1201"/>
      <c r="N8" s="1201"/>
      <c r="O8" s="1201"/>
      <c r="P8" s="1201"/>
      <c r="Q8" s="1201"/>
      <c r="R8" s="1202"/>
      <c r="S8" s="1202"/>
      <c r="T8" s="1202"/>
      <c r="U8" s="1202"/>
    </row>
    <row r="9" spans="1:21" ht="49.5" customHeight="1">
      <c r="A9" s="1185"/>
      <c r="B9" s="3380" t="s">
        <v>2833</v>
      </c>
      <c r="C9" s="3381"/>
      <c r="D9" s="3381"/>
      <c r="E9" s="3381"/>
      <c r="F9" s="3381"/>
      <c r="G9" s="3381"/>
      <c r="H9" s="3381"/>
      <c r="I9" s="3381"/>
      <c r="J9" s="3381"/>
      <c r="K9" s="3381"/>
      <c r="L9" s="3381"/>
      <c r="M9" s="3381"/>
      <c r="N9" s="3381"/>
      <c r="O9" s="3381"/>
      <c r="P9" s="3381"/>
      <c r="Q9" s="3381"/>
      <c r="R9" s="3381"/>
      <c r="S9" s="3381"/>
      <c r="T9" s="3381"/>
      <c r="U9" s="3382"/>
    </row>
    <row r="10" spans="1:21" ht="33.75" customHeight="1">
      <c r="A10" s="1185"/>
      <c r="B10" s="1199"/>
      <c r="C10" s="1199"/>
      <c r="D10" s="1197"/>
      <c r="E10" s="1199"/>
      <c r="F10" s="1199"/>
      <c r="G10" s="1199"/>
      <c r="H10" s="1199"/>
      <c r="I10" s="1199"/>
      <c r="J10" s="1199"/>
      <c r="K10" s="1199"/>
      <c r="L10" s="1199"/>
      <c r="M10" s="1200"/>
      <c r="N10" s="1200"/>
      <c r="O10" s="1200"/>
      <c r="P10" s="1200"/>
      <c r="Q10" s="1201"/>
      <c r="R10" s="1202"/>
      <c r="S10" s="1202"/>
      <c r="T10" s="1202"/>
      <c r="U10" s="1202"/>
    </row>
    <row r="11" spans="1:21" ht="30" customHeight="1">
      <c r="A11" s="1473"/>
      <c r="B11" s="1199"/>
      <c r="C11" s="1211" t="s">
        <v>196</v>
      </c>
      <c r="D11" s="1474"/>
      <c r="E11" s="1199"/>
      <c r="F11" s="1199"/>
      <c r="G11" s="1199"/>
      <c r="H11" s="1199"/>
      <c r="I11" s="1274" t="s">
        <v>17</v>
      </c>
      <c r="J11" s="1199"/>
      <c r="K11" s="1211" t="s">
        <v>197</v>
      </c>
      <c r="L11" s="1274" t="s">
        <v>72</v>
      </c>
      <c r="M11" s="1200"/>
      <c r="N11" s="1200"/>
      <c r="O11" s="1200"/>
      <c r="P11" s="1200"/>
      <c r="Q11" s="1201"/>
      <c r="R11" s="1291"/>
      <c r="S11" s="1202"/>
      <c r="T11" s="1202"/>
      <c r="U11" s="1202"/>
    </row>
    <row r="12" spans="1:21" ht="30" customHeight="1">
      <c r="A12" s="1473"/>
      <c r="B12" s="1199"/>
      <c r="C12" s="1211"/>
      <c r="D12" s="1474"/>
      <c r="E12" s="1199"/>
      <c r="F12" s="1199"/>
      <c r="G12" s="1199"/>
      <c r="H12" s="1199"/>
      <c r="I12" s="1199"/>
      <c r="J12" s="1199"/>
      <c r="K12" s="1199"/>
      <c r="L12" s="1199"/>
      <c r="M12" s="1200"/>
      <c r="N12" s="1200"/>
      <c r="O12" s="1200"/>
      <c r="P12" s="1200"/>
      <c r="Q12" s="1201"/>
      <c r="R12" s="1291"/>
      <c r="S12" s="1202"/>
      <c r="T12" s="1202"/>
      <c r="U12" s="1202"/>
    </row>
    <row r="13" spans="1:21" ht="17.25" customHeight="1">
      <c r="A13" s="1185"/>
      <c r="B13" s="1185"/>
      <c r="C13" s="1185"/>
      <c r="D13" s="3499" t="s">
        <v>80</v>
      </c>
      <c r="E13" s="3500"/>
      <c r="F13" s="3500"/>
      <c r="G13" s="3500"/>
      <c r="H13" s="3500"/>
      <c r="I13" s="3500"/>
      <c r="J13" s="3500"/>
      <c r="K13" s="3500"/>
      <c r="L13" s="1185"/>
      <c r="M13" s="1201"/>
      <c r="N13" s="1201"/>
      <c r="O13" s="1201"/>
      <c r="P13" s="1201"/>
      <c r="Q13" s="1201"/>
      <c r="R13" s="1291"/>
      <c r="S13" s="1202"/>
      <c r="T13" s="1202"/>
      <c r="U13" s="1202"/>
    </row>
    <row r="14" spans="1:21" ht="46.5" customHeight="1">
      <c r="A14" s="1185"/>
      <c r="B14" s="1185"/>
      <c r="C14" s="1185"/>
      <c r="D14" s="3499"/>
      <c r="E14" s="3500"/>
      <c r="F14" s="3500"/>
      <c r="G14" s="3500"/>
      <c r="H14" s="3500"/>
      <c r="I14" s="3500"/>
      <c r="J14" s="3500"/>
      <c r="K14" s="3500"/>
      <c r="L14" s="1185"/>
      <c r="M14" s="1201"/>
      <c r="N14" s="1201"/>
      <c r="O14" s="1201"/>
      <c r="P14" s="1201"/>
      <c r="Q14" s="1201"/>
      <c r="R14" s="1291"/>
      <c r="S14" s="1202"/>
      <c r="T14" s="1202"/>
      <c r="U14" s="1202"/>
    </row>
    <row r="15" spans="1:21" ht="27" customHeight="1">
      <c r="A15" s="1185"/>
      <c r="B15" s="1185"/>
      <c r="C15" s="1185"/>
      <c r="D15" s="3499"/>
      <c r="E15" s="3500"/>
      <c r="F15" s="3500"/>
      <c r="G15" s="3500"/>
      <c r="H15" s="3500"/>
      <c r="I15" s="3500"/>
      <c r="J15" s="3500"/>
      <c r="K15" s="3500"/>
      <c r="L15" s="1185"/>
      <c r="M15" s="1201"/>
      <c r="N15" s="1201"/>
      <c r="O15" s="1201"/>
      <c r="P15" s="1201"/>
      <c r="Q15" s="1201"/>
      <c r="R15" s="1291"/>
      <c r="S15" s="1202"/>
      <c r="T15" s="1202"/>
      <c r="U15" s="1202"/>
    </row>
    <row r="16" spans="1:21" ht="27" customHeight="1">
      <c r="A16" s="1185"/>
      <c r="B16" s="1199"/>
      <c r="C16" s="1199"/>
      <c r="D16" s="1474"/>
      <c r="E16" s="1199"/>
      <c r="F16" s="1199"/>
      <c r="G16" s="1199"/>
      <c r="H16" s="1199"/>
      <c r="I16" s="1199"/>
      <c r="J16" s="1199"/>
      <c r="K16" s="1199"/>
      <c r="L16" s="1199"/>
      <c r="M16" s="1200"/>
      <c r="N16" s="1200"/>
      <c r="O16" s="1200"/>
      <c r="P16" s="1200"/>
      <c r="Q16" s="1201"/>
      <c r="R16" s="1291"/>
      <c r="S16" s="1202"/>
      <c r="T16" s="1202"/>
      <c r="U16" s="1202"/>
    </row>
    <row r="17" spans="1:21" ht="49.5" customHeight="1">
      <c r="A17" s="1185"/>
      <c r="B17" s="3363" t="s">
        <v>2834</v>
      </c>
      <c r="C17" s="3364"/>
      <c r="D17" s="3364"/>
      <c r="E17" s="3364"/>
      <c r="F17" s="3364"/>
      <c r="G17" s="3364"/>
      <c r="H17" s="3364"/>
      <c r="I17" s="3364"/>
      <c r="J17" s="3364"/>
      <c r="K17" s="3364"/>
      <c r="L17" s="3364"/>
      <c r="M17" s="3364"/>
      <c r="N17" s="3364"/>
      <c r="O17" s="3364"/>
      <c r="P17" s="3364"/>
      <c r="Q17" s="3364"/>
      <c r="R17" s="3364"/>
      <c r="S17" s="3364"/>
      <c r="T17" s="3364"/>
      <c r="U17" s="3365"/>
    </row>
    <row r="18" spans="1:21" ht="27" customHeight="1">
      <c r="A18" s="1185"/>
      <c r="B18" s="1199"/>
      <c r="C18" s="1199"/>
      <c r="D18" s="1474"/>
      <c r="E18" s="1199"/>
      <c r="F18" s="1199"/>
      <c r="G18" s="1199"/>
      <c r="H18" s="1199"/>
      <c r="I18" s="1199"/>
      <c r="J18" s="1199"/>
      <c r="K18" s="1199"/>
      <c r="L18" s="1199"/>
      <c r="M18" s="1200"/>
      <c r="N18" s="1200"/>
      <c r="O18" s="1200"/>
      <c r="P18" s="1200"/>
      <c r="Q18" s="1201"/>
      <c r="R18" s="1291"/>
      <c r="S18" s="1202"/>
      <c r="T18" s="1202"/>
      <c r="U18" s="1202"/>
    </row>
    <row r="19" spans="1:21" ht="23.25" customHeight="1">
      <c r="A19" s="1185"/>
      <c r="B19" s="1199"/>
      <c r="C19" s="1242"/>
      <c r="D19" s="1197"/>
      <c r="E19" s="1242"/>
      <c r="F19" s="1242"/>
      <c r="G19" s="1242"/>
      <c r="H19" s="1242"/>
      <c r="I19" s="1242"/>
      <c r="J19" s="1242"/>
      <c r="K19" s="1242"/>
      <c r="L19" s="1242"/>
      <c r="M19" s="13"/>
      <c r="N19" s="13"/>
      <c r="O19" s="13"/>
      <c r="P19" s="13"/>
      <c r="Q19" s="14"/>
      <c r="R19" s="1300"/>
      <c r="S19" s="1300"/>
      <c r="T19" s="1202"/>
      <c r="U19" s="1202"/>
    </row>
    <row r="20" spans="1:21" ht="23.25" customHeight="1">
      <c r="A20" s="1185"/>
      <c r="B20" s="1199"/>
      <c r="C20" s="1242"/>
      <c r="D20" s="1197"/>
      <c r="E20" s="1242"/>
      <c r="F20" s="1242"/>
      <c r="G20" s="1242"/>
      <c r="H20" s="1242"/>
      <c r="I20" s="1242"/>
      <c r="J20" s="1242"/>
      <c r="K20" s="1242"/>
      <c r="L20" s="1242"/>
      <c r="M20" s="13"/>
      <c r="N20" s="13"/>
      <c r="O20" s="3501" t="s">
        <v>124</v>
      </c>
      <c r="P20" s="3502"/>
      <c r="Q20" s="3502"/>
      <c r="R20" s="1300"/>
      <c r="S20" s="1300"/>
      <c r="T20" s="1202"/>
      <c r="U20" s="1202"/>
    </row>
    <row r="21" spans="1:21" ht="26.25" customHeight="1">
      <c r="A21" s="1185"/>
      <c r="B21" s="1199"/>
      <c r="C21" s="1274" t="s">
        <v>81</v>
      </c>
      <c r="D21" s="1197"/>
      <c r="E21" s="1242"/>
      <c r="F21" s="1475"/>
      <c r="G21" s="1476" t="s">
        <v>153</v>
      </c>
      <c r="H21" s="1429">
        <v>20</v>
      </c>
      <c r="I21" s="1282" t="s">
        <v>198</v>
      </c>
      <c r="J21" s="1284"/>
      <c r="K21" s="1284"/>
      <c r="L21" s="1284"/>
      <c r="M21" s="15"/>
      <c r="N21" s="15"/>
      <c r="O21" s="1477"/>
      <c r="P21" s="1478">
        <v>89.039720000000017</v>
      </c>
      <c r="Q21" s="1275" t="s">
        <v>199</v>
      </c>
      <c r="R21" s="1300"/>
      <c r="S21" s="1300"/>
      <c r="T21" s="1202"/>
      <c r="U21" s="1202"/>
    </row>
    <row r="22" spans="1:21" ht="22.5" customHeight="1">
      <c r="A22" s="1185"/>
      <c r="B22" s="1199"/>
      <c r="C22" s="1242"/>
      <c r="D22" s="1197"/>
      <c r="E22" s="1242"/>
      <c r="F22" s="1242"/>
      <c r="G22" s="1242"/>
      <c r="H22" s="1242"/>
      <c r="I22" s="1242"/>
      <c r="J22" s="1242"/>
      <c r="K22" s="1242"/>
      <c r="L22" s="1242"/>
      <c r="M22" s="13"/>
      <c r="N22" s="1479" t="s">
        <v>200</v>
      </c>
      <c r="O22" s="1383"/>
      <c r="P22" s="1480">
        <v>2</v>
      </c>
      <c r="Q22" s="1275" t="s">
        <v>201</v>
      </c>
      <c r="R22" s="1300"/>
      <c r="S22" s="1300"/>
      <c r="T22" s="1202"/>
      <c r="U22" s="1202"/>
    </row>
    <row r="23" spans="1:21" s="1281" customFormat="1" ht="26.25" customHeight="1">
      <c r="A23" s="1185"/>
      <c r="B23" s="1199"/>
      <c r="C23" s="1242"/>
      <c r="D23" s="1197"/>
      <c r="E23" s="1242"/>
      <c r="F23" s="1242"/>
      <c r="G23" s="1242"/>
      <c r="H23" s="1242"/>
      <c r="I23" s="1242"/>
      <c r="J23" s="1242"/>
      <c r="K23" s="1242"/>
      <c r="L23" s="1242"/>
      <c r="M23" s="13"/>
      <c r="N23" s="13"/>
      <c r="O23" s="1481"/>
      <c r="P23" s="1482">
        <v>178.07944000000003</v>
      </c>
      <c r="Q23" s="1483"/>
      <c r="R23" s="1300"/>
      <c r="S23" s="1300"/>
      <c r="T23" s="1300"/>
      <c r="U23" s="1291"/>
    </row>
    <row r="24" spans="1:21" s="1281" customFormat="1" ht="23.25" customHeight="1">
      <c r="A24" s="1179"/>
      <c r="B24" s="1185"/>
      <c r="C24" s="1185"/>
      <c r="D24" s="1185"/>
      <c r="E24" s="1185"/>
      <c r="F24" s="1185"/>
      <c r="G24" s="1185"/>
      <c r="H24" s="1185"/>
      <c r="I24" s="1185"/>
      <c r="J24" s="1185"/>
      <c r="K24" s="1185"/>
      <c r="L24" s="1185"/>
      <c r="M24" s="1201"/>
      <c r="N24" s="1201"/>
      <c r="O24" s="1201"/>
      <c r="P24" s="1201"/>
      <c r="Q24" s="1201"/>
      <c r="R24" s="1202"/>
      <c r="S24" s="1291"/>
      <c r="T24" s="1300"/>
      <c r="U24" s="1291"/>
    </row>
    <row r="25" spans="1:21" ht="33.75">
      <c r="A25" s="1185"/>
      <c r="B25" s="3490" t="s">
        <v>202</v>
      </c>
      <c r="C25" s="3491"/>
      <c r="D25" s="3491"/>
      <c r="E25" s="3491"/>
      <c r="F25" s="3491"/>
      <c r="G25" s="3491"/>
      <c r="H25" s="3491"/>
      <c r="I25" s="3491"/>
      <c r="J25" s="3491"/>
      <c r="K25" s="3491"/>
      <c r="L25" s="3491"/>
      <c r="M25" s="3491"/>
      <c r="N25" s="3491"/>
      <c r="O25" s="3491"/>
      <c r="P25" s="3491"/>
      <c r="Q25" s="3491"/>
      <c r="R25" s="3491"/>
      <c r="S25" s="3491"/>
      <c r="T25" s="3491"/>
      <c r="U25" s="3492"/>
    </row>
    <row r="26" spans="1:21" ht="33.75">
      <c r="A26" s="1185"/>
      <c r="B26" s="3493" t="s">
        <v>203</v>
      </c>
      <c r="C26" s="3494"/>
      <c r="D26" s="3494"/>
      <c r="E26" s="3494"/>
      <c r="F26" s="3494"/>
      <c r="G26" s="3494"/>
      <c r="H26" s="3494"/>
      <c r="I26" s="3494"/>
      <c r="J26" s="3494"/>
      <c r="K26" s="3494"/>
      <c r="L26" s="3494"/>
      <c r="M26" s="3494"/>
      <c r="N26" s="3494"/>
      <c r="O26" s="3494"/>
      <c r="P26" s="3494"/>
      <c r="Q26" s="3494"/>
      <c r="R26" s="3494"/>
      <c r="S26" s="3494"/>
      <c r="T26" s="3494"/>
      <c r="U26" s="3495"/>
    </row>
    <row r="27" spans="1:21">
      <c r="A27" s="1185"/>
      <c r="B27" s="1185"/>
      <c r="C27" s="1185"/>
      <c r="D27" s="1185"/>
      <c r="E27" s="1185"/>
      <c r="F27" s="1185"/>
      <c r="G27" s="1185"/>
      <c r="H27" s="1185"/>
      <c r="I27" s="1185"/>
      <c r="J27" s="1185"/>
      <c r="K27" s="1185"/>
      <c r="L27" s="1185"/>
      <c r="M27" s="1201"/>
      <c r="N27" s="1201"/>
      <c r="O27" s="1201"/>
      <c r="P27" s="1201"/>
      <c r="Q27" s="1201"/>
      <c r="R27" s="1291"/>
      <c r="S27" s="1202"/>
      <c r="T27" s="1202"/>
      <c r="U27" s="1202"/>
    </row>
    <row r="28" spans="1:21" ht="23.25">
      <c r="A28" s="1185"/>
      <c r="B28" s="1202"/>
      <c r="C28" s="1436" t="s">
        <v>150</v>
      </c>
      <c r="D28" s="1185"/>
      <c r="E28" s="1202"/>
      <c r="F28" s="1185"/>
      <c r="G28" s="1436" t="s">
        <v>163</v>
      </c>
      <c r="H28" s="1202"/>
      <c r="I28" s="1185"/>
      <c r="J28" s="1185"/>
      <c r="K28" s="1484" t="s">
        <v>175</v>
      </c>
      <c r="L28" s="1185"/>
      <c r="M28" s="1201"/>
      <c r="N28" s="1202"/>
      <c r="O28" s="1484" t="s">
        <v>185</v>
      </c>
      <c r="P28" s="1201"/>
      <c r="Q28" s="1201"/>
      <c r="R28" s="1440" t="s">
        <v>175</v>
      </c>
      <c r="S28" s="1202"/>
      <c r="T28" s="1202"/>
      <c r="U28" s="1202"/>
    </row>
    <row r="29" spans="1:21" ht="23.25">
      <c r="A29" s="1185"/>
      <c r="B29" s="1202"/>
      <c r="C29" s="1436" t="s">
        <v>152</v>
      </c>
      <c r="D29" s="1185"/>
      <c r="E29" s="1202"/>
      <c r="F29" s="1185"/>
      <c r="G29" s="1436" t="s">
        <v>164</v>
      </c>
      <c r="H29" s="1202"/>
      <c r="I29" s="1185"/>
      <c r="J29" s="1185"/>
      <c r="K29" s="1436" t="s">
        <v>176</v>
      </c>
      <c r="L29" s="1185"/>
      <c r="M29" s="1201"/>
      <c r="N29" s="1202"/>
      <c r="O29" s="1484" t="s">
        <v>186</v>
      </c>
      <c r="P29" s="1201"/>
      <c r="Q29" s="1201"/>
      <c r="R29" s="1441" t="s">
        <v>176</v>
      </c>
      <c r="S29" s="1202"/>
      <c r="T29" s="1202"/>
      <c r="U29" s="1202"/>
    </row>
    <row r="30" spans="1:21" ht="23.25">
      <c r="A30" s="1185"/>
      <c r="B30" s="1202"/>
      <c r="C30" s="1436" t="s">
        <v>154</v>
      </c>
      <c r="D30" s="1185"/>
      <c r="E30" s="1202"/>
      <c r="F30" s="1185"/>
      <c r="G30" s="1436" t="s">
        <v>167</v>
      </c>
      <c r="H30" s="1202"/>
      <c r="I30" s="1185"/>
      <c r="J30" s="1185"/>
      <c r="K30" s="1484" t="s">
        <v>177</v>
      </c>
      <c r="L30" s="1185"/>
      <c r="M30" s="1201"/>
      <c r="N30" s="1202"/>
      <c r="O30" s="1484" t="s">
        <v>187</v>
      </c>
      <c r="P30" s="1201"/>
      <c r="Q30" s="1201"/>
      <c r="R30" s="1442" t="s">
        <v>177</v>
      </c>
      <c r="S30" s="1202"/>
      <c r="T30" s="1202"/>
      <c r="U30" s="1202"/>
    </row>
    <row r="31" spans="1:21" ht="23.25">
      <c r="A31" s="1185"/>
      <c r="B31" s="1202"/>
      <c r="C31" s="1436" t="s">
        <v>155</v>
      </c>
      <c r="D31" s="1185"/>
      <c r="E31" s="1202"/>
      <c r="F31" s="1185"/>
      <c r="G31" s="1436" t="s">
        <v>168</v>
      </c>
      <c r="H31" s="1202"/>
      <c r="I31" s="1185"/>
      <c r="J31" s="1185"/>
      <c r="K31" s="1484" t="s">
        <v>178</v>
      </c>
      <c r="L31" s="1185"/>
      <c r="M31" s="1201"/>
      <c r="N31" s="1202"/>
      <c r="O31" s="1484" t="s">
        <v>188</v>
      </c>
      <c r="P31" s="1201"/>
      <c r="Q31" s="1201"/>
      <c r="R31" s="1443" t="s">
        <v>178</v>
      </c>
      <c r="S31" s="1202"/>
      <c r="T31" s="1202"/>
      <c r="U31" s="1202"/>
    </row>
    <row r="32" spans="1:21" ht="23.25">
      <c r="A32" s="1185"/>
      <c r="B32" s="1202"/>
      <c r="C32" s="1436" t="s">
        <v>156</v>
      </c>
      <c r="D32" s="1185"/>
      <c r="E32" s="1202"/>
      <c r="F32" s="1185"/>
      <c r="G32" s="1436" t="s">
        <v>169</v>
      </c>
      <c r="H32" s="1202"/>
      <c r="I32" s="1185"/>
      <c r="J32" s="1185"/>
      <c r="K32" s="1484" t="s">
        <v>179</v>
      </c>
      <c r="L32" s="1185"/>
      <c r="M32" s="1201"/>
      <c r="N32" s="1202"/>
      <c r="O32" s="1484" t="s">
        <v>189</v>
      </c>
      <c r="P32" s="1201"/>
      <c r="Q32" s="1201"/>
      <c r="R32" s="1444" t="s">
        <v>179</v>
      </c>
      <c r="S32" s="1202"/>
      <c r="T32" s="1202"/>
      <c r="U32" s="1202"/>
    </row>
    <row r="33" spans="1:21" ht="23.25">
      <c r="A33" s="1185"/>
      <c r="B33" s="1202"/>
      <c r="C33" s="1436" t="s">
        <v>157</v>
      </c>
      <c r="D33" s="1185"/>
      <c r="E33" s="1202"/>
      <c r="F33" s="1185"/>
      <c r="G33" s="1436" t="s">
        <v>170</v>
      </c>
      <c r="H33" s="1202"/>
      <c r="I33" s="1185"/>
      <c r="J33" s="1185"/>
      <c r="K33" s="1484" t="s">
        <v>180</v>
      </c>
      <c r="L33" s="1185"/>
      <c r="M33" s="1201"/>
      <c r="N33" s="1202"/>
      <c r="O33" s="1484" t="s">
        <v>190</v>
      </c>
      <c r="P33" s="1201"/>
      <c r="Q33" s="1201"/>
      <c r="R33" s="1445" t="s">
        <v>180</v>
      </c>
      <c r="S33" s="1202"/>
      <c r="T33" s="1202"/>
      <c r="U33" s="1202"/>
    </row>
    <row r="34" spans="1:21" ht="23.25">
      <c r="A34" s="1185"/>
      <c r="B34" s="1202"/>
      <c r="C34" s="1436" t="s">
        <v>158</v>
      </c>
      <c r="D34" s="1185"/>
      <c r="E34" s="1202"/>
      <c r="F34" s="1185"/>
      <c r="G34" s="1436" t="s">
        <v>171</v>
      </c>
      <c r="H34" s="1202"/>
      <c r="I34" s="1185"/>
      <c r="J34" s="1185"/>
      <c r="K34" s="1484" t="s">
        <v>181</v>
      </c>
      <c r="L34" s="1185"/>
      <c r="M34" s="1201"/>
      <c r="N34" s="1202"/>
      <c r="O34" s="1484" t="s">
        <v>191</v>
      </c>
      <c r="P34" s="1201"/>
      <c r="Q34" s="1201"/>
      <c r="R34" s="1446" t="s">
        <v>181</v>
      </c>
      <c r="S34" s="1202"/>
      <c r="T34" s="1202"/>
      <c r="U34" s="1202"/>
    </row>
    <row r="35" spans="1:21" ht="23.25">
      <c r="A35" s="1185"/>
      <c r="B35" s="1202"/>
      <c r="C35" s="1436" t="s">
        <v>159</v>
      </c>
      <c r="D35" s="1185"/>
      <c r="E35" s="1202"/>
      <c r="F35" s="1185"/>
      <c r="G35" s="1436" t="s">
        <v>172</v>
      </c>
      <c r="H35" s="1202"/>
      <c r="I35" s="1185"/>
      <c r="J35" s="1185"/>
      <c r="K35" s="1484" t="s">
        <v>182</v>
      </c>
      <c r="L35" s="1185"/>
      <c r="M35" s="1201"/>
      <c r="N35" s="1202"/>
      <c r="O35" s="1484" t="s">
        <v>192</v>
      </c>
      <c r="P35" s="1201"/>
      <c r="Q35" s="1201"/>
      <c r="R35" s="1447" t="s">
        <v>182</v>
      </c>
      <c r="S35" s="1202"/>
      <c r="T35" s="1202"/>
      <c r="U35" s="1202"/>
    </row>
    <row r="36" spans="1:21" ht="23.25">
      <c r="A36" s="1185"/>
      <c r="B36" s="1202"/>
      <c r="C36" s="1436" t="s">
        <v>160</v>
      </c>
      <c r="D36" s="1185"/>
      <c r="E36" s="1202"/>
      <c r="F36" s="1185"/>
      <c r="G36" s="1436" t="s">
        <v>173</v>
      </c>
      <c r="H36" s="1202"/>
      <c r="I36" s="1185"/>
      <c r="J36" s="1185"/>
      <c r="K36" s="1484" t="s">
        <v>183</v>
      </c>
      <c r="L36" s="1185"/>
      <c r="M36" s="1201"/>
      <c r="N36" s="1202"/>
      <c r="O36" s="1484" t="s">
        <v>193</v>
      </c>
      <c r="P36" s="1201"/>
      <c r="Q36" s="1201"/>
      <c r="R36" s="1448" t="s">
        <v>183</v>
      </c>
      <c r="S36" s="1202"/>
      <c r="T36" s="1202"/>
      <c r="U36" s="1202"/>
    </row>
    <row r="37" spans="1:21" ht="23.25">
      <c r="A37" s="1185"/>
      <c r="B37" s="1202"/>
      <c r="C37" s="1436" t="s">
        <v>161</v>
      </c>
      <c r="D37" s="1185"/>
      <c r="E37" s="1202"/>
      <c r="F37" s="1185"/>
      <c r="G37" s="1436" t="s">
        <v>174</v>
      </c>
      <c r="H37" s="1202"/>
      <c r="I37" s="1185"/>
      <c r="J37" s="1185"/>
      <c r="K37" s="1484" t="s">
        <v>184</v>
      </c>
      <c r="L37" s="1185"/>
      <c r="M37" s="1201"/>
      <c r="N37" s="1201"/>
      <c r="O37" s="1484" t="s">
        <v>194</v>
      </c>
      <c r="P37" s="1201"/>
      <c r="Q37" s="1201"/>
      <c r="S37" s="1202"/>
      <c r="T37" s="1202"/>
      <c r="U37" s="1202"/>
    </row>
    <row r="38" spans="1:21">
      <c r="A38" s="1185"/>
      <c r="B38" s="1185"/>
      <c r="C38" s="1185"/>
      <c r="D38" s="1185"/>
      <c r="E38" s="1185"/>
      <c r="F38" s="1185"/>
      <c r="G38" s="1185"/>
      <c r="H38" s="1185"/>
      <c r="I38" s="1185"/>
      <c r="J38" s="1185"/>
      <c r="K38" s="1185"/>
      <c r="L38" s="1185"/>
      <c r="M38" s="1201"/>
      <c r="N38" s="1201"/>
      <c r="O38" s="1201"/>
      <c r="P38" s="1201"/>
      <c r="Q38" s="1201"/>
      <c r="R38" s="1202"/>
      <c r="S38" s="1202"/>
      <c r="T38" s="1202"/>
      <c r="U38" s="1202"/>
    </row>
    <row r="39" spans="1:21">
      <c r="A39" s="1185"/>
      <c r="B39" s="1185"/>
      <c r="C39" s="1185"/>
      <c r="D39" s="1185"/>
      <c r="E39" s="1185"/>
      <c r="F39" s="1185"/>
      <c r="G39" s="1185"/>
      <c r="H39" s="1185"/>
      <c r="I39" s="1185"/>
      <c r="J39" s="1185"/>
      <c r="K39" s="1185"/>
      <c r="L39" s="1185"/>
      <c r="M39" s="1201"/>
      <c r="N39" s="1201"/>
      <c r="O39" s="1201"/>
      <c r="P39" s="1201"/>
      <c r="Q39" s="1201"/>
      <c r="R39" s="1202"/>
      <c r="S39" s="1202"/>
      <c r="T39" s="1202"/>
      <c r="U39" s="1202"/>
    </row>
    <row r="40" spans="1:21" ht="26.25">
      <c r="C40" s="1408" t="s">
        <v>204</v>
      </c>
    </row>
  </sheetData>
  <mergeCells count="13">
    <mergeCell ref="B25:U25"/>
    <mergeCell ref="B26:U26"/>
    <mergeCell ref="C4:L4"/>
    <mergeCell ref="C6:H6"/>
    <mergeCell ref="B2:U2"/>
    <mergeCell ref="B3:U3"/>
    <mergeCell ref="B9:U9"/>
    <mergeCell ref="D13:K15"/>
    <mergeCell ref="B17:U17"/>
    <mergeCell ref="O20:Q20"/>
    <mergeCell ref="I6:U6"/>
    <mergeCell ref="C5:O5"/>
    <mergeCell ref="P5:R5"/>
  </mergeCells>
  <hyperlinks>
    <hyperlink ref="C4" r:id="rId1" xr:uid="{00000000-0004-0000-0200-000000000000}"/>
    <hyperlink ref="C6" r:id="rId2" display="http://etab.ac-poitiers.fr/lycee-hotelier-la-rochelle/spip.php?auteur10" xr:uid="{00000000-0004-0000-0200-000001000000}"/>
    <hyperlink ref="I6" r:id="rId3" xr:uid="{A85BB791-4C4B-4C9D-B64B-D6DC376109C2}"/>
    <hyperlink ref="P5" r:id="rId4" xr:uid="{81676CDF-6CF6-42DD-8339-DCA54AA4CECB}"/>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70"/>
  <sheetViews>
    <sheetView showZeros="0" showWhiteSpace="0" zoomScale="61" zoomScaleNormal="61" zoomScalePageLayoutView="58" workbookViewId="0">
      <selection activeCell="N25" sqref="N25"/>
    </sheetView>
  </sheetViews>
  <sheetFormatPr baseColWidth="10" defaultRowHeight="12.75"/>
  <cols>
    <col min="1" max="1" width="3.28515625" style="1281" customWidth="1"/>
    <col min="2" max="2" width="6.85546875" style="1281" customWidth="1"/>
    <col min="3" max="3" width="39" style="1281" customWidth="1"/>
    <col min="4" max="4" width="13.28515625" style="1281" customWidth="1"/>
    <col min="5" max="9" width="20.5703125" style="1281" customWidth="1"/>
    <col min="10" max="10" width="12.42578125" style="1281" customWidth="1"/>
    <col min="11" max="11" width="14.5703125" style="1281" customWidth="1"/>
    <col min="12" max="12" width="10" style="1281" customWidth="1"/>
    <col min="13" max="13" width="5.42578125" style="1281" customWidth="1"/>
    <col min="14" max="14" width="43.5703125" style="1281" customWidth="1"/>
    <col min="15" max="15" width="2" style="1177" customWidth="1"/>
    <col min="16" max="16" width="11.42578125" style="1281"/>
    <col min="17" max="17" width="3.28515625" style="1281" customWidth="1"/>
    <col min="18" max="18" width="7.85546875" style="1281" customWidth="1"/>
    <col min="19" max="19" width="52.28515625" style="1281" customWidth="1"/>
    <col min="20" max="20" width="13.28515625" style="1281" customWidth="1"/>
    <col min="21" max="21" width="14.7109375" style="1281" customWidth="1"/>
    <col min="22" max="22" width="11" style="1281" customWidth="1"/>
    <col min="23" max="30" width="10.140625" style="1281" customWidth="1"/>
    <col min="31" max="31" width="12.42578125" style="1281" customWidth="1"/>
    <col min="32" max="256" width="11.42578125" style="1177"/>
    <col min="257" max="257" width="3.28515625" style="1177" customWidth="1"/>
    <col min="258" max="258" width="6.85546875" style="1177" customWidth="1"/>
    <col min="259" max="259" width="39" style="1177" customWidth="1"/>
    <col min="260" max="260" width="13.28515625" style="1177" customWidth="1"/>
    <col min="261" max="265" width="20.5703125" style="1177" customWidth="1"/>
    <col min="266" max="266" width="12.42578125" style="1177" customWidth="1"/>
    <col min="267" max="267" width="14.5703125" style="1177" customWidth="1"/>
    <col min="268" max="268" width="10" style="1177" customWidth="1"/>
    <col min="269" max="269" width="5.42578125" style="1177" customWidth="1"/>
    <col min="270" max="270" width="43.5703125" style="1177" customWidth="1"/>
    <col min="271" max="271" width="2" style="1177" customWidth="1"/>
    <col min="272" max="272" width="11.42578125" style="1177"/>
    <col min="273" max="273" width="3.28515625" style="1177" customWidth="1"/>
    <col min="274" max="274" width="7.85546875" style="1177" customWidth="1"/>
    <col min="275" max="275" width="52.28515625" style="1177" customWidth="1"/>
    <col min="276" max="276" width="13.28515625" style="1177" customWidth="1"/>
    <col min="277" max="277" width="14.7109375" style="1177" customWidth="1"/>
    <col min="278" max="278" width="11" style="1177" customWidth="1"/>
    <col min="279" max="286" width="10.140625" style="1177" customWidth="1"/>
    <col min="287" max="287" width="12.42578125" style="1177" customWidth="1"/>
    <col min="288" max="512" width="11.42578125" style="1177"/>
    <col min="513" max="513" width="3.28515625" style="1177" customWidth="1"/>
    <col min="514" max="514" width="6.85546875" style="1177" customWidth="1"/>
    <col min="515" max="515" width="39" style="1177" customWidth="1"/>
    <col min="516" max="516" width="13.28515625" style="1177" customWidth="1"/>
    <col min="517" max="521" width="20.5703125" style="1177" customWidth="1"/>
    <col min="522" max="522" width="12.42578125" style="1177" customWidth="1"/>
    <col min="523" max="523" width="14.5703125" style="1177" customWidth="1"/>
    <col min="524" max="524" width="10" style="1177" customWidth="1"/>
    <col min="525" max="525" width="5.42578125" style="1177" customWidth="1"/>
    <col min="526" max="526" width="43.5703125" style="1177" customWidth="1"/>
    <col min="527" max="527" width="2" style="1177" customWidth="1"/>
    <col min="528" max="528" width="11.42578125" style="1177"/>
    <col min="529" max="529" width="3.28515625" style="1177" customWidth="1"/>
    <col min="530" max="530" width="7.85546875" style="1177" customWidth="1"/>
    <col min="531" max="531" width="52.28515625" style="1177" customWidth="1"/>
    <col min="532" max="532" width="13.28515625" style="1177" customWidth="1"/>
    <col min="533" max="533" width="14.7109375" style="1177" customWidth="1"/>
    <col min="534" max="534" width="11" style="1177" customWidth="1"/>
    <col min="535" max="542" width="10.140625" style="1177" customWidth="1"/>
    <col min="543" max="543" width="12.42578125" style="1177" customWidth="1"/>
    <col min="544" max="768" width="11.42578125" style="1177"/>
    <col min="769" max="769" width="3.28515625" style="1177" customWidth="1"/>
    <col min="770" max="770" width="6.85546875" style="1177" customWidth="1"/>
    <col min="771" max="771" width="39" style="1177" customWidth="1"/>
    <col min="772" max="772" width="13.28515625" style="1177" customWidth="1"/>
    <col min="773" max="777" width="20.5703125" style="1177" customWidth="1"/>
    <col min="778" max="778" width="12.42578125" style="1177" customWidth="1"/>
    <col min="779" max="779" width="14.5703125" style="1177" customWidth="1"/>
    <col min="780" max="780" width="10" style="1177" customWidth="1"/>
    <col min="781" max="781" width="5.42578125" style="1177" customWidth="1"/>
    <col min="782" max="782" width="43.5703125" style="1177" customWidth="1"/>
    <col min="783" max="783" width="2" style="1177" customWidth="1"/>
    <col min="784" max="784" width="11.42578125" style="1177"/>
    <col min="785" max="785" width="3.28515625" style="1177" customWidth="1"/>
    <col min="786" max="786" width="7.85546875" style="1177" customWidth="1"/>
    <col min="787" max="787" width="52.28515625" style="1177" customWidth="1"/>
    <col min="788" max="788" width="13.28515625" style="1177" customWidth="1"/>
    <col min="789" max="789" width="14.7109375" style="1177" customWidth="1"/>
    <col min="790" max="790" width="11" style="1177" customWidth="1"/>
    <col min="791" max="798" width="10.140625" style="1177" customWidth="1"/>
    <col min="799" max="799" width="12.42578125" style="1177" customWidth="1"/>
    <col min="800" max="1024" width="11.42578125" style="1177"/>
    <col min="1025" max="1025" width="3.28515625" style="1177" customWidth="1"/>
    <col min="1026" max="1026" width="6.85546875" style="1177" customWidth="1"/>
    <col min="1027" max="1027" width="39" style="1177" customWidth="1"/>
    <col min="1028" max="1028" width="13.28515625" style="1177" customWidth="1"/>
    <col min="1029" max="1033" width="20.5703125" style="1177" customWidth="1"/>
    <col min="1034" max="1034" width="12.42578125" style="1177" customWidth="1"/>
    <col min="1035" max="1035" width="14.5703125" style="1177" customWidth="1"/>
    <col min="1036" max="1036" width="10" style="1177" customWidth="1"/>
    <col min="1037" max="1037" width="5.42578125" style="1177" customWidth="1"/>
    <col min="1038" max="1038" width="43.5703125" style="1177" customWidth="1"/>
    <col min="1039" max="1039" width="2" style="1177" customWidth="1"/>
    <col min="1040" max="1040" width="11.42578125" style="1177"/>
    <col min="1041" max="1041" width="3.28515625" style="1177" customWidth="1"/>
    <col min="1042" max="1042" width="7.85546875" style="1177" customWidth="1"/>
    <col min="1043" max="1043" width="52.28515625" style="1177" customWidth="1"/>
    <col min="1044" max="1044" width="13.28515625" style="1177" customWidth="1"/>
    <col min="1045" max="1045" width="14.7109375" style="1177" customWidth="1"/>
    <col min="1046" max="1046" width="11" style="1177" customWidth="1"/>
    <col min="1047" max="1054" width="10.140625" style="1177" customWidth="1"/>
    <col min="1055" max="1055" width="12.42578125" style="1177" customWidth="1"/>
    <col min="1056" max="1280" width="11.42578125" style="1177"/>
    <col min="1281" max="1281" width="3.28515625" style="1177" customWidth="1"/>
    <col min="1282" max="1282" width="6.85546875" style="1177" customWidth="1"/>
    <col min="1283" max="1283" width="39" style="1177" customWidth="1"/>
    <col min="1284" max="1284" width="13.28515625" style="1177" customWidth="1"/>
    <col min="1285" max="1289" width="20.5703125" style="1177" customWidth="1"/>
    <col min="1290" max="1290" width="12.42578125" style="1177" customWidth="1"/>
    <col min="1291" max="1291" width="14.5703125" style="1177" customWidth="1"/>
    <col min="1292" max="1292" width="10" style="1177" customWidth="1"/>
    <col min="1293" max="1293" width="5.42578125" style="1177" customWidth="1"/>
    <col min="1294" max="1294" width="43.5703125" style="1177" customWidth="1"/>
    <col min="1295" max="1295" width="2" style="1177" customWidth="1"/>
    <col min="1296" max="1296" width="11.42578125" style="1177"/>
    <col min="1297" max="1297" width="3.28515625" style="1177" customWidth="1"/>
    <col min="1298" max="1298" width="7.85546875" style="1177" customWidth="1"/>
    <col min="1299" max="1299" width="52.28515625" style="1177" customWidth="1"/>
    <col min="1300" max="1300" width="13.28515625" style="1177" customWidth="1"/>
    <col min="1301" max="1301" width="14.7109375" style="1177" customWidth="1"/>
    <col min="1302" max="1302" width="11" style="1177" customWidth="1"/>
    <col min="1303" max="1310" width="10.140625" style="1177" customWidth="1"/>
    <col min="1311" max="1311" width="12.42578125" style="1177" customWidth="1"/>
    <col min="1312" max="1536" width="11.42578125" style="1177"/>
    <col min="1537" max="1537" width="3.28515625" style="1177" customWidth="1"/>
    <col min="1538" max="1538" width="6.85546875" style="1177" customWidth="1"/>
    <col min="1539" max="1539" width="39" style="1177" customWidth="1"/>
    <col min="1540" max="1540" width="13.28515625" style="1177" customWidth="1"/>
    <col min="1541" max="1545" width="20.5703125" style="1177" customWidth="1"/>
    <col min="1546" max="1546" width="12.42578125" style="1177" customWidth="1"/>
    <col min="1547" max="1547" width="14.5703125" style="1177" customWidth="1"/>
    <col min="1548" max="1548" width="10" style="1177" customWidth="1"/>
    <col min="1549" max="1549" width="5.42578125" style="1177" customWidth="1"/>
    <col min="1550" max="1550" width="43.5703125" style="1177" customWidth="1"/>
    <col min="1551" max="1551" width="2" style="1177" customWidth="1"/>
    <col min="1552" max="1552" width="11.42578125" style="1177"/>
    <col min="1553" max="1553" width="3.28515625" style="1177" customWidth="1"/>
    <col min="1554" max="1554" width="7.85546875" style="1177" customWidth="1"/>
    <col min="1555" max="1555" width="52.28515625" style="1177" customWidth="1"/>
    <col min="1556" max="1556" width="13.28515625" style="1177" customWidth="1"/>
    <col min="1557" max="1557" width="14.7109375" style="1177" customWidth="1"/>
    <col min="1558" max="1558" width="11" style="1177" customWidth="1"/>
    <col min="1559" max="1566" width="10.140625" style="1177" customWidth="1"/>
    <col min="1567" max="1567" width="12.42578125" style="1177" customWidth="1"/>
    <col min="1568" max="1792" width="11.42578125" style="1177"/>
    <col min="1793" max="1793" width="3.28515625" style="1177" customWidth="1"/>
    <col min="1794" max="1794" width="6.85546875" style="1177" customWidth="1"/>
    <col min="1795" max="1795" width="39" style="1177" customWidth="1"/>
    <col min="1796" max="1796" width="13.28515625" style="1177" customWidth="1"/>
    <col min="1797" max="1801" width="20.5703125" style="1177" customWidth="1"/>
    <col min="1802" max="1802" width="12.42578125" style="1177" customWidth="1"/>
    <col min="1803" max="1803" width="14.5703125" style="1177" customWidth="1"/>
    <col min="1804" max="1804" width="10" style="1177" customWidth="1"/>
    <col min="1805" max="1805" width="5.42578125" style="1177" customWidth="1"/>
    <col min="1806" max="1806" width="43.5703125" style="1177" customWidth="1"/>
    <col min="1807" max="1807" width="2" style="1177" customWidth="1"/>
    <col min="1808" max="1808" width="11.42578125" style="1177"/>
    <col min="1809" max="1809" width="3.28515625" style="1177" customWidth="1"/>
    <col min="1810" max="1810" width="7.85546875" style="1177" customWidth="1"/>
    <col min="1811" max="1811" width="52.28515625" style="1177" customWidth="1"/>
    <col min="1812" max="1812" width="13.28515625" style="1177" customWidth="1"/>
    <col min="1813" max="1813" width="14.7109375" style="1177" customWidth="1"/>
    <col min="1814" max="1814" width="11" style="1177" customWidth="1"/>
    <col min="1815" max="1822" width="10.140625" style="1177" customWidth="1"/>
    <col min="1823" max="1823" width="12.42578125" style="1177" customWidth="1"/>
    <col min="1824" max="2048" width="11.42578125" style="1177"/>
    <col min="2049" max="2049" width="3.28515625" style="1177" customWidth="1"/>
    <col min="2050" max="2050" width="6.85546875" style="1177" customWidth="1"/>
    <col min="2051" max="2051" width="39" style="1177" customWidth="1"/>
    <col min="2052" max="2052" width="13.28515625" style="1177" customWidth="1"/>
    <col min="2053" max="2057" width="20.5703125" style="1177" customWidth="1"/>
    <col min="2058" max="2058" width="12.42578125" style="1177" customWidth="1"/>
    <col min="2059" max="2059" width="14.5703125" style="1177" customWidth="1"/>
    <col min="2060" max="2060" width="10" style="1177" customWidth="1"/>
    <col min="2061" max="2061" width="5.42578125" style="1177" customWidth="1"/>
    <col min="2062" max="2062" width="43.5703125" style="1177" customWidth="1"/>
    <col min="2063" max="2063" width="2" style="1177" customWidth="1"/>
    <col min="2064" max="2064" width="11.42578125" style="1177"/>
    <col min="2065" max="2065" width="3.28515625" style="1177" customWidth="1"/>
    <col min="2066" max="2066" width="7.85546875" style="1177" customWidth="1"/>
    <col min="2067" max="2067" width="52.28515625" style="1177" customWidth="1"/>
    <col min="2068" max="2068" width="13.28515625" style="1177" customWidth="1"/>
    <col min="2069" max="2069" width="14.7109375" style="1177" customWidth="1"/>
    <col min="2070" max="2070" width="11" style="1177" customWidth="1"/>
    <col min="2071" max="2078" width="10.140625" style="1177" customWidth="1"/>
    <col min="2079" max="2079" width="12.42578125" style="1177" customWidth="1"/>
    <col min="2080" max="2304" width="11.42578125" style="1177"/>
    <col min="2305" max="2305" width="3.28515625" style="1177" customWidth="1"/>
    <col min="2306" max="2306" width="6.85546875" style="1177" customWidth="1"/>
    <col min="2307" max="2307" width="39" style="1177" customWidth="1"/>
    <col min="2308" max="2308" width="13.28515625" style="1177" customWidth="1"/>
    <col min="2309" max="2313" width="20.5703125" style="1177" customWidth="1"/>
    <col min="2314" max="2314" width="12.42578125" style="1177" customWidth="1"/>
    <col min="2315" max="2315" width="14.5703125" style="1177" customWidth="1"/>
    <col min="2316" max="2316" width="10" style="1177" customWidth="1"/>
    <col min="2317" max="2317" width="5.42578125" style="1177" customWidth="1"/>
    <col min="2318" max="2318" width="43.5703125" style="1177" customWidth="1"/>
    <col min="2319" max="2319" width="2" style="1177" customWidth="1"/>
    <col min="2320" max="2320" width="11.42578125" style="1177"/>
    <col min="2321" max="2321" width="3.28515625" style="1177" customWidth="1"/>
    <col min="2322" max="2322" width="7.85546875" style="1177" customWidth="1"/>
    <col min="2323" max="2323" width="52.28515625" style="1177" customWidth="1"/>
    <col min="2324" max="2324" width="13.28515625" style="1177" customWidth="1"/>
    <col min="2325" max="2325" width="14.7109375" style="1177" customWidth="1"/>
    <col min="2326" max="2326" width="11" style="1177" customWidth="1"/>
    <col min="2327" max="2334" width="10.140625" style="1177" customWidth="1"/>
    <col min="2335" max="2335" width="12.42578125" style="1177" customWidth="1"/>
    <col min="2336" max="2560" width="11.42578125" style="1177"/>
    <col min="2561" max="2561" width="3.28515625" style="1177" customWidth="1"/>
    <col min="2562" max="2562" width="6.85546875" style="1177" customWidth="1"/>
    <col min="2563" max="2563" width="39" style="1177" customWidth="1"/>
    <col min="2564" max="2564" width="13.28515625" style="1177" customWidth="1"/>
    <col min="2565" max="2569" width="20.5703125" style="1177" customWidth="1"/>
    <col min="2570" max="2570" width="12.42578125" style="1177" customWidth="1"/>
    <col min="2571" max="2571" width="14.5703125" style="1177" customWidth="1"/>
    <col min="2572" max="2572" width="10" style="1177" customWidth="1"/>
    <col min="2573" max="2573" width="5.42578125" style="1177" customWidth="1"/>
    <col min="2574" max="2574" width="43.5703125" style="1177" customWidth="1"/>
    <col min="2575" max="2575" width="2" style="1177" customWidth="1"/>
    <col min="2576" max="2576" width="11.42578125" style="1177"/>
    <col min="2577" max="2577" width="3.28515625" style="1177" customWidth="1"/>
    <col min="2578" max="2578" width="7.85546875" style="1177" customWidth="1"/>
    <col min="2579" max="2579" width="52.28515625" style="1177" customWidth="1"/>
    <col min="2580" max="2580" width="13.28515625" style="1177" customWidth="1"/>
    <col min="2581" max="2581" width="14.7109375" style="1177" customWidth="1"/>
    <col min="2582" max="2582" width="11" style="1177" customWidth="1"/>
    <col min="2583" max="2590" width="10.140625" style="1177" customWidth="1"/>
    <col min="2591" max="2591" width="12.42578125" style="1177" customWidth="1"/>
    <col min="2592" max="2816" width="11.42578125" style="1177"/>
    <col min="2817" max="2817" width="3.28515625" style="1177" customWidth="1"/>
    <col min="2818" max="2818" width="6.85546875" style="1177" customWidth="1"/>
    <col min="2819" max="2819" width="39" style="1177" customWidth="1"/>
    <col min="2820" max="2820" width="13.28515625" style="1177" customWidth="1"/>
    <col min="2821" max="2825" width="20.5703125" style="1177" customWidth="1"/>
    <col min="2826" max="2826" width="12.42578125" style="1177" customWidth="1"/>
    <col min="2827" max="2827" width="14.5703125" style="1177" customWidth="1"/>
    <col min="2828" max="2828" width="10" style="1177" customWidth="1"/>
    <col min="2829" max="2829" width="5.42578125" style="1177" customWidth="1"/>
    <col min="2830" max="2830" width="43.5703125" style="1177" customWidth="1"/>
    <col min="2831" max="2831" width="2" style="1177" customWidth="1"/>
    <col min="2832" max="2832" width="11.42578125" style="1177"/>
    <col min="2833" max="2833" width="3.28515625" style="1177" customWidth="1"/>
    <col min="2834" max="2834" width="7.85546875" style="1177" customWidth="1"/>
    <col min="2835" max="2835" width="52.28515625" style="1177" customWidth="1"/>
    <col min="2836" max="2836" width="13.28515625" style="1177" customWidth="1"/>
    <col min="2837" max="2837" width="14.7109375" style="1177" customWidth="1"/>
    <col min="2838" max="2838" width="11" style="1177" customWidth="1"/>
    <col min="2839" max="2846" width="10.140625" style="1177" customWidth="1"/>
    <col min="2847" max="2847" width="12.42578125" style="1177" customWidth="1"/>
    <col min="2848" max="3072" width="11.42578125" style="1177"/>
    <col min="3073" max="3073" width="3.28515625" style="1177" customWidth="1"/>
    <col min="3074" max="3074" width="6.85546875" style="1177" customWidth="1"/>
    <col min="3075" max="3075" width="39" style="1177" customWidth="1"/>
    <col min="3076" max="3076" width="13.28515625" style="1177" customWidth="1"/>
    <col min="3077" max="3081" width="20.5703125" style="1177" customWidth="1"/>
    <col min="3082" max="3082" width="12.42578125" style="1177" customWidth="1"/>
    <col min="3083" max="3083" width="14.5703125" style="1177" customWidth="1"/>
    <col min="3084" max="3084" width="10" style="1177" customWidth="1"/>
    <col min="3085" max="3085" width="5.42578125" style="1177" customWidth="1"/>
    <col min="3086" max="3086" width="43.5703125" style="1177" customWidth="1"/>
    <col min="3087" max="3087" width="2" style="1177" customWidth="1"/>
    <col min="3088" max="3088" width="11.42578125" style="1177"/>
    <col min="3089" max="3089" width="3.28515625" style="1177" customWidth="1"/>
    <col min="3090" max="3090" width="7.85546875" style="1177" customWidth="1"/>
    <col min="3091" max="3091" width="52.28515625" style="1177" customWidth="1"/>
    <col min="3092" max="3092" width="13.28515625" style="1177" customWidth="1"/>
    <col min="3093" max="3093" width="14.7109375" style="1177" customWidth="1"/>
    <col min="3094" max="3094" width="11" style="1177" customWidth="1"/>
    <col min="3095" max="3102" width="10.140625" style="1177" customWidth="1"/>
    <col min="3103" max="3103" width="12.42578125" style="1177" customWidth="1"/>
    <col min="3104" max="3328" width="11.42578125" style="1177"/>
    <col min="3329" max="3329" width="3.28515625" style="1177" customWidth="1"/>
    <col min="3330" max="3330" width="6.85546875" style="1177" customWidth="1"/>
    <col min="3331" max="3331" width="39" style="1177" customWidth="1"/>
    <col min="3332" max="3332" width="13.28515625" style="1177" customWidth="1"/>
    <col min="3333" max="3337" width="20.5703125" style="1177" customWidth="1"/>
    <col min="3338" max="3338" width="12.42578125" style="1177" customWidth="1"/>
    <col min="3339" max="3339" width="14.5703125" style="1177" customWidth="1"/>
    <col min="3340" max="3340" width="10" style="1177" customWidth="1"/>
    <col min="3341" max="3341" width="5.42578125" style="1177" customWidth="1"/>
    <col min="3342" max="3342" width="43.5703125" style="1177" customWidth="1"/>
    <col min="3343" max="3343" width="2" style="1177" customWidth="1"/>
    <col min="3344" max="3344" width="11.42578125" style="1177"/>
    <col min="3345" max="3345" width="3.28515625" style="1177" customWidth="1"/>
    <col min="3346" max="3346" width="7.85546875" style="1177" customWidth="1"/>
    <col min="3347" max="3347" width="52.28515625" style="1177" customWidth="1"/>
    <col min="3348" max="3348" width="13.28515625" style="1177" customWidth="1"/>
    <col min="3349" max="3349" width="14.7109375" style="1177" customWidth="1"/>
    <col min="3350" max="3350" width="11" style="1177" customWidth="1"/>
    <col min="3351" max="3358" width="10.140625" style="1177" customWidth="1"/>
    <col min="3359" max="3359" width="12.42578125" style="1177" customWidth="1"/>
    <col min="3360" max="3584" width="11.42578125" style="1177"/>
    <col min="3585" max="3585" width="3.28515625" style="1177" customWidth="1"/>
    <col min="3586" max="3586" width="6.85546875" style="1177" customWidth="1"/>
    <col min="3587" max="3587" width="39" style="1177" customWidth="1"/>
    <col min="3588" max="3588" width="13.28515625" style="1177" customWidth="1"/>
    <col min="3589" max="3593" width="20.5703125" style="1177" customWidth="1"/>
    <col min="3594" max="3594" width="12.42578125" style="1177" customWidth="1"/>
    <col min="3595" max="3595" width="14.5703125" style="1177" customWidth="1"/>
    <col min="3596" max="3596" width="10" style="1177" customWidth="1"/>
    <col min="3597" max="3597" width="5.42578125" style="1177" customWidth="1"/>
    <col min="3598" max="3598" width="43.5703125" style="1177" customWidth="1"/>
    <col min="3599" max="3599" width="2" style="1177" customWidth="1"/>
    <col min="3600" max="3600" width="11.42578125" style="1177"/>
    <col min="3601" max="3601" width="3.28515625" style="1177" customWidth="1"/>
    <col min="3602" max="3602" width="7.85546875" style="1177" customWidth="1"/>
    <col min="3603" max="3603" width="52.28515625" style="1177" customWidth="1"/>
    <col min="3604" max="3604" width="13.28515625" style="1177" customWidth="1"/>
    <col min="3605" max="3605" width="14.7109375" style="1177" customWidth="1"/>
    <col min="3606" max="3606" width="11" style="1177" customWidth="1"/>
    <col min="3607" max="3614" width="10.140625" style="1177" customWidth="1"/>
    <col min="3615" max="3615" width="12.42578125" style="1177" customWidth="1"/>
    <col min="3616" max="3840" width="11.42578125" style="1177"/>
    <col min="3841" max="3841" width="3.28515625" style="1177" customWidth="1"/>
    <col min="3842" max="3842" width="6.85546875" style="1177" customWidth="1"/>
    <col min="3843" max="3843" width="39" style="1177" customWidth="1"/>
    <col min="3844" max="3844" width="13.28515625" style="1177" customWidth="1"/>
    <col min="3845" max="3849" width="20.5703125" style="1177" customWidth="1"/>
    <col min="3850" max="3850" width="12.42578125" style="1177" customWidth="1"/>
    <col min="3851" max="3851" width="14.5703125" style="1177" customWidth="1"/>
    <col min="3852" max="3852" width="10" style="1177" customWidth="1"/>
    <col min="3853" max="3853" width="5.42578125" style="1177" customWidth="1"/>
    <col min="3854" max="3854" width="43.5703125" style="1177" customWidth="1"/>
    <col min="3855" max="3855" width="2" style="1177" customWidth="1"/>
    <col min="3856" max="3856" width="11.42578125" style="1177"/>
    <col min="3857" max="3857" width="3.28515625" style="1177" customWidth="1"/>
    <col min="3858" max="3858" width="7.85546875" style="1177" customWidth="1"/>
    <col min="3859" max="3859" width="52.28515625" style="1177" customWidth="1"/>
    <col min="3860" max="3860" width="13.28515625" style="1177" customWidth="1"/>
    <col min="3861" max="3861" width="14.7109375" style="1177" customWidth="1"/>
    <col min="3862" max="3862" width="11" style="1177" customWidth="1"/>
    <col min="3863" max="3870" width="10.140625" style="1177" customWidth="1"/>
    <col min="3871" max="3871" width="12.42578125" style="1177" customWidth="1"/>
    <col min="3872" max="4096" width="11.42578125" style="1177"/>
    <col min="4097" max="4097" width="3.28515625" style="1177" customWidth="1"/>
    <col min="4098" max="4098" width="6.85546875" style="1177" customWidth="1"/>
    <col min="4099" max="4099" width="39" style="1177" customWidth="1"/>
    <col min="4100" max="4100" width="13.28515625" style="1177" customWidth="1"/>
    <col min="4101" max="4105" width="20.5703125" style="1177" customWidth="1"/>
    <col min="4106" max="4106" width="12.42578125" style="1177" customWidth="1"/>
    <col min="4107" max="4107" width="14.5703125" style="1177" customWidth="1"/>
    <col min="4108" max="4108" width="10" style="1177" customWidth="1"/>
    <col min="4109" max="4109" width="5.42578125" style="1177" customWidth="1"/>
    <col min="4110" max="4110" width="43.5703125" style="1177" customWidth="1"/>
    <col min="4111" max="4111" width="2" style="1177" customWidth="1"/>
    <col min="4112" max="4112" width="11.42578125" style="1177"/>
    <col min="4113" max="4113" width="3.28515625" style="1177" customWidth="1"/>
    <col min="4114" max="4114" width="7.85546875" style="1177" customWidth="1"/>
    <col min="4115" max="4115" width="52.28515625" style="1177" customWidth="1"/>
    <col min="4116" max="4116" width="13.28515625" style="1177" customWidth="1"/>
    <col min="4117" max="4117" width="14.7109375" style="1177" customWidth="1"/>
    <col min="4118" max="4118" width="11" style="1177" customWidth="1"/>
    <col min="4119" max="4126" width="10.140625" style="1177" customWidth="1"/>
    <col min="4127" max="4127" width="12.42578125" style="1177" customWidth="1"/>
    <col min="4128" max="4352" width="11.42578125" style="1177"/>
    <col min="4353" max="4353" width="3.28515625" style="1177" customWidth="1"/>
    <col min="4354" max="4354" width="6.85546875" style="1177" customWidth="1"/>
    <col min="4355" max="4355" width="39" style="1177" customWidth="1"/>
    <col min="4356" max="4356" width="13.28515625" style="1177" customWidth="1"/>
    <col min="4357" max="4361" width="20.5703125" style="1177" customWidth="1"/>
    <col min="4362" max="4362" width="12.42578125" style="1177" customWidth="1"/>
    <col min="4363" max="4363" width="14.5703125" style="1177" customWidth="1"/>
    <col min="4364" max="4364" width="10" style="1177" customWidth="1"/>
    <col min="4365" max="4365" width="5.42578125" style="1177" customWidth="1"/>
    <col min="4366" max="4366" width="43.5703125" style="1177" customWidth="1"/>
    <col min="4367" max="4367" width="2" style="1177" customWidth="1"/>
    <col min="4368" max="4368" width="11.42578125" style="1177"/>
    <col min="4369" max="4369" width="3.28515625" style="1177" customWidth="1"/>
    <col min="4370" max="4370" width="7.85546875" style="1177" customWidth="1"/>
    <col min="4371" max="4371" width="52.28515625" style="1177" customWidth="1"/>
    <col min="4372" max="4372" width="13.28515625" style="1177" customWidth="1"/>
    <col min="4373" max="4373" width="14.7109375" style="1177" customWidth="1"/>
    <col min="4374" max="4374" width="11" style="1177" customWidth="1"/>
    <col min="4375" max="4382" width="10.140625" style="1177" customWidth="1"/>
    <col min="4383" max="4383" width="12.42578125" style="1177" customWidth="1"/>
    <col min="4384" max="4608" width="11.42578125" style="1177"/>
    <col min="4609" max="4609" width="3.28515625" style="1177" customWidth="1"/>
    <col min="4610" max="4610" width="6.85546875" style="1177" customWidth="1"/>
    <col min="4611" max="4611" width="39" style="1177" customWidth="1"/>
    <col min="4612" max="4612" width="13.28515625" style="1177" customWidth="1"/>
    <col min="4613" max="4617" width="20.5703125" style="1177" customWidth="1"/>
    <col min="4618" max="4618" width="12.42578125" style="1177" customWidth="1"/>
    <col min="4619" max="4619" width="14.5703125" style="1177" customWidth="1"/>
    <col min="4620" max="4620" width="10" style="1177" customWidth="1"/>
    <col min="4621" max="4621" width="5.42578125" style="1177" customWidth="1"/>
    <col min="4622" max="4622" width="43.5703125" style="1177" customWidth="1"/>
    <col min="4623" max="4623" width="2" style="1177" customWidth="1"/>
    <col min="4624" max="4624" width="11.42578125" style="1177"/>
    <col min="4625" max="4625" width="3.28515625" style="1177" customWidth="1"/>
    <col min="4626" max="4626" width="7.85546875" style="1177" customWidth="1"/>
    <col min="4627" max="4627" width="52.28515625" style="1177" customWidth="1"/>
    <col min="4628" max="4628" width="13.28515625" style="1177" customWidth="1"/>
    <col min="4629" max="4629" width="14.7109375" style="1177" customWidth="1"/>
    <col min="4630" max="4630" width="11" style="1177" customWidth="1"/>
    <col min="4631" max="4638" width="10.140625" style="1177" customWidth="1"/>
    <col min="4639" max="4639" width="12.42578125" style="1177" customWidth="1"/>
    <col min="4640" max="4864" width="11.42578125" style="1177"/>
    <col min="4865" max="4865" width="3.28515625" style="1177" customWidth="1"/>
    <col min="4866" max="4866" width="6.85546875" style="1177" customWidth="1"/>
    <col min="4867" max="4867" width="39" style="1177" customWidth="1"/>
    <col min="4868" max="4868" width="13.28515625" style="1177" customWidth="1"/>
    <col min="4869" max="4873" width="20.5703125" style="1177" customWidth="1"/>
    <col min="4874" max="4874" width="12.42578125" style="1177" customWidth="1"/>
    <col min="4875" max="4875" width="14.5703125" style="1177" customWidth="1"/>
    <col min="4876" max="4876" width="10" style="1177" customWidth="1"/>
    <col min="4877" max="4877" width="5.42578125" style="1177" customWidth="1"/>
    <col min="4878" max="4878" width="43.5703125" style="1177" customWidth="1"/>
    <col min="4879" max="4879" width="2" style="1177" customWidth="1"/>
    <col min="4880" max="4880" width="11.42578125" style="1177"/>
    <col min="4881" max="4881" width="3.28515625" style="1177" customWidth="1"/>
    <col min="4882" max="4882" width="7.85546875" style="1177" customWidth="1"/>
    <col min="4883" max="4883" width="52.28515625" style="1177" customWidth="1"/>
    <col min="4884" max="4884" width="13.28515625" style="1177" customWidth="1"/>
    <col min="4885" max="4885" width="14.7109375" style="1177" customWidth="1"/>
    <col min="4886" max="4886" width="11" style="1177" customWidth="1"/>
    <col min="4887" max="4894" width="10.140625" style="1177" customWidth="1"/>
    <col min="4895" max="4895" width="12.42578125" style="1177" customWidth="1"/>
    <col min="4896" max="5120" width="11.42578125" style="1177"/>
    <col min="5121" max="5121" width="3.28515625" style="1177" customWidth="1"/>
    <col min="5122" max="5122" width="6.85546875" style="1177" customWidth="1"/>
    <col min="5123" max="5123" width="39" style="1177" customWidth="1"/>
    <col min="5124" max="5124" width="13.28515625" style="1177" customWidth="1"/>
    <col min="5125" max="5129" width="20.5703125" style="1177" customWidth="1"/>
    <col min="5130" max="5130" width="12.42578125" style="1177" customWidth="1"/>
    <col min="5131" max="5131" width="14.5703125" style="1177" customWidth="1"/>
    <col min="5132" max="5132" width="10" style="1177" customWidth="1"/>
    <col min="5133" max="5133" width="5.42578125" style="1177" customWidth="1"/>
    <col min="5134" max="5134" width="43.5703125" style="1177" customWidth="1"/>
    <col min="5135" max="5135" width="2" style="1177" customWidth="1"/>
    <col min="5136" max="5136" width="11.42578125" style="1177"/>
    <col min="5137" max="5137" width="3.28515625" style="1177" customWidth="1"/>
    <col min="5138" max="5138" width="7.85546875" style="1177" customWidth="1"/>
    <col min="5139" max="5139" width="52.28515625" style="1177" customWidth="1"/>
    <col min="5140" max="5140" width="13.28515625" style="1177" customWidth="1"/>
    <col min="5141" max="5141" width="14.7109375" style="1177" customWidth="1"/>
    <col min="5142" max="5142" width="11" style="1177" customWidth="1"/>
    <col min="5143" max="5150" width="10.140625" style="1177" customWidth="1"/>
    <col min="5151" max="5151" width="12.42578125" style="1177" customWidth="1"/>
    <col min="5152" max="5376" width="11.42578125" style="1177"/>
    <col min="5377" max="5377" width="3.28515625" style="1177" customWidth="1"/>
    <col min="5378" max="5378" width="6.85546875" style="1177" customWidth="1"/>
    <col min="5379" max="5379" width="39" style="1177" customWidth="1"/>
    <col min="5380" max="5380" width="13.28515625" style="1177" customWidth="1"/>
    <col min="5381" max="5385" width="20.5703125" style="1177" customWidth="1"/>
    <col min="5386" max="5386" width="12.42578125" style="1177" customWidth="1"/>
    <col min="5387" max="5387" width="14.5703125" style="1177" customWidth="1"/>
    <col min="5388" max="5388" width="10" style="1177" customWidth="1"/>
    <col min="5389" max="5389" width="5.42578125" style="1177" customWidth="1"/>
    <col min="5390" max="5390" width="43.5703125" style="1177" customWidth="1"/>
    <col min="5391" max="5391" width="2" style="1177" customWidth="1"/>
    <col min="5392" max="5392" width="11.42578125" style="1177"/>
    <col min="5393" max="5393" width="3.28515625" style="1177" customWidth="1"/>
    <col min="5394" max="5394" width="7.85546875" style="1177" customWidth="1"/>
    <col min="5395" max="5395" width="52.28515625" style="1177" customWidth="1"/>
    <col min="5396" max="5396" width="13.28515625" style="1177" customWidth="1"/>
    <col min="5397" max="5397" width="14.7109375" style="1177" customWidth="1"/>
    <col min="5398" max="5398" width="11" style="1177" customWidth="1"/>
    <col min="5399" max="5406" width="10.140625" style="1177" customWidth="1"/>
    <col min="5407" max="5407" width="12.42578125" style="1177" customWidth="1"/>
    <col min="5408" max="5632" width="11.42578125" style="1177"/>
    <col min="5633" max="5633" width="3.28515625" style="1177" customWidth="1"/>
    <col min="5634" max="5634" width="6.85546875" style="1177" customWidth="1"/>
    <col min="5635" max="5635" width="39" style="1177" customWidth="1"/>
    <col min="5636" max="5636" width="13.28515625" style="1177" customWidth="1"/>
    <col min="5637" max="5641" width="20.5703125" style="1177" customWidth="1"/>
    <col min="5642" max="5642" width="12.42578125" style="1177" customWidth="1"/>
    <col min="5643" max="5643" width="14.5703125" style="1177" customWidth="1"/>
    <col min="5644" max="5644" width="10" style="1177" customWidth="1"/>
    <col min="5645" max="5645" width="5.42578125" style="1177" customWidth="1"/>
    <col min="5646" max="5646" width="43.5703125" style="1177" customWidth="1"/>
    <col min="5647" max="5647" width="2" style="1177" customWidth="1"/>
    <col min="5648" max="5648" width="11.42578125" style="1177"/>
    <col min="5649" max="5649" width="3.28515625" style="1177" customWidth="1"/>
    <col min="5650" max="5650" width="7.85546875" style="1177" customWidth="1"/>
    <col min="5651" max="5651" width="52.28515625" style="1177" customWidth="1"/>
    <col min="5652" max="5652" width="13.28515625" style="1177" customWidth="1"/>
    <col min="5653" max="5653" width="14.7109375" style="1177" customWidth="1"/>
    <col min="5654" max="5654" width="11" style="1177" customWidth="1"/>
    <col min="5655" max="5662" width="10.140625" style="1177" customWidth="1"/>
    <col min="5663" max="5663" width="12.42578125" style="1177" customWidth="1"/>
    <col min="5664" max="5888" width="11.42578125" style="1177"/>
    <col min="5889" max="5889" width="3.28515625" style="1177" customWidth="1"/>
    <col min="5890" max="5890" width="6.85546875" style="1177" customWidth="1"/>
    <col min="5891" max="5891" width="39" style="1177" customWidth="1"/>
    <col min="5892" max="5892" width="13.28515625" style="1177" customWidth="1"/>
    <col min="5893" max="5897" width="20.5703125" style="1177" customWidth="1"/>
    <col min="5898" max="5898" width="12.42578125" style="1177" customWidth="1"/>
    <col min="5899" max="5899" width="14.5703125" style="1177" customWidth="1"/>
    <col min="5900" max="5900" width="10" style="1177" customWidth="1"/>
    <col min="5901" max="5901" width="5.42578125" style="1177" customWidth="1"/>
    <col min="5902" max="5902" width="43.5703125" style="1177" customWidth="1"/>
    <col min="5903" max="5903" width="2" style="1177" customWidth="1"/>
    <col min="5904" max="5904" width="11.42578125" style="1177"/>
    <col min="5905" max="5905" width="3.28515625" style="1177" customWidth="1"/>
    <col min="5906" max="5906" width="7.85546875" style="1177" customWidth="1"/>
    <col min="5907" max="5907" width="52.28515625" style="1177" customWidth="1"/>
    <col min="5908" max="5908" width="13.28515625" style="1177" customWidth="1"/>
    <col min="5909" max="5909" width="14.7109375" style="1177" customWidth="1"/>
    <col min="5910" max="5910" width="11" style="1177" customWidth="1"/>
    <col min="5911" max="5918" width="10.140625" style="1177" customWidth="1"/>
    <col min="5919" max="5919" width="12.42578125" style="1177" customWidth="1"/>
    <col min="5920" max="6144" width="11.42578125" style="1177"/>
    <col min="6145" max="6145" width="3.28515625" style="1177" customWidth="1"/>
    <col min="6146" max="6146" width="6.85546875" style="1177" customWidth="1"/>
    <col min="6147" max="6147" width="39" style="1177" customWidth="1"/>
    <col min="6148" max="6148" width="13.28515625" style="1177" customWidth="1"/>
    <col min="6149" max="6153" width="20.5703125" style="1177" customWidth="1"/>
    <col min="6154" max="6154" width="12.42578125" style="1177" customWidth="1"/>
    <col min="6155" max="6155" width="14.5703125" style="1177" customWidth="1"/>
    <col min="6156" max="6156" width="10" style="1177" customWidth="1"/>
    <col min="6157" max="6157" width="5.42578125" style="1177" customWidth="1"/>
    <col min="6158" max="6158" width="43.5703125" style="1177" customWidth="1"/>
    <col min="6159" max="6159" width="2" style="1177" customWidth="1"/>
    <col min="6160" max="6160" width="11.42578125" style="1177"/>
    <col min="6161" max="6161" width="3.28515625" style="1177" customWidth="1"/>
    <col min="6162" max="6162" width="7.85546875" style="1177" customWidth="1"/>
    <col min="6163" max="6163" width="52.28515625" style="1177" customWidth="1"/>
    <col min="6164" max="6164" width="13.28515625" style="1177" customWidth="1"/>
    <col min="6165" max="6165" width="14.7109375" style="1177" customWidth="1"/>
    <col min="6166" max="6166" width="11" style="1177" customWidth="1"/>
    <col min="6167" max="6174" width="10.140625" style="1177" customWidth="1"/>
    <col min="6175" max="6175" width="12.42578125" style="1177" customWidth="1"/>
    <col min="6176" max="6400" width="11.42578125" style="1177"/>
    <col min="6401" max="6401" width="3.28515625" style="1177" customWidth="1"/>
    <col min="6402" max="6402" width="6.85546875" style="1177" customWidth="1"/>
    <col min="6403" max="6403" width="39" style="1177" customWidth="1"/>
    <col min="6404" max="6404" width="13.28515625" style="1177" customWidth="1"/>
    <col min="6405" max="6409" width="20.5703125" style="1177" customWidth="1"/>
    <col min="6410" max="6410" width="12.42578125" style="1177" customWidth="1"/>
    <col min="6411" max="6411" width="14.5703125" style="1177" customWidth="1"/>
    <col min="6412" max="6412" width="10" style="1177" customWidth="1"/>
    <col min="6413" max="6413" width="5.42578125" style="1177" customWidth="1"/>
    <col min="6414" max="6414" width="43.5703125" style="1177" customWidth="1"/>
    <col min="6415" max="6415" width="2" style="1177" customWidth="1"/>
    <col min="6416" max="6416" width="11.42578125" style="1177"/>
    <col min="6417" max="6417" width="3.28515625" style="1177" customWidth="1"/>
    <col min="6418" max="6418" width="7.85546875" style="1177" customWidth="1"/>
    <col min="6419" max="6419" width="52.28515625" style="1177" customWidth="1"/>
    <col min="6420" max="6420" width="13.28515625" style="1177" customWidth="1"/>
    <col min="6421" max="6421" width="14.7109375" style="1177" customWidth="1"/>
    <col min="6422" max="6422" width="11" style="1177" customWidth="1"/>
    <col min="6423" max="6430" width="10.140625" style="1177" customWidth="1"/>
    <col min="6431" max="6431" width="12.42578125" style="1177" customWidth="1"/>
    <col min="6432" max="6656" width="11.42578125" style="1177"/>
    <col min="6657" max="6657" width="3.28515625" style="1177" customWidth="1"/>
    <col min="6658" max="6658" width="6.85546875" style="1177" customWidth="1"/>
    <col min="6659" max="6659" width="39" style="1177" customWidth="1"/>
    <col min="6660" max="6660" width="13.28515625" style="1177" customWidth="1"/>
    <col min="6661" max="6665" width="20.5703125" style="1177" customWidth="1"/>
    <col min="6666" max="6666" width="12.42578125" style="1177" customWidth="1"/>
    <col min="6667" max="6667" width="14.5703125" style="1177" customWidth="1"/>
    <col min="6668" max="6668" width="10" style="1177" customWidth="1"/>
    <col min="6669" max="6669" width="5.42578125" style="1177" customWidth="1"/>
    <col min="6670" max="6670" width="43.5703125" style="1177" customWidth="1"/>
    <col min="6671" max="6671" width="2" style="1177" customWidth="1"/>
    <col min="6672" max="6672" width="11.42578125" style="1177"/>
    <col min="6673" max="6673" width="3.28515625" style="1177" customWidth="1"/>
    <col min="6674" max="6674" width="7.85546875" style="1177" customWidth="1"/>
    <col min="6675" max="6675" width="52.28515625" style="1177" customWidth="1"/>
    <col min="6676" max="6676" width="13.28515625" style="1177" customWidth="1"/>
    <col min="6677" max="6677" width="14.7109375" style="1177" customWidth="1"/>
    <col min="6678" max="6678" width="11" style="1177" customWidth="1"/>
    <col min="6679" max="6686" width="10.140625" style="1177" customWidth="1"/>
    <col min="6687" max="6687" width="12.42578125" style="1177" customWidth="1"/>
    <col min="6688" max="6912" width="11.42578125" style="1177"/>
    <col min="6913" max="6913" width="3.28515625" style="1177" customWidth="1"/>
    <col min="6914" max="6914" width="6.85546875" style="1177" customWidth="1"/>
    <col min="6915" max="6915" width="39" style="1177" customWidth="1"/>
    <col min="6916" max="6916" width="13.28515625" style="1177" customWidth="1"/>
    <col min="6917" max="6921" width="20.5703125" style="1177" customWidth="1"/>
    <col min="6922" max="6922" width="12.42578125" style="1177" customWidth="1"/>
    <col min="6923" max="6923" width="14.5703125" style="1177" customWidth="1"/>
    <col min="6924" max="6924" width="10" style="1177" customWidth="1"/>
    <col min="6925" max="6925" width="5.42578125" style="1177" customWidth="1"/>
    <col min="6926" max="6926" width="43.5703125" style="1177" customWidth="1"/>
    <col min="6927" max="6927" width="2" style="1177" customWidth="1"/>
    <col min="6928" max="6928" width="11.42578125" style="1177"/>
    <col min="6929" max="6929" width="3.28515625" style="1177" customWidth="1"/>
    <col min="6930" max="6930" width="7.85546875" style="1177" customWidth="1"/>
    <col min="6931" max="6931" width="52.28515625" style="1177" customWidth="1"/>
    <col min="6932" max="6932" width="13.28515625" style="1177" customWidth="1"/>
    <col min="6933" max="6933" width="14.7109375" style="1177" customWidth="1"/>
    <col min="6934" max="6934" width="11" style="1177" customWidth="1"/>
    <col min="6935" max="6942" width="10.140625" style="1177" customWidth="1"/>
    <col min="6943" max="6943" width="12.42578125" style="1177" customWidth="1"/>
    <col min="6944" max="7168" width="11.42578125" style="1177"/>
    <col min="7169" max="7169" width="3.28515625" style="1177" customWidth="1"/>
    <col min="7170" max="7170" width="6.85546875" style="1177" customWidth="1"/>
    <col min="7171" max="7171" width="39" style="1177" customWidth="1"/>
    <col min="7172" max="7172" width="13.28515625" style="1177" customWidth="1"/>
    <col min="7173" max="7177" width="20.5703125" style="1177" customWidth="1"/>
    <col min="7178" max="7178" width="12.42578125" style="1177" customWidth="1"/>
    <col min="7179" max="7179" width="14.5703125" style="1177" customWidth="1"/>
    <col min="7180" max="7180" width="10" style="1177" customWidth="1"/>
    <col min="7181" max="7181" width="5.42578125" style="1177" customWidth="1"/>
    <col min="7182" max="7182" width="43.5703125" style="1177" customWidth="1"/>
    <col min="7183" max="7183" width="2" style="1177" customWidth="1"/>
    <col min="7184" max="7184" width="11.42578125" style="1177"/>
    <col min="7185" max="7185" width="3.28515625" style="1177" customWidth="1"/>
    <col min="7186" max="7186" width="7.85546875" style="1177" customWidth="1"/>
    <col min="7187" max="7187" width="52.28515625" style="1177" customWidth="1"/>
    <col min="7188" max="7188" width="13.28515625" style="1177" customWidth="1"/>
    <col min="7189" max="7189" width="14.7109375" style="1177" customWidth="1"/>
    <col min="7190" max="7190" width="11" style="1177" customWidth="1"/>
    <col min="7191" max="7198" width="10.140625" style="1177" customWidth="1"/>
    <col min="7199" max="7199" width="12.42578125" style="1177" customWidth="1"/>
    <col min="7200" max="7424" width="11.42578125" style="1177"/>
    <col min="7425" max="7425" width="3.28515625" style="1177" customWidth="1"/>
    <col min="7426" max="7426" width="6.85546875" style="1177" customWidth="1"/>
    <col min="7427" max="7427" width="39" style="1177" customWidth="1"/>
    <col min="7428" max="7428" width="13.28515625" style="1177" customWidth="1"/>
    <col min="7429" max="7433" width="20.5703125" style="1177" customWidth="1"/>
    <col min="7434" max="7434" width="12.42578125" style="1177" customWidth="1"/>
    <col min="7435" max="7435" width="14.5703125" style="1177" customWidth="1"/>
    <col min="7436" max="7436" width="10" style="1177" customWidth="1"/>
    <col min="7437" max="7437" width="5.42578125" style="1177" customWidth="1"/>
    <col min="7438" max="7438" width="43.5703125" style="1177" customWidth="1"/>
    <col min="7439" max="7439" width="2" style="1177" customWidth="1"/>
    <col min="7440" max="7440" width="11.42578125" style="1177"/>
    <col min="7441" max="7441" width="3.28515625" style="1177" customWidth="1"/>
    <col min="7442" max="7442" width="7.85546875" style="1177" customWidth="1"/>
    <col min="7443" max="7443" width="52.28515625" style="1177" customWidth="1"/>
    <col min="7444" max="7444" width="13.28515625" style="1177" customWidth="1"/>
    <col min="7445" max="7445" width="14.7109375" style="1177" customWidth="1"/>
    <col min="7446" max="7446" width="11" style="1177" customWidth="1"/>
    <col min="7447" max="7454" width="10.140625" style="1177" customWidth="1"/>
    <col min="7455" max="7455" width="12.42578125" style="1177" customWidth="1"/>
    <col min="7456" max="7680" width="11.42578125" style="1177"/>
    <col min="7681" max="7681" width="3.28515625" style="1177" customWidth="1"/>
    <col min="7682" max="7682" width="6.85546875" style="1177" customWidth="1"/>
    <col min="7683" max="7683" width="39" style="1177" customWidth="1"/>
    <col min="7684" max="7684" width="13.28515625" style="1177" customWidth="1"/>
    <col min="7685" max="7689" width="20.5703125" style="1177" customWidth="1"/>
    <col min="7690" max="7690" width="12.42578125" style="1177" customWidth="1"/>
    <col min="7691" max="7691" width="14.5703125" style="1177" customWidth="1"/>
    <col min="7692" max="7692" width="10" style="1177" customWidth="1"/>
    <col min="7693" max="7693" width="5.42578125" style="1177" customWidth="1"/>
    <col min="7694" max="7694" width="43.5703125" style="1177" customWidth="1"/>
    <col min="7695" max="7695" width="2" style="1177" customWidth="1"/>
    <col min="7696" max="7696" width="11.42578125" style="1177"/>
    <col min="7697" max="7697" width="3.28515625" style="1177" customWidth="1"/>
    <col min="7698" max="7698" width="7.85546875" style="1177" customWidth="1"/>
    <col min="7699" max="7699" width="52.28515625" style="1177" customWidth="1"/>
    <col min="7700" max="7700" width="13.28515625" style="1177" customWidth="1"/>
    <col min="7701" max="7701" width="14.7109375" style="1177" customWidth="1"/>
    <col min="7702" max="7702" width="11" style="1177" customWidth="1"/>
    <col min="7703" max="7710" width="10.140625" style="1177" customWidth="1"/>
    <col min="7711" max="7711" width="12.42578125" style="1177" customWidth="1"/>
    <col min="7712" max="7936" width="11.42578125" style="1177"/>
    <col min="7937" max="7937" width="3.28515625" style="1177" customWidth="1"/>
    <col min="7938" max="7938" width="6.85546875" style="1177" customWidth="1"/>
    <col min="7939" max="7939" width="39" style="1177" customWidth="1"/>
    <col min="7940" max="7940" width="13.28515625" style="1177" customWidth="1"/>
    <col min="7941" max="7945" width="20.5703125" style="1177" customWidth="1"/>
    <col min="7946" max="7946" width="12.42578125" style="1177" customWidth="1"/>
    <col min="7947" max="7947" width="14.5703125" style="1177" customWidth="1"/>
    <col min="7948" max="7948" width="10" style="1177" customWidth="1"/>
    <col min="7949" max="7949" width="5.42578125" style="1177" customWidth="1"/>
    <col min="7950" max="7950" width="43.5703125" style="1177" customWidth="1"/>
    <col min="7951" max="7951" width="2" style="1177" customWidth="1"/>
    <col min="7952" max="7952" width="11.42578125" style="1177"/>
    <col min="7953" max="7953" width="3.28515625" style="1177" customWidth="1"/>
    <col min="7954" max="7954" width="7.85546875" style="1177" customWidth="1"/>
    <col min="7955" max="7955" width="52.28515625" style="1177" customWidth="1"/>
    <col min="7956" max="7956" width="13.28515625" style="1177" customWidth="1"/>
    <col min="7957" max="7957" width="14.7109375" style="1177" customWidth="1"/>
    <col min="7958" max="7958" width="11" style="1177" customWidth="1"/>
    <col min="7959" max="7966" width="10.140625" style="1177" customWidth="1"/>
    <col min="7967" max="7967" width="12.42578125" style="1177" customWidth="1"/>
    <col min="7968" max="8192" width="11.42578125" style="1177"/>
    <col min="8193" max="8193" width="3.28515625" style="1177" customWidth="1"/>
    <col min="8194" max="8194" width="6.85546875" style="1177" customWidth="1"/>
    <col min="8195" max="8195" width="39" style="1177" customWidth="1"/>
    <col min="8196" max="8196" width="13.28515625" style="1177" customWidth="1"/>
    <col min="8197" max="8201" width="20.5703125" style="1177" customWidth="1"/>
    <col min="8202" max="8202" width="12.42578125" style="1177" customWidth="1"/>
    <col min="8203" max="8203" width="14.5703125" style="1177" customWidth="1"/>
    <col min="8204" max="8204" width="10" style="1177" customWidth="1"/>
    <col min="8205" max="8205" width="5.42578125" style="1177" customWidth="1"/>
    <col min="8206" max="8206" width="43.5703125" style="1177" customWidth="1"/>
    <col min="8207" max="8207" width="2" style="1177" customWidth="1"/>
    <col min="8208" max="8208" width="11.42578125" style="1177"/>
    <col min="8209" max="8209" width="3.28515625" style="1177" customWidth="1"/>
    <col min="8210" max="8210" width="7.85546875" style="1177" customWidth="1"/>
    <col min="8211" max="8211" width="52.28515625" style="1177" customWidth="1"/>
    <col min="8212" max="8212" width="13.28515625" style="1177" customWidth="1"/>
    <col min="8213" max="8213" width="14.7109375" style="1177" customWidth="1"/>
    <col min="8214" max="8214" width="11" style="1177" customWidth="1"/>
    <col min="8215" max="8222" width="10.140625" style="1177" customWidth="1"/>
    <col min="8223" max="8223" width="12.42578125" style="1177" customWidth="1"/>
    <col min="8224" max="8448" width="11.42578125" style="1177"/>
    <col min="8449" max="8449" width="3.28515625" style="1177" customWidth="1"/>
    <col min="8450" max="8450" width="6.85546875" style="1177" customWidth="1"/>
    <col min="8451" max="8451" width="39" style="1177" customWidth="1"/>
    <col min="8452" max="8452" width="13.28515625" style="1177" customWidth="1"/>
    <col min="8453" max="8457" width="20.5703125" style="1177" customWidth="1"/>
    <col min="8458" max="8458" width="12.42578125" style="1177" customWidth="1"/>
    <col min="8459" max="8459" width="14.5703125" style="1177" customWidth="1"/>
    <col min="8460" max="8460" width="10" style="1177" customWidth="1"/>
    <col min="8461" max="8461" width="5.42578125" style="1177" customWidth="1"/>
    <col min="8462" max="8462" width="43.5703125" style="1177" customWidth="1"/>
    <col min="8463" max="8463" width="2" style="1177" customWidth="1"/>
    <col min="8464" max="8464" width="11.42578125" style="1177"/>
    <col min="8465" max="8465" width="3.28515625" style="1177" customWidth="1"/>
    <col min="8466" max="8466" width="7.85546875" style="1177" customWidth="1"/>
    <col min="8467" max="8467" width="52.28515625" style="1177" customWidth="1"/>
    <col min="8468" max="8468" width="13.28515625" style="1177" customWidth="1"/>
    <col min="8469" max="8469" width="14.7109375" style="1177" customWidth="1"/>
    <col min="8470" max="8470" width="11" style="1177" customWidth="1"/>
    <col min="8471" max="8478" width="10.140625" style="1177" customWidth="1"/>
    <col min="8479" max="8479" width="12.42578125" style="1177" customWidth="1"/>
    <col min="8480" max="8704" width="11.42578125" style="1177"/>
    <col min="8705" max="8705" width="3.28515625" style="1177" customWidth="1"/>
    <col min="8706" max="8706" width="6.85546875" style="1177" customWidth="1"/>
    <col min="8707" max="8707" width="39" style="1177" customWidth="1"/>
    <col min="8708" max="8708" width="13.28515625" style="1177" customWidth="1"/>
    <col min="8709" max="8713" width="20.5703125" style="1177" customWidth="1"/>
    <col min="8714" max="8714" width="12.42578125" style="1177" customWidth="1"/>
    <col min="8715" max="8715" width="14.5703125" style="1177" customWidth="1"/>
    <col min="8716" max="8716" width="10" style="1177" customWidth="1"/>
    <col min="8717" max="8717" width="5.42578125" style="1177" customWidth="1"/>
    <col min="8718" max="8718" width="43.5703125" style="1177" customWidth="1"/>
    <col min="8719" max="8719" width="2" style="1177" customWidth="1"/>
    <col min="8720" max="8720" width="11.42578125" style="1177"/>
    <col min="8721" max="8721" width="3.28515625" style="1177" customWidth="1"/>
    <col min="8722" max="8722" width="7.85546875" style="1177" customWidth="1"/>
    <col min="8723" max="8723" width="52.28515625" style="1177" customWidth="1"/>
    <col min="8724" max="8724" width="13.28515625" style="1177" customWidth="1"/>
    <col min="8725" max="8725" width="14.7109375" style="1177" customWidth="1"/>
    <col min="8726" max="8726" width="11" style="1177" customWidth="1"/>
    <col min="8727" max="8734" width="10.140625" style="1177" customWidth="1"/>
    <col min="8735" max="8735" width="12.42578125" style="1177" customWidth="1"/>
    <col min="8736" max="8960" width="11.42578125" style="1177"/>
    <col min="8961" max="8961" width="3.28515625" style="1177" customWidth="1"/>
    <col min="8962" max="8962" width="6.85546875" style="1177" customWidth="1"/>
    <col min="8963" max="8963" width="39" style="1177" customWidth="1"/>
    <col min="8964" max="8964" width="13.28515625" style="1177" customWidth="1"/>
    <col min="8965" max="8969" width="20.5703125" style="1177" customWidth="1"/>
    <col min="8970" max="8970" width="12.42578125" style="1177" customWidth="1"/>
    <col min="8971" max="8971" width="14.5703125" style="1177" customWidth="1"/>
    <col min="8972" max="8972" width="10" style="1177" customWidth="1"/>
    <col min="8973" max="8973" width="5.42578125" style="1177" customWidth="1"/>
    <col min="8974" max="8974" width="43.5703125" style="1177" customWidth="1"/>
    <col min="8975" max="8975" width="2" style="1177" customWidth="1"/>
    <col min="8976" max="8976" width="11.42578125" style="1177"/>
    <col min="8977" max="8977" width="3.28515625" style="1177" customWidth="1"/>
    <col min="8978" max="8978" width="7.85546875" style="1177" customWidth="1"/>
    <col min="8979" max="8979" width="52.28515625" style="1177" customWidth="1"/>
    <col min="8980" max="8980" width="13.28515625" style="1177" customWidth="1"/>
    <col min="8981" max="8981" width="14.7109375" style="1177" customWidth="1"/>
    <col min="8982" max="8982" width="11" style="1177" customWidth="1"/>
    <col min="8983" max="8990" width="10.140625" style="1177" customWidth="1"/>
    <col min="8991" max="8991" width="12.42578125" style="1177" customWidth="1"/>
    <col min="8992" max="9216" width="11.42578125" style="1177"/>
    <col min="9217" max="9217" width="3.28515625" style="1177" customWidth="1"/>
    <col min="9218" max="9218" width="6.85546875" style="1177" customWidth="1"/>
    <col min="9219" max="9219" width="39" style="1177" customWidth="1"/>
    <col min="9220" max="9220" width="13.28515625" style="1177" customWidth="1"/>
    <col min="9221" max="9225" width="20.5703125" style="1177" customWidth="1"/>
    <col min="9226" max="9226" width="12.42578125" style="1177" customWidth="1"/>
    <col min="9227" max="9227" width="14.5703125" style="1177" customWidth="1"/>
    <col min="9228" max="9228" width="10" style="1177" customWidth="1"/>
    <col min="9229" max="9229" width="5.42578125" style="1177" customWidth="1"/>
    <col min="9230" max="9230" width="43.5703125" style="1177" customWidth="1"/>
    <col min="9231" max="9231" width="2" style="1177" customWidth="1"/>
    <col min="9232" max="9232" width="11.42578125" style="1177"/>
    <col min="9233" max="9233" width="3.28515625" style="1177" customWidth="1"/>
    <col min="9234" max="9234" width="7.85546875" style="1177" customWidth="1"/>
    <col min="9235" max="9235" width="52.28515625" style="1177" customWidth="1"/>
    <col min="9236" max="9236" width="13.28515625" style="1177" customWidth="1"/>
    <col min="9237" max="9237" width="14.7109375" style="1177" customWidth="1"/>
    <col min="9238" max="9238" width="11" style="1177" customWidth="1"/>
    <col min="9239" max="9246" width="10.140625" style="1177" customWidth="1"/>
    <col min="9247" max="9247" width="12.42578125" style="1177" customWidth="1"/>
    <col min="9248" max="9472" width="11.42578125" style="1177"/>
    <col min="9473" max="9473" width="3.28515625" style="1177" customWidth="1"/>
    <col min="9474" max="9474" width="6.85546875" style="1177" customWidth="1"/>
    <col min="9475" max="9475" width="39" style="1177" customWidth="1"/>
    <col min="9476" max="9476" width="13.28515625" style="1177" customWidth="1"/>
    <col min="9477" max="9481" width="20.5703125" style="1177" customWidth="1"/>
    <col min="9482" max="9482" width="12.42578125" style="1177" customWidth="1"/>
    <col min="9483" max="9483" width="14.5703125" style="1177" customWidth="1"/>
    <col min="9484" max="9484" width="10" style="1177" customWidth="1"/>
    <col min="9485" max="9485" width="5.42578125" style="1177" customWidth="1"/>
    <col min="9486" max="9486" width="43.5703125" style="1177" customWidth="1"/>
    <col min="9487" max="9487" width="2" style="1177" customWidth="1"/>
    <col min="9488" max="9488" width="11.42578125" style="1177"/>
    <col min="9489" max="9489" width="3.28515625" style="1177" customWidth="1"/>
    <col min="9490" max="9490" width="7.85546875" style="1177" customWidth="1"/>
    <col min="9491" max="9491" width="52.28515625" style="1177" customWidth="1"/>
    <col min="9492" max="9492" width="13.28515625" style="1177" customWidth="1"/>
    <col min="9493" max="9493" width="14.7109375" style="1177" customWidth="1"/>
    <col min="9494" max="9494" width="11" style="1177" customWidth="1"/>
    <col min="9495" max="9502" width="10.140625" style="1177" customWidth="1"/>
    <col min="9503" max="9503" width="12.42578125" style="1177" customWidth="1"/>
    <col min="9504" max="9728" width="11.42578125" style="1177"/>
    <col min="9729" max="9729" width="3.28515625" style="1177" customWidth="1"/>
    <col min="9730" max="9730" width="6.85546875" style="1177" customWidth="1"/>
    <col min="9731" max="9731" width="39" style="1177" customWidth="1"/>
    <col min="9732" max="9732" width="13.28515625" style="1177" customWidth="1"/>
    <col min="9733" max="9737" width="20.5703125" style="1177" customWidth="1"/>
    <col min="9738" max="9738" width="12.42578125" style="1177" customWidth="1"/>
    <col min="9739" max="9739" width="14.5703125" style="1177" customWidth="1"/>
    <col min="9740" max="9740" width="10" style="1177" customWidth="1"/>
    <col min="9741" max="9741" width="5.42578125" style="1177" customWidth="1"/>
    <col min="9742" max="9742" width="43.5703125" style="1177" customWidth="1"/>
    <col min="9743" max="9743" width="2" style="1177" customWidth="1"/>
    <col min="9744" max="9744" width="11.42578125" style="1177"/>
    <col min="9745" max="9745" width="3.28515625" style="1177" customWidth="1"/>
    <col min="9746" max="9746" width="7.85546875" style="1177" customWidth="1"/>
    <col min="9747" max="9747" width="52.28515625" style="1177" customWidth="1"/>
    <col min="9748" max="9748" width="13.28515625" style="1177" customWidth="1"/>
    <col min="9749" max="9749" width="14.7109375" style="1177" customWidth="1"/>
    <col min="9750" max="9750" width="11" style="1177" customWidth="1"/>
    <col min="9751" max="9758" width="10.140625" style="1177" customWidth="1"/>
    <col min="9759" max="9759" width="12.42578125" style="1177" customWidth="1"/>
    <col min="9760" max="9984" width="11.42578125" style="1177"/>
    <col min="9985" max="9985" width="3.28515625" style="1177" customWidth="1"/>
    <col min="9986" max="9986" width="6.85546875" style="1177" customWidth="1"/>
    <col min="9987" max="9987" width="39" style="1177" customWidth="1"/>
    <col min="9988" max="9988" width="13.28515625" style="1177" customWidth="1"/>
    <col min="9989" max="9993" width="20.5703125" style="1177" customWidth="1"/>
    <col min="9994" max="9994" width="12.42578125" style="1177" customWidth="1"/>
    <col min="9995" max="9995" width="14.5703125" style="1177" customWidth="1"/>
    <col min="9996" max="9996" width="10" style="1177" customWidth="1"/>
    <col min="9997" max="9997" width="5.42578125" style="1177" customWidth="1"/>
    <col min="9998" max="9998" width="43.5703125" style="1177" customWidth="1"/>
    <col min="9999" max="9999" width="2" style="1177" customWidth="1"/>
    <col min="10000" max="10000" width="11.42578125" style="1177"/>
    <col min="10001" max="10001" width="3.28515625" style="1177" customWidth="1"/>
    <col min="10002" max="10002" width="7.85546875" style="1177" customWidth="1"/>
    <col min="10003" max="10003" width="52.28515625" style="1177" customWidth="1"/>
    <col min="10004" max="10004" width="13.28515625" style="1177" customWidth="1"/>
    <col min="10005" max="10005" width="14.7109375" style="1177" customWidth="1"/>
    <col min="10006" max="10006" width="11" style="1177" customWidth="1"/>
    <col min="10007" max="10014" width="10.140625" style="1177" customWidth="1"/>
    <col min="10015" max="10015" width="12.42578125" style="1177" customWidth="1"/>
    <col min="10016" max="10240" width="11.42578125" style="1177"/>
    <col min="10241" max="10241" width="3.28515625" style="1177" customWidth="1"/>
    <col min="10242" max="10242" width="6.85546875" style="1177" customWidth="1"/>
    <col min="10243" max="10243" width="39" style="1177" customWidth="1"/>
    <col min="10244" max="10244" width="13.28515625" style="1177" customWidth="1"/>
    <col min="10245" max="10249" width="20.5703125" style="1177" customWidth="1"/>
    <col min="10250" max="10250" width="12.42578125" style="1177" customWidth="1"/>
    <col min="10251" max="10251" width="14.5703125" style="1177" customWidth="1"/>
    <col min="10252" max="10252" width="10" style="1177" customWidth="1"/>
    <col min="10253" max="10253" width="5.42578125" style="1177" customWidth="1"/>
    <col min="10254" max="10254" width="43.5703125" style="1177" customWidth="1"/>
    <col min="10255" max="10255" width="2" style="1177" customWidth="1"/>
    <col min="10256" max="10256" width="11.42578125" style="1177"/>
    <col min="10257" max="10257" width="3.28515625" style="1177" customWidth="1"/>
    <col min="10258" max="10258" width="7.85546875" style="1177" customWidth="1"/>
    <col min="10259" max="10259" width="52.28515625" style="1177" customWidth="1"/>
    <col min="10260" max="10260" width="13.28515625" style="1177" customWidth="1"/>
    <col min="10261" max="10261" width="14.7109375" style="1177" customWidth="1"/>
    <col min="10262" max="10262" width="11" style="1177" customWidth="1"/>
    <col min="10263" max="10270" width="10.140625" style="1177" customWidth="1"/>
    <col min="10271" max="10271" width="12.42578125" style="1177" customWidth="1"/>
    <col min="10272" max="10496" width="11.42578125" style="1177"/>
    <col min="10497" max="10497" width="3.28515625" style="1177" customWidth="1"/>
    <col min="10498" max="10498" width="6.85546875" style="1177" customWidth="1"/>
    <col min="10499" max="10499" width="39" style="1177" customWidth="1"/>
    <col min="10500" max="10500" width="13.28515625" style="1177" customWidth="1"/>
    <col min="10501" max="10505" width="20.5703125" style="1177" customWidth="1"/>
    <col min="10506" max="10506" width="12.42578125" style="1177" customWidth="1"/>
    <col min="10507" max="10507" width="14.5703125" style="1177" customWidth="1"/>
    <col min="10508" max="10508" width="10" style="1177" customWidth="1"/>
    <col min="10509" max="10509" width="5.42578125" style="1177" customWidth="1"/>
    <col min="10510" max="10510" width="43.5703125" style="1177" customWidth="1"/>
    <col min="10511" max="10511" width="2" style="1177" customWidth="1"/>
    <col min="10512" max="10512" width="11.42578125" style="1177"/>
    <col min="10513" max="10513" width="3.28515625" style="1177" customWidth="1"/>
    <col min="10514" max="10514" width="7.85546875" style="1177" customWidth="1"/>
    <col min="10515" max="10515" width="52.28515625" style="1177" customWidth="1"/>
    <col min="10516" max="10516" width="13.28515625" style="1177" customWidth="1"/>
    <col min="10517" max="10517" width="14.7109375" style="1177" customWidth="1"/>
    <col min="10518" max="10518" width="11" style="1177" customWidth="1"/>
    <col min="10519" max="10526" width="10.140625" style="1177" customWidth="1"/>
    <col min="10527" max="10527" width="12.42578125" style="1177" customWidth="1"/>
    <col min="10528" max="10752" width="11.42578125" style="1177"/>
    <col min="10753" max="10753" width="3.28515625" style="1177" customWidth="1"/>
    <col min="10754" max="10754" width="6.85546875" style="1177" customWidth="1"/>
    <col min="10755" max="10755" width="39" style="1177" customWidth="1"/>
    <col min="10756" max="10756" width="13.28515625" style="1177" customWidth="1"/>
    <col min="10757" max="10761" width="20.5703125" style="1177" customWidth="1"/>
    <col min="10762" max="10762" width="12.42578125" style="1177" customWidth="1"/>
    <col min="10763" max="10763" width="14.5703125" style="1177" customWidth="1"/>
    <col min="10764" max="10764" width="10" style="1177" customWidth="1"/>
    <col min="10765" max="10765" width="5.42578125" style="1177" customWidth="1"/>
    <col min="10766" max="10766" width="43.5703125" style="1177" customWidth="1"/>
    <col min="10767" max="10767" width="2" style="1177" customWidth="1"/>
    <col min="10768" max="10768" width="11.42578125" style="1177"/>
    <col min="10769" max="10769" width="3.28515625" style="1177" customWidth="1"/>
    <col min="10770" max="10770" width="7.85546875" style="1177" customWidth="1"/>
    <col min="10771" max="10771" width="52.28515625" style="1177" customWidth="1"/>
    <col min="10772" max="10772" width="13.28515625" style="1177" customWidth="1"/>
    <col min="10773" max="10773" width="14.7109375" style="1177" customWidth="1"/>
    <col min="10774" max="10774" width="11" style="1177" customWidth="1"/>
    <col min="10775" max="10782" width="10.140625" style="1177" customWidth="1"/>
    <col min="10783" max="10783" width="12.42578125" style="1177" customWidth="1"/>
    <col min="10784" max="11008" width="11.42578125" style="1177"/>
    <col min="11009" max="11009" width="3.28515625" style="1177" customWidth="1"/>
    <col min="11010" max="11010" width="6.85546875" style="1177" customWidth="1"/>
    <col min="11011" max="11011" width="39" style="1177" customWidth="1"/>
    <col min="11012" max="11012" width="13.28515625" style="1177" customWidth="1"/>
    <col min="11013" max="11017" width="20.5703125" style="1177" customWidth="1"/>
    <col min="11018" max="11018" width="12.42578125" style="1177" customWidth="1"/>
    <col min="11019" max="11019" width="14.5703125" style="1177" customWidth="1"/>
    <col min="11020" max="11020" width="10" style="1177" customWidth="1"/>
    <col min="11021" max="11021" width="5.42578125" style="1177" customWidth="1"/>
    <col min="11022" max="11022" width="43.5703125" style="1177" customWidth="1"/>
    <col min="11023" max="11023" width="2" style="1177" customWidth="1"/>
    <col min="11024" max="11024" width="11.42578125" style="1177"/>
    <col min="11025" max="11025" width="3.28515625" style="1177" customWidth="1"/>
    <col min="11026" max="11026" width="7.85546875" style="1177" customWidth="1"/>
    <col min="11027" max="11027" width="52.28515625" style="1177" customWidth="1"/>
    <col min="11028" max="11028" width="13.28515625" style="1177" customWidth="1"/>
    <col min="11029" max="11029" width="14.7109375" style="1177" customWidth="1"/>
    <col min="11030" max="11030" width="11" style="1177" customWidth="1"/>
    <col min="11031" max="11038" width="10.140625" style="1177" customWidth="1"/>
    <col min="11039" max="11039" width="12.42578125" style="1177" customWidth="1"/>
    <col min="11040" max="11264" width="11.42578125" style="1177"/>
    <col min="11265" max="11265" width="3.28515625" style="1177" customWidth="1"/>
    <col min="11266" max="11266" width="6.85546875" style="1177" customWidth="1"/>
    <col min="11267" max="11267" width="39" style="1177" customWidth="1"/>
    <col min="11268" max="11268" width="13.28515625" style="1177" customWidth="1"/>
    <col min="11269" max="11273" width="20.5703125" style="1177" customWidth="1"/>
    <col min="11274" max="11274" width="12.42578125" style="1177" customWidth="1"/>
    <col min="11275" max="11275" width="14.5703125" style="1177" customWidth="1"/>
    <col min="11276" max="11276" width="10" style="1177" customWidth="1"/>
    <col min="11277" max="11277" width="5.42578125" style="1177" customWidth="1"/>
    <col min="11278" max="11278" width="43.5703125" style="1177" customWidth="1"/>
    <col min="11279" max="11279" width="2" style="1177" customWidth="1"/>
    <col min="11280" max="11280" width="11.42578125" style="1177"/>
    <col min="11281" max="11281" width="3.28515625" style="1177" customWidth="1"/>
    <col min="11282" max="11282" width="7.85546875" style="1177" customWidth="1"/>
    <col min="11283" max="11283" width="52.28515625" style="1177" customWidth="1"/>
    <col min="11284" max="11284" width="13.28515625" style="1177" customWidth="1"/>
    <col min="11285" max="11285" width="14.7109375" style="1177" customWidth="1"/>
    <col min="11286" max="11286" width="11" style="1177" customWidth="1"/>
    <col min="11287" max="11294" width="10.140625" style="1177" customWidth="1"/>
    <col min="11295" max="11295" width="12.42578125" style="1177" customWidth="1"/>
    <col min="11296" max="11520" width="11.42578125" style="1177"/>
    <col min="11521" max="11521" width="3.28515625" style="1177" customWidth="1"/>
    <col min="11522" max="11522" width="6.85546875" style="1177" customWidth="1"/>
    <col min="11523" max="11523" width="39" style="1177" customWidth="1"/>
    <col min="11524" max="11524" width="13.28515625" style="1177" customWidth="1"/>
    <col min="11525" max="11529" width="20.5703125" style="1177" customWidth="1"/>
    <col min="11530" max="11530" width="12.42578125" style="1177" customWidth="1"/>
    <col min="11531" max="11531" width="14.5703125" style="1177" customWidth="1"/>
    <col min="11532" max="11532" width="10" style="1177" customWidth="1"/>
    <col min="11533" max="11533" width="5.42578125" style="1177" customWidth="1"/>
    <col min="11534" max="11534" width="43.5703125" style="1177" customWidth="1"/>
    <col min="11535" max="11535" width="2" style="1177" customWidth="1"/>
    <col min="11536" max="11536" width="11.42578125" style="1177"/>
    <col min="11537" max="11537" width="3.28515625" style="1177" customWidth="1"/>
    <col min="11538" max="11538" width="7.85546875" style="1177" customWidth="1"/>
    <col min="11539" max="11539" width="52.28515625" style="1177" customWidth="1"/>
    <col min="11540" max="11540" width="13.28515625" style="1177" customWidth="1"/>
    <col min="11541" max="11541" width="14.7109375" style="1177" customWidth="1"/>
    <col min="11542" max="11542" width="11" style="1177" customWidth="1"/>
    <col min="11543" max="11550" width="10.140625" style="1177" customWidth="1"/>
    <col min="11551" max="11551" width="12.42578125" style="1177" customWidth="1"/>
    <col min="11552" max="11776" width="11.42578125" style="1177"/>
    <col min="11777" max="11777" width="3.28515625" style="1177" customWidth="1"/>
    <col min="11778" max="11778" width="6.85546875" style="1177" customWidth="1"/>
    <col min="11779" max="11779" width="39" style="1177" customWidth="1"/>
    <col min="11780" max="11780" width="13.28515625" style="1177" customWidth="1"/>
    <col min="11781" max="11785" width="20.5703125" style="1177" customWidth="1"/>
    <col min="11786" max="11786" width="12.42578125" style="1177" customWidth="1"/>
    <col min="11787" max="11787" width="14.5703125" style="1177" customWidth="1"/>
    <col min="11788" max="11788" width="10" style="1177" customWidth="1"/>
    <col min="11789" max="11789" width="5.42578125" style="1177" customWidth="1"/>
    <col min="11790" max="11790" width="43.5703125" style="1177" customWidth="1"/>
    <col min="11791" max="11791" width="2" style="1177" customWidth="1"/>
    <col min="11792" max="11792" width="11.42578125" style="1177"/>
    <col min="11793" max="11793" width="3.28515625" style="1177" customWidth="1"/>
    <col min="11794" max="11794" width="7.85546875" style="1177" customWidth="1"/>
    <col min="11795" max="11795" width="52.28515625" style="1177" customWidth="1"/>
    <col min="11796" max="11796" width="13.28515625" style="1177" customWidth="1"/>
    <col min="11797" max="11797" width="14.7109375" style="1177" customWidth="1"/>
    <col min="11798" max="11798" width="11" style="1177" customWidth="1"/>
    <col min="11799" max="11806" width="10.140625" style="1177" customWidth="1"/>
    <col min="11807" max="11807" width="12.42578125" style="1177" customWidth="1"/>
    <col min="11808" max="12032" width="11.42578125" style="1177"/>
    <col min="12033" max="12033" width="3.28515625" style="1177" customWidth="1"/>
    <col min="12034" max="12034" width="6.85546875" style="1177" customWidth="1"/>
    <col min="12035" max="12035" width="39" style="1177" customWidth="1"/>
    <col min="12036" max="12036" width="13.28515625" style="1177" customWidth="1"/>
    <col min="12037" max="12041" width="20.5703125" style="1177" customWidth="1"/>
    <col min="12042" max="12042" width="12.42578125" style="1177" customWidth="1"/>
    <col min="12043" max="12043" width="14.5703125" style="1177" customWidth="1"/>
    <col min="12044" max="12044" width="10" style="1177" customWidth="1"/>
    <col min="12045" max="12045" width="5.42578125" style="1177" customWidth="1"/>
    <col min="12046" max="12046" width="43.5703125" style="1177" customWidth="1"/>
    <col min="12047" max="12047" width="2" style="1177" customWidth="1"/>
    <col min="12048" max="12048" width="11.42578125" style="1177"/>
    <col min="12049" max="12049" width="3.28515625" style="1177" customWidth="1"/>
    <col min="12050" max="12050" width="7.85546875" style="1177" customWidth="1"/>
    <col min="12051" max="12051" width="52.28515625" style="1177" customWidth="1"/>
    <col min="12052" max="12052" width="13.28515625" style="1177" customWidth="1"/>
    <col min="12053" max="12053" width="14.7109375" style="1177" customWidth="1"/>
    <col min="12054" max="12054" width="11" style="1177" customWidth="1"/>
    <col min="12055" max="12062" width="10.140625" style="1177" customWidth="1"/>
    <col min="12063" max="12063" width="12.42578125" style="1177" customWidth="1"/>
    <col min="12064" max="12288" width="11.42578125" style="1177"/>
    <col min="12289" max="12289" width="3.28515625" style="1177" customWidth="1"/>
    <col min="12290" max="12290" width="6.85546875" style="1177" customWidth="1"/>
    <col min="12291" max="12291" width="39" style="1177" customWidth="1"/>
    <col min="12292" max="12292" width="13.28515625" style="1177" customWidth="1"/>
    <col min="12293" max="12297" width="20.5703125" style="1177" customWidth="1"/>
    <col min="12298" max="12298" width="12.42578125" style="1177" customWidth="1"/>
    <col min="12299" max="12299" width="14.5703125" style="1177" customWidth="1"/>
    <col min="12300" max="12300" width="10" style="1177" customWidth="1"/>
    <col min="12301" max="12301" width="5.42578125" style="1177" customWidth="1"/>
    <col min="12302" max="12302" width="43.5703125" style="1177" customWidth="1"/>
    <col min="12303" max="12303" width="2" style="1177" customWidth="1"/>
    <col min="12304" max="12304" width="11.42578125" style="1177"/>
    <col min="12305" max="12305" width="3.28515625" style="1177" customWidth="1"/>
    <col min="12306" max="12306" width="7.85546875" style="1177" customWidth="1"/>
    <col min="12307" max="12307" width="52.28515625" style="1177" customWidth="1"/>
    <col min="12308" max="12308" width="13.28515625" style="1177" customWidth="1"/>
    <col min="12309" max="12309" width="14.7109375" style="1177" customWidth="1"/>
    <col min="12310" max="12310" width="11" style="1177" customWidth="1"/>
    <col min="12311" max="12318" width="10.140625" style="1177" customWidth="1"/>
    <col min="12319" max="12319" width="12.42578125" style="1177" customWidth="1"/>
    <col min="12320" max="12544" width="11.42578125" style="1177"/>
    <col min="12545" max="12545" width="3.28515625" style="1177" customWidth="1"/>
    <col min="12546" max="12546" width="6.85546875" style="1177" customWidth="1"/>
    <col min="12547" max="12547" width="39" style="1177" customWidth="1"/>
    <col min="12548" max="12548" width="13.28515625" style="1177" customWidth="1"/>
    <col min="12549" max="12553" width="20.5703125" style="1177" customWidth="1"/>
    <col min="12554" max="12554" width="12.42578125" style="1177" customWidth="1"/>
    <col min="12555" max="12555" width="14.5703125" style="1177" customWidth="1"/>
    <col min="12556" max="12556" width="10" style="1177" customWidth="1"/>
    <col min="12557" max="12557" width="5.42578125" style="1177" customWidth="1"/>
    <col min="12558" max="12558" width="43.5703125" style="1177" customWidth="1"/>
    <col min="12559" max="12559" width="2" style="1177" customWidth="1"/>
    <col min="12560" max="12560" width="11.42578125" style="1177"/>
    <col min="12561" max="12561" width="3.28515625" style="1177" customWidth="1"/>
    <col min="12562" max="12562" width="7.85546875" style="1177" customWidth="1"/>
    <col min="12563" max="12563" width="52.28515625" style="1177" customWidth="1"/>
    <col min="12564" max="12564" width="13.28515625" style="1177" customWidth="1"/>
    <col min="12565" max="12565" width="14.7109375" style="1177" customWidth="1"/>
    <col min="12566" max="12566" width="11" style="1177" customWidth="1"/>
    <col min="12567" max="12574" width="10.140625" style="1177" customWidth="1"/>
    <col min="12575" max="12575" width="12.42578125" style="1177" customWidth="1"/>
    <col min="12576" max="12800" width="11.42578125" style="1177"/>
    <col min="12801" max="12801" width="3.28515625" style="1177" customWidth="1"/>
    <col min="12802" max="12802" width="6.85546875" style="1177" customWidth="1"/>
    <col min="12803" max="12803" width="39" style="1177" customWidth="1"/>
    <col min="12804" max="12804" width="13.28515625" style="1177" customWidth="1"/>
    <col min="12805" max="12809" width="20.5703125" style="1177" customWidth="1"/>
    <col min="12810" max="12810" width="12.42578125" style="1177" customWidth="1"/>
    <col min="12811" max="12811" width="14.5703125" style="1177" customWidth="1"/>
    <col min="12812" max="12812" width="10" style="1177" customWidth="1"/>
    <col min="12813" max="12813" width="5.42578125" style="1177" customWidth="1"/>
    <col min="12814" max="12814" width="43.5703125" style="1177" customWidth="1"/>
    <col min="12815" max="12815" width="2" style="1177" customWidth="1"/>
    <col min="12816" max="12816" width="11.42578125" style="1177"/>
    <col min="12817" max="12817" width="3.28515625" style="1177" customWidth="1"/>
    <col min="12818" max="12818" width="7.85546875" style="1177" customWidth="1"/>
    <col min="12819" max="12819" width="52.28515625" style="1177" customWidth="1"/>
    <col min="12820" max="12820" width="13.28515625" style="1177" customWidth="1"/>
    <col min="12821" max="12821" width="14.7109375" style="1177" customWidth="1"/>
    <col min="12822" max="12822" width="11" style="1177" customWidth="1"/>
    <col min="12823" max="12830" width="10.140625" style="1177" customWidth="1"/>
    <col min="12831" max="12831" width="12.42578125" style="1177" customWidth="1"/>
    <col min="12832" max="13056" width="11.42578125" style="1177"/>
    <col min="13057" max="13057" width="3.28515625" style="1177" customWidth="1"/>
    <col min="13058" max="13058" width="6.85546875" style="1177" customWidth="1"/>
    <col min="13059" max="13059" width="39" style="1177" customWidth="1"/>
    <col min="13060" max="13060" width="13.28515625" style="1177" customWidth="1"/>
    <col min="13061" max="13065" width="20.5703125" style="1177" customWidth="1"/>
    <col min="13066" max="13066" width="12.42578125" style="1177" customWidth="1"/>
    <col min="13067" max="13067" width="14.5703125" style="1177" customWidth="1"/>
    <col min="13068" max="13068" width="10" style="1177" customWidth="1"/>
    <col min="13069" max="13069" width="5.42578125" style="1177" customWidth="1"/>
    <col min="13070" max="13070" width="43.5703125" style="1177" customWidth="1"/>
    <col min="13071" max="13071" width="2" style="1177" customWidth="1"/>
    <col min="13072" max="13072" width="11.42578125" style="1177"/>
    <col min="13073" max="13073" width="3.28515625" style="1177" customWidth="1"/>
    <col min="13074" max="13074" width="7.85546875" style="1177" customWidth="1"/>
    <col min="13075" max="13075" width="52.28515625" style="1177" customWidth="1"/>
    <col min="13076" max="13076" width="13.28515625" style="1177" customWidth="1"/>
    <col min="13077" max="13077" width="14.7109375" style="1177" customWidth="1"/>
    <col min="13078" max="13078" width="11" style="1177" customWidth="1"/>
    <col min="13079" max="13086" width="10.140625" style="1177" customWidth="1"/>
    <col min="13087" max="13087" width="12.42578125" style="1177" customWidth="1"/>
    <col min="13088" max="13312" width="11.42578125" style="1177"/>
    <col min="13313" max="13313" width="3.28515625" style="1177" customWidth="1"/>
    <col min="13314" max="13314" width="6.85546875" style="1177" customWidth="1"/>
    <col min="13315" max="13315" width="39" style="1177" customWidth="1"/>
    <col min="13316" max="13316" width="13.28515625" style="1177" customWidth="1"/>
    <col min="13317" max="13321" width="20.5703125" style="1177" customWidth="1"/>
    <col min="13322" max="13322" width="12.42578125" style="1177" customWidth="1"/>
    <col min="13323" max="13323" width="14.5703125" style="1177" customWidth="1"/>
    <col min="13324" max="13324" width="10" style="1177" customWidth="1"/>
    <col min="13325" max="13325" width="5.42578125" style="1177" customWidth="1"/>
    <col min="13326" max="13326" width="43.5703125" style="1177" customWidth="1"/>
    <col min="13327" max="13327" width="2" style="1177" customWidth="1"/>
    <col min="13328" max="13328" width="11.42578125" style="1177"/>
    <col min="13329" max="13329" width="3.28515625" style="1177" customWidth="1"/>
    <col min="13330" max="13330" width="7.85546875" style="1177" customWidth="1"/>
    <col min="13331" max="13331" width="52.28515625" style="1177" customWidth="1"/>
    <col min="13332" max="13332" width="13.28515625" style="1177" customWidth="1"/>
    <col min="13333" max="13333" width="14.7109375" style="1177" customWidth="1"/>
    <col min="13334" max="13334" width="11" style="1177" customWidth="1"/>
    <col min="13335" max="13342" width="10.140625" style="1177" customWidth="1"/>
    <col min="13343" max="13343" width="12.42578125" style="1177" customWidth="1"/>
    <col min="13344" max="13568" width="11.42578125" style="1177"/>
    <col min="13569" max="13569" width="3.28515625" style="1177" customWidth="1"/>
    <col min="13570" max="13570" width="6.85546875" style="1177" customWidth="1"/>
    <col min="13571" max="13571" width="39" style="1177" customWidth="1"/>
    <col min="13572" max="13572" width="13.28515625" style="1177" customWidth="1"/>
    <col min="13573" max="13577" width="20.5703125" style="1177" customWidth="1"/>
    <col min="13578" max="13578" width="12.42578125" style="1177" customWidth="1"/>
    <col min="13579" max="13579" width="14.5703125" style="1177" customWidth="1"/>
    <col min="13580" max="13580" width="10" style="1177" customWidth="1"/>
    <col min="13581" max="13581" width="5.42578125" style="1177" customWidth="1"/>
    <col min="13582" max="13582" width="43.5703125" style="1177" customWidth="1"/>
    <col min="13583" max="13583" width="2" style="1177" customWidth="1"/>
    <col min="13584" max="13584" width="11.42578125" style="1177"/>
    <col min="13585" max="13585" width="3.28515625" style="1177" customWidth="1"/>
    <col min="13586" max="13586" width="7.85546875" style="1177" customWidth="1"/>
    <col min="13587" max="13587" width="52.28515625" style="1177" customWidth="1"/>
    <col min="13588" max="13588" width="13.28515625" style="1177" customWidth="1"/>
    <col min="13589" max="13589" width="14.7109375" style="1177" customWidth="1"/>
    <col min="13590" max="13590" width="11" style="1177" customWidth="1"/>
    <col min="13591" max="13598" width="10.140625" style="1177" customWidth="1"/>
    <col min="13599" max="13599" width="12.42578125" style="1177" customWidth="1"/>
    <col min="13600" max="13824" width="11.42578125" style="1177"/>
    <col min="13825" max="13825" width="3.28515625" style="1177" customWidth="1"/>
    <col min="13826" max="13826" width="6.85546875" style="1177" customWidth="1"/>
    <col min="13827" max="13827" width="39" style="1177" customWidth="1"/>
    <col min="13828" max="13828" width="13.28515625" style="1177" customWidth="1"/>
    <col min="13829" max="13833" width="20.5703125" style="1177" customWidth="1"/>
    <col min="13834" max="13834" width="12.42578125" style="1177" customWidth="1"/>
    <col min="13835" max="13835" width="14.5703125" style="1177" customWidth="1"/>
    <col min="13836" max="13836" width="10" style="1177" customWidth="1"/>
    <col min="13837" max="13837" width="5.42578125" style="1177" customWidth="1"/>
    <col min="13838" max="13838" width="43.5703125" style="1177" customWidth="1"/>
    <col min="13839" max="13839" width="2" style="1177" customWidth="1"/>
    <col min="13840" max="13840" width="11.42578125" style="1177"/>
    <col min="13841" max="13841" width="3.28515625" style="1177" customWidth="1"/>
    <col min="13842" max="13842" width="7.85546875" style="1177" customWidth="1"/>
    <col min="13843" max="13843" width="52.28515625" style="1177" customWidth="1"/>
    <col min="13844" max="13844" width="13.28515625" style="1177" customWidth="1"/>
    <col min="13845" max="13845" width="14.7109375" style="1177" customWidth="1"/>
    <col min="13846" max="13846" width="11" style="1177" customWidth="1"/>
    <col min="13847" max="13854" width="10.140625" style="1177" customWidth="1"/>
    <col min="13855" max="13855" width="12.42578125" style="1177" customWidth="1"/>
    <col min="13856" max="14080" width="11.42578125" style="1177"/>
    <col min="14081" max="14081" width="3.28515625" style="1177" customWidth="1"/>
    <col min="14082" max="14082" width="6.85546875" style="1177" customWidth="1"/>
    <col min="14083" max="14083" width="39" style="1177" customWidth="1"/>
    <col min="14084" max="14084" width="13.28515625" style="1177" customWidth="1"/>
    <col min="14085" max="14089" width="20.5703125" style="1177" customWidth="1"/>
    <col min="14090" max="14090" width="12.42578125" style="1177" customWidth="1"/>
    <col min="14091" max="14091" width="14.5703125" style="1177" customWidth="1"/>
    <col min="14092" max="14092" width="10" style="1177" customWidth="1"/>
    <col min="14093" max="14093" width="5.42578125" style="1177" customWidth="1"/>
    <col min="14094" max="14094" width="43.5703125" style="1177" customWidth="1"/>
    <col min="14095" max="14095" width="2" style="1177" customWidth="1"/>
    <col min="14096" max="14096" width="11.42578125" style="1177"/>
    <col min="14097" max="14097" width="3.28515625" style="1177" customWidth="1"/>
    <col min="14098" max="14098" width="7.85546875" style="1177" customWidth="1"/>
    <col min="14099" max="14099" width="52.28515625" style="1177" customWidth="1"/>
    <col min="14100" max="14100" width="13.28515625" style="1177" customWidth="1"/>
    <col min="14101" max="14101" width="14.7109375" style="1177" customWidth="1"/>
    <col min="14102" max="14102" width="11" style="1177" customWidth="1"/>
    <col min="14103" max="14110" width="10.140625" style="1177" customWidth="1"/>
    <col min="14111" max="14111" width="12.42578125" style="1177" customWidth="1"/>
    <col min="14112" max="14336" width="11.42578125" style="1177"/>
    <col min="14337" max="14337" width="3.28515625" style="1177" customWidth="1"/>
    <col min="14338" max="14338" width="6.85546875" style="1177" customWidth="1"/>
    <col min="14339" max="14339" width="39" style="1177" customWidth="1"/>
    <col min="14340" max="14340" width="13.28515625" style="1177" customWidth="1"/>
    <col min="14341" max="14345" width="20.5703125" style="1177" customWidth="1"/>
    <col min="14346" max="14346" width="12.42578125" style="1177" customWidth="1"/>
    <col min="14347" max="14347" width="14.5703125" style="1177" customWidth="1"/>
    <col min="14348" max="14348" width="10" style="1177" customWidth="1"/>
    <col min="14349" max="14349" width="5.42578125" style="1177" customWidth="1"/>
    <col min="14350" max="14350" width="43.5703125" style="1177" customWidth="1"/>
    <col min="14351" max="14351" width="2" style="1177" customWidth="1"/>
    <col min="14352" max="14352" width="11.42578125" style="1177"/>
    <col min="14353" max="14353" width="3.28515625" style="1177" customWidth="1"/>
    <col min="14354" max="14354" width="7.85546875" style="1177" customWidth="1"/>
    <col min="14355" max="14355" width="52.28515625" style="1177" customWidth="1"/>
    <col min="14356" max="14356" width="13.28515625" style="1177" customWidth="1"/>
    <col min="14357" max="14357" width="14.7109375" style="1177" customWidth="1"/>
    <col min="14358" max="14358" width="11" style="1177" customWidth="1"/>
    <col min="14359" max="14366" width="10.140625" style="1177" customWidth="1"/>
    <col min="14367" max="14367" width="12.42578125" style="1177" customWidth="1"/>
    <col min="14368" max="14592" width="11.42578125" style="1177"/>
    <col min="14593" max="14593" width="3.28515625" style="1177" customWidth="1"/>
    <col min="14594" max="14594" width="6.85546875" style="1177" customWidth="1"/>
    <col min="14595" max="14595" width="39" style="1177" customWidth="1"/>
    <col min="14596" max="14596" width="13.28515625" style="1177" customWidth="1"/>
    <col min="14597" max="14601" width="20.5703125" style="1177" customWidth="1"/>
    <col min="14602" max="14602" width="12.42578125" style="1177" customWidth="1"/>
    <col min="14603" max="14603" width="14.5703125" style="1177" customWidth="1"/>
    <col min="14604" max="14604" width="10" style="1177" customWidth="1"/>
    <col min="14605" max="14605" width="5.42578125" style="1177" customWidth="1"/>
    <col min="14606" max="14606" width="43.5703125" style="1177" customWidth="1"/>
    <col min="14607" max="14607" width="2" style="1177" customWidth="1"/>
    <col min="14608" max="14608" width="11.42578125" style="1177"/>
    <col min="14609" max="14609" width="3.28515625" style="1177" customWidth="1"/>
    <col min="14610" max="14610" width="7.85546875" style="1177" customWidth="1"/>
    <col min="14611" max="14611" width="52.28515625" style="1177" customWidth="1"/>
    <col min="14612" max="14612" width="13.28515625" style="1177" customWidth="1"/>
    <col min="14613" max="14613" width="14.7109375" style="1177" customWidth="1"/>
    <col min="14614" max="14614" width="11" style="1177" customWidth="1"/>
    <col min="14615" max="14622" width="10.140625" style="1177" customWidth="1"/>
    <col min="14623" max="14623" width="12.42578125" style="1177" customWidth="1"/>
    <col min="14624" max="14848" width="11.42578125" style="1177"/>
    <col min="14849" max="14849" width="3.28515625" style="1177" customWidth="1"/>
    <col min="14850" max="14850" width="6.85546875" style="1177" customWidth="1"/>
    <col min="14851" max="14851" width="39" style="1177" customWidth="1"/>
    <col min="14852" max="14852" width="13.28515625" style="1177" customWidth="1"/>
    <col min="14853" max="14857" width="20.5703125" style="1177" customWidth="1"/>
    <col min="14858" max="14858" width="12.42578125" style="1177" customWidth="1"/>
    <col min="14859" max="14859" width="14.5703125" style="1177" customWidth="1"/>
    <col min="14860" max="14860" width="10" style="1177" customWidth="1"/>
    <col min="14861" max="14861" width="5.42578125" style="1177" customWidth="1"/>
    <col min="14862" max="14862" width="43.5703125" style="1177" customWidth="1"/>
    <col min="14863" max="14863" width="2" style="1177" customWidth="1"/>
    <col min="14864" max="14864" width="11.42578125" style="1177"/>
    <col min="14865" max="14865" width="3.28515625" style="1177" customWidth="1"/>
    <col min="14866" max="14866" width="7.85546875" style="1177" customWidth="1"/>
    <col min="14867" max="14867" width="52.28515625" style="1177" customWidth="1"/>
    <col min="14868" max="14868" width="13.28515625" style="1177" customWidth="1"/>
    <col min="14869" max="14869" width="14.7109375" style="1177" customWidth="1"/>
    <col min="14870" max="14870" width="11" style="1177" customWidth="1"/>
    <col min="14871" max="14878" width="10.140625" style="1177" customWidth="1"/>
    <col min="14879" max="14879" width="12.42578125" style="1177" customWidth="1"/>
    <col min="14880" max="15104" width="11.42578125" style="1177"/>
    <col min="15105" max="15105" width="3.28515625" style="1177" customWidth="1"/>
    <col min="15106" max="15106" width="6.85546875" style="1177" customWidth="1"/>
    <col min="15107" max="15107" width="39" style="1177" customWidth="1"/>
    <col min="15108" max="15108" width="13.28515625" style="1177" customWidth="1"/>
    <col min="15109" max="15113" width="20.5703125" style="1177" customWidth="1"/>
    <col min="15114" max="15114" width="12.42578125" style="1177" customWidth="1"/>
    <col min="15115" max="15115" width="14.5703125" style="1177" customWidth="1"/>
    <col min="15116" max="15116" width="10" style="1177" customWidth="1"/>
    <col min="15117" max="15117" width="5.42578125" style="1177" customWidth="1"/>
    <col min="15118" max="15118" width="43.5703125" style="1177" customWidth="1"/>
    <col min="15119" max="15119" width="2" style="1177" customWidth="1"/>
    <col min="15120" max="15120" width="11.42578125" style="1177"/>
    <col min="15121" max="15121" width="3.28515625" style="1177" customWidth="1"/>
    <col min="15122" max="15122" width="7.85546875" style="1177" customWidth="1"/>
    <col min="15123" max="15123" width="52.28515625" style="1177" customWidth="1"/>
    <col min="15124" max="15124" width="13.28515625" style="1177" customWidth="1"/>
    <col min="15125" max="15125" width="14.7109375" style="1177" customWidth="1"/>
    <col min="15126" max="15126" width="11" style="1177" customWidth="1"/>
    <col min="15127" max="15134" width="10.140625" style="1177" customWidth="1"/>
    <col min="15135" max="15135" width="12.42578125" style="1177" customWidth="1"/>
    <col min="15136" max="15360" width="11.42578125" style="1177"/>
    <col min="15361" max="15361" width="3.28515625" style="1177" customWidth="1"/>
    <col min="15362" max="15362" width="6.85546875" style="1177" customWidth="1"/>
    <col min="15363" max="15363" width="39" style="1177" customWidth="1"/>
    <col min="15364" max="15364" width="13.28515625" style="1177" customWidth="1"/>
    <col min="15365" max="15369" width="20.5703125" style="1177" customWidth="1"/>
    <col min="15370" max="15370" width="12.42578125" style="1177" customWidth="1"/>
    <col min="15371" max="15371" width="14.5703125" style="1177" customWidth="1"/>
    <col min="15372" max="15372" width="10" style="1177" customWidth="1"/>
    <col min="15373" max="15373" width="5.42578125" style="1177" customWidth="1"/>
    <col min="15374" max="15374" width="43.5703125" style="1177" customWidth="1"/>
    <col min="15375" max="15375" width="2" style="1177" customWidth="1"/>
    <col min="15376" max="15376" width="11.42578125" style="1177"/>
    <col min="15377" max="15377" width="3.28515625" style="1177" customWidth="1"/>
    <col min="15378" max="15378" width="7.85546875" style="1177" customWidth="1"/>
    <col min="15379" max="15379" width="52.28515625" style="1177" customWidth="1"/>
    <col min="15380" max="15380" width="13.28515625" style="1177" customWidth="1"/>
    <col min="15381" max="15381" width="14.7109375" style="1177" customWidth="1"/>
    <col min="15382" max="15382" width="11" style="1177" customWidth="1"/>
    <col min="15383" max="15390" width="10.140625" style="1177" customWidth="1"/>
    <col min="15391" max="15391" width="12.42578125" style="1177" customWidth="1"/>
    <col min="15392" max="15616" width="11.42578125" style="1177"/>
    <col min="15617" max="15617" width="3.28515625" style="1177" customWidth="1"/>
    <col min="15618" max="15618" width="6.85546875" style="1177" customWidth="1"/>
    <col min="15619" max="15619" width="39" style="1177" customWidth="1"/>
    <col min="15620" max="15620" width="13.28515625" style="1177" customWidth="1"/>
    <col min="15621" max="15625" width="20.5703125" style="1177" customWidth="1"/>
    <col min="15626" max="15626" width="12.42578125" style="1177" customWidth="1"/>
    <col min="15627" max="15627" width="14.5703125" style="1177" customWidth="1"/>
    <col min="15628" max="15628" width="10" style="1177" customWidth="1"/>
    <col min="15629" max="15629" width="5.42578125" style="1177" customWidth="1"/>
    <col min="15630" max="15630" width="43.5703125" style="1177" customWidth="1"/>
    <col min="15631" max="15631" width="2" style="1177" customWidth="1"/>
    <col min="15632" max="15632" width="11.42578125" style="1177"/>
    <col min="15633" max="15633" width="3.28515625" style="1177" customWidth="1"/>
    <col min="15634" max="15634" width="7.85546875" style="1177" customWidth="1"/>
    <col min="15635" max="15635" width="52.28515625" style="1177" customWidth="1"/>
    <col min="15636" max="15636" width="13.28515625" style="1177" customWidth="1"/>
    <col min="15637" max="15637" width="14.7109375" style="1177" customWidth="1"/>
    <col min="15638" max="15638" width="11" style="1177" customWidth="1"/>
    <col min="15639" max="15646" width="10.140625" style="1177" customWidth="1"/>
    <col min="15647" max="15647" width="12.42578125" style="1177" customWidth="1"/>
    <col min="15648" max="15872" width="11.42578125" style="1177"/>
    <col min="15873" max="15873" width="3.28515625" style="1177" customWidth="1"/>
    <col min="15874" max="15874" width="6.85546875" style="1177" customWidth="1"/>
    <col min="15875" max="15875" width="39" style="1177" customWidth="1"/>
    <col min="15876" max="15876" width="13.28515625" style="1177" customWidth="1"/>
    <col min="15877" max="15881" width="20.5703125" style="1177" customWidth="1"/>
    <col min="15882" max="15882" width="12.42578125" style="1177" customWidth="1"/>
    <col min="15883" max="15883" width="14.5703125" style="1177" customWidth="1"/>
    <col min="15884" max="15884" width="10" style="1177" customWidth="1"/>
    <col min="15885" max="15885" width="5.42578125" style="1177" customWidth="1"/>
    <col min="15886" max="15886" width="43.5703125" style="1177" customWidth="1"/>
    <col min="15887" max="15887" width="2" style="1177" customWidth="1"/>
    <col min="15888" max="15888" width="11.42578125" style="1177"/>
    <col min="15889" max="15889" width="3.28515625" style="1177" customWidth="1"/>
    <col min="15890" max="15890" width="7.85546875" style="1177" customWidth="1"/>
    <col min="15891" max="15891" width="52.28515625" style="1177" customWidth="1"/>
    <col min="15892" max="15892" width="13.28515625" style="1177" customWidth="1"/>
    <col min="15893" max="15893" width="14.7109375" style="1177" customWidth="1"/>
    <col min="15894" max="15894" width="11" style="1177" customWidth="1"/>
    <col min="15895" max="15902" width="10.140625" style="1177" customWidth="1"/>
    <col min="15903" max="15903" width="12.42578125" style="1177" customWidth="1"/>
    <col min="15904" max="16128" width="11.42578125" style="1177"/>
    <col min="16129" max="16129" width="3.28515625" style="1177" customWidth="1"/>
    <col min="16130" max="16130" width="6.85546875" style="1177" customWidth="1"/>
    <col min="16131" max="16131" width="39" style="1177" customWidth="1"/>
    <col min="16132" max="16132" width="13.28515625" style="1177" customWidth="1"/>
    <col min="16133" max="16137" width="20.5703125" style="1177" customWidth="1"/>
    <col min="16138" max="16138" width="12.42578125" style="1177" customWidth="1"/>
    <col min="16139" max="16139" width="14.5703125" style="1177" customWidth="1"/>
    <col min="16140" max="16140" width="10" style="1177" customWidth="1"/>
    <col min="16141" max="16141" width="5.42578125" style="1177" customWidth="1"/>
    <col min="16142" max="16142" width="43.5703125" style="1177" customWidth="1"/>
    <col min="16143" max="16143" width="2" style="1177" customWidth="1"/>
    <col min="16144" max="16144" width="11.42578125" style="1177"/>
    <col min="16145" max="16145" width="3.28515625" style="1177" customWidth="1"/>
    <col min="16146" max="16146" width="7.85546875" style="1177" customWidth="1"/>
    <col min="16147" max="16147" width="52.28515625" style="1177" customWidth="1"/>
    <col min="16148" max="16148" width="13.28515625" style="1177" customWidth="1"/>
    <col min="16149" max="16149" width="14.7109375" style="1177" customWidth="1"/>
    <col min="16150" max="16150" width="11" style="1177" customWidth="1"/>
    <col min="16151" max="16158" width="10.140625" style="1177" customWidth="1"/>
    <col min="16159" max="16159" width="12.42578125" style="1177" customWidth="1"/>
    <col min="16160" max="16384" width="11.42578125" style="1177"/>
  </cols>
  <sheetData>
    <row r="1" spans="1:37" ht="13.5" thickBot="1">
      <c r="A1" s="1176"/>
      <c r="B1" s="1176">
        <f t="shared" ref="B1:AI1" ca="1" si="0">CELL("largeur",B1)</f>
        <v>6</v>
      </c>
      <c r="C1" s="1176">
        <f t="shared" ca="1" si="0"/>
        <v>38</v>
      </c>
      <c r="D1" s="1176">
        <f t="shared" ca="1" si="0"/>
        <v>13</v>
      </c>
      <c r="E1" s="1176">
        <f t="shared" ca="1" si="0"/>
        <v>20</v>
      </c>
      <c r="F1" s="1176">
        <f t="shared" ca="1" si="0"/>
        <v>20</v>
      </c>
      <c r="G1" s="1176">
        <f t="shared" ca="1" si="0"/>
        <v>20</v>
      </c>
      <c r="H1" s="1176">
        <f t="shared" ca="1" si="0"/>
        <v>20</v>
      </c>
      <c r="I1" s="1176">
        <f t="shared" ca="1" si="0"/>
        <v>20</v>
      </c>
      <c r="J1" s="1176">
        <f t="shared" ca="1" si="0"/>
        <v>12</v>
      </c>
      <c r="K1" s="1176">
        <f t="shared" ca="1" si="0"/>
        <v>14</v>
      </c>
      <c r="L1" s="1176">
        <f t="shared" ca="1" si="0"/>
        <v>9</v>
      </c>
      <c r="M1" s="1176">
        <f t="shared" ca="1" si="0"/>
        <v>5</v>
      </c>
      <c r="N1" s="1176">
        <f t="shared" ca="1" si="0"/>
        <v>43</v>
      </c>
      <c r="O1" s="1177">
        <f t="shared" ca="1" si="0"/>
        <v>1</v>
      </c>
      <c r="P1" s="1281">
        <f t="shared" ca="1" si="0"/>
        <v>11</v>
      </c>
      <c r="Q1" s="1176">
        <f t="shared" ca="1" si="0"/>
        <v>3</v>
      </c>
      <c r="R1" s="1176">
        <f t="shared" ca="1" si="0"/>
        <v>7</v>
      </c>
      <c r="S1" s="1176">
        <f t="shared" ca="1" si="0"/>
        <v>52</v>
      </c>
      <c r="T1" s="1176">
        <f t="shared" ca="1" si="0"/>
        <v>13</v>
      </c>
      <c r="U1" s="1176">
        <f t="shared" ca="1" si="0"/>
        <v>14</v>
      </c>
      <c r="V1" s="1176">
        <f t="shared" ca="1" si="0"/>
        <v>10</v>
      </c>
      <c r="W1" s="1176">
        <f t="shared" ca="1" si="0"/>
        <v>9</v>
      </c>
      <c r="X1" s="1176">
        <f t="shared" ca="1" si="0"/>
        <v>9</v>
      </c>
      <c r="Y1" s="1176">
        <f t="shared" ca="1" si="0"/>
        <v>9</v>
      </c>
      <c r="Z1" s="1176">
        <f t="shared" ca="1" si="0"/>
        <v>9</v>
      </c>
      <c r="AA1" s="1176">
        <f t="shared" ca="1" si="0"/>
        <v>9</v>
      </c>
      <c r="AB1" s="1176">
        <f t="shared" ca="1" si="0"/>
        <v>9</v>
      </c>
      <c r="AC1" s="1176">
        <f t="shared" ca="1" si="0"/>
        <v>9</v>
      </c>
      <c r="AD1" s="1176">
        <f t="shared" ca="1" si="0"/>
        <v>9</v>
      </c>
      <c r="AE1" s="1176">
        <f t="shared" ca="1" si="0"/>
        <v>12</v>
      </c>
      <c r="AF1" s="1177">
        <f t="shared" ca="1" si="0"/>
        <v>11</v>
      </c>
      <c r="AG1" s="1177">
        <f t="shared" ca="1" si="0"/>
        <v>11</v>
      </c>
      <c r="AH1" s="1177">
        <f t="shared" ca="1" si="0"/>
        <v>11</v>
      </c>
      <c r="AI1" s="1177">
        <f t="shared" ca="1" si="0"/>
        <v>11</v>
      </c>
    </row>
    <row r="2" spans="1:37" ht="29.25" customHeight="1">
      <c r="A2" s="1181"/>
      <c r="B2" s="1182"/>
      <c r="C2" s="1183" t="str">
        <f>S2</f>
        <v>FF.8.B.Restauration, mis à jour le 13/08/2020 </v>
      </c>
      <c r="D2" s="1184"/>
      <c r="E2" s="1184"/>
      <c r="F2" s="1184"/>
      <c r="G2" s="1509"/>
      <c r="H2" s="1510" t="s">
        <v>107</v>
      </c>
      <c r="I2" s="1511"/>
      <c r="J2" s="3515" t="s">
        <v>103</v>
      </c>
      <c r="K2" s="3515"/>
      <c r="L2" s="3515"/>
      <c r="M2" s="3515"/>
      <c r="N2" s="1419" t="s">
        <v>104</v>
      </c>
      <c r="Q2" s="1181"/>
      <c r="R2" s="1182"/>
      <c r="S2" s="1420" t="s">
        <v>2871</v>
      </c>
      <c r="T2" s="1184"/>
      <c r="U2" s="1184"/>
      <c r="V2" s="3473" t="s">
        <v>148</v>
      </c>
      <c r="W2" s="3473"/>
      <c r="X2" s="3473"/>
      <c r="Y2" s="3473"/>
      <c r="Z2" s="3473"/>
      <c r="AA2" s="3473"/>
      <c r="AB2" s="3473"/>
      <c r="AC2" s="3473"/>
      <c r="AD2" s="3440" t="s">
        <v>104</v>
      </c>
      <c r="AE2" s="3474"/>
    </row>
    <row r="3" spans="1:37" ht="42.75" customHeight="1">
      <c r="A3" s="1186"/>
      <c r="B3" s="1187"/>
      <c r="C3" s="1421" t="str">
        <f>S3</f>
        <v>Modèle 8.B - NOM DU PLAT</v>
      </c>
      <c r="D3" s="1421"/>
      <c r="E3" s="1421"/>
      <c r="F3" s="1421"/>
      <c r="G3" s="1421"/>
      <c r="H3" s="1421"/>
      <c r="I3" s="1422"/>
      <c r="J3" s="3516">
        <f ca="1">NOW()</f>
        <v>44545.461550462962</v>
      </c>
      <c r="K3" s="3516"/>
      <c r="L3" s="3516"/>
      <c r="M3" s="3516"/>
      <c r="N3" s="3517" t="str">
        <f>AD3</f>
        <v>?</v>
      </c>
      <c r="Q3" s="1186"/>
      <c r="R3" s="1188" t="s">
        <v>22</v>
      </c>
      <c r="S3" s="3478" t="s">
        <v>2872</v>
      </c>
      <c r="T3" s="3478"/>
      <c r="U3" s="3478"/>
      <c r="V3" s="3478"/>
      <c r="W3" s="3478"/>
      <c r="X3" s="3478"/>
      <c r="Y3" s="3478"/>
      <c r="Z3" s="3478"/>
      <c r="AA3" s="3478"/>
      <c r="AB3" s="3478"/>
      <c r="AC3" s="3478"/>
      <c r="AD3" s="3479" t="s">
        <v>32</v>
      </c>
      <c r="AE3" s="3480"/>
      <c r="AG3" s="1423" t="s">
        <v>149</v>
      </c>
    </row>
    <row r="4" spans="1:37" ht="33.75" customHeight="1">
      <c r="A4" s="1189"/>
      <c r="B4" s="1424"/>
      <c r="C4" s="1425" t="str">
        <f ca="1">MID(CELL("filename",C4),FIND("[",CELL("filename",C4)),300)</f>
        <v>[ff-8-restauration-Christian.Frechede.xlsx]Modèle 8.B .Frechede</v>
      </c>
      <c r="D4" s="1426"/>
      <c r="E4" s="3481" t="s">
        <v>106</v>
      </c>
      <c r="F4" s="3481"/>
      <c r="G4" s="3481"/>
      <c r="H4" s="3481"/>
      <c r="I4" s="3481"/>
      <c r="J4" s="3508">
        <f ca="1">NOW()</f>
        <v>44545.461550462962</v>
      </c>
      <c r="K4" s="3508"/>
      <c r="L4" s="3508"/>
      <c r="M4" s="3508"/>
      <c r="N4" s="3518"/>
      <c r="Q4" s="1189"/>
      <c r="R4" s="1190"/>
      <c r="S4" s="1191" t="str">
        <f ca="1">MID(CELL("filename",S4),FIND("[",CELL("filename",S4)),300)</f>
        <v>[ff-8-restauration-Christian.Frechede.xlsx]Modèle 8.B .Frechede</v>
      </c>
      <c r="T4" s="1192"/>
      <c r="U4" s="1196"/>
      <c r="V4" s="3451" t="s">
        <v>108</v>
      </c>
      <c r="W4" s="3451"/>
      <c r="X4" s="3451"/>
      <c r="Y4" s="3451"/>
      <c r="Z4" s="3451"/>
      <c r="AA4" s="3451"/>
      <c r="AB4" s="3451"/>
      <c r="AC4" s="3451"/>
      <c r="AD4" s="3479"/>
      <c r="AE4" s="3480"/>
      <c r="AG4" s="1427" t="s">
        <v>150</v>
      </c>
    </row>
    <row r="5" spans="1:37" ht="40.5" customHeight="1">
      <c r="A5" s="1203"/>
      <c r="B5" s="1204"/>
      <c r="C5" s="1205" t="s">
        <v>109</v>
      </c>
      <c r="D5" s="1206" t="s">
        <v>78</v>
      </c>
      <c r="E5" s="1428" t="str">
        <f>V5</f>
        <v>A</v>
      </c>
      <c r="F5" s="1428" t="str">
        <f>X5</f>
        <v>B</v>
      </c>
      <c r="G5" s="1428" t="str">
        <f>Z5</f>
        <v>C</v>
      </c>
      <c r="H5" s="1428" t="str">
        <f>AB5</f>
        <v>D</v>
      </c>
      <c r="I5" s="1428" t="str">
        <f>AD5</f>
        <v>E</v>
      </c>
      <c r="J5" s="3485" t="s">
        <v>110</v>
      </c>
      <c r="K5" s="3486"/>
      <c r="L5" s="3486"/>
      <c r="M5" s="3509" t="s">
        <v>151</v>
      </c>
      <c r="N5" s="3510"/>
      <c r="Q5" s="1203"/>
      <c r="R5" s="1207"/>
      <c r="S5" s="1208" t="s">
        <v>77</v>
      </c>
      <c r="T5" s="1209" t="s">
        <v>78</v>
      </c>
      <c r="U5" s="1210" t="s">
        <v>79</v>
      </c>
      <c r="V5" s="3506" t="s">
        <v>99</v>
      </c>
      <c r="W5" s="3513"/>
      <c r="X5" s="3514" t="s">
        <v>100</v>
      </c>
      <c r="Y5" s="3513"/>
      <c r="Z5" s="3506" t="s">
        <v>101</v>
      </c>
      <c r="AA5" s="3513"/>
      <c r="AB5" s="3506" t="s">
        <v>111</v>
      </c>
      <c r="AC5" s="3513"/>
      <c r="AD5" s="3506" t="s">
        <v>112</v>
      </c>
      <c r="AE5" s="3507"/>
      <c r="AG5" s="1427" t="s">
        <v>152</v>
      </c>
    </row>
    <row r="6" spans="1:37" ht="33.75" customHeight="1">
      <c r="A6" s="1212"/>
      <c r="B6" s="1213"/>
      <c r="C6" s="1214"/>
      <c r="D6" s="1214" t="s">
        <v>113</v>
      </c>
      <c r="E6" s="1216">
        <f>V6</f>
        <v>20</v>
      </c>
      <c r="F6" s="1216">
        <f>X6</f>
        <v>20</v>
      </c>
      <c r="G6" s="1216">
        <f>Z6</f>
        <v>20</v>
      </c>
      <c r="H6" s="1216">
        <f>AB6</f>
        <v>20</v>
      </c>
      <c r="I6" s="1216">
        <f>AD6</f>
        <v>20</v>
      </c>
      <c r="J6" s="1218"/>
      <c r="K6" s="1219" t="s">
        <v>153</v>
      </c>
      <c r="L6" s="1429">
        <v>20</v>
      </c>
      <c r="M6" s="3511"/>
      <c r="N6" s="3512"/>
      <c r="Q6" s="1212"/>
      <c r="R6" s="1221"/>
      <c r="S6" s="1222"/>
      <c r="T6" s="1223" t="s">
        <v>67</v>
      </c>
      <c r="U6" s="1224" t="s">
        <v>22</v>
      </c>
      <c r="V6" s="3462">
        <v>20</v>
      </c>
      <c r="W6" s="3463"/>
      <c r="X6" s="3462">
        <v>20</v>
      </c>
      <c r="Y6" s="3463"/>
      <c r="Z6" s="3462">
        <v>20</v>
      </c>
      <c r="AA6" s="3463"/>
      <c r="AB6" s="3462">
        <v>20</v>
      </c>
      <c r="AC6" s="3463"/>
      <c r="AD6" s="3462">
        <v>20</v>
      </c>
      <c r="AE6" s="3464"/>
      <c r="AG6" s="1427" t="s">
        <v>154</v>
      </c>
    </row>
    <row r="7" spans="1:37" ht="30" customHeight="1">
      <c r="A7" s="1225"/>
      <c r="B7" s="1226"/>
      <c r="C7" s="1227"/>
      <c r="D7" s="1228"/>
      <c r="E7" s="1229" t="s">
        <v>116</v>
      </c>
      <c r="F7" s="1229" t="s">
        <v>116</v>
      </c>
      <c r="G7" s="1229" t="s">
        <v>116</v>
      </c>
      <c r="H7" s="1229" t="s">
        <v>116</v>
      </c>
      <c r="I7" s="1229" t="s">
        <v>116</v>
      </c>
      <c r="J7" s="1430" t="s">
        <v>110</v>
      </c>
      <c r="K7" s="1232" t="s">
        <v>118</v>
      </c>
      <c r="L7" s="1233" t="s">
        <v>119</v>
      </c>
      <c r="M7" s="3511"/>
      <c r="N7" s="3512"/>
      <c r="Q7" s="1225"/>
      <c r="R7" s="1234"/>
      <c r="S7" s="1235"/>
      <c r="T7" s="1236" t="s">
        <v>57</v>
      </c>
      <c r="U7" s="1237" t="s">
        <v>22</v>
      </c>
      <c r="V7" s="1238">
        <v>10</v>
      </c>
      <c r="W7" s="1239" t="s">
        <v>58</v>
      </c>
      <c r="X7" s="1240">
        <v>10</v>
      </c>
      <c r="Y7" s="1239" t="s">
        <v>58</v>
      </c>
      <c r="Z7" s="1240">
        <v>10</v>
      </c>
      <c r="AA7" s="1239" t="s">
        <v>58</v>
      </c>
      <c r="AB7" s="1240">
        <v>10</v>
      </c>
      <c r="AC7" s="1239" t="s">
        <v>58</v>
      </c>
      <c r="AD7" s="1240">
        <v>10</v>
      </c>
      <c r="AE7" s="1241" t="s">
        <v>58</v>
      </c>
      <c r="AG7" s="1427" t="s">
        <v>155</v>
      </c>
    </row>
    <row r="8" spans="1:37" ht="23.25" customHeight="1">
      <c r="A8" s="1244"/>
      <c r="B8" s="1245"/>
      <c r="C8" s="1246">
        <f t="shared" ref="C8:C50" si="1">S8</f>
        <v>0</v>
      </c>
      <c r="D8" s="1247">
        <f t="shared" ref="D8:D50" si="2">T8</f>
        <v>0</v>
      </c>
      <c r="E8" s="1248">
        <f>IF(ISTEXT(V8),V8,(V8/V7)*E6)</f>
        <v>0</v>
      </c>
      <c r="F8" s="1248">
        <f>IF(ISTEXT(X8),X8,(X8/X7)*F6)</f>
        <v>0</v>
      </c>
      <c r="G8" s="1248">
        <f>IF(ISTEXT(Z8),Z8,(Z8/Z7)*G6)</f>
        <v>0</v>
      </c>
      <c r="H8" s="1248">
        <f>IF(ISTEXT(AB8),AB8,(AB8/AB7)*H6)</f>
        <v>0</v>
      </c>
      <c r="I8" s="1248">
        <f>IF(ISTEXT(AD8),AD8,(AD8/AD7)*I6)</f>
        <v>0</v>
      </c>
      <c r="J8" s="1250">
        <f t="shared" ref="J8:J57" si="3">SUM(E8,F8,G8,H8,I8)</f>
        <v>0</v>
      </c>
      <c r="K8" s="1251">
        <f t="shared" ref="K8:K39" si="4">J8*U8</f>
        <v>0</v>
      </c>
      <c r="L8" s="1252">
        <f>IF(ISTEXT(K8),0,IF(K58=0,0,K8/K58))</f>
        <v>0</v>
      </c>
      <c r="M8" s="1431"/>
      <c r="N8" s="1432"/>
      <c r="Q8" s="1244"/>
      <c r="R8" s="1253"/>
      <c r="S8" s="1254"/>
      <c r="T8" s="1255"/>
      <c r="U8" s="1256"/>
      <c r="V8" s="1257"/>
      <c r="W8" s="1258">
        <f>IF(ISTEXT(V8),0,IF(V58=0,0,V8/V58))</f>
        <v>0</v>
      </c>
      <c r="X8" s="1257"/>
      <c r="Y8" s="1258">
        <f>IF(ISTEXT(X8),0,IF(X58=0,0,X8/X58))</f>
        <v>0</v>
      </c>
      <c r="Z8" s="1257"/>
      <c r="AA8" s="1258">
        <f>IF(ISTEXT(Z8),0,IF(Z58=0,0,Z8/Z58))</f>
        <v>0</v>
      </c>
      <c r="AB8" s="1257"/>
      <c r="AC8" s="1258">
        <f>IF(ISTEXT(AB8),0,IF(AB58=0,0,AB8/AB58))</f>
        <v>0</v>
      </c>
      <c r="AD8" s="1257"/>
      <c r="AE8" s="1259">
        <f>IF(ISTEXT(AD8),0,IF(AD58=0,0,AD8/AD58))</f>
        <v>0</v>
      </c>
      <c r="AG8" s="1427" t="s">
        <v>156</v>
      </c>
    </row>
    <row r="9" spans="1:37" ht="46.5" customHeight="1">
      <c r="A9" s="1244"/>
      <c r="B9" s="1245"/>
      <c r="C9" s="1433" t="str">
        <f t="shared" si="1"/>
        <v>Viandes/Poissons</v>
      </c>
      <c r="D9" s="1247">
        <f t="shared" si="2"/>
        <v>0</v>
      </c>
      <c r="E9" s="1248">
        <f>IF(ISTEXT(V9),V9,(V9/V7)*E6)</f>
        <v>0</v>
      </c>
      <c r="F9" s="1248">
        <f>IF(ISTEXT(X9),X9,(X9/X7)*F6)</f>
        <v>0</v>
      </c>
      <c r="G9" s="1248">
        <f>IF(ISTEXT(Z9),Z9,(Z9/Z7)*G6)</f>
        <v>0</v>
      </c>
      <c r="H9" s="1248">
        <f>IF(ISTEXT(AB9),AB9,(AB9/AB7)*H6)</f>
        <v>0</v>
      </c>
      <c r="I9" s="1248">
        <f>IF(ISTEXT(AD9),AD9,(AD9/AD7)*I6)</f>
        <v>0</v>
      </c>
      <c r="J9" s="1250">
        <f t="shared" si="3"/>
        <v>0</v>
      </c>
      <c r="K9" s="1251">
        <f t="shared" si="4"/>
        <v>0</v>
      </c>
      <c r="L9" s="1252">
        <f>IF(ISTEXT(K9),0,IF(K58=0,0,K9/K58))</f>
        <v>0</v>
      </c>
      <c r="M9" s="1431"/>
      <c r="N9" s="1434" t="s">
        <v>138</v>
      </c>
      <c r="Q9" s="1244"/>
      <c r="R9" s="1262"/>
      <c r="S9" s="1263" t="s">
        <v>120</v>
      </c>
      <c r="T9" s="1264"/>
      <c r="U9" s="1265"/>
      <c r="V9" s="1257"/>
      <c r="W9" s="1258">
        <f>IF(ISTEXT(V9),0,IF(V58=0,0,V9/V58))</f>
        <v>0</v>
      </c>
      <c r="X9" s="1257"/>
      <c r="Y9" s="1258">
        <f>IF(ISTEXT(X9),0,IF(X58=0,0,X9/X58))</f>
        <v>0</v>
      </c>
      <c r="Z9" s="1257"/>
      <c r="AA9" s="1258">
        <f>IF(ISTEXT(Z9),0,IF(Z58=0,0,Z9/Z58))</f>
        <v>0</v>
      </c>
      <c r="AB9" s="1257"/>
      <c r="AC9" s="1258">
        <f>IF(ISTEXT(AB9),0,IF(AB58=0,0,AB9/AB58))</f>
        <v>0</v>
      </c>
      <c r="AD9" s="1257"/>
      <c r="AE9" s="1259">
        <f>IF(ISTEXT(AD9),0,IF(AD58=0,0,AD9/AD58))</f>
        <v>0</v>
      </c>
      <c r="AG9" s="1427" t="s">
        <v>157</v>
      </c>
    </row>
    <row r="10" spans="1:37" ht="27" customHeight="1">
      <c r="A10" s="1244"/>
      <c r="B10" s="1245"/>
      <c r="C10" s="1266" t="str">
        <f t="shared" si="1"/>
        <v>langoustines moyennes</v>
      </c>
      <c r="D10" s="1267" t="str">
        <f t="shared" si="2"/>
        <v>Kg</v>
      </c>
      <c r="E10" s="1248">
        <f>IF(ISTEXT(V10),V10,(V10/V7)*E6)</f>
        <v>4</v>
      </c>
      <c r="F10" s="1248">
        <f>IF(ISTEXT(X10),X10,(X10/X7)*F6)</f>
        <v>0</v>
      </c>
      <c r="G10" s="1248">
        <f>IF(ISTEXT(Z10),Z10,(Z10/Z7)*G6)</f>
        <v>0</v>
      </c>
      <c r="H10" s="1248">
        <f>IF(ISTEXT(AB10),AB10,(AB10/AB7)*H6)</f>
        <v>0</v>
      </c>
      <c r="I10" s="1248">
        <f>IF(ISTEXT(AD10),AD10,(AD10/AD7)*I6)</f>
        <v>0</v>
      </c>
      <c r="J10" s="1250">
        <f t="shared" si="3"/>
        <v>4</v>
      </c>
      <c r="K10" s="1251">
        <f t="shared" si="4"/>
        <v>67.2</v>
      </c>
      <c r="L10" s="1252">
        <f>IF(ISTEXT(K10),0,IF(K58=0,0,K10/K58))</f>
        <v>0.96739365147916212</v>
      </c>
      <c r="M10" s="1427" t="s">
        <v>150</v>
      </c>
      <c r="N10" s="1435"/>
      <c r="Q10" s="1244"/>
      <c r="R10" s="1268"/>
      <c r="S10" s="1269" t="s">
        <v>121</v>
      </c>
      <c r="T10" s="1270" t="s">
        <v>122</v>
      </c>
      <c r="U10" s="1265">
        <v>16.8</v>
      </c>
      <c r="V10" s="1257">
        <v>2</v>
      </c>
      <c r="W10" s="1258">
        <f>IF(ISTEXT(V10),0,IF(V58=0,0,V10/V58))</f>
        <v>0.72727272727272729</v>
      </c>
      <c r="X10" s="1257"/>
      <c r="Y10" s="1258">
        <f>IF(ISTEXT(X10),0,IF(X58=0,0,X10/X58))</f>
        <v>0</v>
      </c>
      <c r="Z10" s="1257"/>
      <c r="AA10" s="1258">
        <f>IF(ISTEXT(Z10),0,IF(Z58=0,0,Z10/Z58))</f>
        <v>0</v>
      </c>
      <c r="AB10" s="1257"/>
      <c r="AC10" s="1258">
        <f>IF(ISTEXT(AB10),0,IF(AB58=0,0,AB10/AB58))</f>
        <v>0</v>
      </c>
      <c r="AD10" s="1257"/>
      <c r="AE10" s="1259">
        <f>IF(ISTEXT(AD10),0,IF(AD58=0,0,AD10/AD58))</f>
        <v>0</v>
      </c>
      <c r="AG10" s="1427" t="s">
        <v>158</v>
      </c>
    </row>
    <row r="11" spans="1:37" ht="27" customHeight="1">
      <c r="A11" s="1244"/>
      <c r="B11" s="1245"/>
      <c r="C11" s="1266">
        <f t="shared" si="1"/>
        <v>0</v>
      </c>
      <c r="D11" s="1267">
        <f t="shared" si="2"/>
        <v>0</v>
      </c>
      <c r="E11" s="1248">
        <f>IF(ISTEXT(V11),V11,(V11/V7)*E6)</f>
        <v>0</v>
      </c>
      <c r="F11" s="1248">
        <f>IF(ISTEXT(X11),X11,(X11/X7)*F6)</f>
        <v>0</v>
      </c>
      <c r="G11" s="1248">
        <f>IF(ISTEXT(Z11),Z11,(Z11/Z7)*G6)</f>
        <v>0</v>
      </c>
      <c r="H11" s="1248">
        <f>IF(ISTEXT(AB11),AB11,(AB11/AB7)*H6)</f>
        <v>0</v>
      </c>
      <c r="I11" s="1248">
        <f>IF(ISTEXT(AD11),AD11,(AD11/AD7)*I6)</f>
        <v>0</v>
      </c>
      <c r="J11" s="1250">
        <f t="shared" si="3"/>
        <v>0</v>
      </c>
      <c r="K11" s="1251">
        <f t="shared" si="4"/>
        <v>0</v>
      </c>
      <c r="L11" s="1252">
        <f>IF(ISTEXT(K11),0,IF(K58=0,0,K11/K58))</f>
        <v>0</v>
      </c>
      <c r="M11" s="1427" t="s">
        <v>152</v>
      </c>
      <c r="N11" s="1435"/>
      <c r="Q11" s="1244"/>
      <c r="R11" s="1268"/>
      <c r="S11" s="1269"/>
      <c r="T11" s="1270"/>
      <c r="U11" s="1265"/>
      <c r="V11" s="1257"/>
      <c r="W11" s="1258">
        <f>IF(ISTEXT(V11),0,IF(V58=0,0,V11/V58))</f>
        <v>0</v>
      </c>
      <c r="X11" s="1257"/>
      <c r="Y11" s="1258">
        <f>IF(ISTEXT(X11),0,IF(X58=0,0,X11/X58))</f>
        <v>0</v>
      </c>
      <c r="Z11" s="1257"/>
      <c r="AA11" s="1258">
        <f>IF(ISTEXT(Z11),0,IF(Z58=0,0,Z11/Z58))</f>
        <v>0</v>
      </c>
      <c r="AB11" s="1257"/>
      <c r="AC11" s="1258">
        <f>IF(ISTEXT(AB11),0,IF(AB58=0,0,AB11/AB58))</f>
        <v>0</v>
      </c>
      <c r="AD11" s="1257"/>
      <c r="AE11" s="1259">
        <f>IF(ISTEXT(AD11),0,IF(AD58=0,0,AD11/AD58))</f>
        <v>0</v>
      </c>
      <c r="AG11" s="1436" t="s">
        <v>159</v>
      </c>
    </row>
    <row r="12" spans="1:37" ht="23.25" customHeight="1">
      <c r="A12" s="1244"/>
      <c r="B12" s="1245"/>
      <c r="C12" s="1272">
        <f t="shared" si="1"/>
        <v>0</v>
      </c>
      <c r="D12" s="1267">
        <f t="shared" si="2"/>
        <v>0</v>
      </c>
      <c r="E12" s="1248">
        <f>IF(ISTEXT(V12),V12,(V12/V7)*E6)</f>
        <v>0</v>
      </c>
      <c r="F12" s="1248">
        <f>IF(ISTEXT(X12),X12,(X12/X7)*F6)</f>
        <v>0</v>
      </c>
      <c r="G12" s="1248">
        <f>IF(ISTEXT(Z12),Z12,(Z12/Z7)*G6)</f>
        <v>0</v>
      </c>
      <c r="H12" s="1248">
        <f>IF(ISTEXT(AB12),AB12,(AB12/AB7)*H6)</f>
        <v>0</v>
      </c>
      <c r="I12" s="1248">
        <f>IF(ISTEXT(AD12),AD12,(AD12/AD7)*I6)</f>
        <v>0</v>
      </c>
      <c r="J12" s="1250">
        <f t="shared" si="3"/>
        <v>0</v>
      </c>
      <c r="K12" s="1251">
        <f t="shared" si="4"/>
        <v>0</v>
      </c>
      <c r="L12" s="1252">
        <f>IF(ISTEXT(K12),0,IF(K58=0,0,K12/K58))</f>
        <v>0</v>
      </c>
      <c r="M12" s="1427" t="s">
        <v>154</v>
      </c>
      <c r="N12" s="1435"/>
      <c r="Q12" s="1244"/>
      <c r="R12" s="1268"/>
      <c r="S12" s="1269"/>
      <c r="T12" s="1270"/>
      <c r="U12" s="1265"/>
      <c r="V12" s="1257"/>
      <c r="W12" s="1258">
        <f>IF(ISTEXT(V12),0,IF(V58=0,0,V12/V58))</f>
        <v>0</v>
      </c>
      <c r="X12" s="1257"/>
      <c r="Y12" s="1258">
        <f>IF(ISTEXT(X12),0,IF(X58=0,0,X12/X58))</f>
        <v>0</v>
      </c>
      <c r="Z12" s="1257"/>
      <c r="AA12" s="1258">
        <f>IF(ISTEXT(Z12),0,IF(Z58=0,0,Z12/Z58))</f>
        <v>0</v>
      </c>
      <c r="AB12" s="1257"/>
      <c r="AC12" s="1258">
        <f>IF(ISTEXT(AB12),0,IF(AB58=0,0,AB12/AB58))</f>
        <v>0</v>
      </c>
      <c r="AD12" s="1257"/>
      <c r="AE12" s="1259">
        <f>IF(ISTEXT(AD12),0,IF(AD58=0,0,AD12/AD58))</f>
        <v>0</v>
      </c>
      <c r="AG12" s="1427" t="s">
        <v>160</v>
      </c>
    </row>
    <row r="13" spans="1:37" ht="23.25" customHeight="1">
      <c r="A13" s="1244"/>
      <c r="B13" s="1245"/>
      <c r="C13" s="1266">
        <f t="shared" si="1"/>
        <v>0</v>
      </c>
      <c r="D13" s="1267">
        <f t="shared" si="2"/>
        <v>0</v>
      </c>
      <c r="E13" s="1248">
        <f>IF(ISTEXT(V13),V13,(V13/V7)*E6)</f>
        <v>0</v>
      </c>
      <c r="F13" s="1248">
        <f>IF(ISTEXT(X13),X13,(X13/X7)*F6)</f>
        <v>0</v>
      </c>
      <c r="G13" s="1248">
        <f>IF(ISTEXT(Z13),Z13,(Z13/Z7)*G6)</f>
        <v>0</v>
      </c>
      <c r="H13" s="1248">
        <f>IF(ISTEXT(AB13),AB13,(AB13/AB7)*H6)</f>
        <v>0</v>
      </c>
      <c r="I13" s="1248">
        <f>IF(ISTEXT(AD13),AD13,(AD13/AD7)*I6)</f>
        <v>0</v>
      </c>
      <c r="J13" s="1250">
        <f t="shared" si="3"/>
        <v>0</v>
      </c>
      <c r="K13" s="1251">
        <f t="shared" si="4"/>
        <v>0</v>
      </c>
      <c r="L13" s="1252">
        <f>IF(ISTEXT(K13),0,IF(K58=0,0,K13/K58))</f>
        <v>0</v>
      </c>
      <c r="M13" s="1437"/>
      <c r="N13" s="1435"/>
      <c r="Q13" s="1244"/>
      <c r="R13" s="1268"/>
      <c r="S13" s="1269"/>
      <c r="T13" s="1270"/>
      <c r="U13" s="1265"/>
      <c r="V13" s="1257"/>
      <c r="W13" s="1258">
        <f>IF(ISTEXT(V13),0,IF(V58=0,0,V13/V58))</f>
        <v>0</v>
      </c>
      <c r="X13" s="1257"/>
      <c r="Y13" s="1258">
        <f>IF(ISTEXT(X13),0,IF(X58=0,0,X13/X58))</f>
        <v>0</v>
      </c>
      <c r="Z13" s="1257"/>
      <c r="AA13" s="1258">
        <f>IF(ISTEXT(Z13),0,IF(Z58=0,0,Z13/Z58))</f>
        <v>0</v>
      </c>
      <c r="AB13" s="1257"/>
      <c r="AC13" s="1258">
        <f>IF(ISTEXT(AB13),0,IF(AB58=0,0,AB13/AB58))</f>
        <v>0</v>
      </c>
      <c r="AD13" s="1257"/>
      <c r="AE13" s="1259">
        <f>IF(ISTEXT(AD13),0,IF(AD58=0,0,AD13/AD58))</f>
        <v>0</v>
      </c>
      <c r="AG13" s="1427" t="s">
        <v>161</v>
      </c>
    </row>
    <row r="14" spans="1:37" ht="26.25" customHeight="1">
      <c r="A14" s="1244"/>
      <c r="B14" s="1245"/>
      <c r="C14" s="1433" t="str">
        <f t="shared" si="1"/>
        <v>Légumerie</v>
      </c>
      <c r="D14" s="1267">
        <f t="shared" si="2"/>
        <v>0</v>
      </c>
      <c r="E14" s="1248">
        <f>IF(ISTEXT(V14),V14,(V14/V7)*E6)</f>
        <v>0</v>
      </c>
      <c r="F14" s="1248">
        <f>IF(ISTEXT(X14),X14,(X14/X7)*F6)</f>
        <v>0</v>
      </c>
      <c r="G14" s="1248">
        <f>IF(ISTEXT(Z14),Z14,(Z14/Z7)*G6)</f>
        <v>0</v>
      </c>
      <c r="H14" s="1248">
        <f>IF(ISTEXT(AB14),AB14,(AB14/AB7)*H6)</f>
        <v>0</v>
      </c>
      <c r="I14" s="1248">
        <f>IF(ISTEXT(AD14),AD14,(AD14/AD7)*I6)</f>
        <v>0</v>
      </c>
      <c r="J14" s="1250">
        <f t="shared" si="3"/>
        <v>0</v>
      </c>
      <c r="K14" s="1251">
        <f t="shared" si="4"/>
        <v>0</v>
      </c>
      <c r="L14" s="1252">
        <f>IF(ISTEXT(K14),0,IF(K58=0,0,K14/K58))</f>
        <v>0</v>
      </c>
      <c r="M14" s="1437"/>
      <c r="N14" s="1435"/>
      <c r="Q14" s="1244"/>
      <c r="R14" s="1262"/>
      <c r="S14" s="1263" t="s">
        <v>162</v>
      </c>
      <c r="T14" s="1270"/>
      <c r="U14" s="1265"/>
      <c r="V14" s="1257"/>
      <c r="W14" s="1258">
        <f>IF(ISTEXT(V14),0,IF(V58=0,0,V14/V58))</f>
        <v>0</v>
      </c>
      <c r="X14" s="1257"/>
      <c r="Y14" s="1258">
        <f>IF(ISTEXT(X14),0,IF(X58=0,0,X14/X58))</f>
        <v>0</v>
      </c>
      <c r="Z14" s="1257"/>
      <c r="AA14" s="1258">
        <f>IF(ISTEXT(Z14),0,IF(Z58=0,0,Z14/Z58))</f>
        <v>0</v>
      </c>
      <c r="AB14" s="1257"/>
      <c r="AC14" s="1258">
        <f>IF(ISTEXT(AB14),0,IF(AB58=0,0,AB14/AB58))</f>
        <v>0</v>
      </c>
      <c r="AD14" s="1257"/>
      <c r="AE14" s="1259">
        <f>IF(ISTEXT(AD14),0,IF(AD58=0,0,AD14/AD58))</f>
        <v>0</v>
      </c>
      <c r="AG14" s="1427" t="s">
        <v>163</v>
      </c>
    </row>
    <row r="15" spans="1:37" ht="22.5" customHeight="1">
      <c r="A15" s="1244"/>
      <c r="B15" s="1245"/>
      <c r="C15" s="1266">
        <f t="shared" si="1"/>
        <v>0</v>
      </c>
      <c r="D15" s="1267">
        <f t="shared" si="2"/>
        <v>0</v>
      </c>
      <c r="E15" s="1248">
        <f>IF(ISTEXT(V15),V15,(V15/V7)*E6)</f>
        <v>0</v>
      </c>
      <c r="F15" s="1248">
        <f>IF(ISTEXT(X15),X15,(X15/X7)*F6)</f>
        <v>0</v>
      </c>
      <c r="G15" s="1248">
        <f>IF(ISTEXT(Z15),Z15,(Z15/Z7)*G6)</f>
        <v>0</v>
      </c>
      <c r="H15" s="1248">
        <f>IF(ISTEXT(AB15),AB15,(AB15/AB7)*H6)</f>
        <v>0</v>
      </c>
      <c r="I15" s="1248">
        <f>IF(ISTEXT(AD15),AD15,(AD15/AD7)*I6)</f>
        <v>0</v>
      </c>
      <c r="J15" s="1250">
        <f t="shared" si="3"/>
        <v>0</v>
      </c>
      <c r="K15" s="1251">
        <f t="shared" si="4"/>
        <v>0</v>
      </c>
      <c r="L15" s="1252">
        <f>IF(ISTEXT(K15),0,IF(K58=0,0,K15/K58))</f>
        <v>0</v>
      </c>
      <c r="M15" s="1437"/>
      <c r="N15" s="1435"/>
      <c r="Q15" s="1244"/>
      <c r="R15" s="1268"/>
      <c r="S15" s="1269"/>
      <c r="T15" s="1270"/>
      <c r="U15" s="1265"/>
      <c r="V15" s="1257"/>
      <c r="W15" s="1258">
        <f>IF(ISTEXT(V15),0,IF(V58=0,0,V15/V58))</f>
        <v>0</v>
      </c>
      <c r="X15" s="1257"/>
      <c r="Y15" s="1258">
        <f>IF(ISTEXT(X15),0,IF(X58=0,0,X15/X58))</f>
        <v>0</v>
      </c>
      <c r="Z15" s="1257"/>
      <c r="AA15" s="1258">
        <f>IF(ISTEXT(Z15),0,IF(Z58=0,0,Z15/Z58))</f>
        <v>0</v>
      </c>
      <c r="AB15" s="1257"/>
      <c r="AC15" s="1258">
        <f>IF(ISTEXT(AB15),0,IF(AB58=0,0,AB15/AB58))</f>
        <v>0</v>
      </c>
      <c r="AD15" s="1257"/>
      <c r="AE15" s="1259">
        <f>IF(ISTEXT(AD15),0,IF(AD58=0,0,AD15/AD58))</f>
        <v>0</v>
      </c>
      <c r="AG15" s="1427" t="s">
        <v>164</v>
      </c>
    </row>
    <row r="16" spans="1:37" s="1281" customFormat="1" ht="26.25" customHeight="1">
      <c r="A16" s="1244"/>
      <c r="B16" s="1245"/>
      <c r="C16" s="1266" t="str">
        <f t="shared" si="1"/>
        <v>tomates rondes</v>
      </c>
      <c r="D16" s="1267" t="str">
        <f t="shared" si="2"/>
        <v>kg</v>
      </c>
      <c r="E16" s="1248">
        <f>IF(ISTEXT(V16),V16,(V16/V7)*E6)</f>
        <v>1.5</v>
      </c>
      <c r="F16" s="1248">
        <f>IF(ISTEXT(X16),X16,(X16/X7)*F6)</f>
        <v>0</v>
      </c>
      <c r="G16" s="1248">
        <f>IF(ISTEXT(Z16),Z16,(Z16/Z7)*G6)</f>
        <v>0</v>
      </c>
      <c r="H16" s="1248">
        <f>IF(ISTEXT(AB16),AB16,(AB16/AB7)*H6)</f>
        <v>0</v>
      </c>
      <c r="I16" s="1248">
        <f>IF(ISTEXT(AD16),AD16,(AD16/AD7)*I6)</f>
        <v>0</v>
      </c>
      <c r="J16" s="1250">
        <f t="shared" si="3"/>
        <v>1.5</v>
      </c>
      <c r="K16" s="1251">
        <f t="shared" si="4"/>
        <v>2.2650000000000001</v>
      </c>
      <c r="L16" s="1252">
        <f>IF(ISTEXT(K16),0,IF(K58=0,0,K16/K58))</f>
        <v>3.2606348520837831E-2</v>
      </c>
      <c r="M16" s="1437"/>
      <c r="N16" s="1435"/>
      <c r="Q16" s="1244"/>
      <c r="R16" s="1268"/>
      <c r="S16" s="1269" t="s">
        <v>165</v>
      </c>
      <c r="T16" s="1270" t="s">
        <v>166</v>
      </c>
      <c r="U16" s="1265">
        <v>1.51</v>
      </c>
      <c r="V16" s="1257">
        <v>0.75</v>
      </c>
      <c r="W16" s="1258">
        <f>IF(ISTEXT(V16),0,IF(V58=0,0,V16/V58))</f>
        <v>0.27272727272727271</v>
      </c>
      <c r="X16" s="1257"/>
      <c r="Y16" s="1258">
        <f>IF(ISTEXT(X16),0,IF(X58=0,0,X16/X58))</f>
        <v>0</v>
      </c>
      <c r="Z16" s="1257"/>
      <c r="AA16" s="1258">
        <f>IF(ISTEXT(Z16),0,IF(Z58=0,0,Z16/Z58))</f>
        <v>0</v>
      </c>
      <c r="AB16" s="1257"/>
      <c r="AC16" s="1258">
        <f>IF(ISTEXT(AB16),0,IF(AB58=0,0,AB16/AB58))</f>
        <v>0</v>
      </c>
      <c r="AD16" s="1257"/>
      <c r="AE16" s="1259">
        <f>IF(ISTEXT(AD16),0,IF(AD58=0,0,AD16/AD58))</f>
        <v>0</v>
      </c>
      <c r="AG16" s="1427" t="s">
        <v>167</v>
      </c>
      <c r="AK16" s="1177"/>
    </row>
    <row r="17" spans="1:37" s="1281" customFormat="1" ht="23.25" customHeight="1">
      <c r="A17" s="1244"/>
      <c r="B17" s="1245"/>
      <c r="C17" s="1266">
        <f t="shared" si="1"/>
        <v>0</v>
      </c>
      <c r="D17" s="1267">
        <f t="shared" si="2"/>
        <v>0</v>
      </c>
      <c r="E17" s="1248">
        <f>IF(ISTEXT(V17),V17,(V17/V7)*E6)</f>
        <v>0</v>
      </c>
      <c r="F17" s="1248">
        <f>IF(ISTEXT(X17),X17,(X17/X7)*F6)</f>
        <v>0</v>
      </c>
      <c r="G17" s="1248">
        <f>IF(ISTEXT(Z17),Z17,(Z17/Z7)*G6)</f>
        <v>0</v>
      </c>
      <c r="H17" s="1248">
        <f>IF(ISTEXT(AB17),AB17,(AB17/AB7)*H6)</f>
        <v>0</v>
      </c>
      <c r="I17" s="1248">
        <f>IF(ISTEXT(AD17),AD17,(AD17/AD7)*I6)</f>
        <v>0</v>
      </c>
      <c r="J17" s="1250">
        <f t="shared" si="3"/>
        <v>0</v>
      </c>
      <c r="K17" s="1251">
        <f t="shared" si="4"/>
        <v>0</v>
      </c>
      <c r="L17" s="1252">
        <f>IF(ISTEXT(K17),0,IF(K58=0,0,K17/K58))</f>
        <v>0</v>
      </c>
      <c r="M17" s="1437"/>
      <c r="N17" s="1435"/>
      <c r="Q17" s="1244"/>
      <c r="R17" s="1268"/>
      <c r="S17" s="1269"/>
      <c r="T17" s="1270"/>
      <c r="U17" s="1265"/>
      <c r="V17" s="1257"/>
      <c r="W17" s="1258">
        <f>IF(ISTEXT(V17),0,IF(V58=0,0,V17/V58))</f>
        <v>0</v>
      </c>
      <c r="X17" s="1257"/>
      <c r="Y17" s="1258">
        <f>IF(ISTEXT(X17),0,IF(X58=0,0,X17/X58))</f>
        <v>0</v>
      </c>
      <c r="Z17" s="1257"/>
      <c r="AA17" s="1258">
        <f>IF(ISTEXT(Z17),0,IF(Z58=0,0,Z17/Z58))</f>
        <v>0</v>
      </c>
      <c r="AB17" s="1257"/>
      <c r="AC17" s="1258">
        <f>IF(ISTEXT(AB17),0,IF(AB58=0,0,AB17/AB58))</f>
        <v>0</v>
      </c>
      <c r="AD17" s="1257"/>
      <c r="AE17" s="1259">
        <f>IF(ISTEXT(AD17),0,IF(AD58=0,0,AD17/AD58))</f>
        <v>0</v>
      </c>
      <c r="AG17" s="1427" t="s">
        <v>168</v>
      </c>
      <c r="AK17" s="1177"/>
    </row>
    <row r="18" spans="1:37" s="1281" customFormat="1" ht="28.5">
      <c r="A18" s="1244"/>
      <c r="B18" s="1245"/>
      <c r="C18" s="1266">
        <f t="shared" si="1"/>
        <v>0</v>
      </c>
      <c r="D18" s="1267">
        <f t="shared" si="2"/>
        <v>0</v>
      </c>
      <c r="E18" s="1248">
        <f>IF(ISTEXT(V18),V18,(V18/V7)*E6)</f>
        <v>0</v>
      </c>
      <c r="F18" s="1248">
        <f>IF(ISTEXT(X18),X18,(X18/X7)*F6)</f>
        <v>0</v>
      </c>
      <c r="G18" s="1248">
        <f>IF(ISTEXT(Z18),Z18,(Z18/Z7)*G6)</f>
        <v>0</v>
      </c>
      <c r="H18" s="1248">
        <f>IF(ISTEXT(AB18),AB18,(AB18/AB7)*H6)</f>
        <v>0</v>
      </c>
      <c r="I18" s="1248">
        <f>IF(ISTEXT(AD18),AD18,(AD18/AD7)*I6)</f>
        <v>0</v>
      </c>
      <c r="J18" s="1250">
        <f t="shared" si="3"/>
        <v>0</v>
      </c>
      <c r="K18" s="1251">
        <f t="shared" si="4"/>
        <v>0</v>
      </c>
      <c r="L18" s="1252">
        <f>IF(ISTEXT(K18),0,IF(K58=0,0,K18/K58))</f>
        <v>0</v>
      </c>
      <c r="M18" s="1437"/>
      <c r="N18" s="1435"/>
      <c r="Q18" s="1244"/>
      <c r="R18" s="1268"/>
      <c r="S18" s="1269"/>
      <c r="T18" s="1270"/>
      <c r="U18" s="1265"/>
      <c r="V18" s="1257"/>
      <c r="W18" s="1258">
        <f>IF(ISTEXT(V18),0,IF(V58=0,0,V18/V58))</f>
        <v>0</v>
      </c>
      <c r="X18" s="1257"/>
      <c r="Y18" s="1258">
        <f>IF(ISTEXT(X18),0,IF(X58=0,0,X18/X58))</f>
        <v>0</v>
      </c>
      <c r="Z18" s="1257"/>
      <c r="AA18" s="1258">
        <f>IF(ISTEXT(Z18),0,IF(Z58=0,0,Z18/Z58))</f>
        <v>0</v>
      </c>
      <c r="AB18" s="1257"/>
      <c r="AC18" s="1258">
        <f>IF(ISTEXT(AB18),0,IF(AB58=0,0,AB18/AB58))</f>
        <v>0</v>
      </c>
      <c r="AD18" s="1257"/>
      <c r="AE18" s="1259">
        <f>IF(ISTEXT(AD18),0,IF(AD58=0,0,AD18/AD58))</f>
        <v>0</v>
      </c>
      <c r="AG18" s="1427" t="s">
        <v>169</v>
      </c>
      <c r="AK18" s="1177"/>
    </row>
    <row r="19" spans="1:37" s="1281" customFormat="1" ht="23.25" customHeight="1">
      <c r="A19" s="1244"/>
      <c r="B19" s="1245"/>
      <c r="C19" s="1288">
        <f t="shared" si="1"/>
        <v>0</v>
      </c>
      <c r="D19" s="1247">
        <f t="shared" si="2"/>
        <v>0</v>
      </c>
      <c r="E19" s="1248">
        <f>IF(ISTEXT(V19),V19,(V19/V7)*E6)</f>
        <v>0</v>
      </c>
      <c r="F19" s="1248">
        <f>IF(ISTEXT(X19),X19,(X19/X7)*F6)</f>
        <v>0</v>
      </c>
      <c r="G19" s="1248">
        <f>IF(ISTEXT(Z19),Z19,(Z19/Z7)*G6)</f>
        <v>0</v>
      </c>
      <c r="H19" s="1248">
        <f>IF(ISTEXT(AB19),AB19,(AB19/AB7)*H6)</f>
        <v>0</v>
      </c>
      <c r="I19" s="1248">
        <f>IF(ISTEXT(AD19),AD19,(AD19/AD7)*I6)</f>
        <v>0</v>
      </c>
      <c r="J19" s="1289">
        <f t="shared" si="3"/>
        <v>0</v>
      </c>
      <c r="K19" s="1290">
        <f t="shared" si="4"/>
        <v>0</v>
      </c>
      <c r="L19" s="1252">
        <f>IF(ISTEXT(K19),0,IF(K58=0,0,K19/K58))</f>
        <v>0</v>
      </c>
      <c r="M19" s="1437"/>
      <c r="N19" s="1435"/>
      <c r="Q19" s="1244"/>
      <c r="R19" s="1268"/>
      <c r="S19" s="1269"/>
      <c r="T19" s="1270"/>
      <c r="U19" s="1265"/>
      <c r="V19" s="1257"/>
      <c r="W19" s="1258">
        <f>IF(ISTEXT(V19),0,IF(V58=0,0,V19/V58))</f>
        <v>0</v>
      </c>
      <c r="X19" s="1257"/>
      <c r="Y19" s="1258">
        <f>IF(ISTEXT(X19),0,IF(X58=0,0,X19/X58))</f>
        <v>0</v>
      </c>
      <c r="Z19" s="1257"/>
      <c r="AA19" s="1258">
        <f>IF(ISTEXT(Z19),0,IF(Z58=0,0,Z19/Z58))</f>
        <v>0</v>
      </c>
      <c r="AB19" s="1257"/>
      <c r="AC19" s="1258">
        <f>IF(ISTEXT(AB19),0,IF(AB58=0,0,AB19/AB58))</f>
        <v>0</v>
      </c>
      <c r="AD19" s="1257"/>
      <c r="AE19" s="1259">
        <f>IF(ISTEXT(AD19),0,IF(AD58=0,0,AD19/AD58))</f>
        <v>0</v>
      </c>
      <c r="AG19" s="1427" t="s">
        <v>170</v>
      </c>
      <c r="AK19" s="1177"/>
    </row>
    <row r="20" spans="1:37" s="1281" customFormat="1" ht="23.25" customHeight="1">
      <c r="A20" s="1244"/>
      <c r="B20" s="1245"/>
      <c r="C20" s="1288">
        <f t="shared" si="1"/>
        <v>0</v>
      </c>
      <c r="D20" s="1247">
        <f t="shared" si="2"/>
        <v>0</v>
      </c>
      <c r="E20" s="1248">
        <f>IF(ISTEXT(V20),V20,(V20/V7)*E6)</f>
        <v>0</v>
      </c>
      <c r="F20" s="1248">
        <f>IF(ISTEXT(X20),X20,(X20/X7)*F6)</f>
        <v>0</v>
      </c>
      <c r="G20" s="1248">
        <f>IF(ISTEXT(Z20),Z20,(Z20/Z7)*G6)</f>
        <v>0</v>
      </c>
      <c r="H20" s="1248">
        <f>IF(ISTEXT(AB20),AB20,(AB20/AB7)*H6)</f>
        <v>0</v>
      </c>
      <c r="I20" s="1248">
        <f>IF(ISTEXT(AD20),AD20,(AD20/AD7)*I6)</f>
        <v>0</v>
      </c>
      <c r="J20" s="1250">
        <f t="shared" si="3"/>
        <v>0</v>
      </c>
      <c r="K20" s="1251">
        <f t="shared" si="4"/>
        <v>0</v>
      </c>
      <c r="L20" s="1252">
        <f>IF(ISTEXT(K20),0,IF(K58=0,0,K20/K58))</f>
        <v>0</v>
      </c>
      <c r="M20" s="1437"/>
      <c r="N20" s="1435"/>
      <c r="Q20" s="1244"/>
      <c r="R20" s="1268"/>
      <c r="S20" s="1269"/>
      <c r="T20" s="1270"/>
      <c r="U20" s="1265"/>
      <c r="V20" s="1257"/>
      <c r="W20" s="1258">
        <f>IF(ISTEXT(V20),0,IF(V58=0,0,V20/V58))</f>
        <v>0</v>
      </c>
      <c r="X20" s="1257"/>
      <c r="Y20" s="1258">
        <f>IF(ISTEXT(X20),0,IF(X58=0,0,X20/X58))</f>
        <v>0</v>
      </c>
      <c r="Z20" s="1257"/>
      <c r="AA20" s="1258">
        <f>IF(ISTEXT(Z20),0,IF(Z58=0,0,Z20/Z58))</f>
        <v>0</v>
      </c>
      <c r="AB20" s="1257"/>
      <c r="AC20" s="1258">
        <f>IF(ISTEXT(AB20),0,IF(AB58=0,0,AB20/AB58))</f>
        <v>0</v>
      </c>
      <c r="AD20" s="1257"/>
      <c r="AE20" s="1259">
        <f>IF(ISTEXT(AD20),0,IF(AD58=0,0,AD20/AD58))</f>
        <v>0</v>
      </c>
      <c r="AG20" s="1427" t="s">
        <v>171</v>
      </c>
    </row>
    <row r="21" spans="1:37" s="1281" customFormat="1" ht="27" customHeight="1">
      <c r="A21" s="1244"/>
      <c r="B21" s="1245"/>
      <c r="C21" s="1266">
        <f t="shared" si="1"/>
        <v>0</v>
      </c>
      <c r="D21" s="1267">
        <f t="shared" si="2"/>
        <v>0</v>
      </c>
      <c r="E21" s="1248">
        <f>IF(ISTEXT(V21),V21,(V21/V7)*E6)</f>
        <v>0</v>
      </c>
      <c r="F21" s="1248">
        <f>IF(ISTEXT(X21),X21,(X21/X7)*F6)</f>
        <v>0</v>
      </c>
      <c r="G21" s="1248">
        <f>IF(ISTEXT(Z21),Z21,(Z21/Z7)*G6)</f>
        <v>0</v>
      </c>
      <c r="H21" s="1248">
        <f>IF(ISTEXT(AB21),AB21,(AB21/AB7)*H6)</f>
        <v>0</v>
      </c>
      <c r="I21" s="1248">
        <f>IF(ISTEXT(AD21),AD21,(AD21/AD7)*I6)</f>
        <v>0</v>
      </c>
      <c r="J21" s="1250">
        <f t="shared" si="3"/>
        <v>0</v>
      </c>
      <c r="K21" s="1251">
        <f t="shared" si="4"/>
        <v>0</v>
      </c>
      <c r="L21" s="1252">
        <f>IF(ISTEXT(K21),0,IF(K58=0,0,K21/K58))</f>
        <v>0</v>
      </c>
      <c r="M21" s="1437"/>
      <c r="N21" s="1435"/>
      <c r="Q21" s="1244"/>
      <c r="R21" s="1268"/>
      <c r="S21" s="1269"/>
      <c r="T21" s="1270"/>
      <c r="U21" s="1265"/>
      <c r="V21" s="1257"/>
      <c r="W21" s="1258">
        <f>IF(ISTEXT(V21),0,IF(V58=0,0,V21/V58))</f>
        <v>0</v>
      </c>
      <c r="X21" s="1257"/>
      <c r="Y21" s="1258">
        <f>IF(ISTEXT(X21),0,IF(X58=0,0,X21/X58))</f>
        <v>0</v>
      </c>
      <c r="Z21" s="1257"/>
      <c r="AA21" s="1258">
        <f>IF(ISTEXT(Z21),0,IF(Z58=0,0,Z21/Z58))</f>
        <v>0</v>
      </c>
      <c r="AB21" s="1257"/>
      <c r="AC21" s="1258">
        <f>IF(ISTEXT(AB21),0,IF(AB58=0,0,AB21/AB58))</f>
        <v>0</v>
      </c>
      <c r="AD21" s="1257"/>
      <c r="AE21" s="1259">
        <f>IF(ISTEXT(AD21),0,IF(AD58=0,0,AD21/AD58))</f>
        <v>0</v>
      </c>
      <c r="AG21" s="1427" t="s">
        <v>172</v>
      </c>
    </row>
    <row r="22" spans="1:37" s="1281" customFormat="1" ht="20.25" customHeight="1">
      <c r="A22" s="1244"/>
      <c r="B22" s="1245"/>
      <c r="C22" s="1266">
        <f t="shared" si="1"/>
        <v>0</v>
      </c>
      <c r="D22" s="1267">
        <f t="shared" si="2"/>
        <v>0</v>
      </c>
      <c r="E22" s="1248">
        <f>IF(ISTEXT(V22),V22,(V22/V7)*E6)</f>
        <v>0</v>
      </c>
      <c r="F22" s="1248">
        <f>IF(ISTEXT(X22),X22,(X22/X7)*F6)</f>
        <v>0</v>
      </c>
      <c r="G22" s="1248">
        <f>IF(ISTEXT(Z22),Z22,(Z22/Z7)*G6)</f>
        <v>0</v>
      </c>
      <c r="H22" s="1248">
        <f>IF(ISTEXT(AB22),AB22,(AB22/AB7)*H6)</f>
        <v>0</v>
      </c>
      <c r="I22" s="1248">
        <f>IF(ISTEXT(AD22),AD22,(AD22/AD7)*I6)</f>
        <v>0</v>
      </c>
      <c r="J22" s="1250">
        <f t="shared" si="3"/>
        <v>0</v>
      </c>
      <c r="K22" s="1251">
        <f t="shared" si="4"/>
        <v>0</v>
      </c>
      <c r="L22" s="1252">
        <f>IF(ISTEXT(K22),0,IF(K58=0,0,K22/K58))</f>
        <v>0</v>
      </c>
      <c r="M22" s="1437"/>
      <c r="N22" s="1435"/>
      <c r="Q22" s="1244"/>
      <c r="R22" s="1268"/>
      <c r="S22" s="1269"/>
      <c r="T22" s="1270"/>
      <c r="U22" s="1265"/>
      <c r="V22" s="1257"/>
      <c r="W22" s="1258">
        <f>IF(ISTEXT(V22),0,IF(V58=0,0,V22/V58))</f>
        <v>0</v>
      </c>
      <c r="X22" s="1257"/>
      <c r="Y22" s="1258">
        <f>IF(ISTEXT(X22),0,IF(X58=0,0,X22/X58))</f>
        <v>0</v>
      </c>
      <c r="Z22" s="1257"/>
      <c r="AA22" s="1258">
        <f>IF(ISTEXT(Z22),0,IF(Z58=0,0,Z22/Z58))</f>
        <v>0</v>
      </c>
      <c r="AB22" s="1257"/>
      <c r="AC22" s="1258">
        <f>IF(ISTEXT(AB22),0,IF(AB58=0,0,AB22/AB58))</f>
        <v>0</v>
      </c>
      <c r="AD22" s="1257"/>
      <c r="AE22" s="1259">
        <f>IF(ISTEXT(AD22),0,IF(AD58=0,0,AD22/AD58))</f>
        <v>0</v>
      </c>
      <c r="AG22" s="1427" t="s">
        <v>173</v>
      </c>
    </row>
    <row r="23" spans="1:37" s="1281" customFormat="1" ht="23.25" customHeight="1">
      <c r="A23" s="1244"/>
      <c r="B23" s="1245"/>
      <c r="C23" s="1266">
        <f t="shared" si="1"/>
        <v>0</v>
      </c>
      <c r="D23" s="1267">
        <f t="shared" si="2"/>
        <v>0</v>
      </c>
      <c r="E23" s="1248">
        <f>IF(ISTEXT(V23),V23,(V23/V7)*E6)</f>
        <v>0</v>
      </c>
      <c r="F23" s="1248">
        <f>IF(ISTEXT(X23),X23,(X23/X7)*F6)</f>
        <v>0</v>
      </c>
      <c r="G23" s="1248">
        <f>IF(ISTEXT(Z23),Z23,(Z23/Z7)*G6)</f>
        <v>0</v>
      </c>
      <c r="H23" s="1248">
        <f>IF(ISTEXT(AB23),AB23,(AB23/AB7)*H6)</f>
        <v>0</v>
      </c>
      <c r="I23" s="1248">
        <f>IF(ISTEXT(AD23),AD23,(AD23/AD7)*I6)</f>
        <v>0</v>
      </c>
      <c r="J23" s="1250">
        <f t="shared" si="3"/>
        <v>0</v>
      </c>
      <c r="K23" s="1251">
        <f t="shared" si="4"/>
        <v>0</v>
      </c>
      <c r="L23" s="1252">
        <f>IF(ISTEXT(K23),0,IF(K58=0,0,K23/K58))</f>
        <v>0</v>
      </c>
      <c r="M23" s="1437"/>
      <c r="N23" s="1435"/>
      <c r="Q23" s="1244"/>
      <c r="R23" s="1268"/>
      <c r="S23" s="1269"/>
      <c r="T23" s="1270"/>
      <c r="U23" s="1265"/>
      <c r="V23" s="1257"/>
      <c r="W23" s="1258">
        <f>IF(ISTEXT(V23),0,IF(V58=0,0,V23/V58))</f>
        <v>0</v>
      </c>
      <c r="X23" s="1257"/>
      <c r="Y23" s="1258">
        <f>IF(ISTEXT(X23),0,IF(X58=0,0,X23/X58))</f>
        <v>0</v>
      </c>
      <c r="Z23" s="1257"/>
      <c r="AA23" s="1258">
        <f>IF(ISTEXT(Z23),0,IF(Z58=0,0,Z23/Z58))</f>
        <v>0</v>
      </c>
      <c r="AB23" s="1257"/>
      <c r="AC23" s="1258">
        <f>IF(ISTEXT(AB23),0,IF(AB58=0,0,AB23/AB58))</f>
        <v>0</v>
      </c>
      <c r="AD23" s="1257"/>
      <c r="AE23" s="1259">
        <f>IF(ISTEXT(AD23),0,IF(AD58=0,0,AD23/AD58))</f>
        <v>0</v>
      </c>
      <c r="AG23" s="1427" t="s">
        <v>174</v>
      </c>
    </row>
    <row r="24" spans="1:37" s="1281" customFormat="1" ht="23.25" customHeight="1">
      <c r="A24" s="1244"/>
      <c r="B24" s="1245"/>
      <c r="C24" s="1266">
        <f t="shared" si="1"/>
        <v>0</v>
      </c>
      <c r="D24" s="1267">
        <f t="shared" si="2"/>
        <v>0</v>
      </c>
      <c r="E24" s="1248">
        <f>IF(ISTEXT(V24),V24,(V24/V7)*E6)</f>
        <v>0</v>
      </c>
      <c r="F24" s="1248">
        <f>IF(ISTEXT(X24),X24,(X24/X7)*F6)</f>
        <v>0</v>
      </c>
      <c r="G24" s="1248">
        <f>IF(ISTEXT(Z24),Z24,(Z24/Z7)*G6)</f>
        <v>0</v>
      </c>
      <c r="H24" s="1248">
        <f>IF(ISTEXT(AB24),AB24,(AB24/AB7)*H6)</f>
        <v>0</v>
      </c>
      <c r="I24" s="1248">
        <f>IF(ISTEXT(AD24),AD24,(AD24/AD7)*I6)</f>
        <v>0</v>
      </c>
      <c r="J24" s="1250">
        <f t="shared" si="3"/>
        <v>0</v>
      </c>
      <c r="K24" s="1251">
        <f t="shared" si="4"/>
        <v>0</v>
      </c>
      <c r="L24" s="1252">
        <f>IF(ISTEXT(K24),0,IF(K58=0,0,K24/K58))</f>
        <v>0</v>
      </c>
      <c r="M24" s="1437"/>
      <c r="N24" s="1435"/>
      <c r="Q24" s="1244"/>
      <c r="R24" s="1268"/>
      <c r="S24" s="1269"/>
      <c r="T24" s="1270"/>
      <c r="U24" s="1265"/>
      <c r="V24" s="1257"/>
      <c r="W24" s="1258">
        <f>IF(ISTEXT(V24),0,IF(V58=0,0,V24/V58))</f>
        <v>0</v>
      </c>
      <c r="X24" s="1257"/>
      <c r="Y24" s="1258">
        <f>IF(ISTEXT(X24),0,IF(X58=0,0,X24/X58))</f>
        <v>0</v>
      </c>
      <c r="Z24" s="1257"/>
      <c r="AA24" s="1258">
        <f>IF(ISTEXT(Z24),0,IF(Z58=0,0,Z24/Z58))</f>
        <v>0</v>
      </c>
      <c r="AB24" s="1257"/>
      <c r="AC24" s="1258">
        <f>IF(ISTEXT(AB24),0,IF(AB58=0,0,AB24/AB58))</f>
        <v>0</v>
      </c>
      <c r="AD24" s="1257"/>
      <c r="AE24" s="1259">
        <f>IF(ISTEXT(AD24),0,IF(AD58=0,0,AD24/AD58))</f>
        <v>0</v>
      </c>
      <c r="AG24" s="1438"/>
    </row>
    <row r="25" spans="1:37" s="1281" customFormat="1" ht="23.25" customHeight="1">
      <c r="A25" s="1244"/>
      <c r="B25" s="1245"/>
      <c r="C25" s="1266">
        <f t="shared" si="1"/>
        <v>0</v>
      </c>
      <c r="D25" s="1267">
        <f t="shared" si="2"/>
        <v>0</v>
      </c>
      <c r="E25" s="1248">
        <f>IF(ISTEXT(V25),V25,(V25/V7)*E6)</f>
        <v>0</v>
      </c>
      <c r="F25" s="1248">
        <f>IF(ISTEXT(X25),X25,(X25/X7)*F6)</f>
        <v>0</v>
      </c>
      <c r="G25" s="1248">
        <f>IF(ISTEXT(Z25),Z25,(Z25/Z7)*G6)</f>
        <v>0</v>
      </c>
      <c r="H25" s="1248">
        <f>IF(ISTEXT(AB25),AB25,(AB25/AB7)*H6)</f>
        <v>0</v>
      </c>
      <c r="I25" s="1248">
        <f>IF(ISTEXT(AD25),AD25,(AD25/AD7)*I6)</f>
        <v>0</v>
      </c>
      <c r="J25" s="1250">
        <f t="shared" si="3"/>
        <v>0</v>
      </c>
      <c r="K25" s="1251">
        <f t="shared" si="4"/>
        <v>0</v>
      </c>
      <c r="L25" s="1252">
        <f>IF(ISTEXT(K25),0,IF(K58=0,0,K25/K58))</f>
        <v>0</v>
      </c>
      <c r="M25" s="1437"/>
      <c r="N25" s="1435"/>
      <c r="Q25" s="1244"/>
      <c r="R25" s="1268"/>
      <c r="S25" s="1269"/>
      <c r="T25" s="1270"/>
      <c r="U25" s="1265"/>
      <c r="V25" s="1257"/>
      <c r="W25" s="1258">
        <f>IF(ISTEXT(V25),0,IF(V58=0,0,V25/V58))</f>
        <v>0</v>
      </c>
      <c r="X25" s="1257"/>
      <c r="Y25" s="1258">
        <f>IF(ISTEXT(X25),0,IF(X58=0,0,X25/X58))</f>
        <v>0</v>
      </c>
      <c r="Z25" s="1257"/>
      <c r="AA25" s="1258">
        <f>IF(ISTEXT(Z25),0,IF(Z58=0,0,Z25/Z58))</f>
        <v>0</v>
      </c>
      <c r="AB25" s="1257"/>
      <c r="AC25" s="1258">
        <f>IF(ISTEXT(AB25),0,IF(AB58=0,0,AB25/AB58))</f>
        <v>0</v>
      </c>
      <c r="AD25" s="1257"/>
      <c r="AE25" s="1259">
        <f>IF(ISTEXT(AD25),0,IF(AD58=0,0,AD25/AD58))</f>
        <v>0</v>
      </c>
      <c r="AG25" s="1439" t="s">
        <v>175</v>
      </c>
    </row>
    <row r="26" spans="1:37" s="1281" customFormat="1" ht="23.25" customHeight="1">
      <c r="A26" s="1244"/>
      <c r="B26" s="1245"/>
      <c r="C26" s="1266">
        <f t="shared" si="1"/>
        <v>0</v>
      </c>
      <c r="D26" s="1267">
        <f t="shared" si="2"/>
        <v>0</v>
      </c>
      <c r="E26" s="1248">
        <f>IF(ISTEXT(V26),V26,(V26/V7)*E6)</f>
        <v>0</v>
      </c>
      <c r="F26" s="1248">
        <f>IF(ISTEXT(X26),X26,(X26/X7)*F6)</f>
        <v>0</v>
      </c>
      <c r="G26" s="1248">
        <f>IF(ISTEXT(Z26),Z26,(Z26/Z7)*G6)</f>
        <v>0</v>
      </c>
      <c r="H26" s="1248">
        <f>IF(ISTEXT(AB26),AB26,(AB26/AB7)*H6)</f>
        <v>0</v>
      </c>
      <c r="I26" s="1248">
        <f>IF(ISTEXT(AD26),AD26,(AD26/AD7)*I6)</f>
        <v>0</v>
      </c>
      <c r="J26" s="1250">
        <f t="shared" si="3"/>
        <v>0</v>
      </c>
      <c r="K26" s="1251">
        <f t="shared" si="4"/>
        <v>0</v>
      </c>
      <c r="L26" s="1252">
        <f>IF(ISTEXT(K26),0,IF(K58=0,0,K26/K58))</f>
        <v>0</v>
      </c>
      <c r="M26" s="1437"/>
      <c r="N26" s="1435"/>
      <c r="Q26" s="1244"/>
      <c r="R26" s="1268"/>
      <c r="S26" s="1269"/>
      <c r="T26" s="1270"/>
      <c r="U26" s="1265"/>
      <c r="V26" s="1257"/>
      <c r="W26" s="1258">
        <f>IF(ISTEXT(V26),0,IF(V58=0,0,V26/V58))</f>
        <v>0</v>
      </c>
      <c r="X26" s="1257"/>
      <c r="Y26" s="1258">
        <f>IF(ISTEXT(X26),0,IF(X58=0,0,X26/X58))</f>
        <v>0</v>
      </c>
      <c r="Z26" s="1257"/>
      <c r="AA26" s="1258">
        <f>IF(ISTEXT(Z26),0,IF(Z58=0,0,Z26/Z58))</f>
        <v>0</v>
      </c>
      <c r="AB26" s="1257"/>
      <c r="AC26" s="1258">
        <f>IF(ISTEXT(AB26),0,IF(AB58=0,0,AB26/AB58))</f>
        <v>0</v>
      </c>
      <c r="AD26" s="1257"/>
      <c r="AE26" s="1259">
        <f>IF(ISTEXT(AD26),0,IF(AD58=0,0,AD26/AD58))</f>
        <v>0</v>
      </c>
      <c r="AG26" s="1427" t="s">
        <v>176</v>
      </c>
    </row>
    <row r="27" spans="1:37" s="1281" customFormat="1" ht="28.5">
      <c r="A27" s="1244"/>
      <c r="B27" s="1245"/>
      <c r="C27" s="1266">
        <f t="shared" si="1"/>
        <v>0</v>
      </c>
      <c r="D27" s="1267">
        <f t="shared" si="2"/>
        <v>0</v>
      </c>
      <c r="E27" s="1248">
        <f>IF(ISTEXT(V27),V27,(V27/V7)*E6)</f>
        <v>0</v>
      </c>
      <c r="F27" s="1248">
        <f>IF(ISTEXT(X27),X27,(X27/X7)*F6)</f>
        <v>0</v>
      </c>
      <c r="G27" s="1248">
        <f>IF(ISTEXT(Z27),Z27,(Z27/Z7)*G6)</f>
        <v>0</v>
      </c>
      <c r="H27" s="1248">
        <f>IF(ISTEXT(AB27),AB27,(AB27/AB7)*H6)</f>
        <v>0</v>
      </c>
      <c r="I27" s="1248">
        <f>IF(ISTEXT(AD27),AD27,(AD27/AD7)*I6)</f>
        <v>0</v>
      </c>
      <c r="J27" s="1250">
        <f t="shared" si="3"/>
        <v>0</v>
      </c>
      <c r="K27" s="1251">
        <f t="shared" si="4"/>
        <v>0</v>
      </c>
      <c r="L27" s="1252">
        <f>IF(ISTEXT(K27),0,IF(K58=0,0,K27/K58))</f>
        <v>0</v>
      </c>
      <c r="M27" s="1437"/>
      <c r="N27" s="1435"/>
      <c r="Q27" s="1244"/>
      <c r="R27" s="1268"/>
      <c r="S27" s="1269"/>
      <c r="T27" s="1270"/>
      <c r="U27" s="1265"/>
      <c r="V27" s="1257"/>
      <c r="W27" s="1258">
        <f>IF(ISTEXT(V27),0,IF(V58=0,0,V27/V58))</f>
        <v>0</v>
      </c>
      <c r="X27" s="1257"/>
      <c r="Y27" s="1258">
        <f>IF(ISTEXT(X27),0,IF(X58=0,0,X27/X58))</f>
        <v>0</v>
      </c>
      <c r="Z27" s="1257"/>
      <c r="AA27" s="1258">
        <f>IF(ISTEXT(Z27),0,IF(Z58=0,0,Z27/Z58))</f>
        <v>0</v>
      </c>
      <c r="AB27" s="1257"/>
      <c r="AC27" s="1258">
        <f>IF(ISTEXT(AB27),0,IF(AB58=0,0,AB27/AB58))</f>
        <v>0</v>
      </c>
      <c r="AD27" s="1257"/>
      <c r="AE27" s="1259">
        <f>IF(ISTEXT(AD27),0,IF(AD58=0,0,AD27/AD58))</f>
        <v>0</v>
      </c>
      <c r="AG27" s="1439" t="s">
        <v>177</v>
      </c>
    </row>
    <row r="28" spans="1:37" s="1281" customFormat="1" ht="28.5">
      <c r="A28" s="1244"/>
      <c r="B28" s="1245"/>
      <c r="C28" s="1266">
        <f t="shared" si="1"/>
        <v>0</v>
      </c>
      <c r="D28" s="1267">
        <f t="shared" si="2"/>
        <v>0</v>
      </c>
      <c r="E28" s="1248">
        <f>IF(ISTEXT(V28),V28,(V28/V7)*E6)</f>
        <v>0</v>
      </c>
      <c r="F28" s="1248">
        <f>IF(ISTEXT(X28),X28,(X28/X7)*F6)</f>
        <v>0</v>
      </c>
      <c r="G28" s="1248">
        <f>IF(ISTEXT(Z28),Z28,(Z28/Z7)*G6)</f>
        <v>0</v>
      </c>
      <c r="H28" s="1248">
        <f>IF(ISTEXT(AB28),AB28,(AB28/AB7)*H6)</f>
        <v>0</v>
      </c>
      <c r="I28" s="1248">
        <f>IF(ISTEXT(AD28),AD28,(AD28/AD7)*I6)</f>
        <v>0</v>
      </c>
      <c r="J28" s="1250">
        <f t="shared" si="3"/>
        <v>0</v>
      </c>
      <c r="K28" s="1251">
        <f t="shared" si="4"/>
        <v>0</v>
      </c>
      <c r="L28" s="1252">
        <f>IF(ISTEXT(K28),0,IF(K58=0,0,K28/K58))</f>
        <v>0</v>
      </c>
      <c r="M28" s="1437"/>
      <c r="N28" s="1435"/>
      <c r="Q28" s="1244"/>
      <c r="R28" s="1268"/>
      <c r="S28" s="1269"/>
      <c r="T28" s="1270"/>
      <c r="U28" s="1265"/>
      <c r="V28" s="1257"/>
      <c r="W28" s="1258">
        <f>IF(ISTEXT(V28),0,IF(V58=0,0,V28/V58))</f>
        <v>0</v>
      </c>
      <c r="X28" s="1257"/>
      <c r="Y28" s="1258">
        <f>IF(ISTEXT(X28),0,IF(X58=0,0,X28/X58))</f>
        <v>0</v>
      </c>
      <c r="Z28" s="1257"/>
      <c r="AA28" s="1258">
        <f>IF(ISTEXT(Z28),0,IF(Z58=0,0,Z28/Z58))</f>
        <v>0</v>
      </c>
      <c r="AB28" s="1257"/>
      <c r="AC28" s="1258">
        <f>IF(ISTEXT(AB28),0,IF(AB58=0,0,AB28/AB58))</f>
        <v>0</v>
      </c>
      <c r="AD28" s="1257"/>
      <c r="AE28" s="1259">
        <f>IF(ISTEXT(AD28),0,IF(AD58=0,0,AD28/AD58))</f>
        <v>0</v>
      </c>
      <c r="AG28" s="1439" t="s">
        <v>178</v>
      </c>
    </row>
    <row r="29" spans="1:37" s="1281" customFormat="1" ht="29.25" customHeight="1">
      <c r="A29" s="1244"/>
      <c r="B29" s="1245"/>
      <c r="C29" s="1266">
        <f t="shared" si="1"/>
        <v>0</v>
      </c>
      <c r="D29" s="1267">
        <f t="shared" si="2"/>
        <v>0</v>
      </c>
      <c r="E29" s="1248">
        <f>IF(ISTEXT(V29),V29,(V29/V7)*E6)</f>
        <v>0</v>
      </c>
      <c r="F29" s="1248">
        <f>IF(ISTEXT(X29),X29,(X29/X7)*F6)</f>
        <v>0</v>
      </c>
      <c r="G29" s="1248">
        <f>IF(ISTEXT(Z29),Z29,(Z29/Z7)*G6)</f>
        <v>0</v>
      </c>
      <c r="H29" s="1248">
        <f>IF(ISTEXT(AB29),AB29,(AB29/AB7)*H6)</f>
        <v>0</v>
      </c>
      <c r="I29" s="1248">
        <f>IF(ISTEXT(AD29),AD29,(AD29/AD7)*I6)</f>
        <v>0</v>
      </c>
      <c r="J29" s="1250">
        <f t="shared" si="3"/>
        <v>0</v>
      </c>
      <c r="K29" s="1251">
        <f t="shared" si="4"/>
        <v>0</v>
      </c>
      <c r="L29" s="1252">
        <f>IF(ISTEXT(K29),0,IF(K58=0,0,K29/K58))</f>
        <v>0</v>
      </c>
      <c r="M29" s="1437"/>
      <c r="N29" s="1435"/>
      <c r="Q29" s="1244"/>
      <c r="R29" s="1268"/>
      <c r="S29" s="1269"/>
      <c r="T29" s="1270"/>
      <c r="U29" s="1265"/>
      <c r="V29" s="1257"/>
      <c r="W29" s="1258">
        <f>IF(ISTEXT(V29),0,IF(V58=0,0,V29/V58))</f>
        <v>0</v>
      </c>
      <c r="X29" s="1257"/>
      <c r="Y29" s="1258">
        <f>IF(ISTEXT(X29),0,IF(X58=0,0,X29/X58))</f>
        <v>0</v>
      </c>
      <c r="Z29" s="1257"/>
      <c r="AA29" s="1258">
        <f>IF(ISTEXT(Z29),0,IF(Z58=0,0,Z29/Z58))</f>
        <v>0</v>
      </c>
      <c r="AB29" s="1257"/>
      <c r="AC29" s="1258">
        <f>IF(ISTEXT(AB29),0,IF(AB58=0,0,AB29/AB58))</f>
        <v>0</v>
      </c>
      <c r="AD29" s="1257"/>
      <c r="AE29" s="1259">
        <f>IF(ISTEXT(AD29),0,IF(AD58=0,0,AD29/AD58))</f>
        <v>0</v>
      </c>
      <c r="AG29" s="1439" t="s">
        <v>179</v>
      </c>
    </row>
    <row r="30" spans="1:37" s="1281" customFormat="1" ht="23.25" customHeight="1">
      <c r="A30" s="1244"/>
      <c r="B30" s="1245"/>
      <c r="C30" s="1288">
        <f t="shared" si="1"/>
        <v>0</v>
      </c>
      <c r="D30" s="1247">
        <f t="shared" si="2"/>
        <v>0</v>
      </c>
      <c r="E30" s="1248">
        <f>IF(ISTEXT(V30),V30,(V30/V7)*E6)</f>
        <v>0</v>
      </c>
      <c r="F30" s="1248">
        <f>IF(ISTEXT(X30),X30,(X30/X7)*F6)</f>
        <v>0</v>
      </c>
      <c r="G30" s="1248">
        <f>IF(ISTEXT(Z30),Z30,(Z30/Z7)*G6)</f>
        <v>0</v>
      </c>
      <c r="H30" s="1248">
        <f>IF(ISTEXT(AB30),AB30,(AB30/AB7)*H6)</f>
        <v>0</v>
      </c>
      <c r="I30" s="1248">
        <f>IF(ISTEXT(AD30),AD30,(AD30/AD7)*I6)</f>
        <v>0</v>
      </c>
      <c r="J30" s="1250">
        <f t="shared" si="3"/>
        <v>0</v>
      </c>
      <c r="K30" s="1251">
        <f t="shared" si="4"/>
        <v>0</v>
      </c>
      <c r="L30" s="1252">
        <f>IF(ISTEXT(K30),0,IF(K58=0,0,K30/K58))</f>
        <v>0</v>
      </c>
      <c r="M30" s="1437"/>
      <c r="N30" s="1435"/>
      <c r="Q30" s="1244"/>
      <c r="R30" s="1268"/>
      <c r="S30" s="1269"/>
      <c r="T30" s="1270"/>
      <c r="U30" s="1265"/>
      <c r="V30" s="1257"/>
      <c r="W30" s="1258">
        <f>IF(ISTEXT(V30),0,IF(V58=0,0,V30/V58))</f>
        <v>0</v>
      </c>
      <c r="X30" s="1257"/>
      <c r="Y30" s="1258">
        <f>IF(ISTEXT(X30),0,IF(X58=0,0,X30/X58))</f>
        <v>0</v>
      </c>
      <c r="Z30" s="1257"/>
      <c r="AA30" s="1258">
        <f>IF(ISTEXT(Z30),0,IF(Z58=0,0,Z30/Z58))</f>
        <v>0</v>
      </c>
      <c r="AB30" s="1257"/>
      <c r="AC30" s="1258">
        <f>IF(ISTEXT(AB30),0,IF(AB58=0,0,AB30/AB58))</f>
        <v>0</v>
      </c>
      <c r="AD30" s="1257"/>
      <c r="AE30" s="1259">
        <f>IF(ISTEXT(AD30),0,IF(AD58=0,0,AD30/AD58))</f>
        <v>0</v>
      </c>
      <c r="AG30" s="1439" t="s">
        <v>180</v>
      </c>
    </row>
    <row r="31" spans="1:37" s="1281" customFormat="1" ht="23.25" customHeight="1">
      <c r="A31" s="1244"/>
      <c r="B31" s="1245"/>
      <c r="C31" s="1288">
        <f t="shared" si="1"/>
        <v>0</v>
      </c>
      <c r="D31" s="1247">
        <f t="shared" si="2"/>
        <v>0</v>
      </c>
      <c r="E31" s="1248">
        <f>IF(ISTEXT(V31),V31,(V31/V7)*E6)</f>
        <v>0</v>
      </c>
      <c r="F31" s="1248">
        <f>IF(ISTEXT(X31),X31,(X31/X7)*F6)</f>
        <v>0</v>
      </c>
      <c r="G31" s="1248">
        <f>IF(ISTEXT(Z31),Z31,(Z31/Z7)*G6)</f>
        <v>0</v>
      </c>
      <c r="H31" s="1248">
        <f>IF(ISTEXT(AB31),AB31,(AB31/AB7)*H6)</f>
        <v>0</v>
      </c>
      <c r="I31" s="1248">
        <f>IF(ISTEXT(AD31),AD31,(AD31/AD7)*I6)</f>
        <v>0</v>
      </c>
      <c r="J31" s="1250">
        <f t="shared" si="3"/>
        <v>0</v>
      </c>
      <c r="K31" s="1251">
        <f t="shared" si="4"/>
        <v>0</v>
      </c>
      <c r="L31" s="1252">
        <f>IF(ISTEXT(K31),0,IF(K58=0,0,K31/K58))</f>
        <v>0</v>
      </c>
      <c r="M31" s="1437"/>
      <c r="N31" s="1435"/>
      <c r="Q31" s="1244"/>
      <c r="R31" s="1268"/>
      <c r="S31" s="1269"/>
      <c r="T31" s="1270"/>
      <c r="U31" s="1265"/>
      <c r="V31" s="1257"/>
      <c r="W31" s="1258">
        <f>IF(ISTEXT(V31),0,IF(V58=0,0,V31/V58))</f>
        <v>0</v>
      </c>
      <c r="X31" s="1257"/>
      <c r="Y31" s="1258">
        <f>IF(ISTEXT(X31),0,IF(X58=0,0,X31/X58))</f>
        <v>0</v>
      </c>
      <c r="Z31" s="1257"/>
      <c r="AA31" s="1258">
        <f>IF(ISTEXT(Z31),0,IF(Z58=0,0,Z31/Z58))</f>
        <v>0</v>
      </c>
      <c r="AB31" s="1257"/>
      <c r="AC31" s="1258">
        <f>IF(ISTEXT(AB31),0,IF(AB58=0,0,AB31/AB58))</f>
        <v>0</v>
      </c>
      <c r="AD31" s="1257"/>
      <c r="AE31" s="1259">
        <f>IF(ISTEXT(AD31),0,IF(AD58=0,0,AD31/AD58))</f>
        <v>0</v>
      </c>
      <c r="AG31" s="1439" t="s">
        <v>181</v>
      </c>
    </row>
    <row r="32" spans="1:37" s="1281" customFormat="1" ht="23.25" customHeight="1">
      <c r="A32" s="1244"/>
      <c r="B32" s="1245"/>
      <c r="C32" s="1288">
        <f t="shared" si="1"/>
        <v>0</v>
      </c>
      <c r="D32" s="1247">
        <f t="shared" si="2"/>
        <v>0</v>
      </c>
      <c r="E32" s="1248">
        <f>IF(ISTEXT(V32),V32,(V32/V7)*E6)</f>
        <v>0</v>
      </c>
      <c r="F32" s="1248">
        <f>IF(ISTEXT(X32),X32,(X32/X7)*F6)</f>
        <v>0</v>
      </c>
      <c r="G32" s="1248">
        <f>IF(ISTEXT(Z32),Z32,(Z32/Z7)*G6)</f>
        <v>0</v>
      </c>
      <c r="H32" s="1248">
        <f>IF(ISTEXT(AB32),AB32,(AB32/AB7)*H6)</f>
        <v>0</v>
      </c>
      <c r="I32" s="1248">
        <f>IF(ISTEXT(AD32),AD32,(AD32/AD7)*I6)</f>
        <v>0</v>
      </c>
      <c r="J32" s="1250">
        <f t="shared" si="3"/>
        <v>0</v>
      </c>
      <c r="K32" s="1251">
        <f t="shared" si="4"/>
        <v>0</v>
      </c>
      <c r="L32" s="1252">
        <f>IF(ISTEXT(K32),0,IF(K58=0,0,K32/K58))</f>
        <v>0</v>
      </c>
      <c r="M32" s="1437"/>
      <c r="N32" s="1435"/>
      <c r="Q32" s="1244"/>
      <c r="R32" s="1268"/>
      <c r="S32" s="1269"/>
      <c r="T32" s="1270"/>
      <c r="U32" s="1265"/>
      <c r="V32" s="1257"/>
      <c r="W32" s="1258">
        <f>IF(ISTEXT(V32),0,IF(V58=0,0,V32/V58))</f>
        <v>0</v>
      </c>
      <c r="X32" s="1257"/>
      <c r="Y32" s="1258">
        <f>IF(ISTEXT(X32),0,IF(X58=0,0,X32/X58))</f>
        <v>0</v>
      </c>
      <c r="Z32" s="1257"/>
      <c r="AA32" s="1258">
        <f>IF(ISTEXT(Z32),0,IF(Z58=0,0,Z32/Z58))</f>
        <v>0</v>
      </c>
      <c r="AB32" s="1257"/>
      <c r="AC32" s="1258">
        <f>IF(ISTEXT(AB32),0,IF(AB58=0,0,AB32/AB58))</f>
        <v>0</v>
      </c>
      <c r="AD32" s="1257"/>
      <c r="AE32" s="1259">
        <f>IF(ISTEXT(AD32),0,IF(AD58=0,0,AD32/AD58))</f>
        <v>0</v>
      </c>
      <c r="AG32" s="1439" t="s">
        <v>182</v>
      </c>
    </row>
    <row r="33" spans="1:33" s="1281" customFormat="1" ht="23.25" customHeight="1">
      <c r="A33" s="1244"/>
      <c r="B33" s="1245"/>
      <c r="C33" s="1288">
        <f t="shared" si="1"/>
        <v>0</v>
      </c>
      <c r="D33" s="1247">
        <f t="shared" si="2"/>
        <v>0</v>
      </c>
      <c r="E33" s="1248">
        <f>IF(ISTEXT(V33),V33,(V33/V7)*E6)</f>
        <v>0</v>
      </c>
      <c r="F33" s="1248">
        <f>IF(ISTEXT(X33),X33,(X33/X7)*F6)</f>
        <v>0</v>
      </c>
      <c r="G33" s="1248">
        <f>IF(ISTEXT(Z33),Z33,(Z33/Z7)*G6)</f>
        <v>0</v>
      </c>
      <c r="H33" s="1248">
        <f>IF(ISTEXT(AB33),AB33,(AB33/AB7)*H6)</f>
        <v>0</v>
      </c>
      <c r="I33" s="1248">
        <f>IF(ISTEXT(AD33),AD33,(AD33/AD7)*I6)</f>
        <v>0</v>
      </c>
      <c r="J33" s="1250">
        <f t="shared" si="3"/>
        <v>0</v>
      </c>
      <c r="K33" s="1251">
        <f t="shared" si="4"/>
        <v>0</v>
      </c>
      <c r="L33" s="1252">
        <f>IF(ISTEXT(K33),0,IF(K58=0,0,K33/K58))</f>
        <v>0</v>
      </c>
      <c r="M33" s="1437"/>
      <c r="N33" s="1435"/>
      <c r="Q33" s="1244"/>
      <c r="R33" s="1268"/>
      <c r="S33" s="1269"/>
      <c r="T33" s="1270"/>
      <c r="U33" s="1265"/>
      <c r="V33" s="1257"/>
      <c r="W33" s="1258">
        <f>IF(ISTEXT(V33),0,IF(V58=0,0,V33/V58))</f>
        <v>0</v>
      </c>
      <c r="X33" s="1257"/>
      <c r="Y33" s="1258">
        <f>IF(ISTEXT(X33),0,IF(X58=0,0,X33/X58))</f>
        <v>0</v>
      </c>
      <c r="Z33" s="1257"/>
      <c r="AA33" s="1258">
        <f>IF(ISTEXT(Z33),0,IF(Z58=0,0,Z33/Z58))</f>
        <v>0</v>
      </c>
      <c r="AB33" s="1257"/>
      <c r="AC33" s="1258">
        <f>IF(ISTEXT(AB33),0,IF(AB58=0,0,AB33/AB58))</f>
        <v>0</v>
      </c>
      <c r="AD33" s="1257"/>
      <c r="AE33" s="1259">
        <f>IF(ISTEXT(AD33),0,IF(AD58=0,0,AD33/AD58))</f>
        <v>0</v>
      </c>
      <c r="AG33" s="1439" t="s">
        <v>183</v>
      </c>
    </row>
    <row r="34" spans="1:33" s="1281" customFormat="1" ht="23.25" customHeight="1">
      <c r="A34" s="1244"/>
      <c r="B34" s="1245"/>
      <c r="C34" s="1288">
        <f t="shared" si="1"/>
        <v>0</v>
      </c>
      <c r="D34" s="1247">
        <f t="shared" si="2"/>
        <v>0</v>
      </c>
      <c r="E34" s="1248">
        <f>IF(ISTEXT(V34),V34,(V34/V7)*E6)</f>
        <v>0</v>
      </c>
      <c r="F34" s="1248">
        <f>IF(ISTEXT(X34),X34,(X34/X7)*F6)</f>
        <v>0</v>
      </c>
      <c r="G34" s="1248">
        <f>IF(ISTEXT(Z34),Z34,(Z34/Z7)*G6)</f>
        <v>0</v>
      </c>
      <c r="H34" s="1248">
        <f>IF(ISTEXT(AB34),AB34,(AB34/AB7)*H6)</f>
        <v>0</v>
      </c>
      <c r="I34" s="1248">
        <f>IF(ISTEXT(AD34),AD34,(AD34/AD7)*I6)</f>
        <v>0</v>
      </c>
      <c r="J34" s="1250">
        <f t="shared" si="3"/>
        <v>0</v>
      </c>
      <c r="K34" s="1251">
        <f t="shared" si="4"/>
        <v>0</v>
      </c>
      <c r="L34" s="1252">
        <f>IF(ISTEXT(K34),0,IF(K58=0,0,K34/K58))</f>
        <v>0</v>
      </c>
      <c r="M34" s="1437"/>
      <c r="N34" s="1435"/>
      <c r="Q34" s="1244"/>
      <c r="R34" s="1268"/>
      <c r="S34" s="1269"/>
      <c r="T34" s="1270"/>
      <c r="U34" s="1265"/>
      <c r="V34" s="1257"/>
      <c r="W34" s="1258">
        <f>IF(ISTEXT(V34),0,IF(V58=0,0,V34/V58))</f>
        <v>0</v>
      </c>
      <c r="X34" s="1257"/>
      <c r="Y34" s="1258">
        <f>IF(ISTEXT(X34),0,IF(X58=0,0,X34/X58))</f>
        <v>0</v>
      </c>
      <c r="Z34" s="1257"/>
      <c r="AA34" s="1258">
        <f>IF(ISTEXT(Z34),0,IF(Z58=0,0,Z34/Z58))</f>
        <v>0</v>
      </c>
      <c r="AB34" s="1257"/>
      <c r="AC34" s="1258">
        <f>IF(ISTEXT(AB34),0,IF(AB58=0,0,AB34/AB58))</f>
        <v>0</v>
      </c>
      <c r="AD34" s="1257"/>
      <c r="AE34" s="1259">
        <f>IF(ISTEXT(AD34),0,IF(AD58=0,0,AD34/AD58))</f>
        <v>0</v>
      </c>
      <c r="AG34" s="1439" t="s">
        <v>184</v>
      </c>
    </row>
    <row r="35" spans="1:33" s="1281" customFormat="1" ht="27" customHeight="1">
      <c r="A35" s="1244"/>
      <c r="B35" s="1245"/>
      <c r="C35" s="1288">
        <f t="shared" si="1"/>
        <v>0</v>
      </c>
      <c r="D35" s="1247">
        <f t="shared" si="2"/>
        <v>0</v>
      </c>
      <c r="E35" s="1248">
        <f>IF(ISTEXT(V35),V35,(V35/V7)*E6)</f>
        <v>0</v>
      </c>
      <c r="F35" s="1248">
        <f>IF(ISTEXT(X35),X35,(X35/X7)*F6)</f>
        <v>0</v>
      </c>
      <c r="G35" s="1248">
        <f>IF(ISTEXT(Z35),Z35,(Z35/Z7)*G6)</f>
        <v>0</v>
      </c>
      <c r="H35" s="1248">
        <f>IF(ISTEXT(AB35),AB35,(AB35/AB7)*H6)</f>
        <v>0</v>
      </c>
      <c r="I35" s="1248">
        <f>IF(ISTEXT(AD35),AD35,(AD35/AD7)*I6)</f>
        <v>0</v>
      </c>
      <c r="J35" s="1250">
        <f t="shared" si="3"/>
        <v>0</v>
      </c>
      <c r="K35" s="1251">
        <f t="shared" si="4"/>
        <v>0</v>
      </c>
      <c r="L35" s="1252">
        <f>IF(ISTEXT(K35),0,IF(K58=0,0,K35/K58))</f>
        <v>0</v>
      </c>
      <c r="M35" s="1437"/>
      <c r="N35" s="1435"/>
      <c r="Q35" s="1244"/>
      <c r="R35" s="1268"/>
      <c r="S35" s="1269"/>
      <c r="T35" s="1270"/>
      <c r="U35" s="1265"/>
      <c r="V35" s="1257"/>
      <c r="W35" s="1258">
        <f>IF(ISTEXT(V35),0,IF(V58=0,0,V35/V58))</f>
        <v>0</v>
      </c>
      <c r="X35" s="1257"/>
      <c r="Y35" s="1258">
        <f>IF(ISTEXT(X35),0,IF(X58=0,0,X35/X58))</f>
        <v>0</v>
      </c>
      <c r="Z35" s="1257"/>
      <c r="AA35" s="1258">
        <f>IF(ISTEXT(Z35),0,IF(Z58=0,0,Z35/Z58))</f>
        <v>0</v>
      </c>
      <c r="AB35" s="1257"/>
      <c r="AC35" s="1258">
        <f>IF(ISTEXT(AB35),0,IF(AB58=0,0,AB35/AB58))</f>
        <v>0</v>
      </c>
      <c r="AD35" s="1257"/>
      <c r="AE35" s="1259">
        <f>IF(ISTEXT(AD35),0,IF(AD58=0,0,AD35/AD58))</f>
        <v>0</v>
      </c>
      <c r="AG35" s="1439" t="s">
        <v>185</v>
      </c>
    </row>
    <row r="36" spans="1:33" s="1281" customFormat="1" ht="28.5">
      <c r="A36" s="1244"/>
      <c r="B36" s="1245"/>
      <c r="C36" s="1288">
        <f t="shared" si="1"/>
        <v>0</v>
      </c>
      <c r="D36" s="1247">
        <f t="shared" si="2"/>
        <v>0</v>
      </c>
      <c r="E36" s="1248">
        <f>IF(ISTEXT(V36),V36,(V36/V7)*E6)</f>
        <v>0</v>
      </c>
      <c r="F36" s="1248">
        <f>IF(ISTEXT(X36),X36,(X36/X7)*F6)</f>
        <v>0</v>
      </c>
      <c r="G36" s="1248">
        <f>IF(ISTEXT(Z36),Z36,(Z36/Z7)*G6)</f>
        <v>0</v>
      </c>
      <c r="H36" s="1248">
        <f>IF(ISTEXT(AB36),AB36,(AB36/AB7)*H6)</f>
        <v>0</v>
      </c>
      <c r="I36" s="1248">
        <f>IF(ISTEXT(AD36),AD36,(AD36/AD7)*I6)</f>
        <v>0</v>
      </c>
      <c r="J36" s="1250">
        <f t="shared" si="3"/>
        <v>0</v>
      </c>
      <c r="K36" s="1251">
        <f t="shared" si="4"/>
        <v>0</v>
      </c>
      <c r="L36" s="1252">
        <f>IF(ISTEXT(K36),0,IF(K58=0,0,K36/K58))</f>
        <v>0</v>
      </c>
      <c r="M36" s="1437"/>
      <c r="N36" s="1435"/>
      <c r="Q36" s="1244"/>
      <c r="R36" s="1268"/>
      <c r="S36" s="1269"/>
      <c r="T36" s="1270"/>
      <c r="U36" s="1265"/>
      <c r="V36" s="1257"/>
      <c r="W36" s="1258">
        <f>IF(ISTEXT(V36),0,IF(V58=0,0,V36/V58))</f>
        <v>0</v>
      </c>
      <c r="X36" s="1257"/>
      <c r="Y36" s="1258">
        <f>IF(ISTEXT(X36),0,IF(X58=0,0,X36/X58))</f>
        <v>0</v>
      </c>
      <c r="Z36" s="1257"/>
      <c r="AA36" s="1258">
        <f>IF(ISTEXT(Z36),0,IF(Z58=0,0,Z36/Z58))</f>
        <v>0</v>
      </c>
      <c r="AB36" s="1257"/>
      <c r="AC36" s="1258">
        <f>IF(ISTEXT(AB36),0,IF(AB58=0,0,AB36/AB58))</f>
        <v>0</v>
      </c>
      <c r="AD36" s="1257"/>
      <c r="AE36" s="1259">
        <f>IF(ISTEXT(AD36),0,IF(AD58=0,0,AD36/AD58))</f>
        <v>0</v>
      </c>
      <c r="AG36" s="1439" t="s">
        <v>186</v>
      </c>
    </row>
    <row r="37" spans="1:33" s="1281" customFormat="1" ht="23.25" customHeight="1">
      <c r="A37" s="1244"/>
      <c r="B37" s="1245"/>
      <c r="C37" s="1288">
        <f t="shared" si="1"/>
        <v>0</v>
      </c>
      <c r="D37" s="1247">
        <f t="shared" si="2"/>
        <v>0</v>
      </c>
      <c r="E37" s="1248">
        <f>IF(ISTEXT(V37),V37,(V37/V7)*E6)</f>
        <v>0</v>
      </c>
      <c r="F37" s="1248">
        <f>IF(ISTEXT(X37),X37,(X37/X7)*F6)</f>
        <v>0</v>
      </c>
      <c r="G37" s="1248">
        <f>IF(ISTEXT(Z37),Z37,(Z37/Z7)*G6)</f>
        <v>0</v>
      </c>
      <c r="H37" s="1248">
        <f>IF(ISTEXT(AB37),AB37,(AB37/AB7)*H6)</f>
        <v>0</v>
      </c>
      <c r="I37" s="1248">
        <f>IF(ISTEXT(AD37),AD37,(AD37/AD7)*I6)</f>
        <v>0</v>
      </c>
      <c r="J37" s="1250">
        <f t="shared" si="3"/>
        <v>0</v>
      </c>
      <c r="K37" s="1251">
        <f t="shared" si="4"/>
        <v>0</v>
      </c>
      <c r="L37" s="1252">
        <f>IF(ISTEXT(K37),0,IF(K58=0,0,K37/K58))</f>
        <v>0</v>
      </c>
      <c r="M37" s="1437"/>
      <c r="N37" s="1435"/>
      <c r="Q37" s="1244"/>
      <c r="R37" s="1268"/>
      <c r="S37" s="1269"/>
      <c r="T37" s="1270"/>
      <c r="U37" s="1265"/>
      <c r="V37" s="1257"/>
      <c r="W37" s="1258">
        <f>IF(ISTEXT(V37),0,IF(V58=0,0,V37/V58))</f>
        <v>0</v>
      </c>
      <c r="X37" s="1257"/>
      <c r="Y37" s="1258">
        <f>IF(ISTEXT(X37),0,IF(X58=0,0,X37/X58))</f>
        <v>0</v>
      </c>
      <c r="Z37" s="1257"/>
      <c r="AA37" s="1258">
        <f>IF(ISTEXT(Z37),0,IF(Z58=0,0,Z37/Z58))</f>
        <v>0</v>
      </c>
      <c r="AB37" s="1257"/>
      <c r="AC37" s="1258">
        <f>IF(ISTEXT(AB37),0,IF(AB58=0,0,AB37/AB58))</f>
        <v>0</v>
      </c>
      <c r="AD37" s="1257"/>
      <c r="AE37" s="1259">
        <f>IF(ISTEXT(AD37),0,IF(AD58=0,0,AD37/AD58))</f>
        <v>0</v>
      </c>
      <c r="AG37" s="1439" t="s">
        <v>187</v>
      </c>
    </row>
    <row r="38" spans="1:33" s="1281" customFormat="1" ht="23.25" customHeight="1">
      <c r="A38" s="1244"/>
      <c r="B38" s="1245"/>
      <c r="C38" s="1288">
        <f t="shared" si="1"/>
        <v>0</v>
      </c>
      <c r="D38" s="1247">
        <f t="shared" si="2"/>
        <v>0</v>
      </c>
      <c r="E38" s="1248">
        <f>IF(ISTEXT(V38),V38,(V38/V7)*E6)</f>
        <v>0</v>
      </c>
      <c r="F38" s="1248">
        <f>IF(ISTEXT(X38),X38,(X38/X7)*F6)</f>
        <v>0</v>
      </c>
      <c r="G38" s="1248">
        <f>IF(ISTEXT(Z38),Z38,(Z38/Z7)*G6)</f>
        <v>0</v>
      </c>
      <c r="H38" s="1248">
        <f>IF(ISTEXT(AB38),AB38,(AB38/AB7)*H6)</f>
        <v>0</v>
      </c>
      <c r="I38" s="1248">
        <f>IF(ISTEXT(AD38),AD38,(AD38/AD7)*I6)</f>
        <v>0</v>
      </c>
      <c r="J38" s="1250">
        <f t="shared" si="3"/>
        <v>0</v>
      </c>
      <c r="K38" s="1251">
        <f t="shared" si="4"/>
        <v>0</v>
      </c>
      <c r="L38" s="1252">
        <f>IF(ISTEXT(K38),0,IF(K58=0,0,K38/K58))</f>
        <v>0</v>
      </c>
      <c r="M38" s="1437"/>
      <c r="N38" s="1435"/>
      <c r="Q38" s="1244"/>
      <c r="R38" s="1268"/>
      <c r="S38" s="1269"/>
      <c r="T38" s="1270"/>
      <c r="U38" s="1265"/>
      <c r="V38" s="1257"/>
      <c r="W38" s="1258">
        <f>IF(ISTEXT(V38),0,IF(V58=0,0,V38/V58))</f>
        <v>0</v>
      </c>
      <c r="X38" s="1257"/>
      <c r="Y38" s="1258">
        <f>IF(ISTEXT(X38),0,IF(X58=0,0,X38/X58))</f>
        <v>0</v>
      </c>
      <c r="Z38" s="1257"/>
      <c r="AA38" s="1258">
        <f>IF(ISTEXT(Z38),0,IF(Z58=0,0,Z38/Z58))</f>
        <v>0</v>
      </c>
      <c r="AB38" s="1257"/>
      <c r="AC38" s="1258">
        <f>IF(ISTEXT(AB38),0,IF(AB58=0,0,AB38/AB58))</f>
        <v>0</v>
      </c>
      <c r="AD38" s="1257"/>
      <c r="AE38" s="1259">
        <f>IF(ISTEXT(AD38),0,IF(AD58=0,0,AD38/AD58))</f>
        <v>0</v>
      </c>
      <c r="AG38" s="1439" t="s">
        <v>188</v>
      </c>
    </row>
    <row r="39" spans="1:33" s="1281" customFormat="1" ht="23.25" customHeight="1">
      <c r="A39" s="1244"/>
      <c r="B39" s="1245"/>
      <c r="C39" s="1288">
        <f t="shared" si="1"/>
        <v>0</v>
      </c>
      <c r="D39" s="1247">
        <f t="shared" si="2"/>
        <v>0</v>
      </c>
      <c r="E39" s="1248">
        <f>IF(ISTEXT(V39),V39,(V39/V7)*E6)</f>
        <v>0</v>
      </c>
      <c r="F39" s="1248">
        <f>IF(ISTEXT(X39),X39,(X39/X7)*F6)</f>
        <v>0</v>
      </c>
      <c r="G39" s="1248">
        <f>IF(ISTEXT(Z39),Z39,(Z39/Z7)*G6)</f>
        <v>0</v>
      </c>
      <c r="H39" s="1248">
        <f>IF(ISTEXT(AB39),AB39,(AB39/AB7)*H6)</f>
        <v>0</v>
      </c>
      <c r="I39" s="1248">
        <f>IF(ISTEXT(AD39),AD39,(AD39/AD7)*I6)</f>
        <v>0</v>
      </c>
      <c r="J39" s="1250">
        <f t="shared" si="3"/>
        <v>0</v>
      </c>
      <c r="K39" s="1251">
        <f t="shared" si="4"/>
        <v>0</v>
      </c>
      <c r="L39" s="1252">
        <f>IF(ISTEXT(K39),0,IF(K58=0,0,K39/K58))</f>
        <v>0</v>
      </c>
      <c r="M39" s="1437"/>
      <c r="N39" s="1435"/>
      <c r="Q39" s="1244"/>
      <c r="R39" s="1268"/>
      <c r="S39" s="1269"/>
      <c r="T39" s="1270"/>
      <c r="U39" s="1265"/>
      <c r="V39" s="1257"/>
      <c r="W39" s="1258">
        <f>IF(ISTEXT(V39),0,IF(V58=0,0,V39/V58))</f>
        <v>0</v>
      </c>
      <c r="X39" s="1257"/>
      <c r="Y39" s="1258">
        <f>IF(ISTEXT(X39),0,IF(X58=0,0,X39/X58))</f>
        <v>0</v>
      </c>
      <c r="Z39" s="1257"/>
      <c r="AA39" s="1258">
        <f>IF(ISTEXT(Z39),0,IF(Z58=0,0,Z39/Z58))</f>
        <v>0</v>
      </c>
      <c r="AB39" s="1257"/>
      <c r="AC39" s="1258">
        <f>IF(ISTEXT(AB39),0,IF(AB58=0,0,AB39/AB58))</f>
        <v>0</v>
      </c>
      <c r="AD39" s="1257"/>
      <c r="AE39" s="1259">
        <f>IF(ISTEXT(AD39),0,IF(AD58=0,0,AD39/AD58))</f>
        <v>0</v>
      </c>
      <c r="AG39" s="1439" t="s">
        <v>189</v>
      </c>
    </row>
    <row r="40" spans="1:33" s="1281" customFormat="1" ht="23.25" customHeight="1">
      <c r="A40" s="1244"/>
      <c r="B40" s="1245"/>
      <c r="C40" s="1288">
        <f t="shared" si="1"/>
        <v>0</v>
      </c>
      <c r="D40" s="1247">
        <f t="shared" si="2"/>
        <v>0</v>
      </c>
      <c r="E40" s="1248">
        <f>IF(ISTEXT(V40),V40,(V40/V7)*E6)</f>
        <v>0</v>
      </c>
      <c r="F40" s="1248">
        <f>IF(ISTEXT(X40),X40,(X40/X7)*F6)</f>
        <v>0</v>
      </c>
      <c r="G40" s="1248">
        <f>IF(ISTEXT(Z40),Z40,(Z40/Z7)*G6)</f>
        <v>0</v>
      </c>
      <c r="H40" s="1248">
        <f>IF(ISTEXT(AB40),AB40,(AB40/AB7)*H6)</f>
        <v>0</v>
      </c>
      <c r="I40" s="1248">
        <f>IF(ISTEXT(AD40),AD40,(AD40/AD7)*I6)</f>
        <v>0</v>
      </c>
      <c r="J40" s="1250">
        <f t="shared" si="3"/>
        <v>0</v>
      </c>
      <c r="K40" s="1251">
        <f t="shared" ref="K40:K57" si="5">J40*U40</f>
        <v>0</v>
      </c>
      <c r="L40" s="1252">
        <f>IF(ISTEXT(K40),0,IF(K58=0,0,K40/K58))</f>
        <v>0</v>
      </c>
      <c r="M40" s="1437"/>
      <c r="N40" s="1435"/>
      <c r="Q40" s="1244"/>
      <c r="R40" s="1268"/>
      <c r="S40" s="1269"/>
      <c r="T40" s="1270"/>
      <c r="U40" s="1265"/>
      <c r="V40" s="1257"/>
      <c r="W40" s="1258">
        <f>IF(ISTEXT(V40),0,IF(V58=0,0,V40/V58))</f>
        <v>0</v>
      </c>
      <c r="X40" s="1257"/>
      <c r="Y40" s="1258">
        <f>IF(ISTEXT(X40),0,IF(X58=0,0,X40/X58))</f>
        <v>0</v>
      </c>
      <c r="Z40" s="1257"/>
      <c r="AA40" s="1258">
        <f>IF(ISTEXT(Z40),0,IF(Z58=0,0,Z40/Z58))</f>
        <v>0</v>
      </c>
      <c r="AB40" s="1257"/>
      <c r="AC40" s="1258">
        <f>IF(ISTEXT(AB40),0,IF(AB58=0,0,AB40/AB58))</f>
        <v>0</v>
      </c>
      <c r="AD40" s="1257"/>
      <c r="AE40" s="1259">
        <f>IF(ISTEXT(AD40),0,IF(AD58=0,0,AD40/AD58))</f>
        <v>0</v>
      </c>
      <c r="AG40" s="1439" t="s">
        <v>190</v>
      </c>
    </row>
    <row r="41" spans="1:33" s="1281" customFormat="1" ht="23.25" customHeight="1">
      <c r="A41" s="1244"/>
      <c r="B41" s="1245"/>
      <c r="C41" s="1288">
        <f t="shared" si="1"/>
        <v>0</v>
      </c>
      <c r="D41" s="1247">
        <f t="shared" si="2"/>
        <v>0</v>
      </c>
      <c r="E41" s="1248">
        <f>IF(ISTEXT(V41),V41,(V41/V7)*E6)</f>
        <v>0</v>
      </c>
      <c r="F41" s="1248">
        <f>IF(ISTEXT(X41),X41,(X41/X7)*F6)</f>
        <v>0</v>
      </c>
      <c r="G41" s="1248">
        <f>IF(ISTEXT(Z41),Z41,(Z41/Z7)*G6)</f>
        <v>0</v>
      </c>
      <c r="H41" s="1248">
        <f>IF(ISTEXT(AB41),AB41,(AB41/AB7)*H6)</f>
        <v>0</v>
      </c>
      <c r="I41" s="1248">
        <f>IF(ISTEXT(AD41),AD41,(AD41/AD7)*I6)</f>
        <v>0</v>
      </c>
      <c r="J41" s="1250">
        <f t="shared" si="3"/>
        <v>0</v>
      </c>
      <c r="K41" s="1251">
        <f t="shared" si="5"/>
        <v>0</v>
      </c>
      <c r="L41" s="1252">
        <f>IF(ISTEXT(K41),0,IF(K58=0,0,K41/K58))</f>
        <v>0</v>
      </c>
      <c r="M41" s="1437"/>
      <c r="N41" s="1435"/>
      <c r="Q41" s="1244"/>
      <c r="R41" s="1268"/>
      <c r="S41" s="1269"/>
      <c r="T41" s="1270"/>
      <c r="U41" s="1265"/>
      <c r="V41" s="1257"/>
      <c r="W41" s="1258">
        <f>IF(ISTEXT(V41),0,IF(V58=0,0,V41/V58))</f>
        <v>0</v>
      </c>
      <c r="X41" s="1257"/>
      <c r="Y41" s="1258">
        <f>IF(ISTEXT(X41),0,IF(X58=0,0,X41/X58))</f>
        <v>0</v>
      </c>
      <c r="Z41" s="1257"/>
      <c r="AA41" s="1258">
        <f>IF(ISTEXT(Z41),0,IF(Z58=0,0,Z41/Z58))</f>
        <v>0</v>
      </c>
      <c r="AB41" s="1257"/>
      <c r="AC41" s="1258">
        <f>IF(ISTEXT(AB41),0,IF(AB58=0,0,AB41/AB58))</f>
        <v>0</v>
      </c>
      <c r="AD41" s="1257"/>
      <c r="AE41" s="1259">
        <f>IF(ISTEXT(AD41),0,IF(AD58=0,0,AD41/AD58))</f>
        <v>0</v>
      </c>
      <c r="AG41" s="1439" t="s">
        <v>191</v>
      </c>
    </row>
    <row r="42" spans="1:33" s="1281" customFormat="1" ht="23.25" customHeight="1">
      <c r="A42" s="1244"/>
      <c r="B42" s="1245"/>
      <c r="C42" s="1288">
        <f t="shared" si="1"/>
        <v>0</v>
      </c>
      <c r="D42" s="1247">
        <f t="shared" si="2"/>
        <v>0</v>
      </c>
      <c r="E42" s="1248">
        <f>IF(ISTEXT(V42),V42,(V42/V7)*E6)</f>
        <v>0</v>
      </c>
      <c r="F42" s="1248">
        <f>IF(ISTEXT(X42),X42,(X42/X7)*F6)</f>
        <v>0</v>
      </c>
      <c r="G42" s="1248">
        <f>IF(ISTEXT(Z42),Z42,(Z42/Z7)*G6)</f>
        <v>0</v>
      </c>
      <c r="H42" s="1248">
        <f>IF(ISTEXT(AB42),AB42,(AB42/AB7)*H6)</f>
        <v>0</v>
      </c>
      <c r="I42" s="1248">
        <f>IF(ISTEXT(AD42),AD42,(AD42/AD7)*I6)</f>
        <v>0</v>
      </c>
      <c r="J42" s="1250">
        <f t="shared" si="3"/>
        <v>0</v>
      </c>
      <c r="K42" s="1251">
        <f t="shared" si="5"/>
        <v>0</v>
      </c>
      <c r="L42" s="1252">
        <f>IF(ISTEXT(K42),0,IF(K58=0,0,K42/K58))</f>
        <v>0</v>
      </c>
      <c r="M42" s="1437"/>
      <c r="N42" s="1435"/>
      <c r="Q42" s="1244"/>
      <c r="R42" s="1268"/>
      <c r="S42" s="1269"/>
      <c r="T42" s="1270"/>
      <c r="U42" s="1265"/>
      <c r="V42" s="1257"/>
      <c r="W42" s="1258">
        <f>IF(ISTEXT(V42),0,IF(V58=0,0,V42/V58))</f>
        <v>0</v>
      </c>
      <c r="X42" s="1257"/>
      <c r="Y42" s="1258">
        <f>IF(ISTEXT(X42),0,IF(X58=0,0,X42/X58))</f>
        <v>0</v>
      </c>
      <c r="Z42" s="1257"/>
      <c r="AA42" s="1258">
        <f>IF(ISTEXT(Z42),0,IF(Z58=0,0,Z42/Z58))</f>
        <v>0</v>
      </c>
      <c r="AB42" s="1257"/>
      <c r="AC42" s="1258">
        <f>IF(ISTEXT(AB42),0,IF(AB58=0,0,AB42/AB58))</f>
        <v>0</v>
      </c>
      <c r="AD42" s="1257"/>
      <c r="AE42" s="1259">
        <f>IF(ISTEXT(AD42),0,IF(AD58=0,0,AD42/AD58))</f>
        <v>0</v>
      </c>
      <c r="AG42" s="1439" t="s">
        <v>192</v>
      </c>
    </row>
    <row r="43" spans="1:33" s="1281" customFormat="1" ht="46.5" customHeight="1">
      <c r="A43" s="1244"/>
      <c r="B43" s="1245"/>
      <c r="C43" s="1288">
        <f t="shared" si="1"/>
        <v>0</v>
      </c>
      <c r="D43" s="1247">
        <f t="shared" si="2"/>
        <v>0</v>
      </c>
      <c r="E43" s="1248">
        <f>IF(ISTEXT(V43),V43,(V43/V7)*E6)</f>
        <v>0</v>
      </c>
      <c r="F43" s="1248">
        <f>IF(ISTEXT(X43),X43,(X43/X7)*F6)</f>
        <v>0</v>
      </c>
      <c r="G43" s="1248">
        <f>IF(ISTEXT(Z43),Z43,(Z43/Z7)*G6)</f>
        <v>0</v>
      </c>
      <c r="H43" s="1248">
        <f>IF(ISTEXT(AB43),AB43,(AB43/AB7)*H6)</f>
        <v>0</v>
      </c>
      <c r="I43" s="1248">
        <f>IF(ISTEXT(AD43),AD43,(AD43/AD7)*I6)</f>
        <v>0</v>
      </c>
      <c r="J43" s="1250">
        <f t="shared" si="3"/>
        <v>0</v>
      </c>
      <c r="K43" s="1251">
        <f t="shared" si="5"/>
        <v>0</v>
      </c>
      <c r="L43" s="1252">
        <f>IF(ISTEXT(K43),0,IF(K58=0,0,K43/K58))</f>
        <v>0</v>
      </c>
      <c r="M43" s="1437"/>
      <c r="N43" s="1435"/>
      <c r="Q43" s="1244"/>
      <c r="R43" s="1268"/>
      <c r="S43" s="1269"/>
      <c r="T43" s="1270"/>
      <c r="U43" s="1265"/>
      <c r="V43" s="1257"/>
      <c r="W43" s="1258">
        <f>IF(ISTEXT(V43),0,IF(V58=0,0,V43/V58))</f>
        <v>0</v>
      </c>
      <c r="X43" s="1257"/>
      <c r="Y43" s="1258">
        <f>IF(ISTEXT(X43),0,IF(X58=0,0,X43/X58))</f>
        <v>0</v>
      </c>
      <c r="Z43" s="1257"/>
      <c r="AA43" s="1258">
        <f>IF(ISTEXT(Z43),0,IF(Z58=0,0,Z43/Z58))</f>
        <v>0</v>
      </c>
      <c r="AB43" s="1257"/>
      <c r="AC43" s="1258">
        <f>IF(ISTEXT(AB43),0,IF(AB58=0,0,AB43/AB58))</f>
        <v>0</v>
      </c>
      <c r="AD43" s="1257"/>
      <c r="AE43" s="1259">
        <f>IF(ISTEXT(AD43),0,IF(AD58=0,0,AD43/AD58))</f>
        <v>0</v>
      </c>
      <c r="AG43" s="1439" t="s">
        <v>193</v>
      </c>
    </row>
    <row r="44" spans="1:33" s="1281" customFormat="1" ht="23.25" customHeight="1">
      <c r="A44" s="1244"/>
      <c r="B44" s="1245"/>
      <c r="C44" s="1288">
        <f t="shared" si="1"/>
        <v>0</v>
      </c>
      <c r="D44" s="1247">
        <f t="shared" si="2"/>
        <v>0</v>
      </c>
      <c r="E44" s="1248">
        <f>IF(ISTEXT(V44),V44,(V44/V7)*E6)</f>
        <v>0</v>
      </c>
      <c r="F44" s="1248">
        <f>IF(ISTEXT(X44),X44,(X44/X7)*F6)</f>
        <v>0</v>
      </c>
      <c r="G44" s="1248">
        <f>IF(ISTEXT(Z44),Z44,(Z44/Z7)*G6)</f>
        <v>0</v>
      </c>
      <c r="H44" s="1248">
        <f>IF(ISTEXT(AB44),AB44,(AB44/AB7)*H6)</f>
        <v>0</v>
      </c>
      <c r="I44" s="1248">
        <f>IF(ISTEXT(AD44),AD44,(AD44/AD7)*I6)</f>
        <v>0</v>
      </c>
      <c r="J44" s="1250">
        <f t="shared" si="3"/>
        <v>0</v>
      </c>
      <c r="K44" s="1251">
        <f t="shared" si="5"/>
        <v>0</v>
      </c>
      <c r="L44" s="1252">
        <f>IF(ISTEXT(K44),0,IF(K58=0,0,K44/K58))</f>
        <v>0</v>
      </c>
      <c r="M44" s="1437"/>
      <c r="N44" s="1435"/>
      <c r="Q44" s="1244"/>
      <c r="R44" s="1268"/>
      <c r="S44" s="1269"/>
      <c r="T44" s="1270"/>
      <c r="U44" s="1265"/>
      <c r="V44" s="1257"/>
      <c r="W44" s="1258">
        <f>IF(ISTEXT(V44),0,IF(V58=0,0,V44/V58))</f>
        <v>0</v>
      </c>
      <c r="X44" s="1257"/>
      <c r="Y44" s="1258">
        <f>IF(ISTEXT(X44),0,IF(X58=0,0,X44/X58))</f>
        <v>0</v>
      </c>
      <c r="Z44" s="1257"/>
      <c r="AA44" s="1258">
        <f>IF(ISTEXT(Z44),0,IF(Z58=0,0,Z44/Z58))</f>
        <v>0</v>
      </c>
      <c r="AB44" s="1257"/>
      <c r="AC44" s="1258">
        <f>IF(ISTEXT(AB44),0,IF(AB58=0,0,AB44/AB58))</f>
        <v>0</v>
      </c>
      <c r="AD44" s="1257"/>
      <c r="AE44" s="1259">
        <f>IF(ISTEXT(AD44),0,IF(AD58=0,0,AD44/AD58))</f>
        <v>0</v>
      </c>
      <c r="AG44" s="1439" t="s">
        <v>194</v>
      </c>
    </row>
    <row r="45" spans="1:33" s="1281" customFormat="1" ht="23.25" customHeight="1">
      <c r="A45" s="1244"/>
      <c r="B45" s="1245"/>
      <c r="C45" s="1288">
        <f t="shared" si="1"/>
        <v>0</v>
      </c>
      <c r="D45" s="1247">
        <f t="shared" si="2"/>
        <v>0</v>
      </c>
      <c r="E45" s="1248">
        <f>IF(ISTEXT(V45),V45,(V45/V7)*E6)</f>
        <v>0</v>
      </c>
      <c r="F45" s="1248">
        <f>IF(ISTEXT(X45),X45,(X45/X7)*F6)</f>
        <v>0</v>
      </c>
      <c r="G45" s="1248">
        <f>IF(ISTEXT(Z45),Z45,(Z45/Z7)*G6)</f>
        <v>0</v>
      </c>
      <c r="H45" s="1248">
        <f>IF(ISTEXT(AB45),AB45,(AB45/AB7)*H6)</f>
        <v>0</v>
      </c>
      <c r="I45" s="1248">
        <f>IF(ISTEXT(AD45),AD45,(AD45/AD7)*I6)</f>
        <v>0</v>
      </c>
      <c r="J45" s="1250">
        <f t="shared" si="3"/>
        <v>0</v>
      </c>
      <c r="K45" s="1251">
        <f t="shared" si="5"/>
        <v>0</v>
      </c>
      <c r="L45" s="1252">
        <f>IF(ISTEXT(K45),0,IF(K58=0,0,K45/K58))</f>
        <v>0</v>
      </c>
      <c r="M45" s="1437"/>
      <c r="N45" s="1435"/>
      <c r="Q45" s="1244"/>
      <c r="R45" s="1268"/>
      <c r="S45" s="1269"/>
      <c r="T45" s="1270"/>
      <c r="U45" s="1265"/>
      <c r="V45" s="1257"/>
      <c r="W45" s="1258">
        <f>IF(ISTEXT(V45),0,IF(V58=0,0,V45/V58))</f>
        <v>0</v>
      </c>
      <c r="X45" s="1257"/>
      <c r="Y45" s="1258">
        <f>IF(ISTEXT(X45),0,IF(X58=0,0,X45/X58))</f>
        <v>0</v>
      </c>
      <c r="Z45" s="1257"/>
      <c r="AA45" s="1258">
        <f>IF(ISTEXT(Z45),0,IF(Z58=0,0,Z45/Z58))</f>
        <v>0</v>
      </c>
      <c r="AB45" s="1257"/>
      <c r="AC45" s="1258">
        <f>IF(ISTEXT(AB45),0,IF(AB58=0,0,AB45/AB58))</f>
        <v>0</v>
      </c>
      <c r="AD45" s="1257"/>
      <c r="AE45" s="1259">
        <f>IF(ISTEXT(AD45),0,IF(AD58=0,0,AD45/AD58))</f>
        <v>0</v>
      </c>
      <c r="AG45" s="1438"/>
    </row>
    <row r="46" spans="1:33" s="1281" customFormat="1" ht="23.25" customHeight="1">
      <c r="A46" s="1244"/>
      <c r="B46" s="1245"/>
      <c r="C46" s="1288">
        <f t="shared" si="1"/>
        <v>0</v>
      </c>
      <c r="D46" s="1247">
        <f t="shared" si="2"/>
        <v>0</v>
      </c>
      <c r="E46" s="1248">
        <f>IF(ISTEXT(V46),V46,(V46/V7)*E6)</f>
        <v>0</v>
      </c>
      <c r="F46" s="1248">
        <f>IF(ISTEXT(X46),X46,(X46/X7)*F6)</f>
        <v>0</v>
      </c>
      <c r="G46" s="1248">
        <f>IF(ISTEXT(Z46),Z46,(Z46/Z7)*G6)</f>
        <v>0</v>
      </c>
      <c r="H46" s="1248">
        <f>IF(ISTEXT(AB46),AB46,(AB46/AB7)*H6)</f>
        <v>0</v>
      </c>
      <c r="I46" s="1248">
        <f>IF(ISTEXT(AD46),AD46,(AD46/AD7)*I6)</f>
        <v>0</v>
      </c>
      <c r="J46" s="1250">
        <f t="shared" si="3"/>
        <v>0</v>
      </c>
      <c r="K46" s="1251">
        <f t="shared" si="5"/>
        <v>0</v>
      </c>
      <c r="L46" s="1252">
        <f>IF(ISTEXT(K46),0,IF(K58=0,0,K46/K58))</f>
        <v>0</v>
      </c>
      <c r="M46" s="1437"/>
      <c r="N46" s="1435"/>
      <c r="Q46" s="1244"/>
      <c r="R46" s="1268"/>
      <c r="S46" s="1269"/>
      <c r="T46" s="1270"/>
      <c r="U46" s="1265"/>
      <c r="V46" s="1257"/>
      <c r="W46" s="1258">
        <f>IF(ISTEXT(V46),0,IF(V58=0,0,V46/V58))</f>
        <v>0</v>
      </c>
      <c r="X46" s="1257"/>
      <c r="Y46" s="1258">
        <f>IF(ISTEXT(X46),0,IF(X58=0,0,X46/X58))</f>
        <v>0</v>
      </c>
      <c r="Z46" s="1257"/>
      <c r="AA46" s="1258">
        <f>IF(ISTEXT(Z46),0,IF(Z58=0,0,Z46/Z58))</f>
        <v>0</v>
      </c>
      <c r="AB46" s="1257"/>
      <c r="AC46" s="1258">
        <f>IF(ISTEXT(AB46),0,IF(AB58=0,0,AB46/AB58))</f>
        <v>0</v>
      </c>
      <c r="AD46" s="1257"/>
      <c r="AE46" s="1259">
        <f>IF(ISTEXT(AD46),0,IF(AD58=0,0,AD46/AD58))</f>
        <v>0</v>
      </c>
      <c r="AG46" s="1440" t="s">
        <v>175</v>
      </c>
    </row>
    <row r="47" spans="1:33" s="1281" customFormat="1" ht="27" customHeight="1">
      <c r="A47" s="1244"/>
      <c r="B47" s="1245"/>
      <c r="C47" s="1288">
        <f t="shared" si="1"/>
        <v>0</v>
      </c>
      <c r="D47" s="1247">
        <f t="shared" si="2"/>
        <v>0</v>
      </c>
      <c r="E47" s="1248">
        <f>IF(ISTEXT(V47),V47,(V47/V7)*E6)</f>
        <v>0</v>
      </c>
      <c r="F47" s="1248">
        <f>IF(ISTEXT(X47),X47,(X47/X7)*F6)</f>
        <v>0</v>
      </c>
      <c r="G47" s="1248">
        <f>IF(ISTEXT(Z47),Z47,(Z47/Z7)*G6)</f>
        <v>0</v>
      </c>
      <c r="H47" s="1248">
        <f>IF(ISTEXT(AB47),AB47,(AB47/AB7)*H6)</f>
        <v>0</v>
      </c>
      <c r="I47" s="1248">
        <f>IF(ISTEXT(AD47),AD47,(AD47/AD7)*I6)</f>
        <v>0</v>
      </c>
      <c r="J47" s="1250">
        <f t="shared" si="3"/>
        <v>0</v>
      </c>
      <c r="K47" s="1251">
        <f t="shared" si="5"/>
        <v>0</v>
      </c>
      <c r="L47" s="1252">
        <f>IF(ISTEXT(K47),0,IF(K58=0,0,K47/K58))</f>
        <v>0</v>
      </c>
      <c r="M47" s="1437"/>
      <c r="N47" s="1435"/>
      <c r="Q47" s="1244"/>
      <c r="R47" s="1268"/>
      <c r="S47" s="1269"/>
      <c r="T47" s="1270"/>
      <c r="U47" s="1265"/>
      <c r="V47" s="1257"/>
      <c r="W47" s="1258">
        <f>IF(ISTEXT(V47),0,IF(V58=0,0,V47/V58))</f>
        <v>0</v>
      </c>
      <c r="X47" s="1257"/>
      <c r="Y47" s="1258">
        <f>IF(ISTEXT(X47),0,IF(X58=0,0,X47/X58))</f>
        <v>0</v>
      </c>
      <c r="Z47" s="1257"/>
      <c r="AA47" s="1258">
        <f>IF(ISTEXT(Z47),0,IF(Z58=0,0,Z47/Z58))</f>
        <v>0</v>
      </c>
      <c r="AB47" s="1257"/>
      <c r="AC47" s="1258">
        <f>IF(ISTEXT(AB47),0,IF(AB58=0,0,AB47/AB58))</f>
        <v>0</v>
      </c>
      <c r="AD47" s="1257"/>
      <c r="AE47" s="1259">
        <f>IF(ISTEXT(AD47),0,IF(AD58=0,0,AD47/AD58))</f>
        <v>0</v>
      </c>
      <c r="AG47" s="1441" t="s">
        <v>176</v>
      </c>
    </row>
    <row r="48" spans="1:33" ht="23.25" customHeight="1">
      <c r="A48" s="1244"/>
      <c r="B48" s="1245"/>
      <c r="C48" s="1288">
        <f t="shared" si="1"/>
        <v>0</v>
      </c>
      <c r="D48" s="1247">
        <f t="shared" si="2"/>
        <v>0</v>
      </c>
      <c r="E48" s="1248">
        <f>IF(ISTEXT(V48),V48,(V48/V7)*E6)</f>
        <v>0</v>
      </c>
      <c r="F48" s="1248">
        <f>IF(ISTEXT(X48),X48,(X48/X7)*F6)</f>
        <v>0</v>
      </c>
      <c r="G48" s="1248">
        <f>IF(ISTEXT(Z48),Z48,(Z48/Z7)*G6)</f>
        <v>0</v>
      </c>
      <c r="H48" s="1248">
        <f>IF(ISTEXT(AB48),AB48,(AB48/AB7)*H6)</f>
        <v>0</v>
      </c>
      <c r="I48" s="1248">
        <f>IF(ISTEXT(AD48),AD48,(AD48/AD7)*I6)</f>
        <v>0</v>
      </c>
      <c r="J48" s="1250">
        <f t="shared" si="3"/>
        <v>0</v>
      </c>
      <c r="K48" s="1251">
        <f t="shared" si="5"/>
        <v>0</v>
      </c>
      <c r="L48" s="1252">
        <f>IF(ISTEXT(K48),0,IF(K58=0,0,K48/K58))</f>
        <v>0</v>
      </c>
      <c r="M48" s="1437"/>
      <c r="N48" s="1435"/>
      <c r="Q48" s="1244"/>
      <c r="R48" s="1268"/>
      <c r="S48" s="1269"/>
      <c r="T48" s="1270"/>
      <c r="U48" s="1265"/>
      <c r="V48" s="1257"/>
      <c r="W48" s="1258">
        <f>IF(ISTEXT(V48),0,IF(V58=0,0,V48/V58))</f>
        <v>0</v>
      </c>
      <c r="X48" s="1257"/>
      <c r="Y48" s="1258">
        <f>IF(ISTEXT(X48),0,IF(X58=0,0,X48/X58))</f>
        <v>0</v>
      </c>
      <c r="Z48" s="1257"/>
      <c r="AA48" s="1258">
        <f>IF(ISTEXT(Z48),0,IF(Z58=0,0,Z48/Z58))</f>
        <v>0</v>
      </c>
      <c r="AB48" s="1257"/>
      <c r="AC48" s="1258">
        <f>IF(ISTEXT(AB48),0,IF(AB58=0,0,AB48/AB58))</f>
        <v>0</v>
      </c>
      <c r="AD48" s="1257"/>
      <c r="AE48" s="1259">
        <f>IF(ISTEXT(AD48),0,IF(AD58=0,0,AD48/AD58))</f>
        <v>0</v>
      </c>
      <c r="AG48" s="1442" t="s">
        <v>177</v>
      </c>
    </row>
    <row r="49" spans="1:33" ht="27" customHeight="1">
      <c r="A49" s="1244"/>
      <c r="B49" s="1245"/>
      <c r="C49" s="1288">
        <f t="shared" si="1"/>
        <v>0</v>
      </c>
      <c r="D49" s="1247">
        <f t="shared" si="2"/>
        <v>0</v>
      </c>
      <c r="E49" s="1248">
        <f>IF(ISTEXT(V49),V49,(V49/V7)*E6)</f>
        <v>0</v>
      </c>
      <c r="F49" s="1248">
        <f>IF(ISTEXT(X49),X49,(X49/X7)*F6)</f>
        <v>0</v>
      </c>
      <c r="G49" s="1248">
        <f>IF(ISTEXT(Z49),Z49,(Z49/Z7)*G6)</f>
        <v>0</v>
      </c>
      <c r="H49" s="1248">
        <f>IF(ISTEXT(AB49),AB49,(AB49/AB7)*H6)</f>
        <v>0</v>
      </c>
      <c r="I49" s="1248">
        <f>IF(ISTEXT(AD49),AD49,(AD49/AD7)*I6)</f>
        <v>0</v>
      </c>
      <c r="J49" s="1250">
        <f t="shared" si="3"/>
        <v>0</v>
      </c>
      <c r="K49" s="1251">
        <f t="shared" si="5"/>
        <v>0</v>
      </c>
      <c r="L49" s="1252">
        <f>IF(ISTEXT(K49),0,IF(K58=0,0,K49/K58))</f>
        <v>0</v>
      </c>
      <c r="M49" s="1437"/>
      <c r="N49" s="1435"/>
      <c r="Q49" s="1244"/>
      <c r="R49" s="1268"/>
      <c r="S49" s="1269"/>
      <c r="T49" s="1270"/>
      <c r="U49" s="1265"/>
      <c r="V49" s="1257"/>
      <c r="W49" s="1258">
        <f>IF(ISTEXT(V49),0,IF(V58=0,0,V49/V58))</f>
        <v>0</v>
      </c>
      <c r="X49" s="1257"/>
      <c r="Y49" s="1258">
        <f>IF(ISTEXT(X49),0,IF(X58=0,0,X49/X58))</f>
        <v>0</v>
      </c>
      <c r="Z49" s="1257"/>
      <c r="AA49" s="1258">
        <f>IF(ISTEXT(Z49),0,IF(Z58=0,0,Z49/Z58))</f>
        <v>0</v>
      </c>
      <c r="AB49" s="1257"/>
      <c r="AC49" s="1258">
        <f>IF(ISTEXT(AB49),0,IF(AB58=0,0,AB49/AB58))</f>
        <v>0</v>
      </c>
      <c r="AD49" s="1257"/>
      <c r="AE49" s="1259">
        <f>IF(ISTEXT(AD49),0,IF(AD58=0,0,AD49/AD58))</f>
        <v>0</v>
      </c>
      <c r="AG49" s="1443" t="s">
        <v>178</v>
      </c>
    </row>
    <row r="50" spans="1:33" ht="23.25" customHeight="1">
      <c r="A50" s="1244"/>
      <c r="B50" s="1245"/>
      <c r="C50" s="1288">
        <f t="shared" si="1"/>
        <v>0</v>
      </c>
      <c r="D50" s="1247">
        <f t="shared" si="2"/>
        <v>0</v>
      </c>
      <c r="E50" s="1248">
        <f>IF(ISTEXT(V50),V50,(V50/V7)*E6)</f>
        <v>0</v>
      </c>
      <c r="F50" s="1248">
        <f>IF(ISTEXT(X50),X50,(X50/X7)*F6)</f>
        <v>0</v>
      </c>
      <c r="G50" s="1248">
        <f>IF(ISTEXT(Z50),Z50,(Z50/Z7)*G6)</f>
        <v>0</v>
      </c>
      <c r="H50" s="1248">
        <f>IF(ISTEXT(AB50),AB50,(AB50/AB7)*H6)</f>
        <v>0</v>
      </c>
      <c r="I50" s="1248">
        <f>IF(ISTEXT(AD50),AD50,(AD50/AD7)*I6)</f>
        <v>0</v>
      </c>
      <c r="J50" s="1250">
        <f t="shared" si="3"/>
        <v>0</v>
      </c>
      <c r="K50" s="1251">
        <f t="shared" si="5"/>
        <v>0</v>
      </c>
      <c r="L50" s="1252">
        <f>IF(ISTEXT(K50),0,IF(K58=0,0,K50/K58))</f>
        <v>0</v>
      </c>
      <c r="M50" s="1437"/>
      <c r="N50" s="1435"/>
      <c r="Q50" s="1244"/>
      <c r="R50" s="1268"/>
      <c r="S50" s="1269"/>
      <c r="T50" s="1270"/>
      <c r="U50" s="1265"/>
      <c r="V50" s="1257"/>
      <c r="W50" s="1258">
        <f>IF(ISTEXT(V50),0,IF(V58=0,0,V50/V58))</f>
        <v>0</v>
      </c>
      <c r="X50" s="1257"/>
      <c r="Y50" s="1258">
        <f>IF(ISTEXT(X50),0,IF(X58=0,0,X50/X58))</f>
        <v>0</v>
      </c>
      <c r="Z50" s="1257"/>
      <c r="AA50" s="1258">
        <f>IF(ISTEXT(Z50),0,IF(Z58=0,0,Z50/Z58))</f>
        <v>0</v>
      </c>
      <c r="AB50" s="1257"/>
      <c r="AC50" s="1258">
        <f>IF(ISTEXT(AB50),0,IF(AB58=0,0,AB50/AB58))</f>
        <v>0</v>
      </c>
      <c r="AD50" s="1257"/>
      <c r="AE50" s="1259">
        <f>IF(ISTEXT(AD50),0,IF(AD58=0,0,AD50/AD58))</f>
        <v>0</v>
      </c>
      <c r="AG50" s="1444" t="s">
        <v>179</v>
      </c>
    </row>
    <row r="51" spans="1:33" ht="28.5">
      <c r="A51" s="1244"/>
      <c r="B51" s="1245"/>
      <c r="C51" s="1288"/>
      <c r="D51" s="1247">
        <f t="shared" ref="D51:D57" si="6">T51</f>
        <v>0</v>
      </c>
      <c r="E51" s="1248">
        <f>IF(ISTEXT(V51),V51,(V51/V7)*E6)</f>
        <v>0</v>
      </c>
      <c r="F51" s="1248">
        <f>IF(ISTEXT(X51),X51,(X51/X7)*F6)</f>
        <v>0</v>
      </c>
      <c r="G51" s="1248">
        <f>IF(ISTEXT(Z51),Z51,(Z51/Z7)*G6)</f>
        <v>0</v>
      </c>
      <c r="H51" s="1248">
        <f>IF(ISTEXT(AB51),AB51,(AB51/AB7)*H6)</f>
        <v>0</v>
      </c>
      <c r="I51" s="1248">
        <f>IF(ISTEXT(AD51),AD51,(AD51/AD7)*I6)</f>
        <v>0</v>
      </c>
      <c r="J51" s="1250">
        <f t="shared" si="3"/>
        <v>0</v>
      </c>
      <c r="K51" s="1251">
        <f t="shared" si="5"/>
        <v>0</v>
      </c>
      <c r="L51" s="1252">
        <f>IF(ISTEXT(K51),0,IF(K58=0,0,K51/K58))</f>
        <v>0</v>
      </c>
      <c r="M51" s="1437"/>
      <c r="N51" s="1435"/>
      <c r="Q51" s="1244"/>
      <c r="R51" s="1268"/>
      <c r="S51" s="1269"/>
      <c r="T51" s="1270"/>
      <c r="U51" s="1265"/>
      <c r="V51" s="1257"/>
      <c r="W51" s="1258">
        <f>IF(ISTEXT(V51),0,IF(V58=0,0,V51/V58))</f>
        <v>0</v>
      </c>
      <c r="X51" s="1257"/>
      <c r="Y51" s="1258">
        <f>IF(ISTEXT(X51),0,IF(X58=0,0,X51/X58))</f>
        <v>0</v>
      </c>
      <c r="Z51" s="1257"/>
      <c r="AA51" s="1258">
        <f>IF(ISTEXT(Z51),0,IF(Z58=0,0,Z51/Z58))</f>
        <v>0</v>
      </c>
      <c r="AB51" s="1257"/>
      <c r="AC51" s="1258">
        <f>IF(ISTEXT(AB51),0,IF(AB58=0,0,AB51/AB58))</f>
        <v>0</v>
      </c>
      <c r="AD51" s="1257"/>
      <c r="AE51" s="1259">
        <f>IF(ISTEXT(AD51),0,IF(AD58=0,0,AD51/AD58))</f>
        <v>0</v>
      </c>
      <c r="AG51" s="1445" t="s">
        <v>180</v>
      </c>
    </row>
    <row r="52" spans="1:33" ht="27.75" customHeight="1">
      <c r="A52" s="1244"/>
      <c r="B52" s="1245"/>
      <c r="C52" s="1288"/>
      <c r="D52" s="1247">
        <f t="shared" si="6"/>
        <v>0</v>
      </c>
      <c r="E52" s="1248">
        <f>IF(ISTEXT(V52),V52,(V52/V7)*E6)</f>
        <v>0</v>
      </c>
      <c r="F52" s="1248">
        <f>IF(ISTEXT(X52),X52,(X52/X7)*F6)</f>
        <v>0</v>
      </c>
      <c r="G52" s="1248">
        <f>IF(ISTEXT(Z52),Z52,(Z52/Z7)*G6)</f>
        <v>0</v>
      </c>
      <c r="H52" s="1248">
        <f>IF(ISTEXT(AB52),AB52,(AB52/AB7)*H6)</f>
        <v>0</v>
      </c>
      <c r="I52" s="1248">
        <f>IF(ISTEXT(AD52),AD52,(AD52/AD7)*I6)</f>
        <v>0</v>
      </c>
      <c r="J52" s="1250">
        <f t="shared" si="3"/>
        <v>0</v>
      </c>
      <c r="K52" s="1251">
        <f t="shared" si="5"/>
        <v>0</v>
      </c>
      <c r="L52" s="1252">
        <f>IF(ISTEXT(K52),0,IF(K58=0,0,K52/K58))</f>
        <v>0</v>
      </c>
      <c r="M52" s="1437"/>
      <c r="N52" s="1435"/>
      <c r="Q52" s="1244"/>
      <c r="R52" s="1268"/>
      <c r="S52" s="1269"/>
      <c r="T52" s="1270"/>
      <c r="U52" s="1265"/>
      <c r="V52" s="1257"/>
      <c r="W52" s="1258">
        <f>IF(ISTEXT(V52),0,IF(V58=0,0,V52/V58))</f>
        <v>0</v>
      </c>
      <c r="X52" s="1257"/>
      <c r="Y52" s="1258">
        <f>IF(ISTEXT(X52),0,IF(X58=0,0,X52/X58))</f>
        <v>0</v>
      </c>
      <c r="Z52" s="1257"/>
      <c r="AA52" s="1258">
        <f>IF(ISTEXT(Z52),0,IF(Z58=0,0,Z52/Z58))</f>
        <v>0</v>
      </c>
      <c r="AB52" s="1257"/>
      <c r="AC52" s="1258">
        <f>IF(ISTEXT(AB52),0,IF(AB58=0,0,AB52/AB58))</f>
        <v>0</v>
      </c>
      <c r="AD52" s="1257"/>
      <c r="AE52" s="1259">
        <f>IF(ISTEXT(AD52),0,IF(AD58=0,0,AD52/AD58))</f>
        <v>0</v>
      </c>
      <c r="AG52" s="1446" t="s">
        <v>181</v>
      </c>
    </row>
    <row r="53" spans="1:33" ht="28.5">
      <c r="A53" s="1244"/>
      <c r="B53" s="1245"/>
      <c r="C53" s="1288"/>
      <c r="D53" s="1247">
        <f t="shared" si="6"/>
        <v>0</v>
      </c>
      <c r="E53" s="1248">
        <f>IF(ISTEXT(V53),V53,(V53/V7)*E6)</f>
        <v>0</v>
      </c>
      <c r="F53" s="1248">
        <f>IF(ISTEXT(X53),X53,(X53/X7)*F6)</f>
        <v>0</v>
      </c>
      <c r="G53" s="1248">
        <f>IF(ISTEXT(Z53),Z53,(Z53/Z7)*G6)</f>
        <v>0</v>
      </c>
      <c r="H53" s="1248">
        <f>IF(ISTEXT(AB53),AB53,(AB53/AB7)*H6)</f>
        <v>0</v>
      </c>
      <c r="I53" s="1248">
        <f>IF(ISTEXT(AD53),AD53,(AD53/AD7)*I6)</f>
        <v>0</v>
      </c>
      <c r="J53" s="1250">
        <f t="shared" si="3"/>
        <v>0</v>
      </c>
      <c r="K53" s="1251">
        <f t="shared" si="5"/>
        <v>0</v>
      </c>
      <c r="L53" s="1252">
        <f>IF(ISTEXT(K53),0,IF(K58=0,0,K53/K58))</f>
        <v>0</v>
      </c>
      <c r="M53" s="1437"/>
      <c r="N53" s="1435"/>
      <c r="Q53" s="1244"/>
      <c r="R53" s="1268"/>
      <c r="S53" s="1269"/>
      <c r="T53" s="1270"/>
      <c r="U53" s="1265"/>
      <c r="V53" s="1257"/>
      <c r="W53" s="1258">
        <f>IF(ISTEXT(V53),0,IF(V58=0,0,V53/V58))</f>
        <v>0</v>
      </c>
      <c r="X53" s="1257"/>
      <c r="Y53" s="1258">
        <f>IF(ISTEXT(X53),0,IF(X58=0,0,X53/X58))</f>
        <v>0</v>
      </c>
      <c r="Z53" s="1257"/>
      <c r="AA53" s="1258">
        <f>IF(ISTEXT(Z53),0,IF(Z58=0,0,Z53/Z58))</f>
        <v>0</v>
      </c>
      <c r="AB53" s="1257"/>
      <c r="AC53" s="1258">
        <f>IF(ISTEXT(AB53),0,IF(AB58=0,0,AB53/AB58))</f>
        <v>0</v>
      </c>
      <c r="AD53" s="1257"/>
      <c r="AE53" s="1259">
        <f>IF(ISTEXT(AD53),0,IF(AD58=0,0,AD53/AD58))</f>
        <v>0</v>
      </c>
      <c r="AG53" s="1447" t="s">
        <v>182</v>
      </c>
    </row>
    <row r="54" spans="1:33" ht="28.5">
      <c r="A54" s="1244"/>
      <c r="B54" s="1245"/>
      <c r="C54" s="1288"/>
      <c r="D54" s="1247">
        <f t="shared" si="6"/>
        <v>0</v>
      </c>
      <c r="E54" s="1248">
        <f>IF(ISTEXT(V54),V54,(V54/V7)*E6)</f>
        <v>0</v>
      </c>
      <c r="F54" s="1248">
        <f>IF(ISTEXT(X54),X54,(X54/X7)*F6)</f>
        <v>0</v>
      </c>
      <c r="G54" s="1248">
        <f>IF(ISTEXT(Z54),Z54,(Z54/Z7)*G6)</f>
        <v>0</v>
      </c>
      <c r="H54" s="1248">
        <f>IF(ISTEXT(AB54),AB54,(AB54/AB7)*H6)</f>
        <v>0</v>
      </c>
      <c r="I54" s="1248">
        <f>IF(ISTEXT(AD54),AD54,(AD54/AD7)*I6)</f>
        <v>0</v>
      </c>
      <c r="J54" s="1250">
        <f t="shared" si="3"/>
        <v>0</v>
      </c>
      <c r="K54" s="1251">
        <f t="shared" si="5"/>
        <v>0</v>
      </c>
      <c r="L54" s="1252">
        <f>IF(ISTEXT(K54),0,IF(K58=0,0,K54/K58))</f>
        <v>0</v>
      </c>
      <c r="M54" s="1437"/>
      <c r="N54" s="1435"/>
      <c r="Q54" s="1244"/>
      <c r="R54" s="1268"/>
      <c r="S54" s="1269"/>
      <c r="T54" s="1270"/>
      <c r="U54" s="1265"/>
      <c r="V54" s="1257"/>
      <c r="W54" s="1258">
        <f>IF(ISTEXT(V54),0,IF(V58=0,0,V54/V58))</f>
        <v>0</v>
      </c>
      <c r="X54" s="1257"/>
      <c r="Y54" s="1258">
        <f>IF(ISTEXT(X54),0,IF(X58=0,0,X54/X58))</f>
        <v>0</v>
      </c>
      <c r="Z54" s="1257"/>
      <c r="AA54" s="1258">
        <f>IF(ISTEXT(Z54),0,IF(Z58=0,0,Z54/Z58))</f>
        <v>0</v>
      </c>
      <c r="AB54" s="1257"/>
      <c r="AC54" s="1258">
        <f>IF(ISTEXT(AB54),0,IF(AB58=0,0,AB54/AB58))</f>
        <v>0</v>
      </c>
      <c r="AD54" s="1257"/>
      <c r="AE54" s="1259">
        <f>IF(ISTEXT(AD54),0,IF(AD58=0,0,AD54/AD58))</f>
        <v>0</v>
      </c>
      <c r="AG54" s="1448" t="s">
        <v>183</v>
      </c>
    </row>
    <row r="55" spans="1:33" ht="30.75" customHeight="1">
      <c r="A55" s="1244"/>
      <c r="B55" s="1245"/>
      <c r="C55" s="1288"/>
      <c r="D55" s="1247">
        <f t="shared" si="6"/>
        <v>0</v>
      </c>
      <c r="E55" s="1248">
        <f>IF(ISTEXT(V55),V55,(V55/V7)*E6)</f>
        <v>0</v>
      </c>
      <c r="F55" s="1248">
        <f>IF(ISTEXT(X55),X55,(X55/X7)*F6)</f>
        <v>0</v>
      </c>
      <c r="G55" s="1248">
        <f>IF(ISTEXT(Z55),Z55,(Z55/Z7)*G6)</f>
        <v>0</v>
      </c>
      <c r="H55" s="1248">
        <f>IF(ISTEXT(AB55),AB55,(AB55/AB7)*H6)</f>
        <v>0</v>
      </c>
      <c r="I55" s="1248">
        <f>IF(ISTEXT(AD55),AD55,(AD55/AD7)*I6)</f>
        <v>0</v>
      </c>
      <c r="J55" s="1250">
        <f t="shared" si="3"/>
        <v>0</v>
      </c>
      <c r="K55" s="1251">
        <f t="shared" si="5"/>
        <v>0</v>
      </c>
      <c r="L55" s="1252">
        <f>IF(ISTEXT(K55),0,IF(K58=0,0,K55/K58))</f>
        <v>0</v>
      </c>
      <c r="M55" s="1437"/>
      <c r="N55" s="1435"/>
      <c r="Q55" s="1244"/>
      <c r="R55" s="1268"/>
      <c r="S55" s="1269"/>
      <c r="T55" s="1270"/>
      <c r="U55" s="1265"/>
      <c r="V55" s="1257"/>
      <c r="W55" s="1258">
        <f>IF(ISTEXT(V55),0,IF(V58=0,0,V55/V58))</f>
        <v>0</v>
      </c>
      <c r="X55" s="1257"/>
      <c r="Y55" s="1258">
        <f>IF(ISTEXT(X55),0,IF(X58=0,0,X55/X58))</f>
        <v>0</v>
      </c>
      <c r="Z55" s="1257"/>
      <c r="AA55" s="1258">
        <f>IF(ISTEXT(Z55),0,IF(Z58=0,0,Z55/Z58))</f>
        <v>0</v>
      </c>
      <c r="AB55" s="1257"/>
      <c r="AC55" s="1258">
        <f>IF(ISTEXT(AB55),0,IF(AB58=0,0,AB55/AB58))</f>
        <v>0</v>
      </c>
      <c r="AD55" s="1257"/>
      <c r="AE55" s="1259">
        <f>IF(ISTEXT(AD55),0,IF(AD58=0,0,AD55/AD58))</f>
        <v>0</v>
      </c>
    </row>
    <row r="56" spans="1:33" ht="28.5">
      <c r="A56" s="1244"/>
      <c r="B56" s="1245"/>
      <c r="C56" s="1288">
        <f>S56</f>
        <v>0</v>
      </c>
      <c r="D56" s="1247">
        <f t="shared" si="6"/>
        <v>0</v>
      </c>
      <c r="E56" s="1248">
        <f>IF(ISTEXT(V56),V56,(V56/V7)*E6)</f>
        <v>0</v>
      </c>
      <c r="F56" s="1248">
        <f>IF(ISTEXT(X56),X56,(X56/X7)*F6)</f>
        <v>0</v>
      </c>
      <c r="G56" s="1248">
        <f>IF(ISTEXT(Z56),Z56,(Z56/Z7)*G6)</f>
        <v>0</v>
      </c>
      <c r="H56" s="1248">
        <f>IF(ISTEXT(AB56),AB56,(AB56/AB7)*H6)</f>
        <v>0</v>
      </c>
      <c r="I56" s="1248">
        <f>IF(ISTEXT(AD56),AD56,(AD56/AD7)*I6)</f>
        <v>0</v>
      </c>
      <c r="J56" s="1250">
        <f t="shared" si="3"/>
        <v>0</v>
      </c>
      <c r="K56" s="1251">
        <f t="shared" si="5"/>
        <v>0</v>
      </c>
      <c r="L56" s="1252">
        <f>IF(ISTEXT(K56),0,IF(K58=0,0,K56/K58))</f>
        <v>0</v>
      </c>
      <c r="M56" s="1437"/>
      <c r="N56" s="1435"/>
      <c r="Q56" s="1244"/>
      <c r="R56" s="1268"/>
      <c r="S56" s="1269"/>
      <c r="T56" s="1270"/>
      <c r="U56" s="1265"/>
      <c r="V56" s="1257"/>
      <c r="W56" s="1258">
        <f>IF(ISTEXT(V56),0,IF(V58=0,0,V56/V58))</f>
        <v>0</v>
      </c>
      <c r="X56" s="1257"/>
      <c r="Y56" s="1258">
        <f>IF(ISTEXT(X56),0,IF(X58=0,0,X56/X58))</f>
        <v>0</v>
      </c>
      <c r="Z56" s="1257"/>
      <c r="AA56" s="1258">
        <f>IF(ISTEXT(Z56),0,IF(Z58=0,0,Z56/Z58))</f>
        <v>0</v>
      </c>
      <c r="AB56" s="1257"/>
      <c r="AC56" s="1258">
        <f>IF(ISTEXT(AB56),0,IF(AB58=0,0,AB56/AB58))</f>
        <v>0</v>
      </c>
      <c r="AD56" s="1257"/>
      <c r="AE56" s="1259">
        <f>IF(ISTEXT(AD56),0,IF(AD58=0,0,AD56/AD58))</f>
        <v>0</v>
      </c>
    </row>
    <row r="57" spans="1:33" ht="20.25" customHeight="1">
      <c r="A57" s="1244"/>
      <c r="B57" s="1245"/>
      <c r="C57" s="1288">
        <f>S57</f>
        <v>0</v>
      </c>
      <c r="D57" s="1247">
        <f t="shared" si="6"/>
        <v>0</v>
      </c>
      <c r="E57" s="1248">
        <f>IF(ISTEXT(V57),V57,(V57/V7)*E6)</f>
        <v>0</v>
      </c>
      <c r="F57" s="1248">
        <f>IF(ISTEXT(X57),X57,(X57/X7)*F6)</f>
        <v>0</v>
      </c>
      <c r="G57" s="1248">
        <f>IF(ISTEXT(Z57),Z57,(Z57/Z7)*G6)</f>
        <v>0</v>
      </c>
      <c r="H57" s="1248">
        <f>IF(ISTEXT(AB57),AB57,(AB57/AB7)*H6)</f>
        <v>0</v>
      </c>
      <c r="I57" s="1248">
        <f>IF(ISTEXT(AD57),AD57,(AD57/AD7)*I6)</f>
        <v>0</v>
      </c>
      <c r="J57" s="1316">
        <f t="shared" si="3"/>
        <v>0</v>
      </c>
      <c r="K57" s="1317">
        <f t="shared" si="5"/>
        <v>0</v>
      </c>
      <c r="L57" s="1252">
        <f>IF(ISTEXT(K57),0,IF(K58=0,0,K57/K58))</f>
        <v>0</v>
      </c>
      <c r="M57" s="1437"/>
      <c r="N57" s="1435"/>
      <c r="Q57" s="1244"/>
      <c r="R57" s="1268"/>
      <c r="S57" s="1269">
        <v>0</v>
      </c>
      <c r="T57" s="1270">
        <v>0</v>
      </c>
      <c r="U57" s="1265"/>
      <c r="V57" s="1318"/>
      <c r="W57" s="1258">
        <f>IF(ISTEXT(V57),0,IF(V58=0,0,V57/V58))</f>
        <v>0</v>
      </c>
      <c r="X57" s="1318"/>
      <c r="Y57" s="1258">
        <f>IF(ISTEXT(X57),0,IF(X58=0,0,X57/X58))</f>
        <v>0</v>
      </c>
      <c r="Z57" s="1318"/>
      <c r="AA57" s="1258">
        <f>IF(ISTEXT(Z57),0,IF(Z58=0,0,Z57/Z58))</f>
        <v>0</v>
      </c>
      <c r="AB57" s="1318"/>
      <c r="AC57" s="1258">
        <f>IF(ISTEXT(AB57),0,IF(AB58=0,0,AB57/AB58))</f>
        <v>0</v>
      </c>
      <c r="AD57" s="1318"/>
      <c r="AE57" s="1259">
        <f>IF(ISTEXT(AD57),0,IF(AD58=0,0,AD57/AD58))</f>
        <v>0</v>
      </c>
    </row>
    <row r="58" spans="1:33" ht="20.25" customHeight="1">
      <c r="A58" s="1319"/>
      <c r="B58" s="1320"/>
      <c r="C58" s="1321"/>
      <c r="D58" s="1322">
        <v>0</v>
      </c>
      <c r="E58" s="1323">
        <f t="shared" ref="E58:L58" si="7">SUM(E8:E57)</f>
        <v>5.5</v>
      </c>
      <c r="F58" s="1323">
        <f t="shared" si="7"/>
        <v>0</v>
      </c>
      <c r="G58" s="1323">
        <f t="shared" si="7"/>
        <v>0</v>
      </c>
      <c r="H58" s="1323">
        <f t="shared" si="7"/>
        <v>0</v>
      </c>
      <c r="I58" s="1323">
        <f t="shared" si="7"/>
        <v>0</v>
      </c>
      <c r="J58" s="1326">
        <f t="shared" si="7"/>
        <v>5.5</v>
      </c>
      <c r="K58" s="1327">
        <f t="shared" si="7"/>
        <v>69.465000000000003</v>
      </c>
      <c r="L58" s="1328">
        <f t="shared" si="7"/>
        <v>1</v>
      </c>
      <c r="M58" s="1437"/>
      <c r="N58" s="1435"/>
      <c r="Q58" s="1319"/>
      <c r="R58" s="3503" t="s">
        <v>80</v>
      </c>
      <c r="S58" s="3504"/>
      <c r="T58" s="3504"/>
      <c r="U58" s="3505"/>
      <c r="V58" s="1329">
        <f t="shared" ref="V58:AE58" si="8">SUM(V8:V57)</f>
        <v>2.75</v>
      </c>
      <c r="W58" s="1330">
        <f t="shared" si="8"/>
        <v>1</v>
      </c>
      <c r="X58" s="1331">
        <f t="shared" si="8"/>
        <v>0</v>
      </c>
      <c r="Y58" s="1330">
        <f t="shared" si="8"/>
        <v>0</v>
      </c>
      <c r="Z58" s="1331">
        <f t="shared" si="8"/>
        <v>0</v>
      </c>
      <c r="AA58" s="1330">
        <f t="shared" si="8"/>
        <v>0</v>
      </c>
      <c r="AB58" s="1331">
        <f t="shared" si="8"/>
        <v>0</v>
      </c>
      <c r="AC58" s="1330">
        <f t="shared" si="8"/>
        <v>0</v>
      </c>
      <c r="AD58" s="1331">
        <f t="shared" si="8"/>
        <v>0</v>
      </c>
      <c r="AE58" s="1332">
        <f t="shared" si="8"/>
        <v>0</v>
      </c>
    </row>
    <row r="59" spans="1:33" ht="21" customHeight="1">
      <c r="A59" s="1333"/>
      <c r="B59" s="1334"/>
      <c r="C59" s="1335"/>
      <c r="D59" s="1336" t="s">
        <v>123</v>
      </c>
      <c r="E59" s="1449">
        <f>IF(E6=0,0,(E58/E6)*1)</f>
        <v>0.27500000000000002</v>
      </c>
      <c r="F59" s="1449">
        <f>IF(F6=0,0,(F58/F6)*1)</f>
        <v>0</v>
      </c>
      <c r="G59" s="1449">
        <f>IF(G6=0,0,(G58/G6)*1)</f>
        <v>0</v>
      </c>
      <c r="H59" s="1449">
        <f>IF(H6=0,0,(H58/H6)*1)</f>
        <v>0</v>
      </c>
      <c r="I59" s="1449">
        <f>IF(I6=0,0,(I58/I6)*1)</f>
        <v>0</v>
      </c>
      <c r="J59" s="3468" t="s">
        <v>124</v>
      </c>
      <c r="K59" s="3469"/>
      <c r="L59" s="3469"/>
      <c r="M59" s="1437"/>
      <c r="N59" s="1435"/>
      <c r="Q59" s="1333"/>
      <c r="R59" s="3503"/>
      <c r="S59" s="3504"/>
      <c r="T59" s="3504"/>
      <c r="U59" s="3505"/>
      <c r="V59" s="1340">
        <f>V58/V7</f>
        <v>0.27500000000000002</v>
      </c>
      <c r="W59" s="1341">
        <v>0</v>
      </c>
      <c r="X59" s="1340">
        <f>X58/X7</f>
        <v>0</v>
      </c>
      <c r="Y59" s="1341">
        <v>0</v>
      </c>
      <c r="Z59" s="1340">
        <f>Z58/Z7</f>
        <v>0</v>
      </c>
      <c r="AA59" s="1341">
        <v>0</v>
      </c>
      <c r="AB59" s="1340">
        <f>AB58/AB7</f>
        <v>0</v>
      </c>
      <c r="AC59" s="1341">
        <v>0</v>
      </c>
      <c r="AD59" s="1340">
        <f>AD58/AD7</f>
        <v>0</v>
      </c>
      <c r="AE59" s="1342">
        <v>0</v>
      </c>
    </row>
    <row r="60" spans="1:33" ht="24" customHeight="1" thickBot="1">
      <c r="A60" s="1343"/>
      <c r="B60" s="1344"/>
      <c r="C60" s="1345"/>
      <c r="D60" s="1346" t="s">
        <v>125</v>
      </c>
      <c r="E60" s="1347"/>
      <c r="F60" s="1347"/>
      <c r="G60" s="1347"/>
      <c r="H60" s="1347"/>
      <c r="I60" s="1347"/>
      <c r="J60" s="1349"/>
      <c r="K60" s="1350">
        <f>K58</f>
        <v>69.465000000000003</v>
      </c>
      <c r="L60" s="1351"/>
      <c r="M60" s="1450"/>
      <c r="N60" s="1435"/>
      <c r="Q60" s="1343"/>
      <c r="R60" s="3503"/>
      <c r="S60" s="3504"/>
      <c r="T60" s="3504"/>
      <c r="U60" s="3505"/>
      <c r="V60" s="3470" t="s">
        <v>123</v>
      </c>
      <c r="W60" s="3471"/>
      <c r="X60" s="3471"/>
      <c r="Y60" s="3471"/>
      <c r="Z60" s="3471"/>
      <c r="AA60" s="3471"/>
      <c r="AB60" s="3471"/>
      <c r="AC60" s="3471"/>
      <c r="AD60" s="3471"/>
      <c r="AE60" s="3472"/>
    </row>
    <row r="61" spans="1:33" ht="24" customHeight="1">
      <c r="A61" s="1343"/>
      <c r="B61" s="1451"/>
      <c r="C61" s="1452"/>
      <c r="D61" s="1453"/>
      <c r="E61" s="1453"/>
      <c r="F61" s="1354"/>
      <c r="G61" s="1354"/>
      <c r="H61" s="1354"/>
      <c r="I61" s="1353" t="s">
        <v>88</v>
      </c>
      <c r="J61" s="1357"/>
      <c r="K61" s="1358">
        <v>2</v>
      </c>
      <c r="L61" s="1359"/>
      <c r="M61" s="1454"/>
      <c r="N61" s="1435"/>
      <c r="Q61" s="1343"/>
      <c r="R61" s="1455"/>
      <c r="S61" s="1456" t="s">
        <v>126</v>
      </c>
      <c r="T61" s="1457"/>
      <c r="U61" s="1457"/>
      <c r="V61" s="1457"/>
      <c r="W61" s="1457"/>
      <c r="X61" s="1457"/>
      <c r="Y61" s="1457"/>
      <c r="Z61" s="1457"/>
      <c r="AA61" s="1457"/>
      <c r="AB61" s="1457"/>
      <c r="AC61" s="1457"/>
      <c r="AD61" s="1457"/>
      <c r="AE61" s="1458"/>
    </row>
    <row r="62" spans="1:33" ht="20.25" customHeight="1">
      <c r="A62" s="1343"/>
      <c r="B62" s="1363"/>
      <c r="C62" s="1364"/>
      <c r="D62" s="1366"/>
      <c r="E62" s="1366"/>
      <c r="F62" s="1459"/>
      <c r="G62" s="1459"/>
      <c r="H62" s="1460" t="s">
        <v>127</v>
      </c>
      <c r="I62" s="1461">
        <f>K62/L6</f>
        <v>6.9465000000000003</v>
      </c>
      <c r="J62" s="1369"/>
      <c r="K62" s="1368">
        <f>K58*K61</f>
        <v>138.93</v>
      </c>
      <c r="L62" s="1370"/>
      <c r="M62" s="1462"/>
      <c r="N62" s="1435"/>
      <c r="Q62" s="1343"/>
      <c r="R62" s="1262"/>
      <c r="S62" s="1463" t="s">
        <v>128</v>
      </c>
      <c r="T62" s="1464"/>
      <c r="U62" s="1464"/>
      <c r="V62" s="1464"/>
      <c r="W62" s="1464"/>
      <c r="X62" s="1464"/>
      <c r="Y62" s="1464"/>
      <c r="Z62" s="1464"/>
      <c r="AA62" s="1464"/>
      <c r="AB62" s="1464"/>
      <c r="AC62" s="1464"/>
      <c r="AD62" s="1464"/>
      <c r="AE62" s="1465"/>
    </row>
    <row r="63" spans="1:33" ht="20.25" customHeight="1">
      <c r="A63" s="1343"/>
      <c r="B63" s="1372" t="s">
        <v>80</v>
      </c>
      <c r="C63" s="1192"/>
      <c r="D63" s="1192"/>
      <c r="E63" s="1192"/>
      <c r="F63" s="1192"/>
      <c r="G63" s="1192"/>
      <c r="H63" s="1192"/>
      <c r="I63" s="1192"/>
      <c r="J63" s="1373"/>
      <c r="K63" s="1373"/>
      <c r="L63" s="1373"/>
      <c r="M63" s="1466"/>
      <c r="N63" s="1435"/>
      <c r="Q63" s="1343"/>
      <c r="R63" s="1262"/>
      <c r="S63" s="1463" t="s">
        <v>129</v>
      </c>
      <c r="T63" s="1457"/>
      <c r="U63" s="1457"/>
      <c r="V63" s="1457"/>
      <c r="W63" s="1457"/>
      <c r="X63" s="1457"/>
      <c r="Y63" s="1457"/>
      <c r="Z63" s="1457"/>
      <c r="AA63" s="1457"/>
      <c r="AB63" s="1457"/>
      <c r="AC63" s="1457"/>
      <c r="AD63" s="1457"/>
      <c r="AE63" s="1458"/>
    </row>
    <row r="64" spans="1:33" ht="20.25" customHeight="1">
      <c r="A64" s="1343"/>
      <c r="B64" s="1375"/>
      <c r="C64" s="1376"/>
      <c r="D64" s="1376"/>
      <c r="E64" s="1376"/>
      <c r="F64" s="1376"/>
      <c r="G64" s="1376"/>
      <c r="H64" s="1376"/>
      <c r="I64" s="1376"/>
      <c r="J64" s="1376"/>
      <c r="K64" s="1376"/>
      <c r="L64" s="1376"/>
      <c r="M64" s="1467"/>
      <c r="N64" s="1435"/>
      <c r="Q64" s="1343"/>
      <c r="R64" s="1262"/>
      <c r="S64" s="1463" t="s">
        <v>130</v>
      </c>
      <c r="T64" s="1457"/>
      <c r="U64" s="1457"/>
      <c r="V64" s="1457"/>
      <c r="W64" s="1457"/>
      <c r="X64" s="1457"/>
      <c r="Y64" s="1457"/>
      <c r="Z64" s="1457"/>
      <c r="AA64" s="1457"/>
      <c r="AB64" s="1457"/>
      <c r="AC64" s="1457"/>
      <c r="AD64" s="1457"/>
      <c r="AE64" s="1458"/>
    </row>
    <row r="65" spans="1:31" ht="20.25" customHeight="1">
      <c r="A65" s="1343"/>
      <c r="B65" s="3435" t="s">
        <v>131</v>
      </c>
      <c r="C65" s="3436"/>
      <c r="D65" s="3436"/>
      <c r="E65" s="3436"/>
      <c r="F65" s="3436"/>
      <c r="G65" s="3436"/>
      <c r="H65" s="3436"/>
      <c r="I65" s="3436"/>
      <c r="J65" s="3436"/>
      <c r="K65" s="3436"/>
      <c r="L65" s="3436"/>
      <c r="M65" s="1468"/>
      <c r="N65" s="1435"/>
      <c r="Q65" s="1343"/>
      <c r="R65" s="1262"/>
      <c r="S65" s="1463" t="s">
        <v>132</v>
      </c>
      <c r="T65" s="1457"/>
      <c r="U65" s="1457"/>
      <c r="V65" s="1457"/>
      <c r="W65" s="1457"/>
      <c r="X65" s="1457"/>
      <c r="Y65" s="1457"/>
      <c r="Z65" s="1457"/>
      <c r="AA65" s="1457"/>
      <c r="AB65" s="1457"/>
      <c r="AC65" s="1457"/>
      <c r="AD65" s="1457"/>
      <c r="AE65" s="1458"/>
    </row>
    <row r="66" spans="1:31" ht="20.25" customHeight="1">
      <c r="A66" s="1343"/>
      <c r="B66" s="3435"/>
      <c r="C66" s="3436"/>
      <c r="D66" s="3436"/>
      <c r="E66" s="3436"/>
      <c r="F66" s="3436"/>
      <c r="G66" s="3436"/>
      <c r="H66" s="3436"/>
      <c r="I66" s="3436"/>
      <c r="J66" s="3436"/>
      <c r="K66" s="3436"/>
      <c r="L66" s="3436"/>
      <c r="M66" s="1468"/>
      <c r="N66" s="1432"/>
      <c r="Q66" s="1343"/>
      <c r="R66" s="1262"/>
      <c r="S66" s="1463" t="s">
        <v>133</v>
      </c>
      <c r="T66" s="1457"/>
      <c r="U66" s="1457"/>
      <c r="V66" s="1457"/>
      <c r="W66" s="1457"/>
      <c r="X66" s="1457"/>
      <c r="Y66" s="1457"/>
      <c r="Z66" s="1457"/>
      <c r="AA66" s="1457"/>
      <c r="AB66" s="1457"/>
      <c r="AC66" s="1457"/>
      <c r="AD66" s="1457"/>
      <c r="AE66" s="1458"/>
    </row>
    <row r="67" spans="1:31" ht="20.25" customHeight="1">
      <c r="A67" s="1343"/>
      <c r="B67" s="3435"/>
      <c r="C67" s="3436"/>
      <c r="D67" s="3436"/>
      <c r="E67" s="3436"/>
      <c r="F67" s="3436"/>
      <c r="G67" s="3436"/>
      <c r="H67" s="3436"/>
      <c r="I67" s="3436"/>
      <c r="J67" s="3436"/>
      <c r="K67" s="3436"/>
      <c r="L67" s="3436"/>
      <c r="M67" s="1468"/>
      <c r="N67" s="1432"/>
      <c r="Q67" s="1343"/>
      <c r="R67" s="1262"/>
      <c r="S67" s="1463" t="s">
        <v>134</v>
      </c>
      <c r="T67" s="1457"/>
      <c r="U67" s="1457"/>
      <c r="V67" s="1457"/>
      <c r="W67" s="1457"/>
      <c r="X67" s="1457"/>
      <c r="Y67" s="1457"/>
      <c r="Z67" s="1457"/>
      <c r="AA67" s="1457"/>
      <c r="AB67" s="1457"/>
      <c r="AC67" s="1457"/>
      <c r="AD67" s="1457"/>
      <c r="AE67" s="1458"/>
    </row>
    <row r="68" spans="1:31" ht="20.25" customHeight="1" thickBot="1">
      <c r="A68" s="1343"/>
      <c r="B68" s="1360"/>
      <c r="C68" s="1361">
        <v>0</v>
      </c>
      <c r="D68" s="1361">
        <v>0</v>
      </c>
      <c r="E68" s="1361"/>
      <c r="F68" s="1361"/>
      <c r="G68" s="1361"/>
      <c r="H68" s="1361"/>
      <c r="I68" s="1361"/>
      <c r="J68" s="1361"/>
      <c r="K68" s="1361"/>
      <c r="L68" s="1361"/>
      <c r="M68" s="1360"/>
      <c r="N68" s="1362"/>
      <c r="Q68" s="1343"/>
      <c r="R68" s="1469"/>
      <c r="S68" s="1470"/>
      <c r="T68" s="1470"/>
      <c r="U68" s="1470"/>
      <c r="V68" s="1470"/>
      <c r="W68" s="1470"/>
      <c r="X68" s="1470"/>
      <c r="Y68" s="1470"/>
      <c r="Z68" s="1470"/>
      <c r="AA68" s="1470"/>
      <c r="AB68" s="1470"/>
      <c r="AC68" s="1470"/>
      <c r="AD68" s="1470"/>
      <c r="AE68" s="1471"/>
    </row>
    <row r="69" spans="1:31" ht="10.5" customHeight="1">
      <c r="A69" s="1177"/>
      <c r="B69" s="1177"/>
      <c r="C69" s="1177"/>
      <c r="D69" s="1177"/>
      <c r="E69" s="1177"/>
      <c r="F69" s="1177"/>
      <c r="G69" s="1177"/>
      <c r="H69" s="1177"/>
      <c r="I69" s="1177"/>
      <c r="J69" s="1177"/>
      <c r="K69" s="1177"/>
      <c r="L69" s="1177"/>
      <c r="M69" s="1177"/>
      <c r="N69" s="1177"/>
      <c r="O69" s="1472"/>
    </row>
    <row r="70" spans="1:31" ht="23.25">
      <c r="R70" s="1374" t="s">
        <v>135</v>
      </c>
    </row>
  </sheetData>
  <mergeCells count="26">
    <mergeCell ref="J2:M2"/>
    <mergeCell ref="V2:AC2"/>
    <mergeCell ref="AD2:AE2"/>
    <mergeCell ref="J3:M3"/>
    <mergeCell ref="N3:N4"/>
    <mergeCell ref="S3:AC3"/>
    <mergeCell ref="AD3:AE4"/>
    <mergeCell ref="E4:I4"/>
    <mergeCell ref="J4:M4"/>
    <mergeCell ref="V4:AC4"/>
    <mergeCell ref="J5:L5"/>
    <mergeCell ref="M5:N7"/>
    <mergeCell ref="V5:W5"/>
    <mergeCell ref="X5:Y5"/>
    <mergeCell ref="Z5:AA5"/>
    <mergeCell ref="AB5:AC5"/>
    <mergeCell ref="R58:U60"/>
    <mergeCell ref="J59:L59"/>
    <mergeCell ref="V60:AE60"/>
    <mergeCell ref="B65:L67"/>
    <mergeCell ref="AD5:AE5"/>
    <mergeCell ref="V6:W6"/>
    <mergeCell ref="X6:Y6"/>
    <mergeCell ref="Z6:AA6"/>
    <mergeCell ref="AB6:AC6"/>
    <mergeCell ref="AD6:AE6"/>
  </mergeCells>
  <hyperlinks>
    <hyperlink ref="H2" r:id="rId1" xr:uid="{1E18CD61-2FB7-484C-AF83-CE6721B6D065}"/>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B3334-F33A-425E-9301-89F84386B259}">
  <dimension ref="A1:Y120"/>
  <sheetViews>
    <sheetView showZeros="0" workbookViewId="0">
      <selection activeCell="N14" sqref="N14"/>
    </sheetView>
  </sheetViews>
  <sheetFormatPr baseColWidth="10" defaultRowHeight="12.75"/>
  <cols>
    <col min="1" max="1" width="5.42578125" style="1281" customWidth="1"/>
    <col min="2" max="2" width="33.42578125" style="1281" customWidth="1"/>
    <col min="3" max="3" width="39.7109375" style="1281" customWidth="1"/>
    <col min="4" max="12" width="12.7109375" style="1281" customWidth="1"/>
    <col min="13" max="14" width="11.42578125" style="1513" customWidth="1"/>
    <col min="15" max="15" width="33.28515625" style="1281" customWidth="1"/>
    <col min="16" max="24" width="11.42578125" style="1281" customWidth="1"/>
    <col min="25" max="233" width="11.42578125" style="1281"/>
    <col min="234" max="234" width="11.42578125" style="1281" customWidth="1"/>
    <col min="235" max="235" width="33.42578125" style="1281" customWidth="1"/>
    <col min="236" max="236" width="16.28515625" style="1281" customWidth="1"/>
    <col min="237" max="237" width="3.42578125" style="1281" customWidth="1"/>
    <col min="238" max="238" width="5.7109375" style="1281" customWidth="1"/>
    <col min="239" max="239" width="5.85546875" style="1281" customWidth="1"/>
    <col min="240" max="240" width="6.7109375" style="1281" customWidth="1"/>
    <col min="241" max="241" width="5.7109375" style="1281" customWidth="1"/>
    <col min="242" max="242" width="4.42578125" style="1281" customWidth="1"/>
    <col min="243" max="243" width="4.85546875" style="1281" customWidth="1"/>
    <col min="244" max="244" width="4.7109375" style="1281" customWidth="1"/>
    <col min="245" max="245" width="4.42578125" style="1281" customWidth="1"/>
    <col min="246" max="489" width="11.42578125" style="1281"/>
    <col min="490" max="490" width="11.42578125" style="1281" customWidth="1"/>
    <col min="491" max="491" width="33.42578125" style="1281" customWidth="1"/>
    <col min="492" max="492" width="16.28515625" style="1281" customWidth="1"/>
    <col min="493" max="493" width="3.42578125" style="1281" customWidth="1"/>
    <col min="494" max="494" width="5.7109375" style="1281" customWidth="1"/>
    <col min="495" max="495" width="5.85546875" style="1281" customWidth="1"/>
    <col min="496" max="496" width="6.7109375" style="1281" customWidth="1"/>
    <col min="497" max="497" width="5.7109375" style="1281" customWidth="1"/>
    <col min="498" max="498" width="4.42578125" style="1281" customWidth="1"/>
    <col min="499" max="499" width="4.85546875" style="1281" customWidth="1"/>
    <col min="500" max="500" width="4.7109375" style="1281" customWidth="1"/>
    <col min="501" max="501" width="4.42578125" style="1281" customWidth="1"/>
    <col min="502" max="745" width="11.42578125" style="1281"/>
    <col min="746" max="746" width="11.42578125" style="1281" customWidth="1"/>
    <col min="747" max="747" width="33.42578125" style="1281" customWidth="1"/>
    <col min="748" max="748" width="16.28515625" style="1281" customWidth="1"/>
    <col min="749" max="749" width="3.42578125" style="1281" customWidth="1"/>
    <col min="750" max="750" width="5.7109375" style="1281" customWidth="1"/>
    <col min="751" max="751" width="5.85546875" style="1281" customWidth="1"/>
    <col min="752" max="752" width="6.7109375" style="1281" customWidth="1"/>
    <col min="753" max="753" width="5.7109375" style="1281" customWidth="1"/>
    <col min="754" max="754" width="4.42578125" style="1281" customWidth="1"/>
    <col min="755" max="755" width="4.85546875" style="1281" customWidth="1"/>
    <col min="756" max="756" width="4.7109375" style="1281" customWidth="1"/>
    <col min="757" max="757" width="4.42578125" style="1281" customWidth="1"/>
    <col min="758" max="1001" width="11.42578125" style="1281"/>
    <col min="1002" max="1002" width="11.42578125" style="1281" customWidth="1"/>
    <col min="1003" max="1003" width="33.42578125" style="1281" customWidth="1"/>
    <col min="1004" max="1004" width="16.28515625" style="1281" customWidth="1"/>
    <col min="1005" max="1005" width="3.42578125" style="1281" customWidth="1"/>
    <col min="1006" max="1006" width="5.7109375" style="1281" customWidth="1"/>
    <col min="1007" max="1007" width="5.85546875" style="1281" customWidth="1"/>
    <col min="1008" max="1008" width="6.7109375" style="1281" customWidth="1"/>
    <col min="1009" max="1009" width="5.7109375" style="1281" customWidth="1"/>
    <col min="1010" max="1010" width="4.42578125" style="1281" customWidth="1"/>
    <col min="1011" max="1011" width="4.85546875" style="1281" customWidth="1"/>
    <col min="1012" max="1012" width="4.7109375" style="1281" customWidth="1"/>
    <col min="1013" max="1013" width="4.42578125" style="1281" customWidth="1"/>
    <col min="1014" max="1257" width="11.42578125" style="1281"/>
    <col min="1258" max="1258" width="11.42578125" style="1281" customWidth="1"/>
    <col min="1259" max="1259" width="33.42578125" style="1281" customWidth="1"/>
    <col min="1260" max="1260" width="16.28515625" style="1281" customWidth="1"/>
    <col min="1261" max="1261" width="3.42578125" style="1281" customWidth="1"/>
    <col min="1262" max="1262" width="5.7109375" style="1281" customWidth="1"/>
    <col min="1263" max="1263" width="5.85546875" style="1281" customWidth="1"/>
    <col min="1264" max="1264" width="6.7109375" style="1281" customWidth="1"/>
    <col min="1265" max="1265" width="5.7109375" style="1281" customWidth="1"/>
    <col min="1266" max="1266" width="4.42578125" style="1281" customWidth="1"/>
    <col min="1267" max="1267" width="4.85546875" style="1281" customWidth="1"/>
    <col min="1268" max="1268" width="4.7109375" style="1281" customWidth="1"/>
    <col min="1269" max="1269" width="4.42578125" style="1281" customWidth="1"/>
    <col min="1270" max="1513" width="11.42578125" style="1281"/>
    <col min="1514" max="1514" width="11.42578125" style="1281" customWidth="1"/>
    <col min="1515" max="1515" width="33.42578125" style="1281" customWidth="1"/>
    <col min="1516" max="1516" width="16.28515625" style="1281" customWidth="1"/>
    <col min="1517" max="1517" width="3.42578125" style="1281" customWidth="1"/>
    <col min="1518" max="1518" width="5.7109375" style="1281" customWidth="1"/>
    <col min="1519" max="1519" width="5.85546875" style="1281" customWidth="1"/>
    <col min="1520" max="1520" width="6.7109375" style="1281" customWidth="1"/>
    <col min="1521" max="1521" width="5.7109375" style="1281" customWidth="1"/>
    <col min="1522" max="1522" width="4.42578125" style="1281" customWidth="1"/>
    <col min="1523" max="1523" width="4.85546875" style="1281" customWidth="1"/>
    <col min="1524" max="1524" width="4.7109375" style="1281" customWidth="1"/>
    <col min="1525" max="1525" width="4.42578125" style="1281" customWidth="1"/>
    <col min="1526" max="1769" width="11.42578125" style="1281"/>
    <col min="1770" max="1770" width="11.42578125" style="1281" customWidth="1"/>
    <col min="1771" max="1771" width="33.42578125" style="1281" customWidth="1"/>
    <col min="1772" max="1772" width="16.28515625" style="1281" customWidth="1"/>
    <col min="1773" max="1773" width="3.42578125" style="1281" customWidth="1"/>
    <col min="1774" max="1774" width="5.7109375" style="1281" customWidth="1"/>
    <col min="1775" max="1775" width="5.85546875" style="1281" customWidth="1"/>
    <col min="1776" max="1776" width="6.7109375" style="1281" customWidth="1"/>
    <col min="1777" max="1777" width="5.7109375" style="1281" customWidth="1"/>
    <col min="1778" max="1778" width="4.42578125" style="1281" customWidth="1"/>
    <col min="1779" max="1779" width="4.85546875" style="1281" customWidth="1"/>
    <col min="1780" max="1780" width="4.7109375" style="1281" customWidth="1"/>
    <col min="1781" max="1781" width="4.42578125" style="1281" customWidth="1"/>
    <col min="1782" max="2025" width="11.42578125" style="1281"/>
    <col min="2026" max="2026" width="11.42578125" style="1281" customWidth="1"/>
    <col min="2027" max="2027" width="33.42578125" style="1281" customWidth="1"/>
    <col min="2028" max="2028" width="16.28515625" style="1281" customWidth="1"/>
    <col min="2029" max="2029" width="3.42578125" style="1281" customWidth="1"/>
    <col min="2030" max="2030" width="5.7109375" style="1281" customWidth="1"/>
    <col min="2031" max="2031" width="5.85546875" style="1281" customWidth="1"/>
    <col min="2032" max="2032" width="6.7109375" style="1281" customWidth="1"/>
    <col min="2033" max="2033" width="5.7109375" style="1281" customWidth="1"/>
    <col min="2034" max="2034" width="4.42578125" style="1281" customWidth="1"/>
    <col min="2035" max="2035" width="4.85546875" style="1281" customWidth="1"/>
    <col min="2036" max="2036" width="4.7109375" style="1281" customWidth="1"/>
    <col min="2037" max="2037" width="4.42578125" style="1281" customWidth="1"/>
    <col min="2038" max="2281" width="11.42578125" style="1281"/>
    <col min="2282" max="2282" width="11.42578125" style="1281" customWidth="1"/>
    <col min="2283" max="2283" width="33.42578125" style="1281" customWidth="1"/>
    <col min="2284" max="2284" width="16.28515625" style="1281" customWidth="1"/>
    <col min="2285" max="2285" width="3.42578125" style="1281" customWidth="1"/>
    <col min="2286" max="2286" width="5.7109375" style="1281" customWidth="1"/>
    <col min="2287" max="2287" width="5.85546875" style="1281" customWidth="1"/>
    <col min="2288" max="2288" width="6.7109375" style="1281" customWidth="1"/>
    <col min="2289" max="2289" width="5.7109375" style="1281" customWidth="1"/>
    <col min="2290" max="2290" width="4.42578125" style="1281" customWidth="1"/>
    <col min="2291" max="2291" width="4.85546875" style="1281" customWidth="1"/>
    <col min="2292" max="2292" width="4.7109375" style="1281" customWidth="1"/>
    <col min="2293" max="2293" width="4.42578125" style="1281" customWidth="1"/>
    <col min="2294" max="2537" width="11.42578125" style="1281"/>
    <col min="2538" max="2538" width="11.42578125" style="1281" customWidth="1"/>
    <col min="2539" max="2539" width="33.42578125" style="1281" customWidth="1"/>
    <col min="2540" max="2540" width="16.28515625" style="1281" customWidth="1"/>
    <col min="2541" max="2541" width="3.42578125" style="1281" customWidth="1"/>
    <col min="2542" max="2542" width="5.7109375" style="1281" customWidth="1"/>
    <col min="2543" max="2543" width="5.85546875" style="1281" customWidth="1"/>
    <col min="2544" max="2544" width="6.7109375" style="1281" customWidth="1"/>
    <col min="2545" max="2545" width="5.7109375" style="1281" customWidth="1"/>
    <col min="2546" max="2546" width="4.42578125" style="1281" customWidth="1"/>
    <col min="2547" max="2547" width="4.85546875" style="1281" customWidth="1"/>
    <col min="2548" max="2548" width="4.7109375" style="1281" customWidth="1"/>
    <col min="2549" max="2549" width="4.42578125" style="1281" customWidth="1"/>
    <col min="2550" max="2793" width="11.42578125" style="1281"/>
    <col min="2794" max="2794" width="11.42578125" style="1281" customWidth="1"/>
    <col min="2795" max="2795" width="33.42578125" style="1281" customWidth="1"/>
    <col min="2796" max="2796" width="16.28515625" style="1281" customWidth="1"/>
    <col min="2797" max="2797" width="3.42578125" style="1281" customWidth="1"/>
    <col min="2798" max="2798" width="5.7109375" style="1281" customWidth="1"/>
    <col min="2799" max="2799" width="5.85546875" style="1281" customWidth="1"/>
    <col min="2800" max="2800" width="6.7109375" style="1281" customWidth="1"/>
    <col min="2801" max="2801" width="5.7109375" style="1281" customWidth="1"/>
    <col min="2802" max="2802" width="4.42578125" style="1281" customWidth="1"/>
    <col min="2803" max="2803" width="4.85546875" style="1281" customWidth="1"/>
    <col min="2804" max="2804" width="4.7109375" style="1281" customWidth="1"/>
    <col min="2805" max="2805" width="4.42578125" style="1281" customWidth="1"/>
    <col min="2806" max="3049" width="11.42578125" style="1281"/>
    <col min="3050" max="3050" width="11.42578125" style="1281" customWidth="1"/>
    <col min="3051" max="3051" width="33.42578125" style="1281" customWidth="1"/>
    <col min="3052" max="3052" width="16.28515625" style="1281" customWidth="1"/>
    <col min="3053" max="3053" width="3.42578125" style="1281" customWidth="1"/>
    <col min="3054" max="3054" width="5.7109375" style="1281" customWidth="1"/>
    <col min="3055" max="3055" width="5.85546875" style="1281" customWidth="1"/>
    <col min="3056" max="3056" width="6.7109375" style="1281" customWidth="1"/>
    <col min="3057" max="3057" width="5.7109375" style="1281" customWidth="1"/>
    <col min="3058" max="3058" width="4.42578125" style="1281" customWidth="1"/>
    <col min="3059" max="3059" width="4.85546875" style="1281" customWidth="1"/>
    <col min="3060" max="3060" width="4.7109375" style="1281" customWidth="1"/>
    <col min="3061" max="3061" width="4.42578125" style="1281" customWidth="1"/>
    <col min="3062" max="3305" width="11.42578125" style="1281"/>
    <col min="3306" max="3306" width="11.42578125" style="1281" customWidth="1"/>
    <col min="3307" max="3307" width="33.42578125" style="1281" customWidth="1"/>
    <col min="3308" max="3308" width="16.28515625" style="1281" customWidth="1"/>
    <col min="3309" max="3309" width="3.42578125" style="1281" customWidth="1"/>
    <col min="3310" max="3310" width="5.7109375" style="1281" customWidth="1"/>
    <col min="3311" max="3311" width="5.85546875" style="1281" customWidth="1"/>
    <col min="3312" max="3312" width="6.7109375" style="1281" customWidth="1"/>
    <col min="3313" max="3313" width="5.7109375" style="1281" customWidth="1"/>
    <col min="3314" max="3314" width="4.42578125" style="1281" customWidth="1"/>
    <col min="3315" max="3315" width="4.85546875" style="1281" customWidth="1"/>
    <col min="3316" max="3316" width="4.7109375" style="1281" customWidth="1"/>
    <col min="3317" max="3317" width="4.42578125" style="1281" customWidth="1"/>
    <col min="3318" max="3561" width="11.42578125" style="1281"/>
    <col min="3562" max="3562" width="11.42578125" style="1281" customWidth="1"/>
    <col min="3563" max="3563" width="33.42578125" style="1281" customWidth="1"/>
    <col min="3564" max="3564" width="16.28515625" style="1281" customWidth="1"/>
    <col min="3565" max="3565" width="3.42578125" style="1281" customWidth="1"/>
    <col min="3566" max="3566" width="5.7109375" style="1281" customWidth="1"/>
    <col min="3567" max="3567" width="5.85546875" style="1281" customWidth="1"/>
    <col min="3568" max="3568" width="6.7109375" style="1281" customWidth="1"/>
    <col min="3569" max="3569" width="5.7109375" style="1281" customWidth="1"/>
    <col min="3570" max="3570" width="4.42578125" style="1281" customWidth="1"/>
    <col min="3571" max="3571" width="4.85546875" style="1281" customWidth="1"/>
    <col min="3572" max="3572" width="4.7109375" style="1281" customWidth="1"/>
    <col min="3573" max="3573" width="4.42578125" style="1281" customWidth="1"/>
    <col min="3574" max="3817" width="11.42578125" style="1281"/>
    <col min="3818" max="3818" width="11.42578125" style="1281" customWidth="1"/>
    <col min="3819" max="3819" width="33.42578125" style="1281" customWidth="1"/>
    <col min="3820" max="3820" width="16.28515625" style="1281" customWidth="1"/>
    <col min="3821" max="3821" width="3.42578125" style="1281" customWidth="1"/>
    <col min="3822" max="3822" width="5.7109375" style="1281" customWidth="1"/>
    <col min="3823" max="3823" width="5.85546875" style="1281" customWidth="1"/>
    <col min="3824" max="3824" width="6.7109375" style="1281" customWidth="1"/>
    <col min="3825" max="3825" width="5.7109375" style="1281" customWidth="1"/>
    <col min="3826" max="3826" width="4.42578125" style="1281" customWidth="1"/>
    <col min="3827" max="3827" width="4.85546875" style="1281" customWidth="1"/>
    <col min="3828" max="3828" width="4.7109375" style="1281" customWidth="1"/>
    <col min="3829" max="3829" width="4.42578125" style="1281" customWidth="1"/>
    <col min="3830" max="4073" width="11.42578125" style="1281"/>
    <col min="4074" max="4074" width="11.42578125" style="1281" customWidth="1"/>
    <col min="4075" max="4075" width="33.42578125" style="1281" customWidth="1"/>
    <col min="4076" max="4076" width="16.28515625" style="1281" customWidth="1"/>
    <col min="4077" max="4077" width="3.42578125" style="1281" customWidth="1"/>
    <col min="4078" max="4078" width="5.7109375" style="1281" customWidth="1"/>
    <col min="4079" max="4079" width="5.85546875" style="1281" customWidth="1"/>
    <col min="4080" max="4080" width="6.7109375" style="1281" customWidth="1"/>
    <col min="4081" max="4081" width="5.7109375" style="1281" customWidth="1"/>
    <col min="4082" max="4082" width="4.42578125" style="1281" customWidth="1"/>
    <col min="4083" max="4083" width="4.85546875" style="1281" customWidth="1"/>
    <col min="4084" max="4084" width="4.7109375" style="1281" customWidth="1"/>
    <col min="4085" max="4085" width="4.42578125" style="1281" customWidth="1"/>
    <col min="4086" max="4329" width="11.42578125" style="1281"/>
    <col min="4330" max="4330" width="11.42578125" style="1281" customWidth="1"/>
    <col min="4331" max="4331" width="33.42578125" style="1281" customWidth="1"/>
    <col min="4332" max="4332" width="16.28515625" style="1281" customWidth="1"/>
    <col min="4333" max="4333" width="3.42578125" style="1281" customWidth="1"/>
    <col min="4334" max="4334" width="5.7109375" style="1281" customWidth="1"/>
    <col min="4335" max="4335" width="5.85546875" style="1281" customWidth="1"/>
    <col min="4336" max="4336" width="6.7109375" style="1281" customWidth="1"/>
    <col min="4337" max="4337" width="5.7109375" style="1281" customWidth="1"/>
    <col min="4338" max="4338" width="4.42578125" style="1281" customWidth="1"/>
    <col min="4339" max="4339" width="4.85546875" style="1281" customWidth="1"/>
    <col min="4340" max="4340" width="4.7109375" style="1281" customWidth="1"/>
    <col min="4341" max="4341" width="4.42578125" style="1281" customWidth="1"/>
    <col min="4342" max="4585" width="11.42578125" style="1281"/>
    <col min="4586" max="4586" width="11.42578125" style="1281" customWidth="1"/>
    <col min="4587" max="4587" width="33.42578125" style="1281" customWidth="1"/>
    <col min="4588" max="4588" width="16.28515625" style="1281" customWidth="1"/>
    <col min="4589" max="4589" width="3.42578125" style="1281" customWidth="1"/>
    <col min="4590" max="4590" width="5.7109375" style="1281" customWidth="1"/>
    <col min="4591" max="4591" width="5.85546875" style="1281" customWidth="1"/>
    <col min="4592" max="4592" width="6.7109375" style="1281" customWidth="1"/>
    <col min="4593" max="4593" width="5.7109375" style="1281" customWidth="1"/>
    <col min="4594" max="4594" width="4.42578125" style="1281" customWidth="1"/>
    <col min="4595" max="4595" width="4.85546875" style="1281" customWidth="1"/>
    <col min="4596" max="4596" width="4.7109375" style="1281" customWidth="1"/>
    <col min="4597" max="4597" width="4.42578125" style="1281" customWidth="1"/>
    <col min="4598" max="4841" width="11.42578125" style="1281"/>
    <col min="4842" max="4842" width="11.42578125" style="1281" customWidth="1"/>
    <col min="4843" max="4843" width="33.42578125" style="1281" customWidth="1"/>
    <col min="4844" max="4844" width="16.28515625" style="1281" customWidth="1"/>
    <col min="4845" max="4845" width="3.42578125" style="1281" customWidth="1"/>
    <col min="4846" max="4846" width="5.7109375" style="1281" customWidth="1"/>
    <col min="4847" max="4847" width="5.85546875" style="1281" customWidth="1"/>
    <col min="4848" max="4848" width="6.7109375" style="1281" customWidth="1"/>
    <col min="4849" max="4849" width="5.7109375" style="1281" customWidth="1"/>
    <col min="4850" max="4850" width="4.42578125" style="1281" customWidth="1"/>
    <col min="4851" max="4851" width="4.85546875" style="1281" customWidth="1"/>
    <col min="4852" max="4852" width="4.7109375" style="1281" customWidth="1"/>
    <col min="4853" max="4853" width="4.42578125" style="1281" customWidth="1"/>
    <col min="4854" max="5097" width="11.42578125" style="1281"/>
    <col min="5098" max="5098" width="11.42578125" style="1281" customWidth="1"/>
    <col min="5099" max="5099" width="33.42578125" style="1281" customWidth="1"/>
    <col min="5100" max="5100" width="16.28515625" style="1281" customWidth="1"/>
    <col min="5101" max="5101" width="3.42578125" style="1281" customWidth="1"/>
    <col min="5102" max="5102" width="5.7109375" style="1281" customWidth="1"/>
    <col min="5103" max="5103" width="5.85546875" style="1281" customWidth="1"/>
    <col min="5104" max="5104" width="6.7109375" style="1281" customWidth="1"/>
    <col min="5105" max="5105" width="5.7109375" style="1281" customWidth="1"/>
    <col min="5106" max="5106" width="4.42578125" style="1281" customWidth="1"/>
    <col min="5107" max="5107" width="4.85546875" style="1281" customWidth="1"/>
    <col min="5108" max="5108" width="4.7109375" style="1281" customWidth="1"/>
    <col min="5109" max="5109" width="4.42578125" style="1281" customWidth="1"/>
    <col min="5110" max="5353" width="11.42578125" style="1281"/>
    <col min="5354" max="5354" width="11.42578125" style="1281" customWidth="1"/>
    <col min="5355" max="5355" width="33.42578125" style="1281" customWidth="1"/>
    <col min="5356" max="5356" width="16.28515625" style="1281" customWidth="1"/>
    <col min="5357" max="5357" width="3.42578125" style="1281" customWidth="1"/>
    <col min="5358" max="5358" width="5.7109375" style="1281" customWidth="1"/>
    <col min="5359" max="5359" width="5.85546875" style="1281" customWidth="1"/>
    <col min="5360" max="5360" width="6.7109375" style="1281" customWidth="1"/>
    <col min="5361" max="5361" width="5.7109375" style="1281" customWidth="1"/>
    <col min="5362" max="5362" width="4.42578125" style="1281" customWidth="1"/>
    <col min="5363" max="5363" width="4.85546875" style="1281" customWidth="1"/>
    <col min="5364" max="5364" width="4.7109375" style="1281" customWidth="1"/>
    <col min="5365" max="5365" width="4.42578125" style="1281" customWidth="1"/>
    <col min="5366" max="5609" width="11.42578125" style="1281"/>
    <col min="5610" max="5610" width="11.42578125" style="1281" customWidth="1"/>
    <col min="5611" max="5611" width="33.42578125" style="1281" customWidth="1"/>
    <col min="5612" max="5612" width="16.28515625" style="1281" customWidth="1"/>
    <col min="5613" max="5613" width="3.42578125" style="1281" customWidth="1"/>
    <col min="5614" max="5614" width="5.7109375" style="1281" customWidth="1"/>
    <col min="5615" max="5615" width="5.85546875" style="1281" customWidth="1"/>
    <col min="5616" max="5616" width="6.7109375" style="1281" customWidth="1"/>
    <col min="5617" max="5617" width="5.7109375" style="1281" customWidth="1"/>
    <col min="5618" max="5618" width="4.42578125" style="1281" customWidth="1"/>
    <col min="5619" max="5619" width="4.85546875" style="1281" customWidth="1"/>
    <col min="5620" max="5620" width="4.7109375" style="1281" customWidth="1"/>
    <col min="5621" max="5621" width="4.42578125" style="1281" customWidth="1"/>
    <col min="5622" max="5865" width="11.42578125" style="1281"/>
    <col min="5866" max="5866" width="11.42578125" style="1281" customWidth="1"/>
    <col min="5867" max="5867" width="33.42578125" style="1281" customWidth="1"/>
    <col min="5868" max="5868" width="16.28515625" style="1281" customWidth="1"/>
    <col min="5869" max="5869" width="3.42578125" style="1281" customWidth="1"/>
    <col min="5870" max="5870" width="5.7109375" style="1281" customWidth="1"/>
    <col min="5871" max="5871" width="5.85546875" style="1281" customWidth="1"/>
    <col min="5872" max="5872" width="6.7109375" style="1281" customWidth="1"/>
    <col min="5873" max="5873" width="5.7109375" style="1281" customWidth="1"/>
    <col min="5874" max="5874" width="4.42578125" style="1281" customWidth="1"/>
    <col min="5875" max="5875" width="4.85546875" style="1281" customWidth="1"/>
    <col min="5876" max="5876" width="4.7109375" style="1281" customWidth="1"/>
    <col min="5877" max="5877" width="4.42578125" style="1281" customWidth="1"/>
    <col min="5878" max="6121" width="11.42578125" style="1281"/>
    <col min="6122" max="6122" width="11.42578125" style="1281" customWidth="1"/>
    <col min="6123" max="6123" width="33.42578125" style="1281" customWidth="1"/>
    <col min="6124" max="6124" width="16.28515625" style="1281" customWidth="1"/>
    <col min="6125" max="6125" width="3.42578125" style="1281" customWidth="1"/>
    <col min="6126" max="6126" width="5.7109375" style="1281" customWidth="1"/>
    <col min="6127" max="6127" width="5.85546875" style="1281" customWidth="1"/>
    <col min="6128" max="6128" width="6.7109375" style="1281" customWidth="1"/>
    <col min="6129" max="6129" width="5.7109375" style="1281" customWidth="1"/>
    <col min="6130" max="6130" width="4.42578125" style="1281" customWidth="1"/>
    <col min="6131" max="6131" width="4.85546875" style="1281" customWidth="1"/>
    <col min="6132" max="6132" width="4.7109375" style="1281" customWidth="1"/>
    <col min="6133" max="6133" width="4.42578125" style="1281" customWidth="1"/>
    <col min="6134" max="6377" width="11.42578125" style="1281"/>
    <col min="6378" max="6378" width="11.42578125" style="1281" customWidth="1"/>
    <col min="6379" max="6379" width="33.42578125" style="1281" customWidth="1"/>
    <col min="6380" max="6380" width="16.28515625" style="1281" customWidth="1"/>
    <col min="6381" max="6381" width="3.42578125" style="1281" customWidth="1"/>
    <col min="6382" max="6382" width="5.7109375" style="1281" customWidth="1"/>
    <col min="6383" max="6383" width="5.85546875" style="1281" customWidth="1"/>
    <col min="6384" max="6384" width="6.7109375" style="1281" customWidth="1"/>
    <col min="6385" max="6385" width="5.7109375" style="1281" customWidth="1"/>
    <col min="6386" max="6386" width="4.42578125" style="1281" customWidth="1"/>
    <col min="6387" max="6387" width="4.85546875" style="1281" customWidth="1"/>
    <col min="6388" max="6388" width="4.7109375" style="1281" customWidth="1"/>
    <col min="6389" max="6389" width="4.42578125" style="1281" customWidth="1"/>
    <col min="6390" max="6633" width="11.42578125" style="1281"/>
    <col min="6634" max="6634" width="11.42578125" style="1281" customWidth="1"/>
    <col min="6635" max="6635" width="33.42578125" style="1281" customWidth="1"/>
    <col min="6636" max="6636" width="16.28515625" style="1281" customWidth="1"/>
    <col min="6637" max="6637" width="3.42578125" style="1281" customWidth="1"/>
    <col min="6638" max="6638" width="5.7109375" style="1281" customWidth="1"/>
    <col min="6639" max="6639" width="5.85546875" style="1281" customWidth="1"/>
    <col min="6640" max="6640" width="6.7109375" style="1281" customWidth="1"/>
    <col min="6641" max="6641" width="5.7109375" style="1281" customWidth="1"/>
    <col min="6642" max="6642" width="4.42578125" style="1281" customWidth="1"/>
    <col min="6643" max="6643" width="4.85546875" style="1281" customWidth="1"/>
    <col min="6644" max="6644" width="4.7109375" style="1281" customWidth="1"/>
    <col min="6645" max="6645" width="4.42578125" style="1281" customWidth="1"/>
    <col min="6646" max="6889" width="11.42578125" style="1281"/>
    <col min="6890" max="6890" width="11.42578125" style="1281" customWidth="1"/>
    <col min="6891" max="6891" width="33.42578125" style="1281" customWidth="1"/>
    <col min="6892" max="6892" width="16.28515625" style="1281" customWidth="1"/>
    <col min="6893" max="6893" width="3.42578125" style="1281" customWidth="1"/>
    <col min="6894" max="6894" width="5.7109375" style="1281" customWidth="1"/>
    <col min="6895" max="6895" width="5.85546875" style="1281" customWidth="1"/>
    <col min="6896" max="6896" width="6.7109375" style="1281" customWidth="1"/>
    <col min="6897" max="6897" width="5.7109375" style="1281" customWidth="1"/>
    <col min="6898" max="6898" width="4.42578125" style="1281" customWidth="1"/>
    <col min="6899" max="6899" width="4.85546875" style="1281" customWidth="1"/>
    <col min="6900" max="6900" width="4.7109375" style="1281" customWidth="1"/>
    <col min="6901" max="6901" width="4.42578125" style="1281" customWidth="1"/>
    <col min="6902" max="7145" width="11.42578125" style="1281"/>
    <col min="7146" max="7146" width="11.42578125" style="1281" customWidth="1"/>
    <col min="7147" max="7147" width="33.42578125" style="1281" customWidth="1"/>
    <col min="7148" max="7148" width="16.28515625" style="1281" customWidth="1"/>
    <col min="7149" max="7149" width="3.42578125" style="1281" customWidth="1"/>
    <col min="7150" max="7150" width="5.7109375" style="1281" customWidth="1"/>
    <col min="7151" max="7151" width="5.85546875" style="1281" customWidth="1"/>
    <col min="7152" max="7152" width="6.7109375" style="1281" customWidth="1"/>
    <col min="7153" max="7153" width="5.7109375" style="1281" customWidth="1"/>
    <col min="7154" max="7154" width="4.42578125" style="1281" customWidth="1"/>
    <col min="7155" max="7155" width="4.85546875" style="1281" customWidth="1"/>
    <col min="7156" max="7156" width="4.7109375" style="1281" customWidth="1"/>
    <col min="7157" max="7157" width="4.42578125" style="1281" customWidth="1"/>
    <col min="7158" max="7401" width="11.42578125" style="1281"/>
    <col min="7402" max="7402" width="11.42578125" style="1281" customWidth="1"/>
    <col min="7403" max="7403" width="33.42578125" style="1281" customWidth="1"/>
    <col min="7404" max="7404" width="16.28515625" style="1281" customWidth="1"/>
    <col min="7405" max="7405" width="3.42578125" style="1281" customWidth="1"/>
    <col min="7406" max="7406" width="5.7109375" style="1281" customWidth="1"/>
    <col min="7407" max="7407" width="5.85546875" style="1281" customWidth="1"/>
    <col min="7408" max="7408" width="6.7109375" style="1281" customWidth="1"/>
    <col min="7409" max="7409" width="5.7109375" style="1281" customWidth="1"/>
    <col min="7410" max="7410" width="4.42578125" style="1281" customWidth="1"/>
    <col min="7411" max="7411" width="4.85546875" style="1281" customWidth="1"/>
    <col min="7412" max="7412" width="4.7109375" style="1281" customWidth="1"/>
    <col min="7413" max="7413" width="4.42578125" style="1281" customWidth="1"/>
    <col min="7414" max="7657" width="11.42578125" style="1281"/>
    <col min="7658" max="7658" width="11.42578125" style="1281" customWidth="1"/>
    <col min="7659" max="7659" width="33.42578125" style="1281" customWidth="1"/>
    <col min="7660" max="7660" width="16.28515625" style="1281" customWidth="1"/>
    <col min="7661" max="7661" width="3.42578125" style="1281" customWidth="1"/>
    <col min="7662" max="7662" width="5.7109375" style="1281" customWidth="1"/>
    <col min="7663" max="7663" width="5.85546875" style="1281" customWidth="1"/>
    <col min="7664" max="7664" width="6.7109375" style="1281" customWidth="1"/>
    <col min="7665" max="7665" width="5.7109375" style="1281" customWidth="1"/>
    <col min="7666" max="7666" width="4.42578125" style="1281" customWidth="1"/>
    <col min="7667" max="7667" width="4.85546875" style="1281" customWidth="1"/>
    <col min="7668" max="7668" width="4.7109375" style="1281" customWidth="1"/>
    <col min="7669" max="7669" width="4.42578125" style="1281" customWidth="1"/>
    <col min="7670" max="7913" width="11.42578125" style="1281"/>
    <col min="7914" max="7914" width="11.42578125" style="1281" customWidth="1"/>
    <col min="7915" max="7915" width="33.42578125" style="1281" customWidth="1"/>
    <col min="7916" max="7916" width="16.28515625" style="1281" customWidth="1"/>
    <col min="7917" max="7917" width="3.42578125" style="1281" customWidth="1"/>
    <col min="7918" max="7918" width="5.7109375" style="1281" customWidth="1"/>
    <col min="7919" max="7919" width="5.85546875" style="1281" customWidth="1"/>
    <col min="7920" max="7920" width="6.7109375" style="1281" customWidth="1"/>
    <col min="7921" max="7921" width="5.7109375" style="1281" customWidth="1"/>
    <col min="7922" max="7922" width="4.42578125" style="1281" customWidth="1"/>
    <col min="7923" max="7923" width="4.85546875" style="1281" customWidth="1"/>
    <col min="7924" max="7924" width="4.7109375" style="1281" customWidth="1"/>
    <col min="7925" max="7925" width="4.42578125" style="1281" customWidth="1"/>
    <col min="7926" max="8169" width="11.42578125" style="1281"/>
    <col min="8170" max="8170" width="11.42578125" style="1281" customWidth="1"/>
    <col min="8171" max="8171" width="33.42578125" style="1281" customWidth="1"/>
    <col min="8172" max="8172" width="16.28515625" style="1281" customWidth="1"/>
    <col min="8173" max="8173" width="3.42578125" style="1281" customWidth="1"/>
    <col min="8174" max="8174" width="5.7109375" style="1281" customWidth="1"/>
    <col min="8175" max="8175" width="5.85546875" style="1281" customWidth="1"/>
    <col min="8176" max="8176" width="6.7109375" style="1281" customWidth="1"/>
    <col min="8177" max="8177" width="5.7109375" style="1281" customWidth="1"/>
    <col min="8178" max="8178" width="4.42578125" style="1281" customWidth="1"/>
    <col min="8179" max="8179" width="4.85546875" style="1281" customWidth="1"/>
    <col min="8180" max="8180" width="4.7109375" style="1281" customWidth="1"/>
    <col min="8181" max="8181" width="4.42578125" style="1281" customWidth="1"/>
    <col min="8182" max="8425" width="11.42578125" style="1281"/>
    <col min="8426" max="8426" width="11.42578125" style="1281" customWidth="1"/>
    <col min="8427" max="8427" width="33.42578125" style="1281" customWidth="1"/>
    <col min="8428" max="8428" width="16.28515625" style="1281" customWidth="1"/>
    <col min="8429" max="8429" width="3.42578125" style="1281" customWidth="1"/>
    <col min="8430" max="8430" width="5.7109375" style="1281" customWidth="1"/>
    <col min="8431" max="8431" width="5.85546875" style="1281" customWidth="1"/>
    <col min="8432" max="8432" width="6.7109375" style="1281" customWidth="1"/>
    <col min="8433" max="8433" width="5.7109375" style="1281" customWidth="1"/>
    <col min="8434" max="8434" width="4.42578125" style="1281" customWidth="1"/>
    <col min="8435" max="8435" width="4.85546875" style="1281" customWidth="1"/>
    <col min="8436" max="8436" width="4.7109375" style="1281" customWidth="1"/>
    <col min="8437" max="8437" width="4.42578125" style="1281" customWidth="1"/>
    <col min="8438" max="8681" width="11.42578125" style="1281"/>
    <col min="8682" max="8682" width="11.42578125" style="1281" customWidth="1"/>
    <col min="8683" max="8683" width="33.42578125" style="1281" customWidth="1"/>
    <col min="8684" max="8684" width="16.28515625" style="1281" customWidth="1"/>
    <col min="8685" max="8685" width="3.42578125" style="1281" customWidth="1"/>
    <col min="8686" max="8686" width="5.7109375" style="1281" customWidth="1"/>
    <col min="8687" max="8687" width="5.85546875" style="1281" customWidth="1"/>
    <col min="8688" max="8688" width="6.7109375" style="1281" customWidth="1"/>
    <col min="8689" max="8689" width="5.7109375" style="1281" customWidth="1"/>
    <col min="8690" max="8690" width="4.42578125" style="1281" customWidth="1"/>
    <col min="8691" max="8691" width="4.85546875" style="1281" customWidth="1"/>
    <col min="8692" max="8692" width="4.7109375" style="1281" customWidth="1"/>
    <col min="8693" max="8693" width="4.42578125" style="1281" customWidth="1"/>
    <col min="8694" max="8937" width="11.42578125" style="1281"/>
    <col min="8938" max="8938" width="11.42578125" style="1281" customWidth="1"/>
    <col min="8939" max="8939" width="33.42578125" style="1281" customWidth="1"/>
    <col min="8940" max="8940" width="16.28515625" style="1281" customWidth="1"/>
    <col min="8941" max="8941" width="3.42578125" style="1281" customWidth="1"/>
    <col min="8942" max="8942" width="5.7109375" style="1281" customWidth="1"/>
    <col min="8943" max="8943" width="5.85546875" style="1281" customWidth="1"/>
    <col min="8944" max="8944" width="6.7109375" style="1281" customWidth="1"/>
    <col min="8945" max="8945" width="5.7109375" style="1281" customWidth="1"/>
    <col min="8946" max="8946" width="4.42578125" style="1281" customWidth="1"/>
    <col min="8947" max="8947" width="4.85546875" style="1281" customWidth="1"/>
    <col min="8948" max="8948" width="4.7109375" style="1281" customWidth="1"/>
    <col min="8949" max="8949" width="4.42578125" style="1281" customWidth="1"/>
    <col min="8950" max="9193" width="11.42578125" style="1281"/>
    <col min="9194" max="9194" width="11.42578125" style="1281" customWidth="1"/>
    <col min="9195" max="9195" width="33.42578125" style="1281" customWidth="1"/>
    <col min="9196" max="9196" width="16.28515625" style="1281" customWidth="1"/>
    <col min="9197" max="9197" width="3.42578125" style="1281" customWidth="1"/>
    <col min="9198" max="9198" width="5.7109375" style="1281" customWidth="1"/>
    <col min="9199" max="9199" width="5.85546875" style="1281" customWidth="1"/>
    <col min="9200" max="9200" width="6.7109375" style="1281" customWidth="1"/>
    <col min="9201" max="9201" width="5.7109375" style="1281" customWidth="1"/>
    <col min="9202" max="9202" width="4.42578125" style="1281" customWidth="1"/>
    <col min="9203" max="9203" width="4.85546875" style="1281" customWidth="1"/>
    <col min="9204" max="9204" width="4.7109375" style="1281" customWidth="1"/>
    <col min="9205" max="9205" width="4.42578125" style="1281" customWidth="1"/>
    <col min="9206" max="9449" width="11.42578125" style="1281"/>
    <col min="9450" max="9450" width="11.42578125" style="1281" customWidth="1"/>
    <col min="9451" max="9451" width="33.42578125" style="1281" customWidth="1"/>
    <col min="9452" max="9452" width="16.28515625" style="1281" customWidth="1"/>
    <col min="9453" max="9453" width="3.42578125" style="1281" customWidth="1"/>
    <col min="9454" max="9454" width="5.7109375" style="1281" customWidth="1"/>
    <col min="9455" max="9455" width="5.85546875" style="1281" customWidth="1"/>
    <col min="9456" max="9456" width="6.7109375" style="1281" customWidth="1"/>
    <col min="9457" max="9457" width="5.7109375" style="1281" customWidth="1"/>
    <col min="9458" max="9458" width="4.42578125" style="1281" customWidth="1"/>
    <col min="9459" max="9459" width="4.85546875" style="1281" customWidth="1"/>
    <col min="9460" max="9460" width="4.7109375" style="1281" customWidth="1"/>
    <col min="9461" max="9461" width="4.42578125" style="1281" customWidth="1"/>
    <col min="9462" max="9705" width="11.42578125" style="1281"/>
    <col min="9706" max="9706" width="11.42578125" style="1281" customWidth="1"/>
    <col min="9707" max="9707" width="33.42578125" style="1281" customWidth="1"/>
    <col min="9708" max="9708" width="16.28515625" style="1281" customWidth="1"/>
    <col min="9709" max="9709" width="3.42578125" style="1281" customWidth="1"/>
    <col min="9710" max="9710" width="5.7109375" style="1281" customWidth="1"/>
    <col min="9711" max="9711" width="5.85546875" style="1281" customWidth="1"/>
    <col min="9712" max="9712" width="6.7109375" style="1281" customWidth="1"/>
    <col min="9713" max="9713" width="5.7109375" style="1281" customWidth="1"/>
    <col min="9714" max="9714" width="4.42578125" style="1281" customWidth="1"/>
    <col min="9715" max="9715" width="4.85546875" style="1281" customWidth="1"/>
    <col min="9716" max="9716" width="4.7109375" style="1281" customWidth="1"/>
    <col min="9717" max="9717" width="4.42578125" style="1281" customWidth="1"/>
    <col min="9718" max="9961" width="11.42578125" style="1281"/>
    <col min="9962" max="9962" width="11.42578125" style="1281" customWidth="1"/>
    <col min="9963" max="9963" width="33.42578125" style="1281" customWidth="1"/>
    <col min="9964" max="9964" width="16.28515625" style="1281" customWidth="1"/>
    <col min="9965" max="9965" width="3.42578125" style="1281" customWidth="1"/>
    <col min="9966" max="9966" width="5.7109375" style="1281" customWidth="1"/>
    <col min="9967" max="9967" width="5.85546875" style="1281" customWidth="1"/>
    <col min="9968" max="9968" width="6.7109375" style="1281" customWidth="1"/>
    <col min="9969" max="9969" width="5.7109375" style="1281" customWidth="1"/>
    <col min="9970" max="9970" width="4.42578125" style="1281" customWidth="1"/>
    <col min="9971" max="9971" width="4.85546875" style="1281" customWidth="1"/>
    <col min="9972" max="9972" width="4.7109375" style="1281" customWidth="1"/>
    <col min="9973" max="9973" width="4.42578125" style="1281" customWidth="1"/>
    <col min="9974" max="10217" width="11.42578125" style="1281"/>
    <col min="10218" max="10218" width="11.42578125" style="1281" customWidth="1"/>
    <col min="10219" max="10219" width="33.42578125" style="1281" customWidth="1"/>
    <col min="10220" max="10220" width="16.28515625" style="1281" customWidth="1"/>
    <col min="10221" max="10221" width="3.42578125" style="1281" customWidth="1"/>
    <col min="10222" max="10222" width="5.7109375" style="1281" customWidth="1"/>
    <col min="10223" max="10223" width="5.85546875" style="1281" customWidth="1"/>
    <col min="10224" max="10224" width="6.7109375" style="1281" customWidth="1"/>
    <col min="10225" max="10225" width="5.7109375" style="1281" customWidth="1"/>
    <col min="10226" max="10226" width="4.42578125" style="1281" customWidth="1"/>
    <col min="10227" max="10227" width="4.85546875" style="1281" customWidth="1"/>
    <col min="10228" max="10228" width="4.7109375" style="1281" customWidth="1"/>
    <col min="10229" max="10229" width="4.42578125" style="1281" customWidth="1"/>
    <col min="10230" max="10473" width="11.42578125" style="1281"/>
    <col min="10474" max="10474" width="11.42578125" style="1281" customWidth="1"/>
    <col min="10475" max="10475" width="33.42578125" style="1281" customWidth="1"/>
    <col min="10476" max="10476" width="16.28515625" style="1281" customWidth="1"/>
    <col min="10477" max="10477" width="3.42578125" style="1281" customWidth="1"/>
    <col min="10478" max="10478" width="5.7109375" style="1281" customWidth="1"/>
    <col min="10479" max="10479" width="5.85546875" style="1281" customWidth="1"/>
    <col min="10480" max="10480" width="6.7109375" style="1281" customWidth="1"/>
    <col min="10481" max="10481" width="5.7109375" style="1281" customWidth="1"/>
    <col min="10482" max="10482" width="4.42578125" style="1281" customWidth="1"/>
    <col min="10483" max="10483" width="4.85546875" style="1281" customWidth="1"/>
    <col min="10484" max="10484" width="4.7109375" style="1281" customWidth="1"/>
    <col min="10485" max="10485" width="4.42578125" style="1281" customWidth="1"/>
    <col min="10486" max="10729" width="11.42578125" style="1281"/>
    <col min="10730" max="10730" width="11.42578125" style="1281" customWidth="1"/>
    <col min="10731" max="10731" width="33.42578125" style="1281" customWidth="1"/>
    <col min="10732" max="10732" width="16.28515625" style="1281" customWidth="1"/>
    <col min="10733" max="10733" width="3.42578125" style="1281" customWidth="1"/>
    <col min="10734" max="10734" width="5.7109375" style="1281" customWidth="1"/>
    <col min="10735" max="10735" width="5.85546875" style="1281" customWidth="1"/>
    <col min="10736" max="10736" width="6.7109375" style="1281" customWidth="1"/>
    <col min="10737" max="10737" width="5.7109375" style="1281" customWidth="1"/>
    <col min="10738" max="10738" width="4.42578125" style="1281" customWidth="1"/>
    <col min="10739" max="10739" width="4.85546875" style="1281" customWidth="1"/>
    <col min="10740" max="10740" width="4.7109375" style="1281" customWidth="1"/>
    <col min="10741" max="10741" width="4.42578125" style="1281" customWidth="1"/>
    <col min="10742" max="10985" width="11.42578125" style="1281"/>
    <col min="10986" max="10986" width="11.42578125" style="1281" customWidth="1"/>
    <col min="10987" max="10987" width="33.42578125" style="1281" customWidth="1"/>
    <col min="10988" max="10988" width="16.28515625" style="1281" customWidth="1"/>
    <col min="10989" max="10989" width="3.42578125" style="1281" customWidth="1"/>
    <col min="10990" max="10990" width="5.7109375" style="1281" customWidth="1"/>
    <col min="10991" max="10991" width="5.85546875" style="1281" customWidth="1"/>
    <col min="10992" max="10992" width="6.7109375" style="1281" customWidth="1"/>
    <col min="10993" max="10993" width="5.7109375" style="1281" customWidth="1"/>
    <col min="10994" max="10994" width="4.42578125" style="1281" customWidth="1"/>
    <col min="10995" max="10995" width="4.85546875" style="1281" customWidth="1"/>
    <col min="10996" max="10996" width="4.7109375" style="1281" customWidth="1"/>
    <col min="10997" max="10997" width="4.42578125" style="1281" customWidth="1"/>
    <col min="10998" max="11241" width="11.42578125" style="1281"/>
    <col min="11242" max="11242" width="11.42578125" style="1281" customWidth="1"/>
    <col min="11243" max="11243" width="33.42578125" style="1281" customWidth="1"/>
    <col min="11244" max="11244" width="16.28515625" style="1281" customWidth="1"/>
    <col min="11245" max="11245" width="3.42578125" style="1281" customWidth="1"/>
    <col min="11246" max="11246" width="5.7109375" style="1281" customWidth="1"/>
    <col min="11247" max="11247" width="5.85546875" style="1281" customWidth="1"/>
    <col min="11248" max="11248" width="6.7109375" style="1281" customWidth="1"/>
    <col min="11249" max="11249" width="5.7109375" style="1281" customWidth="1"/>
    <col min="11250" max="11250" width="4.42578125" style="1281" customWidth="1"/>
    <col min="11251" max="11251" width="4.85546875" style="1281" customWidth="1"/>
    <col min="11252" max="11252" width="4.7109375" style="1281" customWidth="1"/>
    <col min="11253" max="11253" width="4.42578125" style="1281" customWidth="1"/>
    <col min="11254" max="11497" width="11.42578125" style="1281"/>
    <col min="11498" max="11498" width="11.42578125" style="1281" customWidth="1"/>
    <col min="11499" max="11499" width="33.42578125" style="1281" customWidth="1"/>
    <col min="11500" max="11500" width="16.28515625" style="1281" customWidth="1"/>
    <col min="11501" max="11501" width="3.42578125" style="1281" customWidth="1"/>
    <col min="11502" max="11502" width="5.7109375" style="1281" customWidth="1"/>
    <col min="11503" max="11503" width="5.85546875" style="1281" customWidth="1"/>
    <col min="11504" max="11504" width="6.7109375" style="1281" customWidth="1"/>
    <col min="11505" max="11505" width="5.7109375" style="1281" customWidth="1"/>
    <col min="11506" max="11506" width="4.42578125" style="1281" customWidth="1"/>
    <col min="11507" max="11507" width="4.85546875" style="1281" customWidth="1"/>
    <col min="11508" max="11508" width="4.7109375" style="1281" customWidth="1"/>
    <col min="11509" max="11509" width="4.42578125" style="1281" customWidth="1"/>
    <col min="11510" max="11753" width="11.42578125" style="1281"/>
    <col min="11754" max="11754" width="11.42578125" style="1281" customWidth="1"/>
    <col min="11755" max="11755" width="33.42578125" style="1281" customWidth="1"/>
    <col min="11756" max="11756" width="16.28515625" style="1281" customWidth="1"/>
    <col min="11757" max="11757" width="3.42578125" style="1281" customWidth="1"/>
    <col min="11758" max="11758" width="5.7109375" style="1281" customWidth="1"/>
    <col min="11759" max="11759" width="5.85546875" style="1281" customWidth="1"/>
    <col min="11760" max="11760" width="6.7109375" style="1281" customWidth="1"/>
    <col min="11761" max="11761" width="5.7109375" style="1281" customWidth="1"/>
    <col min="11762" max="11762" width="4.42578125" style="1281" customWidth="1"/>
    <col min="11763" max="11763" width="4.85546875" style="1281" customWidth="1"/>
    <col min="11764" max="11764" width="4.7109375" style="1281" customWidth="1"/>
    <col min="11765" max="11765" width="4.42578125" style="1281" customWidth="1"/>
    <col min="11766" max="12009" width="11.42578125" style="1281"/>
    <col min="12010" max="12010" width="11.42578125" style="1281" customWidth="1"/>
    <col min="12011" max="12011" width="33.42578125" style="1281" customWidth="1"/>
    <col min="12012" max="12012" width="16.28515625" style="1281" customWidth="1"/>
    <col min="12013" max="12013" width="3.42578125" style="1281" customWidth="1"/>
    <col min="12014" max="12014" width="5.7109375" style="1281" customWidth="1"/>
    <col min="12015" max="12015" width="5.85546875" style="1281" customWidth="1"/>
    <col min="12016" max="12016" width="6.7109375" style="1281" customWidth="1"/>
    <col min="12017" max="12017" width="5.7109375" style="1281" customWidth="1"/>
    <col min="12018" max="12018" width="4.42578125" style="1281" customWidth="1"/>
    <col min="12019" max="12019" width="4.85546875" style="1281" customWidth="1"/>
    <col min="12020" max="12020" width="4.7109375" style="1281" customWidth="1"/>
    <col min="12021" max="12021" width="4.42578125" style="1281" customWidth="1"/>
    <col min="12022" max="12265" width="11.42578125" style="1281"/>
    <col min="12266" max="12266" width="11.42578125" style="1281" customWidth="1"/>
    <col min="12267" max="12267" width="33.42578125" style="1281" customWidth="1"/>
    <col min="12268" max="12268" width="16.28515625" style="1281" customWidth="1"/>
    <col min="12269" max="12269" width="3.42578125" style="1281" customWidth="1"/>
    <col min="12270" max="12270" width="5.7109375" style="1281" customWidth="1"/>
    <col min="12271" max="12271" width="5.85546875" style="1281" customWidth="1"/>
    <col min="12272" max="12272" width="6.7109375" style="1281" customWidth="1"/>
    <col min="12273" max="12273" width="5.7109375" style="1281" customWidth="1"/>
    <col min="12274" max="12274" width="4.42578125" style="1281" customWidth="1"/>
    <col min="12275" max="12275" width="4.85546875" style="1281" customWidth="1"/>
    <col min="12276" max="12276" width="4.7109375" style="1281" customWidth="1"/>
    <col min="12277" max="12277" width="4.42578125" style="1281" customWidth="1"/>
    <col min="12278" max="12521" width="11.42578125" style="1281"/>
    <col min="12522" max="12522" width="11.42578125" style="1281" customWidth="1"/>
    <col min="12523" max="12523" width="33.42578125" style="1281" customWidth="1"/>
    <col min="12524" max="12524" width="16.28515625" style="1281" customWidth="1"/>
    <col min="12525" max="12525" width="3.42578125" style="1281" customWidth="1"/>
    <col min="12526" max="12526" width="5.7109375" style="1281" customWidth="1"/>
    <col min="12527" max="12527" width="5.85546875" style="1281" customWidth="1"/>
    <col min="12528" max="12528" width="6.7109375" style="1281" customWidth="1"/>
    <col min="12529" max="12529" width="5.7109375" style="1281" customWidth="1"/>
    <col min="12530" max="12530" width="4.42578125" style="1281" customWidth="1"/>
    <col min="12531" max="12531" width="4.85546875" style="1281" customWidth="1"/>
    <col min="12532" max="12532" width="4.7109375" style="1281" customWidth="1"/>
    <col min="12533" max="12533" width="4.42578125" style="1281" customWidth="1"/>
    <col min="12534" max="12777" width="11.42578125" style="1281"/>
    <col min="12778" max="12778" width="11.42578125" style="1281" customWidth="1"/>
    <col min="12779" max="12779" width="33.42578125" style="1281" customWidth="1"/>
    <col min="12780" max="12780" width="16.28515625" style="1281" customWidth="1"/>
    <col min="12781" max="12781" width="3.42578125" style="1281" customWidth="1"/>
    <col min="12782" max="12782" width="5.7109375" style="1281" customWidth="1"/>
    <col min="12783" max="12783" width="5.85546875" style="1281" customWidth="1"/>
    <col min="12784" max="12784" width="6.7109375" style="1281" customWidth="1"/>
    <col min="12785" max="12785" width="5.7109375" style="1281" customWidth="1"/>
    <col min="12786" max="12786" width="4.42578125" style="1281" customWidth="1"/>
    <col min="12787" max="12787" width="4.85546875" style="1281" customWidth="1"/>
    <col min="12788" max="12788" width="4.7109375" style="1281" customWidth="1"/>
    <col min="12789" max="12789" width="4.42578125" style="1281" customWidth="1"/>
    <col min="12790" max="13033" width="11.42578125" style="1281"/>
    <col min="13034" max="13034" width="11.42578125" style="1281" customWidth="1"/>
    <col min="13035" max="13035" width="33.42578125" style="1281" customWidth="1"/>
    <col min="13036" max="13036" width="16.28515625" style="1281" customWidth="1"/>
    <col min="13037" max="13037" width="3.42578125" style="1281" customWidth="1"/>
    <col min="13038" max="13038" width="5.7109375" style="1281" customWidth="1"/>
    <col min="13039" max="13039" width="5.85546875" style="1281" customWidth="1"/>
    <col min="13040" max="13040" width="6.7109375" style="1281" customWidth="1"/>
    <col min="13041" max="13041" width="5.7109375" style="1281" customWidth="1"/>
    <col min="13042" max="13042" width="4.42578125" style="1281" customWidth="1"/>
    <col min="13043" max="13043" width="4.85546875" style="1281" customWidth="1"/>
    <col min="13044" max="13044" width="4.7109375" style="1281" customWidth="1"/>
    <col min="13045" max="13045" width="4.42578125" style="1281" customWidth="1"/>
    <col min="13046" max="13289" width="11.42578125" style="1281"/>
    <col min="13290" max="13290" width="11.42578125" style="1281" customWidth="1"/>
    <col min="13291" max="13291" width="33.42578125" style="1281" customWidth="1"/>
    <col min="13292" max="13292" width="16.28515625" style="1281" customWidth="1"/>
    <col min="13293" max="13293" width="3.42578125" style="1281" customWidth="1"/>
    <col min="13294" max="13294" width="5.7109375" style="1281" customWidth="1"/>
    <col min="13295" max="13295" width="5.85546875" style="1281" customWidth="1"/>
    <col min="13296" max="13296" width="6.7109375" style="1281" customWidth="1"/>
    <col min="13297" max="13297" width="5.7109375" style="1281" customWidth="1"/>
    <col min="13298" max="13298" width="4.42578125" style="1281" customWidth="1"/>
    <col min="13299" max="13299" width="4.85546875" style="1281" customWidth="1"/>
    <col min="13300" max="13300" width="4.7109375" style="1281" customWidth="1"/>
    <col min="13301" max="13301" width="4.42578125" style="1281" customWidth="1"/>
    <col min="13302" max="13545" width="11.42578125" style="1281"/>
    <col min="13546" max="13546" width="11.42578125" style="1281" customWidth="1"/>
    <col min="13547" max="13547" width="33.42578125" style="1281" customWidth="1"/>
    <col min="13548" max="13548" width="16.28515625" style="1281" customWidth="1"/>
    <col min="13549" max="13549" width="3.42578125" style="1281" customWidth="1"/>
    <col min="13550" max="13550" width="5.7109375" style="1281" customWidth="1"/>
    <col min="13551" max="13551" width="5.85546875" style="1281" customWidth="1"/>
    <col min="13552" max="13552" width="6.7109375" style="1281" customWidth="1"/>
    <col min="13553" max="13553" width="5.7109375" style="1281" customWidth="1"/>
    <col min="13554" max="13554" width="4.42578125" style="1281" customWidth="1"/>
    <col min="13555" max="13555" width="4.85546875" style="1281" customWidth="1"/>
    <col min="13556" max="13556" width="4.7109375" style="1281" customWidth="1"/>
    <col min="13557" max="13557" width="4.42578125" style="1281" customWidth="1"/>
    <col min="13558" max="13801" width="11.42578125" style="1281"/>
    <col min="13802" max="13802" width="11.42578125" style="1281" customWidth="1"/>
    <col min="13803" max="13803" width="33.42578125" style="1281" customWidth="1"/>
    <col min="13804" max="13804" width="16.28515625" style="1281" customWidth="1"/>
    <col min="13805" max="13805" width="3.42578125" style="1281" customWidth="1"/>
    <col min="13806" max="13806" width="5.7109375" style="1281" customWidth="1"/>
    <col min="13807" max="13807" width="5.85546875" style="1281" customWidth="1"/>
    <col min="13808" max="13808" width="6.7109375" style="1281" customWidth="1"/>
    <col min="13809" max="13809" width="5.7109375" style="1281" customWidth="1"/>
    <col min="13810" max="13810" width="4.42578125" style="1281" customWidth="1"/>
    <col min="13811" max="13811" width="4.85546875" style="1281" customWidth="1"/>
    <col min="13812" max="13812" width="4.7109375" style="1281" customWidth="1"/>
    <col min="13813" max="13813" width="4.42578125" style="1281" customWidth="1"/>
    <col min="13814" max="14057" width="11.42578125" style="1281"/>
    <col min="14058" max="14058" width="11.42578125" style="1281" customWidth="1"/>
    <col min="14059" max="14059" width="33.42578125" style="1281" customWidth="1"/>
    <col min="14060" max="14060" width="16.28515625" style="1281" customWidth="1"/>
    <col min="14061" max="14061" width="3.42578125" style="1281" customWidth="1"/>
    <col min="14062" max="14062" width="5.7109375" style="1281" customWidth="1"/>
    <col min="14063" max="14063" width="5.85546875" style="1281" customWidth="1"/>
    <col min="14064" max="14064" width="6.7109375" style="1281" customWidth="1"/>
    <col min="14065" max="14065" width="5.7109375" style="1281" customWidth="1"/>
    <col min="14066" max="14066" width="4.42578125" style="1281" customWidth="1"/>
    <col min="14067" max="14067" width="4.85546875" style="1281" customWidth="1"/>
    <col min="14068" max="14068" width="4.7109375" style="1281" customWidth="1"/>
    <col min="14069" max="14069" width="4.42578125" style="1281" customWidth="1"/>
    <col min="14070" max="14313" width="11.42578125" style="1281"/>
    <col min="14314" max="14314" width="11.42578125" style="1281" customWidth="1"/>
    <col min="14315" max="14315" width="33.42578125" style="1281" customWidth="1"/>
    <col min="14316" max="14316" width="16.28515625" style="1281" customWidth="1"/>
    <col min="14317" max="14317" width="3.42578125" style="1281" customWidth="1"/>
    <col min="14318" max="14318" width="5.7109375" style="1281" customWidth="1"/>
    <col min="14319" max="14319" width="5.85546875" style="1281" customWidth="1"/>
    <col min="14320" max="14320" width="6.7109375" style="1281" customWidth="1"/>
    <col min="14321" max="14321" width="5.7109375" style="1281" customWidth="1"/>
    <col min="14322" max="14322" width="4.42578125" style="1281" customWidth="1"/>
    <col min="14323" max="14323" width="4.85546875" style="1281" customWidth="1"/>
    <col min="14324" max="14324" width="4.7109375" style="1281" customWidth="1"/>
    <col min="14325" max="14325" width="4.42578125" style="1281" customWidth="1"/>
    <col min="14326" max="14569" width="11.42578125" style="1281"/>
    <col min="14570" max="14570" width="11.42578125" style="1281" customWidth="1"/>
    <col min="14571" max="14571" width="33.42578125" style="1281" customWidth="1"/>
    <col min="14572" max="14572" width="16.28515625" style="1281" customWidth="1"/>
    <col min="14573" max="14573" width="3.42578125" style="1281" customWidth="1"/>
    <col min="14574" max="14574" width="5.7109375" style="1281" customWidth="1"/>
    <col min="14575" max="14575" width="5.85546875" style="1281" customWidth="1"/>
    <col min="14576" max="14576" width="6.7109375" style="1281" customWidth="1"/>
    <col min="14577" max="14577" width="5.7109375" style="1281" customWidth="1"/>
    <col min="14578" max="14578" width="4.42578125" style="1281" customWidth="1"/>
    <col min="14579" max="14579" width="4.85546875" style="1281" customWidth="1"/>
    <col min="14580" max="14580" width="4.7109375" style="1281" customWidth="1"/>
    <col min="14581" max="14581" width="4.42578125" style="1281" customWidth="1"/>
    <col min="14582" max="14825" width="11.42578125" style="1281"/>
    <col min="14826" max="14826" width="11.42578125" style="1281" customWidth="1"/>
    <col min="14827" max="14827" width="33.42578125" style="1281" customWidth="1"/>
    <col min="14828" max="14828" width="16.28515625" style="1281" customWidth="1"/>
    <col min="14829" max="14829" width="3.42578125" style="1281" customWidth="1"/>
    <col min="14830" max="14830" width="5.7109375" style="1281" customWidth="1"/>
    <col min="14831" max="14831" width="5.85546875" style="1281" customWidth="1"/>
    <col min="14832" max="14832" width="6.7109375" style="1281" customWidth="1"/>
    <col min="14833" max="14833" width="5.7109375" style="1281" customWidth="1"/>
    <col min="14834" max="14834" width="4.42578125" style="1281" customWidth="1"/>
    <col min="14835" max="14835" width="4.85546875" style="1281" customWidth="1"/>
    <col min="14836" max="14836" width="4.7109375" style="1281" customWidth="1"/>
    <col min="14837" max="14837" width="4.42578125" style="1281" customWidth="1"/>
    <col min="14838" max="15081" width="11.42578125" style="1281"/>
    <col min="15082" max="15082" width="11.42578125" style="1281" customWidth="1"/>
    <col min="15083" max="15083" width="33.42578125" style="1281" customWidth="1"/>
    <col min="15084" max="15084" width="16.28515625" style="1281" customWidth="1"/>
    <col min="15085" max="15085" width="3.42578125" style="1281" customWidth="1"/>
    <col min="15086" max="15086" width="5.7109375" style="1281" customWidth="1"/>
    <col min="15087" max="15087" width="5.85546875" style="1281" customWidth="1"/>
    <col min="15088" max="15088" width="6.7109375" style="1281" customWidth="1"/>
    <col min="15089" max="15089" width="5.7109375" style="1281" customWidth="1"/>
    <col min="15090" max="15090" width="4.42578125" style="1281" customWidth="1"/>
    <col min="15091" max="15091" width="4.85546875" style="1281" customWidth="1"/>
    <col min="15092" max="15092" width="4.7109375" style="1281" customWidth="1"/>
    <col min="15093" max="15093" width="4.42578125" style="1281" customWidth="1"/>
    <col min="15094" max="15337" width="11.42578125" style="1281"/>
    <col min="15338" max="15338" width="11.42578125" style="1281" customWidth="1"/>
    <col min="15339" max="15339" width="33.42578125" style="1281" customWidth="1"/>
    <col min="15340" max="15340" width="16.28515625" style="1281" customWidth="1"/>
    <col min="15341" max="15341" width="3.42578125" style="1281" customWidth="1"/>
    <col min="15342" max="15342" width="5.7109375" style="1281" customWidth="1"/>
    <col min="15343" max="15343" width="5.85546875" style="1281" customWidth="1"/>
    <col min="15344" max="15344" width="6.7109375" style="1281" customWidth="1"/>
    <col min="15345" max="15345" width="5.7109375" style="1281" customWidth="1"/>
    <col min="15346" max="15346" width="4.42578125" style="1281" customWidth="1"/>
    <col min="15347" max="15347" width="4.85546875" style="1281" customWidth="1"/>
    <col min="15348" max="15348" width="4.7109375" style="1281" customWidth="1"/>
    <col min="15349" max="15349" width="4.42578125" style="1281" customWidth="1"/>
    <col min="15350" max="15593" width="11.42578125" style="1281"/>
    <col min="15594" max="15594" width="11.42578125" style="1281" customWidth="1"/>
    <col min="15595" max="15595" width="33.42578125" style="1281" customWidth="1"/>
    <col min="15596" max="15596" width="16.28515625" style="1281" customWidth="1"/>
    <col min="15597" max="15597" width="3.42578125" style="1281" customWidth="1"/>
    <col min="15598" max="15598" width="5.7109375" style="1281" customWidth="1"/>
    <col min="15599" max="15599" width="5.85546875" style="1281" customWidth="1"/>
    <col min="15600" max="15600" width="6.7109375" style="1281" customWidth="1"/>
    <col min="15601" max="15601" width="5.7109375" style="1281" customWidth="1"/>
    <col min="15602" max="15602" width="4.42578125" style="1281" customWidth="1"/>
    <col min="15603" max="15603" width="4.85546875" style="1281" customWidth="1"/>
    <col min="15604" max="15604" width="4.7109375" style="1281" customWidth="1"/>
    <col min="15605" max="15605" width="4.42578125" style="1281" customWidth="1"/>
    <col min="15606" max="15849" width="11.42578125" style="1281"/>
    <col min="15850" max="15850" width="11.42578125" style="1281" customWidth="1"/>
    <col min="15851" max="15851" width="33.42578125" style="1281" customWidth="1"/>
    <col min="15852" max="15852" width="16.28515625" style="1281" customWidth="1"/>
    <col min="15853" max="15853" width="3.42578125" style="1281" customWidth="1"/>
    <col min="15854" max="15854" width="5.7109375" style="1281" customWidth="1"/>
    <col min="15855" max="15855" width="5.85546875" style="1281" customWidth="1"/>
    <col min="15856" max="15856" width="6.7109375" style="1281" customWidth="1"/>
    <col min="15857" max="15857" width="5.7109375" style="1281" customWidth="1"/>
    <col min="15858" max="15858" width="4.42578125" style="1281" customWidth="1"/>
    <col min="15859" max="15859" width="4.85546875" style="1281" customWidth="1"/>
    <col min="15860" max="15860" width="4.7109375" style="1281" customWidth="1"/>
    <col min="15861" max="15861" width="4.42578125" style="1281" customWidth="1"/>
    <col min="15862" max="16105" width="11.42578125" style="1281"/>
    <col min="16106" max="16106" width="11.42578125" style="1281" customWidth="1"/>
    <col min="16107" max="16107" width="33.42578125" style="1281" customWidth="1"/>
    <col min="16108" max="16108" width="16.28515625" style="1281" customWidth="1"/>
    <col min="16109" max="16109" width="3.42578125" style="1281" customWidth="1"/>
    <col min="16110" max="16110" width="5.7109375" style="1281" customWidth="1"/>
    <col min="16111" max="16111" width="5.85546875" style="1281" customWidth="1"/>
    <col min="16112" max="16112" width="6.7109375" style="1281" customWidth="1"/>
    <col min="16113" max="16113" width="5.7109375" style="1281" customWidth="1"/>
    <col min="16114" max="16114" width="4.42578125" style="1281" customWidth="1"/>
    <col min="16115" max="16115" width="4.85546875" style="1281" customWidth="1"/>
    <col min="16116" max="16116" width="4.7109375" style="1281" customWidth="1"/>
    <col min="16117" max="16117" width="4.42578125" style="1281" customWidth="1"/>
    <col min="16118" max="16384" width="11.42578125" style="1281"/>
  </cols>
  <sheetData>
    <row r="1" spans="1:25" ht="18" customHeight="1" thickBot="1">
      <c r="A1" s="1512">
        <v>5</v>
      </c>
      <c r="B1" s="1512">
        <v>33</v>
      </c>
      <c r="C1" s="1512">
        <v>39</v>
      </c>
      <c r="D1" s="1512">
        <v>12</v>
      </c>
      <c r="E1" s="1512">
        <v>12</v>
      </c>
      <c r="F1" s="1512">
        <v>12</v>
      </c>
      <c r="G1" s="1512">
        <v>12</v>
      </c>
      <c r="H1" s="1512">
        <v>12</v>
      </c>
      <c r="I1" s="1512">
        <v>12</v>
      </c>
      <c r="J1" s="1512">
        <v>12</v>
      </c>
      <c r="K1" s="1512">
        <v>12</v>
      </c>
      <c r="L1" s="1512">
        <v>12</v>
      </c>
      <c r="M1" s="1513" t="s">
        <v>1958</v>
      </c>
      <c r="O1" s="2870" t="s">
        <v>2874</v>
      </c>
      <c r="P1" s="2871"/>
      <c r="Q1" s="2871"/>
      <c r="R1" s="2871"/>
      <c r="S1" s="2871"/>
      <c r="T1" s="2871"/>
      <c r="U1" s="2871"/>
    </row>
    <row r="2" spans="1:25" ht="42.75" customHeight="1">
      <c r="A2" s="2882"/>
      <c r="B2" s="3520" t="str">
        <f>O2</f>
        <v>NOM DU PLAT  à saisir cellule O2</v>
      </c>
      <c r="C2" s="3521"/>
      <c r="D2" s="3521"/>
      <c r="E2" s="3521"/>
      <c r="F2" s="3521"/>
      <c r="G2" s="3521"/>
      <c r="H2" s="2883" t="s">
        <v>1444</v>
      </c>
      <c r="I2" s="2884">
        <f>U2</f>
        <v>10</v>
      </c>
      <c r="J2" s="2841"/>
      <c r="K2" s="2843" t="s">
        <v>2873</v>
      </c>
      <c r="L2" s="2842">
        <v>5</v>
      </c>
      <c r="M2" s="1519">
        <v>42.75</v>
      </c>
      <c r="N2" s="1519"/>
      <c r="O2" s="3540" t="s">
        <v>2880</v>
      </c>
      <c r="P2" s="3541"/>
      <c r="Q2" s="3541"/>
      <c r="R2" s="3541"/>
      <c r="S2" s="3542"/>
      <c r="T2" s="2877" t="s">
        <v>1444</v>
      </c>
      <c r="U2" s="2878">
        <v>10</v>
      </c>
      <c r="W2" s="3524" t="s">
        <v>2881</v>
      </c>
      <c r="X2" s="3525"/>
      <c r="Y2" s="3526"/>
    </row>
    <row r="3" spans="1:25" ht="24.75" customHeight="1">
      <c r="A3" s="3546" t="s">
        <v>1391</v>
      </c>
      <c r="B3" s="3546"/>
      <c r="C3" s="3546"/>
      <c r="D3" s="3546"/>
      <c r="E3" s="3547"/>
      <c r="F3" s="1529" t="s">
        <v>1445</v>
      </c>
      <c r="G3" s="1530"/>
      <c r="H3" s="1531"/>
      <c r="I3" s="1531"/>
      <c r="J3" s="1530"/>
      <c r="K3" s="1530"/>
      <c r="L3" s="1532"/>
      <c r="M3" s="1519">
        <v>24.75</v>
      </c>
      <c r="N3" s="1519"/>
      <c r="O3" s="3543" t="s">
        <v>2876</v>
      </c>
      <c r="P3" s="3543"/>
      <c r="Q3" s="3543"/>
      <c r="R3" s="3543"/>
      <c r="S3" s="3543"/>
      <c r="T3" s="3543"/>
      <c r="U3" s="3543"/>
    </row>
    <row r="4" spans="1:25" ht="112.5" customHeight="1">
      <c r="A4" s="3544" t="s">
        <v>2877</v>
      </c>
      <c r="B4" s="3544"/>
      <c r="C4" s="3544"/>
      <c r="D4" s="3544"/>
      <c r="E4" s="3545"/>
      <c r="F4" s="1539"/>
      <c r="G4" s="1540"/>
      <c r="H4" s="1540"/>
      <c r="I4" s="1540"/>
      <c r="J4" s="1531"/>
      <c r="K4" s="1531"/>
      <c r="L4" s="1532"/>
      <c r="M4" s="1519">
        <v>112.5</v>
      </c>
      <c r="N4" s="1519"/>
      <c r="O4" s="2876"/>
      <c r="P4" s="1291"/>
      <c r="Q4" s="1291"/>
      <c r="R4" s="1291"/>
      <c r="S4" s="1291"/>
      <c r="T4" s="1291"/>
      <c r="U4" s="1291"/>
    </row>
    <row r="5" spans="1:25" ht="37.5">
      <c r="A5" s="2868"/>
      <c r="B5" s="2869" t="s">
        <v>151</v>
      </c>
      <c r="C5" s="1543" t="s">
        <v>1446</v>
      </c>
      <c r="D5" s="1544"/>
      <c r="E5" s="1545" t="s">
        <v>1447</v>
      </c>
      <c r="F5" s="1546"/>
      <c r="G5" s="1546"/>
      <c r="H5" s="1546"/>
      <c r="I5" s="1547"/>
      <c r="J5" s="1543" t="s">
        <v>1448</v>
      </c>
      <c r="K5" s="1548"/>
      <c r="L5" s="1549"/>
      <c r="M5" s="1519">
        <v>63.75</v>
      </c>
      <c r="N5" s="1519"/>
      <c r="O5" s="2874" t="s">
        <v>1446</v>
      </c>
      <c r="P5" s="2875"/>
      <c r="Q5" s="1546" t="s">
        <v>1447</v>
      </c>
      <c r="R5" s="1555"/>
      <c r="S5" s="1555"/>
      <c r="T5" s="1555"/>
      <c r="U5" s="1556"/>
    </row>
    <row r="6" spans="1:25" ht="47.25" customHeight="1">
      <c r="A6" s="3284">
        <v>1</v>
      </c>
      <c r="B6" s="2879" t="s">
        <v>2875</v>
      </c>
      <c r="C6" s="1560" t="str">
        <f t="shared" ref="C6:I26" si="0">O6</f>
        <v>NATURE</v>
      </c>
      <c r="D6" s="1561" t="str">
        <f t="shared" si="0"/>
        <v>unite</v>
      </c>
      <c r="E6" s="1561" t="str">
        <f t="shared" si="0"/>
        <v>Recette 1</v>
      </c>
      <c r="F6" s="1561" t="str">
        <f t="shared" si="0"/>
        <v>Recette 2</v>
      </c>
      <c r="G6" s="1561" t="str">
        <f t="shared" si="0"/>
        <v>Recette 3</v>
      </c>
      <c r="H6" s="1561" t="str">
        <f t="shared" si="0"/>
        <v>Sauce</v>
      </c>
      <c r="I6" s="1562" t="str">
        <f t="shared" si="0"/>
        <v>finition</v>
      </c>
      <c r="J6" s="1563" t="s">
        <v>110</v>
      </c>
      <c r="K6" s="1564" t="s">
        <v>117</v>
      </c>
      <c r="L6" s="1565" t="s">
        <v>118</v>
      </c>
      <c r="M6" s="1519">
        <v>57.75</v>
      </c>
      <c r="N6" s="1519"/>
      <c r="O6" s="1560" t="s">
        <v>1449</v>
      </c>
      <c r="P6" s="2872" t="s">
        <v>1450</v>
      </c>
      <c r="Q6" s="2872" t="s">
        <v>2884</v>
      </c>
      <c r="R6" s="2872" t="s">
        <v>2885</v>
      </c>
      <c r="S6" s="2872" t="s">
        <v>2886</v>
      </c>
      <c r="T6" s="2872" t="s">
        <v>1454</v>
      </c>
      <c r="U6" s="2873" t="s">
        <v>48</v>
      </c>
      <c r="W6" s="3527" t="s">
        <v>2882</v>
      </c>
      <c r="X6" s="3528"/>
      <c r="Y6" s="3529"/>
    </row>
    <row r="7" spans="1:25" ht="26.1" customHeight="1">
      <c r="A7" s="3284">
        <f>LARGE(A6:A6,1)+1</f>
        <v>2</v>
      </c>
      <c r="B7" s="2880" t="s">
        <v>2878</v>
      </c>
      <c r="C7" s="1576" t="str">
        <f t="shared" si="0"/>
        <v>Viandes/Poissons</v>
      </c>
      <c r="D7" s="2850">
        <f t="shared" si="0"/>
        <v>0</v>
      </c>
      <c r="E7" s="2850">
        <f t="shared" ref="E7:I27" si="1">IF(ISTEXT(Q7),Q7,(Q7/$I$2)*$L$2)</f>
        <v>0</v>
      </c>
      <c r="F7" s="2850">
        <f t="shared" si="1"/>
        <v>0</v>
      </c>
      <c r="G7" s="2850">
        <f t="shared" si="1"/>
        <v>0</v>
      </c>
      <c r="H7" s="2850">
        <f t="shared" si="1"/>
        <v>0</v>
      </c>
      <c r="I7" s="2867">
        <f t="shared" si="1"/>
        <v>0</v>
      </c>
      <c r="J7" s="2866"/>
      <c r="K7" s="1579"/>
      <c r="L7" s="1580"/>
      <c r="M7" s="1519">
        <v>25.5</v>
      </c>
      <c r="N7" s="1519"/>
      <c r="O7" s="1576" t="s">
        <v>120</v>
      </c>
      <c r="P7" s="2850"/>
      <c r="Q7" s="2850"/>
      <c r="R7" s="2850"/>
      <c r="S7" s="2850"/>
      <c r="T7" s="2850"/>
      <c r="U7" s="2850"/>
      <c r="W7" s="3530"/>
      <c r="X7" s="3531"/>
      <c r="Y7" s="3532"/>
    </row>
    <row r="8" spans="1:25" ht="26.1" customHeight="1">
      <c r="A8" s="3284">
        <f>LARGE(A6:A7,1)+1</f>
        <v>3</v>
      </c>
      <c r="B8" s="2880" t="s">
        <v>2879</v>
      </c>
      <c r="C8" s="2853" t="str">
        <f t="shared" si="0"/>
        <v>Saumon label</v>
      </c>
      <c r="D8" s="2851" t="str">
        <f t="shared" si="0"/>
        <v>kg</v>
      </c>
      <c r="E8" s="2852">
        <f t="shared" si="1"/>
        <v>0.1</v>
      </c>
      <c r="F8" s="2852">
        <f t="shared" si="1"/>
        <v>7.4999999999999997E-2</v>
      </c>
      <c r="G8" s="2852">
        <f t="shared" si="1"/>
        <v>0</v>
      </c>
      <c r="H8" s="2852">
        <f t="shared" si="1"/>
        <v>0</v>
      </c>
      <c r="I8" s="2852">
        <f t="shared" si="1"/>
        <v>0</v>
      </c>
      <c r="J8" s="2857">
        <f>IF(SUM(E8:I8)=0,"",SUM(E8:I8))</f>
        <v>0.17499999999999999</v>
      </c>
      <c r="K8" s="1590">
        <v>0.56406136377841842</v>
      </c>
      <c r="L8" s="1591">
        <f t="shared" ref="L8:L66" si="2">IF(ISBLANK(K8),"",K8*J8)</f>
        <v>9.8710738661223221E-2</v>
      </c>
      <c r="M8" s="1519">
        <v>25.5</v>
      </c>
      <c r="N8" s="1519"/>
      <c r="O8" s="2886" t="s">
        <v>1457</v>
      </c>
      <c r="P8" s="2887" t="s">
        <v>166</v>
      </c>
      <c r="Q8" s="2888">
        <v>0.2</v>
      </c>
      <c r="R8" s="2888">
        <v>0.15</v>
      </c>
      <c r="S8" s="2888"/>
      <c r="T8" s="2888"/>
      <c r="U8" s="2888"/>
      <c r="W8" s="3530"/>
      <c r="X8" s="3531"/>
      <c r="Y8" s="3532"/>
    </row>
    <row r="9" spans="1:25" ht="26.1" customHeight="1">
      <c r="A9" s="3284">
        <f>LARGE(A6:A8,1)+1</f>
        <v>4</v>
      </c>
      <c r="B9" s="2880"/>
      <c r="C9" s="2853" t="str">
        <f t="shared" si="0"/>
        <v>Maquereau 0,2 kg</v>
      </c>
      <c r="D9" s="2851" t="str">
        <f t="shared" si="0"/>
        <v>P</v>
      </c>
      <c r="E9" s="2852">
        <f t="shared" si="1"/>
        <v>0</v>
      </c>
      <c r="F9" s="2852">
        <f t="shared" si="1"/>
        <v>0</v>
      </c>
      <c r="G9" s="2852">
        <f t="shared" si="1"/>
        <v>0.5</v>
      </c>
      <c r="H9" s="2852">
        <f t="shared" si="1"/>
        <v>0</v>
      </c>
      <c r="I9" s="2852">
        <f t="shared" si="1"/>
        <v>0</v>
      </c>
      <c r="J9" s="2857">
        <f t="shared" ref="J9:J67" si="3">IF(SUM(E9:I9)=0,"",SUM(E9:I9))</f>
        <v>0.5</v>
      </c>
      <c r="K9" s="1590"/>
      <c r="L9" s="1591" t="str">
        <f t="shared" si="2"/>
        <v/>
      </c>
      <c r="M9" s="1519">
        <v>25.5</v>
      </c>
      <c r="N9" s="1519"/>
      <c r="O9" s="2886" t="s">
        <v>1458</v>
      </c>
      <c r="P9" s="2887" t="s">
        <v>318</v>
      </c>
      <c r="Q9" s="2888"/>
      <c r="R9" s="2888"/>
      <c r="S9" s="2888">
        <v>1</v>
      </c>
      <c r="T9" s="2888"/>
      <c r="U9" s="2888"/>
      <c r="W9" s="3533"/>
      <c r="X9" s="3534"/>
      <c r="Y9" s="3535"/>
    </row>
    <row r="10" spans="1:25" ht="26.1" customHeight="1">
      <c r="A10" s="3284">
        <f>LARGE(A6:A9,1)+1</f>
        <v>5</v>
      </c>
      <c r="B10" s="2880"/>
      <c r="C10" s="2853">
        <f t="shared" si="0"/>
        <v>0</v>
      </c>
      <c r="D10" s="2851">
        <f t="shared" si="0"/>
        <v>0</v>
      </c>
      <c r="E10" s="2852">
        <f t="shared" si="1"/>
        <v>0</v>
      </c>
      <c r="F10" s="2852">
        <f t="shared" si="1"/>
        <v>0</v>
      </c>
      <c r="G10" s="2852">
        <f t="shared" si="1"/>
        <v>0</v>
      </c>
      <c r="H10" s="2852">
        <f t="shared" si="1"/>
        <v>0</v>
      </c>
      <c r="I10" s="2852">
        <f t="shared" si="1"/>
        <v>0</v>
      </c>
      <c r="J10" s="2857" t="str">
        <f>IF(SUM(E10:I10)=0,"",SUM(E10:I10))</f>
        <v/>
      </c>
      <c r="K10" s="1590"/>
      <c r="L10" s="1591" t="str">
        <f t="shared" si="2"/>
        <v/>
      </c>
      <c r="M10" s="1519">
        <v>25.5</v>
      </c>
      <c r="N10" s="1519"/>
      <c r="O10" s="2886"/>
      <c r="P10" s="2887"/>
      <c r="Q10" s="2888"/>
      <c r="R10" s="2888"/>
      <c r="S10" s="2888"/>
      <c r="T10" s="2888"/>
      <c r="U10" s="2888"/>
    </row>
    <row r="11" spans="1:25" ht="26.1" customHeight="1">
      <c r="A11" s="3284">
        <f>LARGE(A6:A10,1)+1</f>
        <v>6</v>
      </c>
      <c r="B11" s="2880"/>
      <c r="C11" s="2853">
        <f t="shared" si="0"/>
        <v>0</v>
      </c>
      <c r="D11" s="2851">
        <f t="shared" si="0"/>
        <v>0</v>
      </c>
      <c r="E11" s="2852">
        <f t="shared" si="1"/>
        <v>0</v>
      </c>
      <c r="F11" s="2852">
        <f t="shared" si="1"/>
        <v>0</v>
      </c>
      <c r="G11" s="2852">
        <f t="shared" si="1"/>
        <v>0</v>
      </c>
      <c r="H11" s="2852">
        <f t="shared" si="1"/>
        <v>0</v>
      </c>
      <c r="I11" s="2852">
        <f t="shared" si="1"/>
        <v>0</v>
      </c>
      <c r="J11" s="2857" t="str">
        <f t="shared" si="3"/>
        <v/>
      </c>
      <c r="K11" s="1590"/>
      <c r="L11" s="1591" t="str">
        <f t="shared" si="2"/>
        <v/>
      </c>
      <c r="M11" s="1519">
        <v>25.5</v>
      </c>
      <c r="N11" s="1519"/>
      <c r="O11" s="2886"/>
      <c r="P11" s="2887"/>
      <c r="Q11" s="2888"/>
      <c r="R11" s="2888"/>
      <c r="S11" s="2888"/>
      <c r="T11" s="2888"/>
      <c r="U11" s="2888"/>
    </row>
    <row r="12" spans="1:25" ht="26.1" customHeight="1">
      <c r="A12" s="3284">
        <f>LARGE(A6:A11,1)+1</f>
        <v>7</v>
      </c>
      <c r="B12" s="2880"/>
      <c r="C12" s="2853">
        <f t="shared" ref="C12:C16" si="4">O12</f>
        <v>0</v>
      </c>
      <c r="D12" s="2851">
        <f t="shared" ref="D12:D16" si="5">P12</f>
        <v>0</v>
      </c>
      <c r="E12" s="2852">
        <f t="shared" ref="E12:E16" si="6">IF(ISTEXT(Q12),Q12,(Q12/$I$2)*$L$2)</f>
        <v>0</v>
      </c>
      <c r="F12" s="2852">
        <f t="shared" ref="F12:F16" si="7">IF(ISTEXT(R12),R12,(R12/$I$2)*$L$2)</f>
        <v>0</v>
      </c>
      <c r="G12" s="2852">
        <f t="shared" ref="G12:G16" si="8">IF(ISTEXT(S12),S12,(S12/$I$2)*$L$2)</f>
        <v>0</v>
      </c>
      <c r="H12" s="2852">
        <f t="shared" ref="H12:H16" si="9">IF(ISTEXT(T12),T12,(T12/$I$2)*$L$2)</f>
        <v>0</v>
      </c>
      <c r="I12" s="2852">
        <f t="shared" ref="I12:I16" si="10">IF(ISTEXT(U12),U12,(U12/$I$2)*$L$2)</f>
        <v>0</v>
      </c>
      <c r="J12" s="2857" t="str">
        <f t="shared" ref="J12:J16" si="11">IF(SUM(E12:I12)=0,"",SUM(E12:I12))</f>
        <v/>
      </c>
      <c r="K12" s="1590"/>
      <c r="L12" s="1591" t="str">
        <f t="shared" ref="L12:L16" si="12">IF(ISBLANK(K12),"",K12*J12)</f>
        <v/>
      </c>
      <c r="M12" s="1519">
        <v>25.5</v>
      </c>
      <c r="N12" s="1519"/>
      <c r="O12" s="2886"/>
      <c r="P12" s="2887"/>
      <c r="Q12" s="2888"/>
      <c r="R12" s="2888"/>
      <c r="S12" s="2888"/>
      <c r="T12" s="2888"/>
      <c r="U12" s="2888"/>
      <c r="W12" s="2885" t="s">
        <v>2883</v>
      </c>
    </row>
    <row r="13" spans="1:25" ht="26.1" customHeight="1">
      <c r="A13" s="3284">
        <f>LARGE(A6:A12,1)+1</f>
        <v>8</v>
      </c>
      <c r="B13" s="2880"/>
      <c r="C13" s="2853">
        <f t="shared" si="4"/>
        <v>0</v>
      </c>
      <c r="D13" s="2851">
        <f t="shared" si="5"/>
        <v>0</v>
      </c>
      <c r="E13" s="2852">
        <f t="shared" si="6"/>
        <v>0</v>
      </c>
      <c r="F13" s="2852">
        <f t="shared" si="7"/>
        <v>0</v>
      </c>
      <c r="G13" s="2852">
        <f t="shared" si="8"/>
        <v>0</v>
      </c>
      <c r="H13" s="2852">
        <f t="shared" si="9"/>
        <v>0</v>
      </c>
      <c r="I13" s="2852">
        <f t="shared" si="10"/>
        <v>0</v>
      </c>
      <c r="J13" s="2857" t="str">
        <f t="shared" si="11"/>
        <v/>
      </c>
      <c r="K13" s="1590"/>
      <c r="L13" s="1591" t="str">
        <f t="shared" si="12"/>
        <v/>
      </c>
      <c r="M13" s="1519">
        <v>25.5</v>
      </c>
      <c r="N13" s="1519"/>
      <c r="O13" s="2886"/>
      <c r="P13" s="2887"/>
      <c r="Q13" s="2888"/>
      <c r="R13" s="2888"/>
      <c r="S13" s="2888"/>
      <c r="T13" s="2888"/>
      <c r="U13" s="2888"/>
      <c r="W13" s="2885" t="s">
        <v>2883</v>
      </c>
    </row>
    <row r="14" spans="1:25" ht="26.1" customHeight="1">
      <c r="A14" s="3284">
        <f>LARGE(A6:A13,1)+1</f>
        <v>9</v>
      </c>
      <c r="B14" s="2880"/>
      <c r="C14" s="2853">
        <f t="shared" si="4"/>
        <v>0</v>
      </c>
      <c r="D14" s="2851">
        <f t="shared" si="5"/>
        <v>0</v>
      </c>
      <c r="E14" s="2852">
        <f t="shared" si="6"/>
        <v>0</v>
      </c>
      <c r="F14" s="2852">
        <f t="shared" si="7"/>
        <v>0</v>
      </c>
      <c r="G14" s="2852">
        <f t="shared" si="8"/>
        <v>0</v>
      </c>
      <c r="H14" s="2852">
        <f t="shared" si="9"/>
        <v>0</v>
      </c>
      <c r="I14" s="2852">
        <f t="shared" si="10"/>
        <v>0</v>
      </c>
      <c r="J14" s="2857" t="str">
        <f t="shared" si="11"/>
        <v/>
      </c>
      <c r="K14" s="1590"/>
      <c r="L14" s="1591" t="str">
        <f t="shared" si="12"/>
        <v/>
      </c>
      <c r="M14" s="1519">
        <v>25.5</v>
      </c>
      <c r="N14" s="1519"/>
      <c r="O14" s="2886"/>
      <c r="P14" s="2887"/>
      <c r="Q14" s="2888"/>
      <c r="R14" s="2888"/>
      <c r="S14" s="2888"/>
      <c r="T14" s="2888"/>
      <c r="U14" s="2888"/>
      <c r="W14" s="2885" t="s">
        <v>2883</v>
      </c>
    </row>
    <row r="15" spans="1:25" ht="26.1" customHeight="1">
      <c r="A15" s="3284">
        <f>LARGE(A6:A14,1)+1</f>
        <v>10</v>
      </c>
      <c r="B15" s="2880"/>
      <c r="C15" s="2853">
        <f t="shared" si="4"/>
        <v>0</v>
      </c>
      <c r="D15" s="2851">
        <f t="shared" si="5"/>
        <v>0</v>
      </c>
      <c r="E15" s="2852">
        <f t="shared" si="6"/>
        <v>0</v>
      </c>
      <c r="F15" s="2852">
        <f t="shared" si="7"/>
        <v>0</v>
      </c>
      <c r="G15" s="2852">
        <f t="shared" si="8"/>
        <v>0</v>
      </c>
      <c r="H15" s="2852">
        <f t="shared" si="9"/>
        <v>0</v>
      </c>
      <c r="I15" s="2852">
        <f t="shared" si="10"/>
        <v>0</v>
      </c>
      <c r="J15" s="2857" t="str">
        <f t="shared" si="11"/>
        <v/>
      </c>
      <c r="K15" s="1590"/>
      <c r="L15" s="1591" t="str">
        <f t="shared" si="12"/>
        <v/>
      </c>
      <c r="M15" s="1519">
        <v>25.5</v>
      </c>
      <c r="N15" s="1519"/>
      <c r="O15" s="2886"/>
      <c r="P15" s="2887"/>
      <c r="Q15" s="2888"/>
      <c r="R15" s="2888"/>
      <c r="S15" s="2888"/>
      <c r="T15" s="2888"/>
      <c r="U15" s="2888"/>
      <c r="W15" s="2885" t="s">
        <v>2883</v>
      </c>
    </row>
    <row r="16" spans="1:25" ht="26.1" customHeight="1">
      <c r="A16" s="3284">
        <f>LARGE(A6:A15,1)+1</f>
        <v>11</v>
      </c>
      <c r="B16" s="2880"/>
      <c r="C16" s="2853">
        <f t="shared" si="4"/>
        <v>0</v>
      </c>
      <c r="D16" s="2851">
        <f t="shared" si="5"/>
        <v>0</v>
      </c>
      <c r="E16" s="2852">
        <f t="shared" si="6"/>
        <v>0</v>
      </c>
      <c r="F16" s="2852">
        <f t="shared" si="7"/>
        <v>0</v>
      </c>
      <c r="G16" s="2852">
        <f t="shared" si="8"/>
        <v>0</v>
      </c>
      <c r="H16" s="2852">
        <f t="shared" si="9"/>
        <v>0</v>
      </c>
      <c r="I16" s="2852">
        <f t="shared" si="10"/>
        <v>0</v>
      </c>
      <c r="J16" s="2857" t="str">
        <f t="shared" si="11"/>
        <v/>
      </c>
      <c r="K16" s="1590"/>
      <c r="L16" s="1591" t="str">
        <f t="shared" si="12"/>
        <v/>
      </c>
      <c r="M16" s="1519">
        <v>25.5</v>
      </c>
      <c r="N16" s="1519"/>
      <c r="O16" s="2886"/>
      <c r="P16" s="2887"/>
      <c r="Q16" s="2888"/>
      <c r="R16" s="2888"/>
      <c r="S16" s="2888"/>
      <c r="T16" s="2888"/>
      <c r="U16" s="2888"/>
      <c r="W16" s="2885" t="s">
        <v>2883</v>
      </c>
    </row>
    <row r="17" spans="1:21" ht="26.1" customHeight="1">
      <c r="A17" s="3284">
        <f>LARGE(A6:A16,1)+1</f>
        <v>12</v>
      </c>
      <c r="B17" s="2880"/>
      <c r="C17" s="2854" t="str">
        <f t="shared" si="0"/>
        <v>LEGUMERIE</v>
      </c>
      <c r="D17" s="2855">
        <f t="shared" si="0"/>
        <v>0</v>
      </c>
      <c r="E17" s="2855">
        <f t="shared" si="1"/>
        <v>0</v>
      </c>
      <c r="F17" s="2855">
        <f t="shared" si="1"/>
        <v>0</v>
      </c>
      <c r="G17" s="2855">
        <f t="shared" si="1"/>
        <v>0</v>
      </c>
      <c r="H17" s="2855">
        <f t="shared" si="1"/>
        <v>0</v>
      </c>
      <c r="I17" s="2867">
        <f t="shared" si="1"/>
        <v>0</v>
      </c>
      <c r="J17" s="2889" t="str">
        <f t="shared" si="3"/>
        <v/>
      </c>
      <c r="K17" s="2890"/>
      <c r="L17" s="2891" t="str">
        <f t="shared" si="2"/>
        <v/>
      </c>
      <c r="M17" s="1519">
        <v>25.5</v>
      </c>
      <c r="N17" s="1519"/>
      <c r="O17" s="2854" t="s">
        <v>1460</v>
      </c>
      <c r="P17" s="2855"/>
      <c r="Q17" s="2855"/>
      <c r="R17" s="2855"/>
      <c r="S17" s="2855"/>
      <c r="T17" s="2855"/>
      <c r="U17" s="2855"/>
    </row>
    <row r="18" spans="1:21" ht="26.1" customHeight="1">
      <c r="A18" s="3284">
        <f>LARGE(A6:A17,1)+1</f>
        <v>13</v>
      </c>
      <c r="B18" s="2880"/>
      <c r="C18" s="2853" t="str">
        <f t="shared" si="0"/>
        <v>laitue</v>
      </c>
      <c r="D18" s="2851" t="str">
        <f t="shared" si="0"/>
        <v xml:space="preserve">p </v>
      </c>
      <c r="E18" s="2852">
        <f t="shared" si="1"/>
        <v>0</v>
      </c>
      <c r="F18" s="2852">
        <f t="shared" si="1"/>
        <v>0.05</v>
      </c>
      <c r="G18" s="2852">
        <f t="shared" si="1"/>
        <v>0</v>
      </c>
      <c r="H18" s="2852">
        <f t="shared" si="1"/>
        <v>0</v>
      </c>
      <c r="I18" s="2852">
        <f t="shared" si="1"/>
        <v>0</v>
      </c>
      <c r="J18" s="2857">
        <f t="shared" si="3"/>
        <v>0.05</v>
      </c>
      <c r="K18" s="1590"/>
      <c r="L18" s="1591" t="str">
        <f t="shared" si="2"/>
        <v/>
      </c>
      <c r="M18" s="1519">
        <v>25.5</v>
      </c>
      <c r="N18" s="1519"/>
      <c r="O18" s="2886" t="s">
        <v>1461</v>
      </c>
      <c r="P18" s="2887" t="s">
        <v>1462</v>
      </c>
      <c r="Q18" s="2888"/>
      <c r="R18" s="2888">
        <v>0.1</v>
      </c>
      <c r="S18" s="2888"/>
      <c r="T18" s="2888"/>
      <c r="U18" s="2888"/>
    </row>
    <row r="19" spans="1:21" ht="26.1" customHeight="1">
      <c r="A19" s="3284">
        <f>LARGE(A6:A18,1)+1</f>
        <v>14</v>
      </c>
      <c r="B19" s="2880"/>
      <c r="C19" s="2853" t="str">
        <f t="shared" si="0"/>
        <v>avocat vert</v>
      </c>
      <c r="D19" s="2851" t="str">
        <f t="shared" si="0"/>
        <v>p</v>
      </c>
      <c r="E19" s="2852">
        <f t="shared" si="1"/>
        <v>0</v>
      </c>
      <c r="F19" s="2852">
        <f t="shared" si="1"/>
        <v>0.05</v>
      </c>
      <c r="G19" s="2852">
        <f t="shared" si="1"/>
        <v>0.25</v>
      </c>
      <c r="H19" s="2852">
        <f t="shared" si="1"/>
        <v>0</v>
      </c>
      <c r="I19" s="2852">
        <f t="shared" si="1"/>
        <v>0</v>
      </c>
      <c r="J19" s="2857">
        <f t="shared" si="3"/>
        <v>0.3</v>
      </c>
      <c r="K19" s="1590"/>
      <c r="L19" s="1591" t="str">
        <f t="shared" si="2"/>
        <v/>
      </c>
      <c r="M19" s="1519">
        <v>25.5</v>
      </c>
      <c r="N19" s="1519"/>
      <c r="O19" s="2886" t="s">
        <v>1463</v>
      </c>
      <c r="P19" s="2887" t="s">
        <v>788</v>
      </c>
      <c r="Q19" s="2888"/>
      <c r="R19" s="2888">
        <v>0.1</v>
      </c>
      <c r="S19" s="2888">
        <v>0.5</v>
      </c>
      <c r="T19" s="2888"/>
      <c r="U19" s="2888"/>
    </row>
    <row r="20" spans="1:21" ht="26.1" customHeight="1">
      <c r="A20" s="3284">
        <f>LARGE(A6:A19,1)+1</f>
        <v>15</v>
      </c>
      <c r="B20" s="2880"/>
      <c r="C20" s="2853">
        <f t="shared" si="0"/>
        <v>0</v>
      </c>
      <c r="D20" s="2851">
        <f t="shared" si="0"/>
        <v>0</v>
      </c>
      <c r="E20" s="2852">
        <f t="shared" si="1"/>
        <v>0</v>
      </c>
      <c r="F20" s="2852">
        <f t="shared" si="1"/>
        <v>0</v>
      </c>
      <c r="G20" s="2852">
        <f t="shared" si="1"/>
        <v>0</v>
      </c>
      <c r="H20" s="2852">
        <f t="shared" si="1"/>
        <v>0</v>
      </c>
      <c r="I20" s="2852">
        <f t="shared" si="1"/>
        <v>0</v>
      </c>
      <c r="J20" s="2857" t="str">
        <f t="shared" si="3"/>
        <v/>
      </c>
      <c r="K20" s="1590"/>
      <c r="L20" s="1591" t="str">
        <f t="shared" si="2"/>
        <v/>
      </c>
      <c r="M20" s="1519">
        <v>25.5</v>
      </c>
      <c r="N20" s="1519"/>
      <c r="O20" s="2886"/>
      <c r="P20" s="2887"/>
      <c r="Q20" s="2888"/>
      <c r="R20" s="2888"/>
      <c r="S20" s="2888"/>
      <c r="T20" s="2888"/>
      <c r="U20" s="2888"/>
    </row>
    <row r="21" spans="1:21" ht="26.1" customHeight="1">
      <c r="A21" s="3284">
        <f>LARGE(A6:A20,1)+1</f>
        <v>16</v>
      </c>
      <c r="B21" s="2880"/>
      <c r="C21" s="2853">
        <f t="shared" si="0"/>
        <v>0</v>
      </c>
      <c r="D21" s="2851">
        <f t="shared" si="0"/>
        <v>0</v>
      </c>
      <c r="E21" s="2852">
        <f t="shared" si="1"/>
        <v>0</v>
      </c>
      <c r="F21" s="2852">
        <f t="shared" si="1"/>
        <v>0</v>
      </c>
      <c r="G21" s="2852">
        <f t="shared" si="1"/>
        <v>0</v>
      </c>
      <c r="H21" s="2852">
        <f t="shared" si="1"/>
        <v>0</v>
      </c>
      <c r="I21" s="2852">
        <f t="shared" si="1"/>
        <v>0</v>
      </c>
      <c r="J21" s="2857" t="str">
        <f t="shared" si="3"/>
        <v/>
      </c>
      <c r="K21" s="1590"/>
      <c r="L21" s="1591" t="str">
        <f t="shared" si="2"/>
        <v/>
      </c>
      <c r="M21" s="1519">
        <v>25.5</v>
      </c>
      <c r="N21" s="1519"/>
      <c r="O21" s="2886"/>
      <c r="P21" s="2887"/>
      <c r="Q21" s="2888"/>
      <c r="R21" s="2888"/>
      <c r="S21" s="2888"/>
      <c r="T21" s="2888"/>
      <c r="U21" s="2888"/>
    </row>
    <row r="22" spans="1:21" ht="26.1" customHeight="1">
      <c r="A22" s="3284">
        <f>LARGE(A6:A21,1)+1</f>
        <v>17</v>
      </c>
      <c r="B22" s="2880"/>
      <c r="C22" s="2853">
        <f t="shared" si="0"/>
        <v>0</v>
      </c>
      <c r="D22" s="2851">
        <f t="shared" si="0"/>
        <v>0</v>
      </c>
      <c r="E22" s="2852">
        <f t="shared" si="1"/>
        <v>0</v>
      </c>
      <c r="F22" s="2852">
        <f t="shared" si="1"/>
        <v>0</v>
      </c>
      <c r="G22" s="2852">
        <f t="shared" si="1"/>
        <v>0</v>
      </c>
      <c r="H22" s="2852">
        <f t="shared" si="1"/>
        <v>0</v>
      </c>
      <c r="I22" s="2852">
        <f t="shared" si="1"/>
        <v>0</v>
      </c>
      <c r="J22" s="2857" t="str">
        <f t="shared" si="3"/>
        <v/>
      </c>
      <c r="K22" s="1590"/>
      <c r="L22" s="1591" t="str">
        <f t="shared" si="2"/>
        <v/>
      </c>
      <c r="M22" s="1519">
        <v>25.5</v>
      </c>
      <c r="N22" s="1519"/>
      <c r="O22" s="2886"/>
      <c r="P22" s="2887"/>
      <c r="Q22" s="2888"/>
      <c r="R22" s="2888"/>
      <c r="S22" s="2888"/>
      <c r="T22" s="2888"/>
      <c r="U22" s="2888"/>
    </row>
    <row r="23" spans="1:21" ht="26.1" customHeight="1">
      <c r="A23" s="3284">
        <f>LARGE(A6:A22,1)+1</f>
        <v>18</v>
      </c>
      <c r="B23" s="2880"/>
      <c r="C23" s="2853">
        <f t="shared" si="0"/>
        <v>0</v>
      </c>
      <c r="D23" s="2851">
        <f t="shared" si="0"/>
        <v>0</v>
      </c>
      <c r="E23" s="2852">
        <f t="shared" si="1"/>
        <v>0</v>
      </c>
      <c r="F23" s="2852">
        <f t="shared" si="1"/>
        <v>0</v>
      </c>
      <c r="G23" s="2852">
        <f t="shared" si="1"/>
        <v>0</v>
      </c>
      <c r="H23" s="2852">
        <f t="shared" si="1"/>
        <v>0</v>
      </c>
      <c r="I23" s="2852">
        <f t="shared" si="1"/>
        <v>0</v>
      </c>
      <c r="J23" s="2857" t="str">
        <f t="shared" si="3"/>
        <v/>
      </c>
      <c r="K23" s="1590"/>
      <c r="L23" s="1591" t="str">
        <f t="shared" si="2"/>
        <v/>
      </c>
      <c r="M23" s="1519">
        <v>25.5</v>
      </c>
      <c r="N23" s="1519"/>
      <c r="O23" s="2886"/>
      <c r="P23" s="2887"/>
      <c r="Q23" s="2888"/>
      <c r="R23" s="2888"/>
      <c r="S23" s="2888"/>
      <c r="T23" s="2888"/>
      <c r="U23" s="2888"/>
    </row>
    <row r="24" spans="1:21" ht="26.1" customHeight="1">
      <c r="A24" s="3284">
        <f>LARGE(A6:A23,1)+1</f>
        <v>19</v>
      </c>
      <c r="B24" s="2880"/>
      <c r="C24" s="2853">
        <f t="shared" si="0"/>
        <v>0</v>
      </c>
      <c r="D24" s="2851">
        <f t="shared" si="0"/>
        <v>0</v>
      </c>
      <c r="E24" s="2852">
        <f t="shared" si="1"/>
        <v>0</v>
      </c>
      <c r="F24" s="2852">
        <f t="shared" si="1"/>
        <v>0</v>
      </c>
      <c r="G24" s="2852">
        <f t="shared" si="1"/>
        <v>0</v>
      </c>
      <c r="H24" s="2852">
        <f t="shared" si="1"/>
        <v>0</v>
      </c>
      <c r="I24" s="2852">
        <f t="shared" si="1"/>
        <v>0</v>
      </c>
      <c r="J24" s="2857" t="str">
        <f t="shared" si="3"/>
        <v/>
      </c>
      <c r="K24" s="1590"/>
      <c r="L24" s="1591" t="str">
        <f t="shared" si="2"/>
        <v/>
      </c>
      <c r="M24" s="1519">
        <v>25.5</v>
      </c>
      <c r="N24" s="1519"/>
      <c r="O24" s="2886"/>
      <c r="P24" s="2887"/>
      <c r="Q24" s="2888"/>
      <c r="R24" s="2888"/>
      <c r="S24" s="2888"/>
      <c r="T24" s="2888"/>
      <c r="U24" s="2888"/>
    </row>
    <row r="25" spans="1:21" ht="26.1" customHeight="1">
      <c r="A25" s="3284">
        <f>LARGE(A6:A24,1)+1</f>
        <v>20</v>
      </c>
      <c r="B25" s="2880"/>
      <c r="C25" s="2853">
        <f t="shared" si="0"/>
        <v>0</v>
      </c>
      <c r="D25" s="2851">
        <f t="shared" si="0"/>
        <v>0</v>
      </c>
      <c r="E25" s="2852">
        <f t="shared" si="1"/>
        <v>0</v>
      </c>
      <c r="F25" s="2852">
        <f t="shared" si="1"/>
        <v>0</v>
      </c>
      <c r="G25" s="2852">
        <f t="shared" si="1"/>
        <v>0</v>
      </c>
      <c r="H25" s="2852">
        <f t="shared" si="1"/>
        <v>0</v>
      </c>
      <c r="I25" s="2852">
        <f t="shared" si="1"/>
        <v>0</v>
      </c>
      <c r="J25" s="2857" t="str">
        <f t="shared" si="3"/>
        <v/>
      </c>
      <c r="K25" s="1590"/>
      <c r="L25" s="1591" t="str">
        <f t="shared" si="2"/>
        <v/>
      </c>
      <c r="M25" s="1519">
        <v>25.5</v>
      </c>
      <c r="N25" s="1519"/>
      <c r="O25" s="2886"/>
      <c r="P25" s="2887"/>
      <c r="Q25" s="2888"/>
      <c r="R25" s="2888"/>
      <c r="S25" s="2888"/>
      <c r="T25" s="2888"/>
      <c r="U25" s="2888"/>
    </row>
    <row r="26" spans="1:21" ht="26.1" customHeight="1">
      <c r="A26" s="3284">
        <f>LARGE(A6:A25,1)+1</f>
        <v>21</v>
      </c>
      <c r="B26" s="2880"/>
      <c r="C26" s="2853">
        <f t="shared" si="0"/>
        <v>0</v>
      </c>
      <c r="D26" s="2851">
        <f t="shared" si="0"/>
        <v>0</v>
      </c>
      <c r="E26" s="2852">
        <f t="shared" si="1"/>
        <v>0</v>
      </c>
      <c r="F26" s="2852">
        <f t="shared" si="1"/>
        <v>0</v>
      </c>
      <c r="G26" s="2852">
        <f t="shared" si="1"/>
        <v>0</v>
      </c>
      <c r="H26" s="2852">
        <f t="shared" si="1"/>
        <v>0</v>
      </c>
      <c r="I26" s="2852">
        <f t="shared" si="1"/>
        <v>0</v>
      </c>
      <c r="J26" s="2857" t="str">
        <f t="shared" si="3"/>
        <v/>
      </c>
      <c r="K26" s="1590"/>
      <c r="L26" s="1591" t="str">
        <f t="shared" si="2"/>
        <v/>
      </c>
      <c r="M26" s="1519">
        <v>25.5</v>
      </c>
      <c r="N26" s="1519"/>
      <c r="O26" s="2886"/>
      <c r="P26" s="2887"/>
      <c r="Q26" s="2888"/>
      <c r="R26" s="2888"/>
      <c r="S26" s="2888"/>
      <c r="T26" s="2888"/>
      <c r="U26" s="2888"/>
    </row>
    <row r="27" spans="1:21" ht="26.1" customHeight="1">
      <c r="A27" s="3284">
        <f>LARGE(A6:A26,1)+1</f>
        <v>22</v>
      </c>
      <c r="B27" s="2880"/>
      <c r="C27" s="2853">
        <f t="shared" ref="C27:D52" si="13">O27</f>
        <v>0</v>
      </c>
      <c r="D27" s="2851">
        <f t="shared" si="13"/>
        <v>0</v>
      </c>
      <c r="E27" s="2852">
        <f t="shared" si="1"/>
        <v>0</v>
      </c>
      <c r="F27" s="2852">
        <f t="shared" si="1"/>
        <v>0</v>
      </c>
      <c r="G27" s="2852">
        <f t="shared" si="1"/>
        <v>0</v>
      </c>
      <c r="H27" s="2852">
        <f t="shared" si="1"/>
        <v>0</v>
      </c>
      <c r="I27" s="2852">
        <f t="shared" si="1"/>
        <v>0</v>
      </c>
      <c r="J27" s="2857" t="str">
        <f t="shared" si="3"/>
        <v/>
      </c>
      <c r="K27" s="1590"/>
      <c r="L27" s="1591" t="str">
        <f t="shared" si="2"/>
        <v/>
      </c>
      <c r="M27" s="1519">
        <v>25.5</v>
      </c>
      <c r="N27" s="1519"/>
      <c r="O27" s="2886"/>
      <c r="P27" s="2887"/>
      <c r="Q27" s="2888"/>
      <c r="R27" s="2888"/>
      <c r="S27" s="2888"/>
      <c r="T27" s="2888"/>
      <c r="U27" s="2888"/>
    </row>
    <row r="28" spans="1:21" ht="26.1" customHeight="1">
      <c r="A28" s="3284">
        <f>LARGE(A6:A27,1)+1</f>
        <v>23</v>
      </c>
      <c r="B28" s="2880"/>
      <c r="C28" s="2853">
        <f t="shared" si="13"/>
        <v>0</v>
      </c>
      <c r="D28" s="2851">
        <f t="shared" si="13"/>
        <v>0</v>
      </c>
      <c r="E28" s="2852">
        <f t="shared" ref="E28:I53" si="14">IF(ISTEXT(Q28),Q28,(Q28/$I$2)*$L$2)</f>
        <v>0</v>
      </c>
      <c r="F28" s="2852">
        <f t="shared" si="14"/>
        <v>0</v>
      </c>
      <c r="G28" s="2852">
        <f t="shared" si="14"/>
        <v>0</v>
      </c>
      <c r="H28" s="2852">
        <f t="shared" si="14"/>
        <v>0</v>
      </c>
      <c r="I28" s="2852">
        <f t="shared" si="14"/>
        <v>0</v>
      </c>
      <c r="J28" s="2857" t="str">
        <f t="shared" si="3"/>
        <v/>
      </c>
      <c r="K28" s="1590"/>
      <c r="L28" s="1591" t="str">
        <f t="shared" si="2"/>
        <v/>
      </c>
      <c r="M28" s="1519">
        <v>25.5</v>
      </c>
      <c r="N28" s="1519"/>
      <c r="O28" s="2886"/>
      <c r="P28" s="2887"/>
      <c r="Q28" s="2888"/>
      <c r="R28" s="2888"/>
      <c r="S28" s="2888"/>
      <c r="T28" s="2888"/>
      <c r="U28" s="2888"/>
    </row>
    <row r="29" spans="1:21" ht="26.1" customHeight="1">
      <c r="A29" s="3284">
        <f>LARGE(A6:A28,1)+1</f>
        <v>24</v>
      </c>
      <c r="B29" s="2880"/>
      <c r="C29" s="2853">
        <f t="shared" si="13"/>
        <v>0</v>
      </c>
      <c r="D29" s="2851">
        <f t="shared" si="13"/>
        <v>0</v>
      </c>
      <c r="E29" s="2852">
        <f t="shared" si="14"/>
        <v>0</v>
      </c>
      <c r="F29" s="2852">
        <f t="shared" si="14"/>
        <v>0</v>
      </c>
      <c r="G29" s="2852">
        <f t="shared" si="14"/>
        <v>0</v>
      </c>
      <c r="H29" s="2852">
        <f t="shared" si="14"/>
        <v>0</v>
      </c>
      <c r="I29" s="2852">
        <f t="shared" si="14"/>
        <v>0</v>
      </c>
      <c r="J29" s="2857" t="str">
        <f t="shared" si="3"/>
        <v/>
      </c>
      <c r="K29" s="1590"/>
      <c r="L29" s="1591" t="str">
        <f t="shared" si="2"/>
        <v/>
      </c>
      <c r="M29" s="1519">
        <v>25.5</v>
      </c>
      <c r="N29" s="1519"/>
      <c r="O29" s="2886"/>
      <c r="P29" s="2887"/>
      <c r="Q29" s="2888"/>
      <c r="R29" s="2888"/>
      <c r="S29" s="2888"/>
      <c r="T29" s="2888"/>
      <c r="U29" s="2888"/>
    </row>
    <row r="30" spans="1:21" ht="26.1" customHeight="1">
      <c r="A30" s="3284">
        <f>LARGE(A6:A29,1)+1</f>
        <v>25</v>
      </c>
      <c r="B30" s="2880"/>
      <c r="C30" s="2854" t="str">
        <f t="shared" si="13"/>
        <v>B.O.F</v>
      </c>
      <c r="D30" s="2855">
        <f t="shared" si="13"/>
        <v>0</v>
      </c>
      <c r="E30" s="2855">
        <f t="shared" si="14"/>
        <v>0</v>
      </c>
      <c r="F30" s="2855">
        <f t="shared" si="14"/>
        <v>0</v>
      </c>
      <c r="G30" s="2855">
        <f t="shared" si="14"/>
        <v>0</v>
      </c>
      <c r="H30" s="2855">
        <f t="shared" si="14"/>
        <v>0</v>
      </c>
      <c r="I30" s="2867">
        <f t="shared" si="14"/>
        <v>0</v>
      </c>
      <c r="J30" s="2889" t="s">
        <v>1456</v>
      </c>
      <c r="K30" s="2890"/>
      <c r="L30" s="2891" t="str">
        <f t="shared" si="2"/>
        <v/>
      </c>
      <c r="M30" s="1519">
        <v>25.5</v>
      </c>
      <c r="N30" s="1519"/>
      <c r="O30" s="2854" t="s">
        <v>1465</v>
      </c>
      <c r="P30" s="2855"/>
      <c r="Q30" s="2855"/>
      <c r="R30" s="2855"/>
      <c r="S30" s="2855"/>
      <c r="T30" s="2855"/>
      <c r="U30" s="2855"/>
    </row>
    <row r="31" spans="1:21" ht="26.1" customHeight="1">
      <c r="A31" s="3284">
        <f>LARGE(A6:A30,1)+1</f>
        <v>26</v>
      </c>
      <c r="B31" s="2880"/>
      <c r="C31" s="2853" t="str">
        <f t="shared" si="13"/>
        <v>œuf</v>
      </c>
      <c r="D31" s="2851" t="str">
        <f t="shared" si="13"/>
        <v>P</v>
      </c>
      <c r="E31" s="2852">
        <f t="shared" si="14"/>
        <v>0</v>
      </c>
      <c r="F31" s="2852">
        <f t="shared" si="14"/>
        <v>0.5</v>
      </c>
      <c r="G31" s="2852">
        <f t="shared" si="14"/>
        <v>0</v>
      </c>
      <c r="H31" s="2852">
        <f t="shared" si="14"/>
        <v>0</v>
      </c>
      <c r="I31" s="2852">
        <f t="shared" si="14"/>
        <v>0</v>
      </c>
      <c r="J31" s="2857">
        <f t="shared" si="3"/>
        <v>0.5</v>
      </c>
      <c r="K31" s="1590"/>
      <c r="L31" s="1591" t="str">
        <f t="shared" si="2"/>
        <v/>
      </c>
      <c r="M31" s="1519">
        <v>25.5</v>
      </c>
      <c r="N31" s="1519"/>
      <c r="O31" s="2886" t="s">
        <v>1466</v>
      </c>
      <c r="P31" s="2887" t="s">
        <v>318</v>
      </c>
      <c r="Q31" s="2888"/>
      <c r="R31" s="2888">
        <v>1</v>
      </c>
      <c r="S31" s="2888"/>
      <c r="T31" s="2888"/>
      <c r="U31" s="2888"/>
    </row>
    <row r="32" spans="1:21" ht="26.1" customHeight="1">
      <c r="A32" s="3284">
        <f>LARGE(A6:A31,1)+1</f>
        <v>27</v>
      </c>
      <c r="B32" s="2880"/>
      <c r="C32" s="2853">
        <f t="shared" si="13"/>
        <v>0</v>
      </c>
      <c r="D32" s="2851">
        <f t="shared" si="13"/>
        <v>0</v>
      </c>
      <c r="E32" s="2852">
        <f t="shared" si="14"/>
        <v>0</v>
      </c>
      <c r="F32" s="2852">
        <f t="shared" si="14"/>
        <v>0</v>
      </c>
      <c r="G32" s="2852">
        <f t="shared" si="14"/>
        <v>0</v>
      </c>
      <c r="H32" s="2852">
        <f t="shared" si="14"/>
        <v>0</v>
      </c>
      <c r="I32" s="2852">
        <f t="shared" si="14"/>
        <v>0</v>
      </c>
      <c r="J32" s="2857" t="str">
        <f t="shared" si="3"/>
        <v/>
      </c>
      <c r="K32" s="1590"/>
      <c r="L32" s="1591" t="str">
        <f t="shared" si="2"/>
        <v/>
      </c>
      <c r="M32" s="1519">
        <v>25.5</v>
      </c>
      <c r="N32" s="1519"/>
      <c r="O32" s="2886"/>
      <c r="P32" s="2887"/>
      <c r="Q32" s="2888"/>
      <c r="R32" s="2888"/>
      <c r="S32" s="2888"/>
      <c r="T32" s="2888"/>
      <c r="U32" s="2888"/>
    </row>
    <row r="33" spans="1:23" ht="26.1" customHeight="1">
      <c r="A33" s="3284">
        <f>LARGE(A6:A32,1)+1</f>
        <v>28</v>
      </c>
      <c r="B33" s="2880"/>
      <c r="C33" s="2853">
        <f t="shared" si="13"/>
        <v>0</v>
      </c>
      <c r="D33" s="2851">
        <f t="shared" si="13"/>
        <v>0</v>
      </c>
      <c r="E33" s="2852">
        <f t="shared" si="14"/>
        <v>0</v>
      </c>
      <c r="F33" s="2852">
        <f t="shared" si="14"/>
        <v>0</v>
      </c>
      <c r="G33" s="2852">
        <f t="shared" si="14"/>
        <v>0</v>
      </c>
      <c r="H33" s="2852">
        <f t="shared" si="14"/>
        <v>0</v>
      </c>
      <c r="I33" s="2852">
        <f t="shared" si="14"/>
        <v>0</v>
      </c>
      <c r="J33" s="2857" t="str">
        <f t="shared" si="3"/>
        <v/>
      </c>
      <c r="K33" s="1590"/>
      <c r="L33" s="1591" t="str">
        <f t="shared" si="2"/>
        <v/>
      </c>
      <c r="M33" s="1519">
        <v>25.5</v>
      </c>
      <c r="N33" s="1519"/>
      <c r="O33" s="2886"/>
      <c r="P33" s="2887"/>
      <c r="Q33" s="2888"/>
      <c r="R33" s="2888"/>
      <c r="S33" s="2888"/>
      <c r="T33" s="2888"/>
      <c r="U33" s="2888"/>
    </row>
    <row r="34" spans="1:23" ht="26.1" customHeight="1">
      <c r="A34" s="3284">
        <f>LARGE(A6:A33,1)+1</f>
        <v>29</v>
      </c>
      <c r="B34" s="2880"/>
      <c r="C34" s="2853">
        <f t="shared" ref="C34:C38" si="15">O34</f>
        <v>0</v>
      </c>
      <c r="D34" s="2851">
        <f t="shared" ref="D34:D38" si="16">P34</f>
        <v>0</v>
      </c>
      <c r="E34" s="2852">
        <f t="shared" ref="E34:E38" si="17">IF(ISTEXT(Q34),Q34,(Q34/$I$2)*$L$2)</f>
        <v>0</v>
      </c>
      <c r="F34" s="2852">
        <f t="shared" ref="F34:F38" si="18">IF(ISTEXT(R34),R34,(R34/$I$2)*$L$2)</f>
        <v>0</v>
      </c>
      <c r="G34" s="2852">
        <f t="shared" ref="G34:G38" si="19">IF(ISTEXT(S34),S34,(S34/$I$2)*$L$2)</f>
        <v>0</v>
      </c>
      <c r="H34" s="2852">
        <f t="shared" ref="H34:H38" si="20">IF(ISTEXT(T34),T34,(T34/$I$2)*$L$2)</f>
        <v>0</v>
      </c>
      <c r="I34" s="2852">
        <f t="shared" ref="I34:I38" si="21">IF(ISTEXT(U34),U34,(U34/$I$2)*$L$2)</f>
        <v>0</v>
      </c>
      <c r="J34" s="2857" t="str">
        <f t="shared" ref="J34:J38" si="22">IF(SUM(E34:I34)=0,"",SUM(E34:I34))</f>
        <v/>
      </c>
      <c r="K34" s="1590"/>
      <c r="L34" s="1591" t="str">
        <f t="shared" ref="L34:L38" si="23">IF(ISBLANK(K34),"",K34*J34)</f>
        <v/>
      </c>
      <c r="M34" s="1519">
        <v>25.5</v>
      </c>
      <c r="N34" s="1519"/>
      <c r="O34" s="2886"/>
      <c r="P34" s="2887"/>
      <c r="Q34" s="2888"/>
      <c r="R34" s="2888"/>
      <c r="S34" s="2888"/>
      <c r="T34" s="2888"/>
      <c r="U34" s="2888"/>
      <c r="W34" s="2885" t="s">
        <v>2883</v>
      </c>
    </row>
    <row r="35" spans="1:23" ht="26.1" customHeight="1">
      <c r="A35" s="3284">
        <f>LARGE(A6:A34,1)+1</f>
        <v>30</v>
      </c>
      <c r="B35" s="2880"/>
      <c r="C35" s="2853">
        <f t="shared" si="15"/>
        <v>0</v>
      </c>
      <c r="D35" s="2851">
        <f t="shared" si="16"/>
        <v>0</v>
      </c>
      <c r="E35" s="2852">
        <f t="shared" si="17"/>
        <v>0</v>
      </c>
      <c r="F35" s="2852">
        <f t="shared" si="18"/>
        <v>0</v>
      </c>
      <c r="G35" s="2852">
        <f t="shared" si="19"/>
        <v>0</v>
      </c>
      <c r="H35" s="2852">
        <f t="shared" si="20"/>
        <v>0</v>
      </c>
      <c r="I35" s="2852">
        <f t="shared" si="21"/>
        <v>0</v>
      </c>
      <c r="J35" s="2857" t="str">
        <f t="shared" si="22"/>
        <v/>
      </c>
      <c r="K35" s="1590"/>
      <c r="L35" s="1591" t="str">
        <f t="shared" si="23"/>
        <v/>
      </c>
      <c r="M35" s="1519">
        <v>25.5</v>
      </c>
      <c r="N35" s="1519"/>
      <c r="O35" s="2886"/>
      <c r="P35" s="2887"/>
      <c r="Q35" s="2888"/>
      <c r="R35" s="2888"/>
      <c r="S35" s="2888"/>
      <c r="T35" s="2888"/>
      <c r="U35" s="2888"/>
      <c r="W35" s="2885" t="s">
        <v>2883</v>
      </c>
    </row>
    <row r="36" spans="1:23" ht="26.1" customHeight="1">
      <c r="A36" s="3284">
        <f>LARGE(A6:A35,1)+1</f>
        <v>31</v>
      </c>
      <c r="B36" s="2880"/>
      <c r="C36" s="2853">
        <f t="shared" si="15"/>
        <v>0</v>
      </c>
      <c r="D36" s="2851">
        <f t="shared" si="16"/>
        <v>0</v>
      </c>
      <c r="E36" s="2852">
        <f t="shared" si="17"/>
        <v>0</v>
      </c>
      <c r="F36" s="2852">
        <f t="shared" si="18"/>
        <v>0</v>
      </c>
      <c r="G36" s="2852">
        <f t="shared" si="19"/>
        <v>0</v>
      </c>
      <c r="H36" s="2852">
        <f t="shared" si="20"/>
        <v>0</v>
      </c>
      <c r="I36" s="2852">
        <f t="shared" si="21"/>
        <v>0</v>
      </c>
      <c r="J36" s="2857" t="str">
        <f t="shared" si="22"/>
        <v/>
      </c>
      <c r="K36" s="1590"/>
      <c r="L36" s="1591" t="str">
        <f t="shared" si="23"/>
        <v/>
      </c>
      <c r="M36" s="1519">
        <v>25.5</v>
      </c>
      <c r="N36" s="1519"/>
      <c r="O36" s="2886"/>
      <c r="P36" s="2887"/>
      <c r="Q36" s="2888"/>
      <c r="R36" s="2888"/>
      <c r="S36" s="2888"/>
      <c r="T36" s="2888"/>
      <c r="U36" s="2888"/>
      <c r="W36" s="2885" t="s">
        <v>2883</v>
      </c>
    </row>
    <row r="37" spans="1:23" ht="26.1" customHeight="1">
      <c r="A37" s="3284">
        <f>LARGE(A6:A36,1)+1</f>
        <v>32</v>
      </c>
      <c r="B37" s="2880"/>
      <c r="C37" s="2853">
        <f t="shared" si="15"/>
        <v>0</v>
      </c>
      <c r="D37" s="2851">
        <f t="shared" si="16"/>
        <v>0</v>
      </c>
      <c r="E37" s="2852">
        <f t="shared" si="17"/>
        <v>0</v>
      </c>
      <c r="F37" s="2852">
        <f t="shared" si="18"/>
        <v>0</v>
      </c>
      <c r="G37" s="2852">
        <f t="shared" si="19"/>
        <v>0</v>
      </c>
      <c r="H37" s="2852">
        <f t="shared" si="20"/>
        <v>0</v>
      </c>
      <c r="I37" s="2852">
        <f t="shared" si="21"/>
        <v>0</v>
      </c>
      <c r="J37" s="2857" t="str">
        <f t="shared" si="22"/>
        <v/>
      </c>
      <c r="K37" s="1590"/>
      <c r="L37" s="1591" t="str">
        <f t="shared" si="23"/>
        <v/>
      </c>
      <c r="M37" s="1519">
        <v>25.5</v>
      </c>
      <c r="N37" s="1519"/>
      <c r="O37" s="2886"/>
      <c r="P37" s="2887"/>
      <c r="Q37" s="2888"/>
      <c r="R37" s="2888"/>
      <c r="S37" s="2888"/>
      <c r="T37" s="2888"/>
      <c r="U37" s="2888"/>
      <c r="W37" s="2885" t="s">
        <v>2883</v>
      </c>
    </row>
    <row r="38" spans="1:23" ht="26.1" customHeight="1">
      <c r="A38" s="3284">
        <f>LARGE(A6:A37,1)+1</f>
        <v>33</v>
      </c>
      <c r="B38" s="2880"/>
      <c r="C38" s="2853">
        <f t="shared" si="15"/>
        <v>0</v>
      </c>
      <c r="D38" s="2851">
        <f t="shared" si="16"/>
        <v>0</v>
      </c>
      <c r="E38" s="2852">
        <f t="shared" si="17"/>
        <v>0</v>
      </c>
      <c r="F38" s="2852">
        <f t="shared" si="18"/>
        <v>0</v>
      </c>
      <c r="G38" s="2852">
        <f t="shared" si="19"/>
        <v>0</v>
      </c>
      <c r="H38" s="2852">
        <f t="shared" si="20"/>
        <v>0</v>
      </c>
      <c r="I38" s="2852">
        <f t="shared" si="21"/>
        <v>0</v>
      </c>
      <c r="J38" s="2857" t="str">
        <f t="shared" si="22"/>
        <v/>
      </c>
      <c r="K38" s="1590"/>
      <c r="L38" s="1591" t="str">
        <f t="shared" si="23"/>
        <v/>
      </c>
      <c r="M38" s="1519">
        <v>25.5</v>
      </c>
      <c r="N38" s="1519"/>
      <c r="O38" s="2886"/>
      <c r="P38" s="2887"/>
      <c r="Q38" s="2888"/>
      <c r="R38" s="2888"/>
      <c r="S38" s="2888"/>
      <c r="T38" s="2888"/>
      <c r="U38" s="2888"/>
      <c r="W38" s="2885" t="s">
        <v>2883</v>
      </c>
    </row>
    <row r="39" spans="1:23" ht="26.1" customHeight="1">
      <c r="A39" s="3284">
        <f>LARGE(A6:A38,1)+1</f>
        <v>34</v>
      </c>
      <c r="B39" s="2880"/>
      <c r="C39" s="2853">
        <f t="shared" ref="C39:C43" si="24">O39</f>
        <v>0</v>
      </c>
      <c r="D39" s="2851">
        <f t="shared" ref="D39:D43" si="25">P39</f>
        <v>0</v>
      </c>
      <c r="E39" s="2852">
        <f t="shared" ref="E39:E43" si="26">IF(ISTEXT(Q39),Q39,(Q39/$I$2)*$L$2)</f>
        <v>0</v>
      </c>
      <c r="F39" s="2852">
        <f t="shared" ref="F39:F43" si="27">IF(ISTEXT(R39),R39,(R39/$I$2)*$L$2)</f>
        <v>0</v>
      </c>
      <c r="G39" s="2852">
        <f t="shared" ref="G39:G43" si="28">IF(ISTEXT(S39),S39,(S39/$I$2)*$L$2)</f>
        <v>0</v>
      </c>
      <c r="H39" s="2852">
        <f t="shared" ref="H39:H43" si="29">IF(ISTEXT(T39),T39,(T39/$I$2)*$L$2)</f>
        <v>0</v>
      </c>
      <c r="I39" s="2852">
        <f t="shared" ref="I39:I43" si="30">IF(ISTEXT(U39),U39,(U39/$I$2)*$L$2)</f>
        <v>0</v>
      </c>
      <c r="J39" s="2857" t="str">
        <f t="shared" ref="J39:J43" si="31">IF(SUM(E39:I39)=0,"",SUM(E39:I39))</f>
        <v/>
      </c>
      <c r="K39" s="1590"/>
      <c r="L39" s="1591" t="str">
        <f t="shared" ref="L39:L43" si="32">IF(ISBLANK(K39),"",K39*J39)</f>
        <v/>
      </c>
      <c r="M39" s="1519">
        <v>25.5</v>
      </c>
      <c r="N39" s="1519"/>
      <c r="O39" s="2886"/>
      <c r="P39" s="2887"/>
      <c r="Q39" s="2888"/>
      <c r="R39" s="2888"/>
      <c r="S39" s="2888"/>
      <c r="T39" s="2888"/>
      <c r="U39" s="2888"/>
      <c r="W39" s="2885" t="s">
        <v>2883</v>
      </c>
    </row>
    <row r="40" spans="1:23" ht="26.1" customHeight="1">
      <c r="A40" s="3284">
        <f>LARGE(A6:A39,1)+1</f>
        <v>35</v>
      </c>
      <c r="B40" s="2880"/>
      <c r="C40" s="2853">
        <f t="shared" si="24"/>
        <v>0</v>
      </c>
      <c r="D40" s="2851">
        <f t="shared" si="25"/>
        <v>0</v>
      </c>
      <c r="E40" s="2852">
        <f t="shared" si="26"/>
        <v>0</v>
      </c>
      <c r="F40" s="2852">
        <f t="shared" si="27"/>
        <v>0</v>
      </c>
      <c r="G40" s="2852">
        <f t="shared" si="28"/>
        <v>0</v>
      </c>
      <c r="H40" s="2852">
        <f t="shared" si="29"/>
        <v>0</v>
      </c>
      <c r="I40" s="2852">
        <f t="shared" si="30"/>
        <v>0</v>
      </c>
      <c r="J40" s="2857" t="str">
        <f t="shared" si="31"/>
        <v/>
      </c>
      <c r="K40" s="1590"/>
      <c r="L40" s="1591" t="str">
        <f t="shared" si="32"/>
        <v/>
      </c>
      <c r="M40" s="1519">
        <v>25.5</v>
      </c>
      <c r="N40" s="1519"/>
      <c r="O40" s="2886"/>
      <c r="P40" s="2887"/>
      <c r="Q40" s="2888"/>
      <c r="R40" s="2888"/>
      <c r="S40" s="2888"/>
      <c r="T40" s="2888"/>
      <c r="U40" s="2888"/>
      <c r="W40" s="2885" t="s">
        <v>2883</v>
      </c>
    </row>
    <row r="41" spans="1:23" ht="26.1" customHeight="1">
      <c r="A41" s="3284">
        <f>LARGE(A6:A40,1)+1</f>
        <v>36</v>
      </c>
      <c r="B41" s="2880"/>
      <c r="C41" s="2853">
        <f t="shared" si="24"/>
        <v>0</v>
      </c>
      <c r="D41" s="2851">
        <f t="shared" si="25"/>
        <v>0</v>
      </c>
      <c r="E41" s="2852">
        <f t="shared" si="26"/>
        <v>0</v>
      </c>
      <c r="F41" s="2852">
        <f t="shared" si="27"/>
        <v>0</v>
      </c>
      <c r="G41" s="2852">
        <f t="shared" si="28"/>
        <v>0</v>
      </c>
      <c r="H41" s="2852">
        <f t="shared" si="29"/>
        <v>0</v>
      </c>
      <c r="I41" s="2852">
        <f t="shared" si="30"/>
        <v>0</v>
      </c>
      <c r="J41" s="2857" t="str">
        <f t="shared" si="31"/>
        <v/>
      </c>
      <c r="K41" s="1590"/>
      <c r="L41" s="1591" t="str">
        <f t="shared" si="32"/>
        <v/>
      </c>
      <c r="M41" s="1519">
        <v>25.5</v>
      </c>
      <c r="N41" s="1519"/>
      <c r="O41" s="2886"/>
      <c r="P41" s="2887"/>
      <c r="Q41" s="2888"/>
      <c r="R41" s="2888"/>
      <c r="S41" s="2888"/>
      <c r="T41" s="2888"/>
      <c r="U41" s="2888"/>
      <c r="W41" s="2885" t="s">
        <v>2883</v>
      </c>
    </row>
    <row r="42" spans="1:23" ht="26.1" customHeight="1">
      <c r="A42" s="3284">
        <f>LARGE(A6:A41,1)+1</f>
        <v>37</v>
      </c>
      <c r="B42" s="2880"/>
      <c r="C42" s="2853">
        <f t="shared" si="24"/>
        <v>0</v>
      </c>
      <c r="D42" s="2851">
        <f t="shared" si="25"/>
        <v>0</v>
      </c>
      <c r="E42" s="2852">
        <f t="shared" si="26"/>
        <v>0</v>
      </c>
      <c r="F42" s="2852">
        <f t="shared" si="27"/>
        <v>0</v>
      </c>
      <c r="G42" s="2852">
        <f t="shared" si="28"/>
        <v>0</v>
      </c>
      <c r="H42" s="2852">
        <f t="shared" si="29"/>
        <v>0</v>
      </c>
      <c r="I42" s="2852">
        <f t="shared" si="30"/>
        <v>0</v>
      </c>
      <c r="J42" s="2857" t="str">
        <f t="shared" si="31"/>
        <v/>
      </c>
      <c r="K42" s="1590"/>
      <c r="L42" s="1591" t="str">
        <f t="shared" si="32"/>
        <v/>
      </c>
      <c r="M42" s="1519">
        <v>25.5</v>
      </c>
      <c r="N42" s="1519"/>
      <c r="O42" s="2886"/>
      <c r="P42" s="2887"/>
      <c r="Q42" s="2888"/>
      <c r="R42" s="2888"/>
      <c r="S42" s="2888"/>
      <c r="T42" s="2888"/>
      <c r="U42" s="2888"/>
      <c r="W42" s="2885" t="s">
        <v>2883</v>
      </c>
    </row>
    <row r="43" spans="1:23" ht="26.1" customHeight="1">
      <c r="A43" s="3284">
        <f>LARGE(A6:A42,1)+1</f>
        <v>38</v>
      </c>
      <c r="B43" s="2880"/>
      <c r="C43" s="2853">
        <f t="shared" si="24"/>
        <v>0</v>
      </c>
      <c r="D43" s="2851">
        <f t="shared" si="25"/>
        <v>0</v>
      </c>
      <c r="E43" s="2852">
        <f t="shared" si="26"/>
        <v>0</v>
      </c>
      <c r="F43" s="2852">
        <f t="shared" si="27"/>
        <v>0</v>
      </c>
      <c r="G43" s="2852">
        <f t="shared" si="28"/>
        <v>0</v>
      </c>
      <c r="H43" s="2852">
        <f t="shared" si="29"/>
        <v>0</v>
      </c>
      <c r="I43" s="2852">
        <f t="shared" si="30"/>
        <v>0</v>
      </c>
      <c r="J43" s="2857" t="str">
        <f t="shared" si="31"/>
        <v/>
      </c>
      <c r="K43" s="1590"/>
      <c r="L43" s="1591" t="str">
        <f t="shared" si="32"/>
        <v/>
      </c>
      <c r="M43" s="1519">
        <v>25.5</v>
      </c>
      <c r="N43" s="1519"/>
      <c r="O43" s="2886"/>
      <c r="P43" s="2887"/>
      <c r="Q43" s="2888"/>
      <c r="R43" s="2888"/>
      <c r="S43" s="2888"/>
      <c r="T43" s="2888"/>
      <c r="U43" s="2888"/>
      <c r="W43" s="2885" t="s">
        <v>2883</v>
      </c>
    </row>
    <row r="44" spans="1:23" ht="26.1" customHeight="1">
      <c r="A44" s="3284">
        <f>LARGE(A6:A43,1)+1</f>
        <v>39</v>
      </c>
      <c r="B44" s="2880"/>
      <c r="C44" s="2854" t="str">
        <f t="shared" si="13"/>
        <v>ECONOMAT</v>
      </c>
      <c r="D44" s="2855">
        <f t="shared" si="13"/>
        <v>0</v>
      </c>
      <c r="E44" s="2855">
        <f t="shared" si="14"/>
        <v>0</v>
      </c>
      <c r="F44" s="2855">
        <f t="shared" si="14"/>
        <v>0</v>
      </c>
      <c r="G44" s="2855">
        <f t="shared" si="14"/>
        <v>0</v>
      </c>
      <c r="H44" s="2855">
        <f t="shared" si="14"/>
        <v>0</v>
      </c>
      <c r="I44" s="2867">
        <f t="shared" si="14"/>
        <v>0</v>
      </c>
      <c r="J44" s="2889" t="str">
        <f t="shared" si="3"/>
        <v/>
      </c>
      <c r="K44" s="2890"/>
      <c r="L44" s="2891" t="str">
        <f t="shared" si="2"/>
        <v/>
      </c>
      <c r="M44" s="1519">
        <v>25.5</v>
      </c>
      <c r="N44" s="1519"/>
      <c r="O44" s="2854" t="s">
        <v>133</v>
      </c>
      <c r="P44" s="2855"/>
      <c r="Q44" s="2855"/>
      <c r="R44" s="2855"/>
      <c r="S44" s="2855"/>
      <c r="T44" s="2855"/>
      <c r="U44" s="2855"/>
    </row>
    <row r="45" spans="1:23" ht="26.1" customHeight="1">
      <c r="A45" s="3284">
        <f>LARGE(A6:A44,1)+1</f>
        <v>40</v>
      </c>
      <c r="B45" s="2880"/>
      <c r="C45" s="2853" t="str">
        <f t="shared" si="13"/>
        <v>Miso blond</v>
      </c>
      <c r="D45" s="2851" t="str">
        <f t="shared" si="13"/>
        <v>kg</v>
      </c>
      <c r="E45" s="2852">
        <f t="shared" si="14"/>
        <v>0</v>
      </c>
      <c r="F45" s="2852">
        <f t="shared" si="14"/>
        <v>0</v>
      </c>
      <c r="G45" s="2852">
        <f t="shared" si="14"/>
        <v>0</v>
      </c>
      <c r="H45" s="2852">
        <f t="shared" si="14"/>
        <v>2.5000000000000001E-2</v>
      </c>
      <c r="I45" s="2852">
        <f t="shared" si="14"/>
        <v>0</v>
      </c>
      <c r="J45" s="2857">
        <f t="shared" si="3"/>
        <v>2.5000000000000001E-2</v>
      </c>
      <c r="K45" s="1590"/>
      <c r="L45" s="1591" t="str">
        <f t="shared" si="2"/>
        <v/>
      </c>
      <c r="M45" s="1519">
        <v>25.5</v>
      </c>
      <c r="N45" s="1519"/>
      <c r="O45" s="2886" t="s">
        <v>1467</v>
      </c>
      <c r="P45" s="2887" t="s">
        <v>166</v>
      </c>
      <c r="Q45" s="2888"/>
      <c r="R45" s="2888"/>
      <c r="S45" s="2888"/>
      <c r="T45" s="2888">
        <v>0.05</v>
      </c>
      <c r="U45" s="2888"/>
    </row>
    <row r="46" spans="1:23" ht="26.1" customHeight="1">
      <c r="A46" s="3284">
        <f>LARGE(A6:A45,1)+1</f>
        <v>41</v>
      </c>
      <c r="B46" s="2880"/>
      <c r="C46" s="2853" t="str">
        <f t="shared" si="13"/>
        <v>Miso rouge</v>
      </c>
      <c r="D46" s="2851" t="str">
        <f t="shared" si="13"/>
        <v>kg</v>
      </c>
      <c r="E46" s="2852">
        <f t="shared" si="14"/>
        <v>0</v>
      </c>
      <c r="F46" s="2852">
        <f t="shared" si="14"/>
        <v>0</v>
      </c>
      <c r="G46" s="2852">
        <f t="shared" si="14"/>
        <v>0</v>
      </c>
      <c r="H46" s="2852">
        <f t="shared" si="14"/>
        <v>2.5000000000000001E-2</v>
      </c>
      <c r="I46" s="2852">
        <f t="shared" si="14"/>
        <v>0</v>
      </c>
      <c r="J46" s="2857">
        <f t="shared" si="3"/>
        <v>2.5000000000000001E-2</v>
      </c>
      <c r="K46" s="1590"/>
      <c r="L46" s="1591" t="str">
        <f t="shared" si="2"/>
        <v/>
      </c>
      <c r="M46" s="1519">
        <v>25.5</v>
      </c>
      <c r="N46" s="1519"/>
      <c r="O46" s="2886" t="s">
        <v>1468</v>
      </c>
      <c r="P46" s="2887" t="s">
        <v>166</v>
      </c>
      <c r="Q46" s="2888"/>
      <c r="R46" s="2888"/>
      <c r="S46" s="2888"/>
      <c r="T46" s="2888">
        <v>0.05</v>
      </c>
      <c r="U46" s="2888"/>
    </row>
    <row r="47" spans="1:23" ht="26.1" customHeight="1">
      <c r="A47" s="3284">
        <f>LARGE(A6:A46,1)+1</f>
        <v>42</v>
      </c>
      <c r="B47" s="2880"/>
      <c r="C47" s="2853">
        <f t="shared" si="13"/>
        <v>0</v>
      </c>
      <c r="D47" s="2851">
        <f t="shared" si="13"/>
        <v>0</v>
      </c>
      <c r="E47" s="2852">
        <f t="shared" si="14"/>
        <v>0</v>
      </c>
      <c r="F47" s="2852">
        <f t="shared" si="14"/>
        <v>0</v>
      </c>
      <c r="G47" s="2852">
        <f t="shared" si="14"/>
        <v>0</v>
      </c>
      <c r="H47" s="2852">
        <f t="shared" si="14"/>
        <v>0</v>
      </c>
      <c r="I47" s="2852">
        <f t="shared" si="14"/>
        <v>0</v>
      </c>
      <c r="J47" s="2857" t="str">
        <f t="shared" si="3"/>
        <v/>
      </c>
      <c r="K47" s="1590"/>
      <c r="L47" s="1591" t="str">
        <f t="shared" si="2"/>
        <v/>
      </c>
      <c r="M47" s="1519">
        <v>25.5</v>
      </c>
      <c r="N47" s="1519"/>
      <c r="O47" s="2886"/>
      <c r="P47" s="2887"/>
      <c r="Q47" s="2888"/>
      <c r="R47" s="2888"/>
      <c r="S47" s="2888"/>
      <c r="T47" s="2888"/>
      <c r="U47" s="2888"/>
    </row>
    <row r="48" spans="1:23" ht="26.1" customHeight="1">
      <c r="A48" s="3284">
        <f>LARGE(A6:A47,1)+1</f>
        <v>43</v>
      </c>
      <c r="B48" s="2880"/>
      <c r="C48" s="2853">
        <f t="shared" si="13"/>
        <v>0</v>
      </c>
      <c r="D48" s="2851">
        <f t="shared" si="13"/>
        <v>0</v>
      </c>
      <c r="E48" s="2852">
        <f t="shared" si="14"/>
        <v>0</v>
      </c>
      <c r="F48" s="2852">
        <f t="shared" si="14"/>
        <v>0</v>
      </c>
      <c r="G48" s="2852">
        <f t="shared" si="14"/>
        <v>0</v>
      </c>
      <c r="H48" s="2852">
        <f t="shared" si="14"/>
        <v>0</v>
      </c>
      <c r="I48" s="2852">
        <f t="shared" si="14"/>
        <v>0</v>
      </c>
      <c r="J48" s="2857" t="str">
        <f t="shared" si="3"/>
        <v/>
      </c>
      <c r="K48" s="1590"/>
      <c r="L48" s="1591" t="str">
        <f t="shared" si="2"/>
        <v/>
      </c>
      <c r="M48" s="1519">
        <v>25.5</v>
      </c>
      <c r="N48" s="1519"/>
      <c r="O48" s="2886"/>
      <c r="P48" s="2887"/>
      <c r="Q48" s="2888"/>
      <c r="R48" s="2888"/>
      <c r="S48" s="2888"/>
      <c r="T48" s="2888"/>
      <c r="U48" s="2888"/>
    </row>
    <row r="49" spans="1:23" ht="26.1" customHeight="1">
      <c r="A49" s="3284">
        <f>LARGE(A6:A48,1)+1</f>
        <v>44</v>
      </c>
      <c r="B49" s="2880"/>
      <c r="C49" s="2853">
        <f t="shared" si="13"/>
        <v>0</v>
      </c>
      <c r="D49" s="2851">
        <f t="shared" si="13"/>
        <v>0</v>
      </c>
      <c r="E49" s="2852">
        <f t="shared" si="14"/>
        <v>0</v>
      </c>
      <c r="F49" s="2852">
        <f t="shared" si="14"/>
        <v>0</v>
      </c>
      <c r="G49" s="2852">
        <f t="shared" si="14"/>
        <v>0</v>
      </c>
      <c r="H49" s="2852">
        <f t="shared" si="14"/>
        <v>0</v>
      </c>
      <c r="I49" s="2852">
        <f t="shared" si="14"/>
        <v>0</v>
      </c>
      <c r="J49" s="2857"/>
      <c r="K49" s="1590"/>
      <c r="L49" s="1591" t="str">
        <f t="shared" si="2"/>
        <v/>
      </c>
      <c r="M49" s="1519">
        <v>25.5</v>
      </c>
      <c r="N49" s="1519"/>
      <c r="O49" s="2886"/>
      <c r="P49" s="2887"/>
      <c r="Q49" s="2888"/>
      <c r="R49" s="2888"/>
      <c r="S49" s="2888"/>
      <c r="T49" s="2888"/>
      <c r="U49" s="2888"/>
    </row>
    <row r="50" spans="1:23" ht="26.1" customHeight="1">
      <c r="A50" s="3284">
        <f>LARGE(A6:A49,1)+1</f>
        <v>45</v>
      </c>
      <c r="B50" s="2880"/>
      <c r="C50" s="2853">
        <f t="shared" si="13"/>
        <v>0</v>
      </c>
      <c r="D50" s="2851">
        <f t="shared" si="13"/>
        <v>0</v>
      </c>
      <c r="E50" s="2852">
        <f t="shared" si="14"/>
        <v>0</v>
      </c>
      <c r="F50" s="2852">
        <f t="shared" si="14"/>
        <v>0</v>
      </c>
      <c r="G50" s="2852">
        <f t="shared" si="14"/>
        <v>0</v>
      </c>
      <c r="H50" s="2852">
        <f t="shared" si="14"/>
        <v>0</v>
      </c>
      <c r="I50" s="2852">
        <f t="shared" si="14"/>
        <v>0</v>
      </c>
      <c r="J50" s="2857" t="str">
        <f t="shared" si="3"/>
        <v/>
      </c>
      <c r="K50" s="1590"/>
      <c r="L50" s="1591" t="str">
        <f t="shared" si="2"/>
        <v/>
      </c>
      <c r="M50" s="1519">
        <v>25.5</v>
      </c>
      <c r="N50" s="1519"/>
      <c r="O50" s="2886"/>
      <c r="P50" s="2887"/>
      <c r="Q50" s="2888"/>
      <c r="R50" s="2888"/>
      <c r="S50" s="2888"/>
      <c r="T50" s="2888"/>
      <c r="U50" s="2888"/>
    </row>
    <row r="51" spans="1:23" ht="26.1" customHeight="1">
      <c r="A51" s="3284">
        <f>LARGE(A6:A50,1)+1</f>
        <v>46</v>
      </c>
      <c r="B51" s="2880"/>
      <c r="C51" s="2853">
        <f t="shared" si="13"/>
        <v>0</v>
      </c>
      <c r="D51" s="2851">
        <f t="shared" si="13"/>
        <v>0</v>
      </c>
      <c r="E51" s="2852">
        <f t="shared" si="14"/>
        <v>0</v>
      </c>
      <c r="F51" s="2852">
        <f t="shared" si="14"/>
        <v>0</v>
      </c>
      <c r="G51" s="2852">
        <f t="shared" si="14"/>
        <v>0</v>
      </c>
      <c r="H51" s="2852">
        <f t="shared" si="14"/>
        <v>0</v>
      </c>
      <c r="I51" s="2852">
        <f t="shared" si="14"/>
        <v>0</v>
      </c>
      <c r="J51" s="2857" t="str">
        <f t="shared" si="3"/>
        <v/>
      </c>
      <c r="K51" s="1590"/>
      <c r="L51" s="1591" t="str">
        <f t="shared" si="2"/>
        <v/>
      </c>
      <c r="M51" s="1519">
        <v>25.5</v>
      </c>
      <c r="N51" s="1519"/>
      <c r="O51" s="2886"/>
      <c r="P51" s="2887"/>
      <c r="Q51" s="2888"/>
      <c r="R51" s="2888"/>
      <c r="S51" s="2888"/>
      <c r="T51" s="2888"/>
      <c r="U51" s="2888"/>
    </row>
    <row r="52" spans="1:23" ht="26.1" customHeight="1">
      <c r="A52" s="3284">
        <f>LARGE(A6:A51,1)+1</f>
        <v>47</v>
      </c>
      <c r="B52" s="2880"/>
      <c r="C52" s="2853">
        <f t="shared" si="13"/>
        <v>0</v>
      </c>
      <c r="D52" s="2851">
        <f t="shared" si="13"/>
        <v>0</v>
      </c>
      <c r="E52" s="2852">
        <f t="shared" si="14"/>
        <v>0</v>
      </c>
      <c r="F52" s="2852">
        <f t="shared" si="14"/>
        <v>0</v>
      </c>
      <c r="G52" s="2852">
        <f t="shared" si="14"/>
        <v>0</v>
      </c>
      <c r="H52" s="2852">
        <f t="shared" si="14"/>
        <v>0</v>
      </c>
      <c r="I52" s="2852">
        <f t="shared" si="14"/>
        <v>0</v>
      </c>
      <c r="J52" s="2857" t="str">
        <f t="shared" si="3"/>
        <v/>
      </c>
      <c r="K52" s="1590"/>
      <c r="L52" s="1591" t="str">
        <f t="shared" si="2"/>
        <v/>
      </c>
      <c r="M52" s="1519">
        <v>25.5</v>
      </c>
      <c r="N52" s="1519"/>
      <c r="O52" s="2886"/>
      <c r="P52" s="2887"/>
      <c r="Q52" s="2888"/>
      <c r="R52" s="2888"/>
      <c r="S52" s="2888"/>
      <c r="T52" s="2888"/>
      <c r="U52" s="2888"/>
    </row>
    <row r="53" spans="1:23" ht="26.1" customHeight="1">
      <c r="A53" s="3284">
        <f>LARGE(A6:A52,1)+1</f>
        <v>48</v>
      </c>
      <c r="B53" s="2880"/>
      <c r="C53" s="2853">
        <f t="shared" ref="C53:D66" si="33">O53</f>
        <v>0</v>
      </c>
      <c r="D53" s="2851">
        <f t="shared" si="33"/>
        <v>0</v>
      </c>
      <c r="E53" s="2852">
        <f t="shared" si="14"/>
        <v>0</v>
      </c>
      <c r="F53" s="2852">
        <f t="shared" si="14"/>
        <v>0</v>
      </c>
      <c r="G53" s="2852">
        <f t="shared" si="14"/>
        <v>0</v>
      </c>
      <c r="H53" s="2852">
        <f t="shared" si="14"/>
        <v>0</v>
      </c>
      <c r="I53" s="2852">
        <f t="shared" si="14"/>
        <v>0</v>
      </c>
      <c r="J53" s="2857" t="str">
        <f t="shared" si="3"/>
        <v/>
      </c>
      <c r="K53" s="1590"/>
      <c r="L53" s="1591" t="str">
        <f t="shared" si="2"/>
        <v/>
      </c>
      <c r="M53" s="1519">
        <v>25.5</v>
      </c>
      <c r="N53" s="1519"/>
      <c r="O53" s="2886"/>
      <c r="P53" s="2887"/>
      <c r="Q53" s="2888"/>
      <c r="R53" s="2888"/>
      <c r="S53" s="2888"/>
      <c r="T53" s="2888"/>
      <c r="U53" s="2888"/>
    </row>
    <row r="54" spans="1:23" ht="26.1" customHeight="1">
      <c r="A54" s="3284">
        <f>LARGE(A6:A53,1)+1</f>
        <v>49</v>
      </c>
      <c r="B54" s="2880"/>
      <c r="C54" s="2853">
        <f t="shared" si="33"/>
        <v>0</v>
      </c>
      <c r="D54" s="2851">
        <f t="shared" si="33"/>
        <v>0</v>
      </c>
      <c r="E54" s="2852">
        <f t="shared" ref="E54:I66" si="34">IF(ISTEXT(Q54),Q54,(Q54/$I$2)*$L$2)</f>
        <v>0</v>
      </c>
      <c r="F54" s="2852">
        <f t="shared" si="34"/>
        <v>0</v>
      </c>
      <c r="G54" s="2852">
        <f t="shared" si="34"/>
        <v>0</v>
      </c>
      <c r="H54" s="2852">
        <f t="shared" si="34"/>
        <v>0</v>
      </c>
      <c r="I54" s="2852">
        <f t="shared" si="34"/>
        <v>0</v>
      </c>
      <c r="J54" s="2857" t="str">
        <f t="shared" si="3"/>
        <v/>
      </c>
      <c r="K54" s="1590"/>
      <c r="L54" s="1591" t="str">
        <f t="shared" si="2"/>
        <v/>
      </c>
      <c r="M54" s="1519">
        <v>25.5</v>
      </c>
      <c r="N54" s="1519"/>
      <c r="O54" s="2886"/>
      <c r="P54" s="2887"/>
      <c r="Q54" s="2888"/>
      <c r="R54" s="2888"/>
      <c r="S54" s="2888"/>
      <c r="T54" s="2888"/>
      <c r="U54" s="2888"/>
    </row>
    <row r="55" spans="1:23" ht="26.1" customHeight="1">
      <c r="A55" s="3284">
        <f>LARGE(A6:A54,1)+1</f>
        <v>50</v>
      </c>
      <c r="B55" s="2880"/>
      <c r="C55" s="2853">
        <f t="shared" si="33"/>
        <v>0</v>
      </c>
      <c r="D55" s="2851">
        <f t="shared" si="33"/>
        <v>0</v>
      </c>
      <c r="E55" s="2852">
        <f t="shared" si="34"/>
        <v>0</v>
      </c>
      <c r="F55" s="2852">
        <f t="shared" si="34"/>
        <v>0</v>
      </c>
      <c r="G55" s="2852">
        <f t="shared" si="34"/>
        <v>0</v>
      </c>
      <c r="H55" s="2852">
        <f t="shared" si="34"/>
        <v>0</v>
      </c>
      <c r="I55" s="2852">
        <f t="shared" si="34"/>
        <v>0</v>
      </c>
      <c r="J55" s="2857" t="str">
        <f t="shared" si="3"/>
        <v/>
      </c>
      <c r="K55" s="1590"/>
      <c r="L55" s="1591" t="str">
        <f t="shared" si="2"/>
        <v/>
      </c>
      <c r="M55" s="1519">
        <v>25.5</v>
      </c>
      <c r="N55" s="1519"/>
      <c r="O55" s="2886"/>
      <c r="P55" s="2887"/>
      <c r="Q55" s="2888"/>
      <c r="R55" s="2888"/>
      <c r="S55" s="2888"/>
      <c r="T55" s="2888"/>
      <c r="U55" s="2888"/>
    </row>
    <row r="56" spans="1:23" ht="26.1" customHeight="1">
      <c r="A56" s="3284">
        <f>LARGE(A6:A55,1)+1</f>
        <v>51</v>
      </c>
      <c r="B56" s="2880"/>
      <c r="C56" s="2853">
        <f t="shared" si="33"/>
        <v>0</v>
      </c>
      <c r="D56" s="2851">
        <f t="shared" si="33"/>
        <v>0</v>
      </c>
      <c r="E56" s="2852">
        <f t="shared" si="34"/>
        <v>0</v>
      </c>
      <c r="F56" s="2852">
        <f t="shared" si="34"/>
        <v>0</v>
      </c>
      <c r="G56" s="2852">
        <f t="shared" si="34"/>
        <v>0</v>
      </c>
      <c r="H56" s="2852">
        <f t="shared" si="34"/>
        <v>0</v>
      </c>
      <c r="I56" s="2852">
        <f t="shared" si="34"/>
        <v>0</v>
      </c>
      <c r="J56" s="2857" t="str">
        <f t="shared" si="3"/>
        <v/>
      </c>
      <c r="K56" s="1590"/>
      <c r="L56" s="1591" t="str">
        <f t="shared" si="2"/>
        <v/>
      </c>
      <c r="M56" s="1519">
        <v>25.5</v>
      </c>
      <c r="N56" s="1519"/>
      <c r="O56" s="2886"/>
      <c r="P56" s="2887"/>
      <c r="Q56" s="2888"/>
      <c r="R56" s="2888"/>
      <c r="S56" s="2888"/>
      <c r="T56" s="2888"/>
      <c r="U56" s="2888"/>
    </row>
    <row r="57" spans="1:23" ht="26.1" customHeight="1">
      <c r="A57" s="3284">
        <f>LARGE(A6:A56,1)+1</f>
        <v>52</v>
      </c>
      <c r="B57" s="2880"/>
      <c r="C57" s="2853">
        <f t="shared" si="33"/>
        <v>0</v>
      </c>
      <c r="D57" s="2851">
        <f t="shared" si="33"/>
        <v>0</v>
      </c>
      <c r="E57" s="2852">
        <f t="shared" si="34"/>
        <v>0</v>
      </c>
      <c r="F57" s="2852">
        <f t="shared" si="34"/>
        <v>0</v>
      </c>
      <c r="G57" s="2852">
        <f t="shared" si="34"/>
        <v>0</v>
      </c>
      <c r="H57" s="2852">
        <f t="shared" si="34"/>
        <v>0</v>
      </c>
      <c r="I57" s="2852">
        <f t="shared" si="34"/>
        <v>0</v>
      </c>
      <c r="J57" s="2857" t="str">
        <f t="shared" si="3"/>
        <v/>
      </c>
      <c r="K57" s="1590"/>
      <c r="L57" s="1591" t="str">
        <f t="shared" si="2"/>
        <v/>
      </c>
      <c r="M57" s="1519">
        <v>25.5</v>
      </c>
      <c r="N57" s="1519"/>
      <c r="O57" s="2886"/>
      <c r="P57" s="2887"/>
      <c r="Q57" s="2888"/>
      <c r="R57" s="2888"/>
      <c r="S57" s="2888"/>
      <c r="T57" s="2888"/>
      <c r="U57" s="2888"/>
    </row>
    <row r="58" spans="1:23" ht="26.1" customHeight="1">
      <c r="A58" s="3284">
        <f>LARGE(A6:A57,1)+1</f>
        <v>53</v>
      </c>
      <c r="B58" s="2880"/>
      <c r="C58" s="2853">
        <f t="shared" si="33"/>
        <v>0</v>
      </c>
      <c r="D58" s="2851">
        <f t="shared" si="33"/>
        <v>0</v>
      </c>
      <c r="E58" s="2852">
        <f t="shared" si="34"/>
        <v>0</v>
      </c>
      <c r="F58" s="2852">
        <f t="shared" si="34"/>
        <v>0</v>
      </c>
      <c r="G58" s="2852">
        <f t="shared" si="34"/>
        <v>0</v>
      </c>
      <c r="H58" s="2852">
        <f t="shared" si="34"/>
        <v>0</v>
      </c>
      <c r="I58" s="2852">
        <f t="shared" si="34"/>
        <v>0</v>
      </c>
      <c r="J58" s="2857" t="str">
        <f t="shared" si="3"/>
        <v/>
      </c>
      <c r="K58" s="1590"/>
      <c r="L58" s="1591" t="str">
        <f t="shared" si="2"/>
        <v/>
      </c>
      <c r="M58" s="1519">
        <v>25.5</v>
      </c>
      <c r="N58" s="1519"/>
      <c r="O58" s="2886"/>
      <c r="P58" s="2887"/>
      <c r="Q58" s="2888"/>
      <c r="R58" s="2888"/>
      <c r="S58" s="2888"/>
      <c r="T58" s="2888"/>
      <c r="U58" s="2888"/>
      <c r="W58" s="2885" t="s">
        <v>2883</v>
      </c>
    </row>
    <row r="59" spans="1:23" ht="26.1" customHeight="1">
      <c r="A59" s="3284">
        <f>LARGE(A6:A58,1)+1</f>
        <v>54</v>
      </c>
      <c r="B59" s="2880"/>
      <c r="C59" s="2853">
        <f t="shared" ref="C59:C65" si="35">O59</f>
        <v>0</v>
      </c>
      <c r="D59" s="2851">
        <f t="shared" ref="D59:D65" si="36">P59</f>
        <v>0</v>
      </c>
      <c r="E59" s="2852">
        <f t="shared" ref="E59:E65" si="37">IF(ISTEXT(Q59),Q59,(Q59/$I$2)*$L$2)</f>
        <v>0</v>
      </c>
      <c r="F59" s="2852">
        <f t="shared" ref="F59:F65" si="38">IF(ISTEXT(R59),R59,(R59/$I$2)*$L$2)</f>
        <v>0</v>
      </c>
      <c r="G59" s="2852">
        <f t="shared" ref="G59:G65" si="39">IF(ISTEXT(S59),S59,(S59/$I$2)*$L$2)</f>
        <v>0</v>
      </c>
      <c r="H59" s="2852">
        <f t="shared" ref="H59:H65" si="40">IF(ISTEXT(T59),T59,(T59/$I$2)*$L$2)</f>
        <v>0</v>
      </c>
      <c r="I59" s="2852">
        <f t="shared" ref="I59:I65" si="41">IF(ISTEXT(U59),U59,(U59/$I$2)*$L$2)</f>
        <v>0</v>
      </c>
      <c r="J59" s="2857" t="str">
        <f t="shared" ref="J59:J65" si="42">IF(SUM(E59:I59)=0,"",SUM(E59:I59))</f>
        <v/>
      </c>
      <c r="K59" s="1590"/>
      <c r="L59" s="1591" t="str">
        <f t="shared" ref="L59:L65" si="43">IF(ISBLANK(K59),"",K59*J59)</f>
        <v/>
      </c>
      <c r="M59" s="1519">
        <v>25.5</v>
      </c>
      <c r="N59" s="1519"/>
      <c r="O59" s="2886"/>
      <c r="P59" s="2887"/>
      <c r="Q59" s="2888"/>
      <c r="R59" s="2888"/>
      <c r="S59" s="2888"/>
      <c r="T59" s="2888"/>
      <c r="U59" s="2888"/>
      <c r="W59" s="2885" t="s">
        <v>2883</v>
      </c>
    </row>
    <row r="60" spans="1:23" ht="26.1" customHeight="1">
      <c r="A60" s="3284">
        <f>LARGE(A6:A59,1)+1</f>
        <v>55</v>
      </c>
      <c r="B60" s="2880"/>
      <c r="C60" s="2853">
        <f t="shared" si="35"/>
        <v>0</v>
      </c>
      <c r="D60" s="2851">
        <f t="shared" si="36"/>
        <v>0</v>
      </c>
      <c r="E60" s="2852">
        <f t="shared" si="37"/>
        <v>0</v>
      </c>
      <c r="F60" s="2852">
        <f t="shared" si="38"/>
        <v>0</v>
      </c>
      <c r="G60" s="2852">
        <f t="shared" si="39"/>
        <v>0</v>
      </c>
      <c r="H60" s="2852">
        <f t="shared" si="40"/>
        <v>0</v>
      </c>
      <c r="I60" s="2852">
        <f t="shared" si="41"/>
        <v>0</v>
      </c>
      <c r="J60" s="2857" t="str">
        <f t="shared" si="42"/>
        <v/>
      </c>
      <c r="K60" s="1590"/>
      <c r="L60" s="1591" t="str">
        <f t="shared" si="43"/>
        <v/>
      </c>
      <c r="M60" s="1519">
        <v>25.5</v>
      </c>
      <c r="N60" s="1519"/>
      <c r="O60" s="2886"/>
      <c r="P60" s="2887"/>
      <c r="Q60" s="2888"/>
      <c r="R60" s="2888"/>
      <c r="S60" s="2888"/>
      <c r="T60" s="2888"/>
      <c r="U60" s="2888"/>
      <c r="W60" s="2885" t="s">
        <v>2883</v>
      </c>
    </row>
    <row r="61" spans="1:23" ht="26.1" customHeight="1">
      <c r="A61" s="3284">
        <f>LARGE(A6:A60,1)+1</f>
        <v>56</v>
      </c>
      <c r="B61" s="2880"/>
      <c r="C61" s="2853">
        <f t="shared" si="35"/>
        <v>0</v>
      </c>
      <c r="D61" s="2851">
        <f t="shared" si="36"/>
        <v>0</v>
      </c>
      <c r="E61" s="2852">
        <f t="shared" si="37"/>
        <v>0</v>
      </c>
      <c r="F61" s="2852">
        <f t="shared" si="38"/>
        <v>0</v>
      </c>
      <c r="G61" s="2852">
        <f t="shared" si="39"/>
        <v>0</v>
      </c>
      <c r="H61" s="2852">
        <f t="shared" si="40"/>
        <v>0</v>
      </c>
      <c r="I61" s="2852">
        <f t="shared" si="41"/>
        <v>0</v>
      </c>
      <c r="J61" s="2857" t="str">
        <f t="shared" si="42"/>
        <v/>
      </c>
      <c r="K61" s="1590"/>
      <c r="L61" s="1591" t="str">
        <f t="shared" si="43"/>
        <v/>
      </c>
      <c r="M61" s="1519">
        <v>25.5</v>
      </c>
      <c r="N61" s="1519"/>
      <c r="O61" s="2886"/>
      <c r="P61" s="2887"/>
      <c r="Q61" s="2888"/>
      <c r="R61" s="2888"/>
      <c r="S61" s="2888"/>
      <c r="T61" s="2888"/>
      <c r="U61" s="2888"/>
      <c r="W61" s="2885" t="s">
        <v>2883</v>
      </c>
    </row>
    <row r="62" spans="1:23" ht="26.1" customHeight="1">
      <c r="A62" s="3284">
        <f>LARGE(A6:A61,1)+1</f>
        <v>57</v>
      </c>
      <c r="B62" s="2880"/>
      <c r="C62" s="2853">
        <f t="shared" si="35"/>
        <v>0</v>
      </c>
      <c r="D62" s="2851">
        <f t="shared" si="36"/>
        <v>0</v>
      </c>
      <c r="E62" s="2852">
        <f t="shared" si="37"/>
        <v>0</v>
      </c>
      <c r="F62" s="2852">
        <f t="shared" si="38"/>
        <v>0</v>
      </c>
      <c r="G62" s="2852">
        <f t="shared" si="39"/>
        <v>0</v>
      </c>
      <c r="H62" s="2852">
        <f t="shared" si="40"/>
        <v>0</v>
      </c>
      <c r="I62" s="2852">
        <f t="shared" si="41"/>
        <v>0</v>
      </c>
      <c r="J62" s="2857" t="str">
        <f t="shared" si="42"/>
        <v/>
      </c>
      <c r="K62" s="1590"/>
      <c r="L62" s="1591" t="str">
        <f t="shared" si="43"/>
        <v/>
      </c>
      <c r="M62" s="1519">
        <v>25.5</v>
      </c>
      <c r="N62" s="1519"/>
      <c r="O62" s="2886"/>
      <c r="P62" s="2887"/>
      <c r="Q62" s="2888"/>
      <c r="R62" s="2888"/>
      <c r="S62" s="2888"/>
      <c r="T62" s="2888"/>
      <c r="U62" s="2888"/>
      <c r="W62" s="2885" t="s">
        <v>2883</v>
      </c>
    </row>
    <row r="63" spans="1:23" ht="26.1" customHeight="1">
      <c r="A63" s="3284">
        <f>LARGE(A6:A62,1)+1</f>
        <v>58</v>
      </c>
      <c r="B63" s="2880"/>
      <c r="C63" s="2853">
        <f t="shared" si="35"/>
        <v>0</v>
      </c>
      <c r="D63" s="2851">
        <f t="shared" si="36"/>
        <v>0</v>
      </c>
      <c r="E63" s="2852">
        <f t="shared" si="37"/>
        <v>0</v>
      </c>
      <c r="F63" s="2852">
        <f t="shared" si="38"/>
        <v>0</v>
      </c>
      <c r="G63" s="2852">
        <f t="shared" si="39"/>
        <v>0</v>
      </c>
      <c r="H63" s="2852">
        <f t="shared" si="40"/>
        <v>0</v>
      </c>
      <c r="I63" s="2852">
        <f t="shared" si="41"/>
        <v>0</v>
      </c>
      <c r="J63" s="2857" t="str">
        <f t="shared" si="42"/>
        <v/>
      </c>
      <c r="K63" s="1590"/>
      <c r="L63" s="1591" t="str">
        <f t="shared" si="43"/>
        <v/>
      </c>
      <c r="M63" s="1519">
        <v>25.5</v>
      </c>
      <c r="N63" s="1519"/>
      <c r="O63" s="2886"/>
      <c r="P63" s="2887"/>
      <c r="Q63" s="2888"/>
      <c r="R63" s="2888"/>
      <c r="S63" s="2888"/>
      <c r="T63" s="2888"/>
      <c r="U63" s="2888"/>
      <c r="W63" s="2885" t="s">
        <v>2883</v>
      </c>
    </row>
    <row r="64" spans="1:23" ht="26.1" customHeight="1">
      <c r="A64" s="3284">
        <f>LARGE(A6:A63,1)+1</f>
        <v>59</v>
      </c>
      <c r="B64" s="2880"/>
      <c r="C64" s="2853">
        <f t="shared" si="35"/>
        <v>0</v>
      </c>
      <c r="D64" s="2851">
        <f t="shared" si="36"/>
        <v>0</v>
      </c>
      <c r="E64" s="2852">
        <f t="shared" si="37"/>
        <v>0</v>
      </c>
      <c r="F64" s="2852">
        <f t="shared" si="38"/>
        <v>0</v>
      </c>
      <c r="G64" s="2852">
        <f t="shared" si="39"/>
        <v>0</v>
      </c>
      <c r="H64" s="2852">
        <f t="shared" si="40"/>
        <v>0</v>
      </c>
      <c r="I64" s="2852">
        <f t="shared" si="41"/>
        <v>0</v>
      </c>
      <c r="J64" s="2857" t="str">
        <f t="shared" si="42"/>
        <v/>
      </c>
      <c r="K64" s="1590"/>
      <c r="L64" s="1591" t="str">
        <f t="shared" si="43"/>
        <v/>
      </c>
      <c r="M64" s="1519">
        <v>25.5</v>
      </c>
      <c r="N64" s="1519"/>
      <c r="O64" s="2886"/>
      <c r="P64" s="2887"/>
      <c r="Q64" s="2888"/>
      <c r="R64" s="2888"/>
      <c r="S64" s="2888"/>
      <c r="T64" s="2888"/>
      <c r="U64" s="2888"/>
      <c r="W64" s="2885" t="s">
        <v>2883</v>
      </c>
    </row>
    <row r="65" spans="1:23" ht="26.1" customHeight="1">
      <c r="A65" s="3284">
        <f>LARGE(A6:A64,1)+1</f>
        <v>60</v>
      </c>
      <c r="B65" s="2880"/>
      <c r="C65" s="2853">
        <f t="shared" si="35"/>
        <v>0</v>
      </c>
      <c r="D65" s="2851">
        <f t="shared" si="36"/>
        <v>0</v>
      </c>
      <c r="E65" s="2852">
        <f t="shared" si="37"/>
        <v>0</v>
      </c>
      <c r="F65" s="2852">
        <f t="shared" si="38"/>
        <v>0</v>
      </c>
      <c r="G65" s="2852">
        <f t="shared" si="39"/>
        <v>0</v>
      </c>
      <c r="H65" s="2852">
        <f t="shared" si="40"/>
        <v>0</v>
      </c>
      <c r="I65" s="2852">
        <f t="shared" si="41"/>
        <v>0</v>
      </c>
      <c r="J65" s="2857" t="str">
        <f t="shared" si="42"/>
        <v/>
      </c>
      <c r="K65" s="1590"/>
      <c r="L65" s="1591" t="str">
        <f t="shared" si="43"/>
        <v/>
      </c>
      <c r="M65" s="1519">
        <v>25.5</v>
      </c>
      <c r="N65" s="1519"/>
      <c r="O65" s="2886"/>
      <c r="P65" s="2887"/>
      <c r="Q65" s="2888"/>
      <c r="R65" s="2888"/>
      <c r="S65" s="2888"/>
      <c r="T65" s="2888"/>
      <c r="U65" s="2888"/>
      <c r="W65" s="2885" t="s">
        <v>2883</v>
      </c>
    </row>
    <row r="66" spans="1:23" ht="26.1" customHeight="1">
      <c r="A66" s="3284">
        <f>LARGE(A6:A65,1)+1</f>
        <v>61</v>
      </c>
      <c r="B66" s="2881"/>
      <c r="C66" s="2853">
        <f t="shared" si="33"/>
        <v>0</v>
      </c>
      <c r="D66" s="2851">
        <f t="shared" si="33"/>
        <v>0</v>
      </c>
      <c r="E66" s="2852">
        <f t="shared" si="34"/>
        <v>0</v>
      </c>
      <c r="F66" s="2852">
        <f t="shared" si="34"/>
        <v>0</v>
      </c>
      <c r="G66" s="2852">
        <f t="shared" si="34"/>
        <v>0</v>
      </c>
      <c r="H66" s="2852">
        <f t="shared" si="34"/>
        <v>0</v>
      </c>
      <c r="I66" s="2852">
        <f t="shared" si="34"/>
        <v>0</v>
      </c>
      <c r="J66" s="2857" t="str">
        <f t="shared" si="3"/>
        <v/>
      </c>
      <c r="K66" s="1590"/>
      <c r="L66" s="1591" t="str">
        <f t="shared" si="2"/>
        <v/>
      </c>
      <c r="M66" s="1519">
        <v>25.5</v>
      </c>
      <c r="N66" s="1519"/>
      <c r="O66" s="2892"/>
      <c r="P66" s="2893"/>
      <c r="Q66" s="2894"/>
      <c r="R66" s="2894"/>
      <c r="S66" s="2894"/>
      <c r="T66" s="2894"/>
      <c r="U66" s="2894"/>
      <c r="W66" s="2895" t="s">
        <v>2887</v>
      </c>
    </row>
    <row r="67" spans="1:23" ht="26.1" customHeight="1">
      <c r="A67" s="1525"/>
      <c r="B67" s="1612" t="s">
        <v>1480</v>
      </c>
      <c r="C67" s="1613"/>
      <c r="D67" s="1613"/>
      <c r="E67" s="1613"/>
      <c r="F67" s="1613"/>
      <c r="G67" s="1614"/>
      <c r="H67" s="1615"/>
      <c r="I67" s="1615"/>
      <c r="J67" s="1615" t="str">
        <f t="shared" si="3"/>
        <v/>
      </c>
      <c r="K67" s="1615" t="s">
        <v>2411</v>
      </c>
      <c r="L67" s="1616" t="str">
        <f>IF(J67="","",(J67*K67))</f>
        <v/>
      </c>
      <c r="M67" s="1519">
        <v>25.5</v>
      </c>
      <c r="N67" s="1519"/>
    </row>
    <row r="68" spans="1:23" ht="26.1" customHeight="1">
      <c r="A68" s="1574"/>
      <c r="B68" s="1618" t="s">
        <v>1481</v>
      </c>
      <c r="C68" s="1619"/>
      <c r="D68" s="1618"/>
      <c r="E68" s="1619"/>
      <c r="F68" s="1619"/>
      <c r="G68" s="3522" t="s">
        <v>2288</v>
      </c>
      <c r="H68" s="3523"/>
      <c r="I68" s="2900">
        <f>L2</f>
        <v>5</v>
      </c>
      <c r="J68" s="1621"/>
      <c r="K68" s="1621"/>
      <c r="L68" s="1622">
        <f>SUM(L6:L66)</f>
        <v>9.8710738661223221E-2</v>
      </c>
      <c r="M68" s="1519">
        <v>25.5</v>
      </c>
      <c r="N68" s="1519"/>
    </row>
    <row r="69" spans="1:23" ht="26.1" customHeight="1">
      <c r="A69" s="1574"/>
      <c r="B69" s="1618"/>
      <c r="C69" s="1618"/>
      <c r="D69" s="1618"/>
      <c r="E69" s="1618"/>
      <c r="F69" s="1618"/>
      <c r="G69" s="3548" t="s">
        <v>1483</v>
      </c>
      <c r="H69" s="3549"/>
      <c r="I69" s="3549"/>
      <c r="J69" s="3549"/>
      <c r="K69" s="1627">
        <v>0.02</v>
      </c>
      <c r="L69" s="1622">
        <f>L68*K69</f>
        <v>1.9742147732244647E-3</v>
      </c>
      <c r="M69" s="1519">
        <v>25.5</v>
      </c>
      <c r="N69" s="1519"/>
    </row>
    <row r="70" spans="1:23" ht="26.1" customHeight="1" thickBot="1">
      <c r="A70" s="2896"/>
      <c r="B70" s="2897"/>
      <c r="C70" s="2897"/>
      <c r="D70" s="2897"/>
      <c r="E70" s="2897"/>
      <c r="F70" s="2897"/>
      <c r="G70" s="3550" t="s">
        <v>2289</v>
      </c>
      <c r="H70" s="3551"/>
      <c r="I70" s="3551"/>
      <c r="J70" s="3551"/>
      <c r="K70" s="2898"/>
      <c r="L70" s="2899">
        <f>(L68+L69)/I68</f>
        <v>2.0136990686889535E-2</v>
      </c>
      <c r="M70" s="1519">
        <v>25.5</v>
      </c>
      <c r="N70" s="1519"/>
    </row>
    <row r="71" spans="1:23" ht="13.5" thickBot="1">
      <c r="M71" s="1519"/>
      <c r="N71" s="1519"/>
    </row>
    <row r="72" spans="1:23" ht="33.75" customHeight="1">
      <c r="A72" s="1637" t="str">
        <f>B2</f>
        <v>NOM DU PLAT  à saisir cellule O2</v>
      </c>
      <c r="B72" s="2865"/>
      <c r="C72" s="1638"/>
      <c r="D72" s="1639"/>
      <c r="E72" s="1639"/>
      <c r="F72" s="1639"/>
      <c r="G72" s="1639"/>
      <c r="H72" s="1639"/>
      <c r="I72" s="1639"/>
      <c r="J72" s="1639"/>
      <c r="K72" s="1640" t="s">
        <v>104</v>
      </c>
      <c r="L72" s="3552">
        <v>1</v>
      </c>
      <c r="M72" s="1519">
        <v>33.75</v>
      </c>
      <c r="N72" s="1519"/>
    </row>
    <row r="73" spans="1:23" ht="35.25" customHeight="1">
      <c r="A73" s="1642" t="str">
        <f ca="1">MID(CELL("filename",A73),FIND("[",CELL("filename",A73)),300)</f>
        <v>[ff-8-restauration-Christian.Frechede.xlsx]Modèle 8.C</v>
      </c>
      <c r="B73" s="1192"/>
      <c r="C73" s="1643"/>
      <c r="D73" s="1644"/>
      <c r="E73" s="1645"/>
      <c r="F73" s="1645"/>
      <c r="G73" s="1646"/>
      <c r="H73" s="360" t="s">
        <v>103</v>
      </c>
      <c r="I73" s="3553">
        <f ca="1">NOW()</f>
        <v>44545.461550462962</v>
      </c>
      <c r="J73" s="3553"/>
      <c r="K73" s="1647">
        <f ca="1">NOW()</f>
        <v>44545.461550462962</v>
      </c>
      <c r="L73" s="3538"/>
      <c r="M73" s="1519">
        <v>33.25</v>
      </c>
      <c r="N73" s="1519"/>
    </row>
    <row r="74" spans="1:23" ht="27.75" customHeight="1">
      <c r="A74" s="1648"/>
      <c r="B74" s="1191" t="s">
        <v>8</v>
      </c>
      <c r="C74" s="3554" t="s">
        <v>107</v>
      </c>
      <c r="D74" s="3554"/>
      <c r="E74" s="3554"/>
      <c r="F74" s="3554"/>
      <c r="G74" s="3554"/>
      <c r="H74" s="3554"/>
      <c r="I74" s="3554"/>
      <c r="J74" s="3554"/>
      <c r="K74" s="3555"/>
      <c r="L74" s="3556" t="str">
        <f>A72</f>
        <v>NOM DU PLAT  à saisir cellule O2</v>
      </c>
      <c r="M74" s="1519">
        <v>27.75</v>
      </c>
      <c r="N74" s="1519"/>
    </row>
    <row r="75" spans="1:23" ht="23.1" customHeight="1">
      <c r="A75" s="1384"/>
      <c r="B75" s="1385"/>
      <c r="C75" s="1385"/>
      <c r="D75" s="1385"/>
      <c r="E75" s="1385"/>
      <c r="F75" s="1385"/>
      <c r="G75" s="1385"/>
      <c r="H75" s="1385"/>
      <c r="I75" s="1385"/>
      <c r="J75" s="1385"/>
      <c r="K75" s="1385"/>
      <c r="L75" s="3557"/>
      <c r="M75" s="1519">
        <v>23</v>
      </c>
      <c r="N75" s="1519"/>
    </row>
    <row r="76" spans="1:23" ht="23.1" customHeight="1">
      <c r="A76" s="3559" t="s">
        <v>137</v>
      </c>
      <c r="B76" s="3560"/>
      <c r="C76" s="3560"/>
      <c r="D76" s="3560"/>
      <c r="E76" s="3560"/>
      <c r="F76" s="3560"/>
      <c r="G76" s="3560"/>
      <c r="H76" s="3560"/>
      <c r="I76" s="3560"/>
      <c r="J76" s="3560"/>
      <c r="K76" s="3561"/>
      <c r="L76" s="3557"/>
      <c r="M76" s="1519">
        <v>23</v>
      </c>
      <c r="N76" s="1519"/>
    </row>
    <row r="77" spans="1:23" ht="23.1" customHeight="1">
      <c r="A77" s="358">
        <v>1</v>
      </c>
      <c r="B77" s="1649"/>
      <c r="C77" s="1649"/>
      <c r="D77" s="1649"/>
      <c r="E77" s="358">
        <v>1</v>
      </c>
      <c r="F77" s="1649"/>
      <c r="G77" s="1649"/>
      <c r="H77" s="1649"/>
      <c r="I77" s="1649"/>
      <c r="J77" s="1649"/>
      <c r="K77" s="1650"/>
      <c r="L77" s="3557"/>
      <c r="M77" s="1519">
        <v>23</v>
      </c>
      <c r="N77" s="1519"/>
    </row>
    <row r="78" spans="1:23" ht="23.1" customHeight="1">
      <c r="A78" s="358">
        <f>LARGE(A77:A77,1)+1</f>
        <v>2</v>
      </c>
      <c r="B78" s="1649"/>
      <c r="C78" s="1649"/>
      <c r="D78" s="1649"/>
      <c r="E78" s="358">
        <f>LARGE(E77:E77,1)+1</f>
        <v>2</v>
      </c>
      <c r="F78" s="1649"/>
      <c r="G78" s="1649"/>
      <c r="H78" s="1649"/>
      <c r="I78" s="1649"/>
      <c r="J78" s="1649"/>
      <c r="K78" s="1650"/>
      <c r="L78" s="3557"/>
      <c r="M78" s="1519">
        <v>23</v>
      </c>
      <c r="N78" s="1519"/>
    </row>
    <row r="79" spans="1:23" ht="23.1" customHeight="1">
      <c r="A79" s="358">
        <f>LARGE(A77:A78,1)+1</f>
        <v>3</v>
      </c>
      <c r="B79" s="1649"/>
      <c r="C79" s="1649"/>
      <c r="D79" s="1649"/>
      <c r="E79" s="358">
        <f>LARGE(E77:E78,1)+1</f>
        <v>3</v>
      </c>
      <c r="F79" s="1649"/>
      <c r="G79" s="1649"/>
      <c r="H79" s="1649"/>
      <c r="I79" s="1649"/>
      <c r="J79" s="1649"/>
      <c r="K79" s="1649"/>
      <c r="L79" s="3557"/>
      <c r="M79" s="1519">
        <v>23</v>
      </c>
      <c r="N79" s="1519"/>
    </row>
    <row r="80" spans="1:23" ht="23.1" customHeight="1">
      <c r="A80" s="358">
        <f>LARGE(A77:A79,1)+1</f>
        <v>4</v>
      </c>
      <c r="B80" s="1649"/>
      <c r="C80" s="1649"/>
      <c r="D80" s="1649"/>
      <c r="E80" s="358">
        <f>LARGE(E77:E79,1)+1</f>
        <v>4</v>
      </c>
      <c r="F80" s="1649"/>
      <c r="G80" s="1649"/>
      <c r="H80" s="1649"/>
      <c r="I80" s="1649"/>
      <c r="J80" s="1649"/>
      <c r="K80" s="1649"/>
      <c r="L80" s="3557"/>
      <c r="M80" s="1519">
        <v>23</v>
      </c>
      <c r="N80" s="1519"/>
    </row>
    <row r="81" spans="1:14" ht="23.1" customHeight="1">
      <c r="A81" s="358">
        <f>LARGE(A77:A80,1)+1</f>
        <v>5</v>
      </c>
      <c r="B81" s="1649"/>
      <c r="C81" s="1649"/>
      <c r="D81" s="1649"/>
      <c r="E81" s="358">
        <f>LARGE(E77:E80,1)+1</f>
        <v>5</v>
      </c>
      <c r="F81" s="1649"/>
      <c r="G81" s="1649"/>
      <c r="H81" s="1649"/>
      <c r="I81" s="1649"/>
      <c r="J81" s="1649"/>
      <c r="K81" s="1649"/>
      <c r="L81" s="3557"/>
      <c r="M81" s="1519">
        <v>23</v>
      </c>
      <c r="N81" s="1519"/>
    </row>
    <row r="82" spans="1:14" ht="23.1" customHeight="1">
      <c r="A82" s="358">
        <f>LARGE(A77:A81,1)+1</f>
        <v>6</v>
      </c>
      <c r="B82" s="1649"/>
      <c r="C82" s="1649"/>
      <c r="D82" s="1649"/>
      <c r="E82" s="358">
        <f>LARGE(E77:E81,1)+1</f>
        <v>6</v>
      </c>
      <c r="F82" s="1649"/>
      <c r="G82" s="1649"/>
      <c r="H82" s="1649"/>
      <c r="I82" s="1649"/>
      <c r="J82" s="1649"/>
      <c r="K82" s="1649"/>
      <c r="L82" s="3557"/>
      <c r="M82" s="1519">
        <v>23</v>
      </c>
      <c r="N82" s="1519"/>
    </row>
    <row r="83" spans="1:14" ht="23.1" customHeight="1">
      <c r="A83" s="358">
        <f>LARGE(A77:A82,1)+1</f>
        <v>7</v>
      </c>
      <c r="B83" s="1649"/>
      <c r="C83" s="1649"/>
      <c r="D83" s="1649"/>
      <c r="E83" s="358">
        <f>LARGE(E77:E82,1)+1</f>
        <v>7</v>
      </c>
      <c r="F83" s="1649"/>
      <c r="G83" s="1649"/>
      <c r="H83" s="1649"/>
      <c r="I83" s="1649"/>
      <c r="J83" s="1649"/>
      <c r="K83" s="1649"/>
      <c r="L83" s="3557"/>
      <c r="M83" s="1519">
        <v>23</v>
      </c>
      <c r="N83" s="1519"/>
    </row>
    <row r="84" spans="1:14" ht="23.1" customHeight="1">
      <c r="A84" s="358">
        <f>LARGE(A77:A83,1)+1</f>
        <v>8</v>
      </c>
      <c r="B84" s="1649"/>
      <c r="C84" s="1649"/>
      <c r="D84" s="1649"/>
      <c r="E84" s="358">
        <f>LARGE(E77:E83,1)+1</f>
        <v>8</v>
      </c>
      <c r="F84" s="1649"/>
      <c r="G84" s="1649"/>
      <c r="H84" s="1649"/>
      <c r="I84" s="1649"/>
      <c r="J84" s="1649"/>
      <c r="K84" s="1649"/>
      <c r="L84" s="3557"/>
      <c r="M84" s="1519">
        <v>23</v>
      </c>
      <c r="N84" s="1519"/>
    </row>
    <row r="85" spans="1:14" ht="23.1" customHeight="1">
      <c r="A85" s="358">
        <f>LARGE(A77:A84,1)+1</f>
        <v>9</v>
      </c>
      <c r="B85" s="1649"/>
      <c r="C85" s="1649"/>
      <c r="D85" s="1649"/>
      <c r="E85" s="358">
        <f>LARGE(E77:E84,1)+1</f>
        <v>9</v>
      </c>
      <c r="F85" s="1649"/>
      <c r="G85" s="1649"/>
      <c r="H85" s="1649"/>
      <c r="I85" s="1649"/>
      <c r="J85" s="1649"/>
      <c r="K85" s="1649"/>
      <c r="L85" s="3557"/>
      <c r="M85" s="1519">
        <v>23</v>
      </c>
      <c r="N85" s="1519"/>
    </row>
    <row r="86" spans="1:14" ht="23.1" customHeight="1">
      <c r="A86" s="358">
        <f>LARGE(A77:A85,1)+1</f>
        <v>10</v>
      </c>
      <c r="B86" s="1649"/>
      <c r="C86" s="1649"/>
      <c r="D86" s="1649"/>
      <c r="E86" s="358">
        <f>LARGE(E77:E85,1)+1</f>
        <v>10</v>
      </c>
      <c r="F86" s="1649"/>
      <c r="G86" s="1649"/>
      <c r="H86" s="1649"/>
      <c r="I86" s="1649"/>
      <c r="J86" s="1649"/>
      <c r="K86" s="1649"/>
      <c r="L86" s="3557"/>
      <c r="M86" s="1519">
        <v>23</v>
      </c>
      <c r="N86" s="1519"/>
    </row>
    <row r="87" spans="1:14" ht="23.1" customHeight="1">
      <c r="A87" s="358">
        <f>LARGE(A77:A86,1)+1</f>
        <v>11</v>
      </c>
      <c r="B87" s="1649"/>
      <c r="C87" s="1649"/>
      <c r="D87" s="1649"/>
      <c r="E87" s="358">
        <f>LARGE(E77:E86,1)+1</f>
        <v>11</v>
      </c>
      <c r="F87" s="1649"/>
      <c r="G87" s="1649"/>
      <c r="H87" s="1649"/>
      <c r="I87" s="1649"/>
      <c r="J87" s="1649"/>
      <c r="K87" s="1649"/>
      <c r="L87" s="3557"/>
      <c r="M87" s="1519">
        <v>23</v>
      </c>
      <c r="N87" s="1519"/>
    </row>
    <row r="88" spans="1:14" ht="23.1" customHeight="1">
      <c r="A88" s="358">
        <f>LARGE(A77:A87,1)+1</f>
        <v>12</v>
      </c>
      <c r="B88" s="1649"/>
      <c r="C88" s="1649"/>
      <c r="D88" s="1649"/>
      <c r="E88" s="358">
        <f>LARGE(E77:E87,1)+1</f>
        <v>12</v>
      </c>
      <c r="F88" s="1649"/>
      <c r="G88" s="1649"/>
      <c r="H88" s="1649"/>
      <c r="I88" s="1649"/>
      <c r="J88" s="1649"/>
      <c r="K88" s="1649"/>
      <c r="L88" s="3557"/>
      <c r="M88" s="1519">
        <v>23</v>
      </c>
      <c r="N88" s="1519"/>
    </row>
    <row r="89" spans="1:14" ht="23.1" customHeight="1">
      <c r="A89" s="358">
        <f>LARGE(A77:A88,1)+1</f>
        <v>13</v>
      </c>
      <c r="B89" s="1649"/>
      <c r="C89" s="1649"/>
      <c r="D89" s="1649"/>
      <c r="E89" s="358">
        <f>LARGE(E77:E88,1)+1</f>
        <v>13</v>
      </c>
      <c r="F89" s="1649"/>
      <c r="G89" s="1649"/>
      <c r="H89" s="1649"/>
      <c r="I89" s="1649"/>
      <c r="J89" s="1649"/>
      <c r="K89" s="1649"/>
      <c r="L89" s="3557"/>
      <c r="M89" s="1519">
        <v>23</v>
      </c>
      <c r="N89" s="1519"/>
    </row>
    <row r="90" spans="1:14" ht="23.1" customHeight="1">
      <c r="A90" s="358">
        <f>LARGE(A77:A89,1)+1</f>
        <v>14</v>
      </c>
      <c r="B90" s="1649"/>
      <c r="C90" s="1649"/>
      <c r="D90" s="1649"/>
      <c r="E90" s="358">
        <f>LARGE(E77:E89,1)+1</f>
        <v>14</v>
      </c>
      <c r="F90" s="1649"/>
      <c r="G90" s="1649"/>
      <c r="H90" s="1649"/>
      <c r="I90" s="1649"/>
      <c r="J90" s="1649"/>
      <c r="K90" s="1649"/>
      <c r="L90" s="3557"/>
      <c r="M90" s="1519">
        <v>23</v>
      </c>
      <c r="N90" s="1519"/>
    </row>
    <row r="91" spans="1:14" ht="23.1" customHeight="1">
      <c r="A91" s="358">
        <f>LARGE(A77:A90,1)+1</f>
        <v>15</v>
      </c>
      <c r="B91" s="1649"/>
      <c r="C91" s="1649"/>
      <c r="D91" s="1649"/>
      <c r="E91" s="358">
        <f>LARGE(E77:E90,1)+1</f>
        <v>15</v>
      </c>
      <c r="F91" s="1649"/>
      <c r="G91" s="1649"/>
      <c r="H91" s="1649"/>
      <c r="I91" s="1649"/>
      <c r="J91" s="1649"/>
      <c r="K91" s="1649"/>
      <c r="L91" s="3557"/>
      <c r="M91" s="1519">
        <v>23</v>
      </c>
      <c r="N91" s="1519"/>
    </row>
    <row r="92" spans="1:14" ht="23.1" customHeight="1">
      <c r="A92" s="358">
        <f>LARGE(A77:A91,1)+1</f>
        <v>16</v>
      </c>
      <c r="B92" s="1649"/>
      <c r="C92" s="1649"/>
      <c r="D92" s="1649"/>
      <c r="E92" s="358">
        <f>LARGE(E77:E91,1)+1</f>
        <v>16</v>
      </c>
      <c r="F92" s="1649"/>
      <c r="G92" s="1649"/>
      <c r="H92" s="1649"/>
      <c r="I92" s="1649"/>
      <c r="J92" s="1649"/>
      <c r="K92" s="1649"/>
      <c r="L92" s="3557"/>
      <c r="M92" s="1519">
        <v>23</v>
      </c>
      <c r="N92" s="1519"/>
    </row>
    <row r="93" spans="1:14" ht="23.1" customHeight="1">
      <c r="A93" s="358">
        <f>LARGE(A77:A92,1)+1</f>
        <v>17</v>
      </c>
      <c r="B93" s="1649"/>
      <c r="C93" s="1649"/>
      <c r="D93" s="1649"/>
      <c r="E93" s="358">
        <f>LARGE(E77:E92,1)+1</f>
        <v>17</v>
      </c>
      <c r="F93" s="1649"/>
      <c r="G93" s="1649"/>
      <c r="H93" s="1649"/>
      <c r="I93" s="1649"/>
      <c r="J93" s="1649"/>
      <c r="K93" s="1649"/>
      <c r="L93" s="3557"/>
      <c r="M93" s="1519">
        <v>23</v>
      </c>
      <c r="N93" s="1519"/>
    </row>
    <row r="94" spans="1:14" ht="23.1" customHeight="1">
      <c r="A94" s="358">
        <f>LARGE(A77:A93,1)+1</f>
        <v>18</v>
      </c>
      <c r="B94" s="1649"/>
      <c r="C94" s="1649"/>
      <c r="D94" s="1649"/>
      <c r="E94" s="358">
        <f>LARGE(E77:E93,1)+1</f>
        <v>18</v>
      </c>
      <c r="F94" s="1649"/>
      <c r="G94" s="1649"/>
      <c r="H94" s="1649"/>
      <c r="I94" s="1649"/>
      <c r="J94" s="1649"/>
      <c r="K94" s="1649"/>
      <c r="L94" s="3557"/>
      <c r="M94" s="1519">
        <v>23</v>
      </c>
      <c r="N94" s="1519"/>
    </row>
    <row r="95" spans="1:14" ht="23.1" customHeight="1">
      <c r="A95" s="359">
        <f>LARGE(A77:A94,1)+1</f>
        <v>19</v>
      </c>
      <c r="B95" s="1649"/>
      <c r="C95" s="1649"/>
      <c r="D95" s="1649"/>
      <c r="E95" s="358">
        <f>LARGE(E77:E94,1)+1</f>
        <v>19</v>
      </c>
      <c r="F95" s="1649"/>
      <c r="G95" s="1649"/>
      <c r="H95" s="1649"/>
      <c r="I95" s="1649"/>
      <c r="J95" s="1649"/>
      <c r="K95" s="1649"/>
      <c r="L95" s="3557"/>
      <c r="M95" s="1519">
        <v>23</v>
      </c>
      <c r="N95" s="1519"/>
    </row>
    <row r="96" spans="1:14" ht="23.1" customHeight="1">
      <c r="A96" s="1651"/>
      <c r="B96" s="3562" t="s">
        <v>94</v>
      </c>
      <c r="C96" s="3562"/>
      <c r="D96" s="3563"/>
      <c r="E96" s="3564" t="s">
        <v>95</v>
      </c>
      <c r="F96" s="3565"/>
      <c r="G96" s="3565"/>
      <c r="H96" s="3565"/>
      <c r="I96" s="3565"/>
      <c r="J96" s="3565"/>
      <c r="K96" s="3566"/>
      <c r="L96" s="3557"/>
      <c r="M96" s="1519">
        <v>23</v>
      </c>
      <c r="N96" s="1519"/>
    </row>
    <row r="97" spans="1:14" ht="23.1" customHeight="1">
      <c r="A97" s="357">
        <v>1</v>
      </c>
      <c r="B97" s="1652"/>
      <c r="C97" s="1653"/>
      <c r="D97" s="1653"/>
      <c r="E97" s="357">
        <v>1</v>
      </c>
      <c r="F97" s="1653"/>
      <c r="G97" s="1653"/>
      <c r="H97" s="1653"/>
      <c r="I97" s="1653"/>
      <c r="J97" s="1653"/>
      <c r="K97" s="1653"/>
      <c r="L97" s="3557"/>
      <c r="M97" s="1519">
        <v>23</v>
      </c>
      <c r="N97" s="1519"/>
    </row>
    <row r="98" spans="1:14" ht="23.1" customHeight="1">
      <c r="A98" s="358">
        <f>LARGE(A97:A97,1)+1</f>
        <v>2</v>
      </c>
      <c r="B98" s="1653"/>
      <c r="C98" s="1653"/>
      <c r="D98" s="1653"/>
      <c r="E98" s="358">
        <v>2</v>
      </c>
      <c r="F98" s="1653"/>
      <c r="G98" s="1653"/>
      <c r="H98" s="1653"/>
      <c r="I98" s="1653"/>
      <c r="J98" s="1653"/>
      <c r="K98" s="1653"/>
      <c r="L98" s="3557"/>
      <c r="M98" s="1519">
        <v>23</v>
      </c>
      <c r="N98" s="1519"/>
    </row>
    <row r="99" spans="1:14" ht="23.1" customHeight="1">
      <c r="A99" s="358">
        <f>LARGE(A97:A98,1)+1</f>
        <v>3</v>
      </c>
      <c r="B99" s="1653"/>
      <c r="C99" s="1653"/>
      <c r="D99" s="1653"/>
      <c r="E99" s="358">
        <v>3</v>
      </c>
      <c r="F99" s="1653"/>
      <c r="G99" s="1653"/>
      <c r="H99" s="1653"/>
      <c r="I99" s="1653"/>
      <c r="J99" s="1653"/>
      <c r="K99" s="1653"/>
      <c r="L99" s="3557"/>
      <c r="M99" s="1519">
        <v>23</v>
      </c>
      <c r="N99" s="1519"/>
    </row>
    <row r="100" spans="1:14" ht="23.1" customHeight="1">
      <c r="A100" s="358">
        <f>LARGE(A97:A99,1)+1</f>
        <v>4</v>
      </c>
      <c r="B100" s="1653"/>
      <c r="C100" s="1653"/>
      <c r="D100" s="1653"/>
      <c r="E100" s="358">
        <v>4</v>
      </c>
      <c r="F100" s="1653"/>
      <c r="G100" s="1653"/>
      <c r="H100" s="1653"/>
      <c r="I100" s="1653"/>
      <c r="J100" s="1653"/>
      <c r="K100" s="1653"/>
      <c r="L100" s="3557"/>
      <c r="M100" s="1519">
        <v>23</v>
      </c>
      <c r="N100" s="1519"/>
    </row>
    <row r="101" spans="1:14" ht="23.1" customHeight="1">
      <c r="A101" s="358">
        <f>LARGE(A97:A100,1)+1</f>
        <v>5</v>
      </c>
      <c r="B101" s="1653"/>
      <c r="C101" s="1653"/>
      <c r="D101" s="1653"/>
      <c r="E101" s="358">
        <v>5</v>
      </c>
      <c r="F101" s="1653"/>
      <c r="G101" s="1653"/>
      <c r="H101" s="1653"/>
      <c r="I101" s="1653"/>
      <c r="J101" s="1653"/>
      <c r="K101" s="1653"/>
      <c r="L101" s="3557"/>
      <c r="M101" s="1519">
        <v>23</v>
      </c>
      <c r="N101" s="1519"/>
    </row>
    <row r="102" spans="1:14" ht="23.1" customHeight="1">
      <c r="A102" s="358">
        <f>LARGE(A97:A101,1)+1</f>
        <v>6</v>
      </c>
      <c r="B102" s="1653"/>
      <c r="C102" s="1653"/>
      <c r="D102" s="1653"/>
      <c r="E102" s="358">
        <v>6</v>
      </c>
      <c r="F102" s="1653"/>
      <c r="G102" s="1653"/>
      <c r="H102" s="1653"/>
      <c r="I102" s="1653"/>
      <c r="J102" s="1653"/>
      <c r="K102" s="1653"/>
      <c r="L102" s="3557"/>
      <c r="M102" s="1519">
        <v>23</v>
      </c>
      <c r="N102" s="1519"/>
    </row>
    <row r="103" spans="1:14" ht="23.1" customHeight="1">
      <c r="A103" s="358">
        <f>LARGE(A97:A102,1)+1</f>
        <v>7</v>
      </c>
      <c r="B103" s="1653"/>
      <c r="C103" s="1653"/>
      <c r="D103" s="1653"/>
      <c r="E103" s="358">
        <v>7</v>
      </c>
      <c r="F103" s="1653"/>
      <c r="G103" s="1653"/>
      <c r="H103" s="1653"/>
      <c r="I103" s="1653"/>
      <c r="J103" s="1653"/>
      <c r="K103" s="1653"/>
      <c r="L103" s="3557"/>
      <c r="M103" s="1519">
        <v>23</v>
      </c>
      <c r="N103" s="1519"/>
    </row>
    <row r="104" spans="1:14" ht="23.1" customHeight="1">
      <c r="A104" s="1654"/>
      <c r="B104" s="1399" t="e">
        <f>A108*O108</f>
        <v>#VALUE!</v>
      </c>
      <c r="C104" s="1399" t="e">
        <f>B104*A108</f>
        <v>#VALUE!</v>
      </c>
      <c r="D104" s="1399" t="e">
        <f>C104*B104</f>
        <v>#VALUE!</v>
      </c>
      <c r="E104" s="1399" t="e">
        <f>D104*C104</f>
        <v>#VALUE!</v>
      </c>
      <c r="F104" s="1399" t="e">
        <f>E104*D104</f>
        <v>#VALUE!</v>
      </c>
      <c r="G104" s="1399" t="e">
        <f>D104*C104</f>
        <v>#VALUE!</v>
      </c>
      <c r="H104" s="1399" t="e">
        <f t="shared" ref="H104:K104" si="44">G104*F104</f>
        <v>#VALUE!</v>
      </c>
      <c r="I104" s="1399" t="e">
        <f t="shared" si="44"/>
        <v>#VALUE!</v>
      </c>
      <c r="J104" s="1399" t="e">
        <f t="shared" si="44"/>
        <v>#VALUE!</v>
      </c>
      <c r="K104" s="1655" t="e">
        <f t="shared" si="44"/>
        <v>#VALUE!</v>
      </c>
      <c r="L104" s="3557"/>
      <c r="M104" s="1519">
        <v>23</v>
      </c>
      <c r="N104" s="1519"/>
    </row>
    <row r="105" spans="1:14" ht="23.1" customHeight="1">
      <c r="A105" s="1656"/>
      <c r="B105" s="3351" t="s">
        <v>96</v>
      </c>
      <c r="C105" s="3351"/>
      <c r="D105" s="3351"/>
      <c r="E105" s="3351"/>
      <c r="F105" s="3351"/>
      <c r="G105" s="3351"/>
      <c r="H105" s="3351"/>
      <c r="I105" s="3351"/>
      <c r="J105" s="3351"/>
      <c r="K105" s="3519"/>
      <c r="L105" s="3556"/>
      <c r="M105" s="1519">
        <v>23</v>
      </c>
      <c r="N105" s="1519"/>
    </row>
    <row r="106" spans="1:14" ht="23.1" customHeight="1">
      <c r="A106" s="1656"/>
      <c r="B106" s="3354" t="s">
        <v>97</v>
      </c>
      <c r="C106" s="3354"/>
      <c r="D106" s="3354"/>
      <c r="E106" s="3536" t="s">
        <v>98</v>
      </c>
      <c r="F106" s="3355"/>
      <c r="G106" s="3355"/>
      <c r="H106" s="3355"/>
      <c r="I106" s="3355"/>
      <c r="J106" s="3355"/>
      <c r="K106" s="3537"/>
      <c r="L106" s="3556"/>
      <c r="M106" s="1519">
        <v>23</v>
      </c>
      <c r="N106" s="1519"/>
    </row>
    <row r="107" spans="1:14" ht="23.1" customHeight="1">
      <c r="A107" s="1657" t="s">
        <v>99</v>
      </c>
      <c r="B107" s="1658"/>
      <c r="C107" s="1658"/>
      <c r="D107" s="1658"/>
      <c r="E107" s="1659"/>
      <c r="F107" s="1660"/>
      <c r="G107" s="1660"/>
      <c r="H107" s="1660"/>
      <c r="I107" s="1660"/>
      <c r="J107" s="1660"/>
      <c r="K107" s="1661"/>
      <c r="L107" s="3556"/>
      <c r="M107" s="1519">
        <v>23</v>
      </c>
      <c r="N107" s="1519"/>
    </row>
    <row r="108" spans="1:14" ht="23.1" customHeight="1">
      <c r="A108" s="1657" t="s">
        <v>100</v>
      </c>
      <c r="B108" s="1658"/>
      <c r="C108" s="1658"/>
      <c r="D108" s="1658"/>
      <c r="E108" s="1659"/>
      <c r="F108" s="1660"/>
      <c r="G108" s="1660"/>
      <c r="H108" s="1660"/>
      <c r="I108" s="1660"/>
      <c r="J108" s="1660"/>
      <c r="K108" s="1661"/>
      <c r="L108" s="3556"/>
      <c r="M108" s="1519">
        <v>23</v>
      </c>
      <c r="N108" s="1519"/>
    </row>
    <row r="109" spans="1:14" ht="23.1" customHeight="1">
      <c r="A109" s="1657" t="s">
        <v>101</v>
      </c>
      <c r="B109" s="1658"/>
      <c r="C109" s="1658"/>
      <c r="D109" s="1658"/>
      <c r="E109" s="1659"/>
      <c r="F109" s="1660"/>
      <c r="G109" s="1660"/>
      <c r="H109" s="1660"/>
      <c r="I109" s="1660"/>
      <c r="J109" s="1660"/>
      <c r="K109" s="1661"/>
      <c r="L109" s="3556"/>
      <c r="M109" s="1519">
        <v>23</v>
      </c>
      <c r="N109" s="1519"/>
    </row>
    <row r="110" spans="1:14" ht="23.1" customHeight="1">
      <c r="A110" s="1657" t="s">
        <v>111</v>
      </c>
      <c r="B110" s="1658"/>
      <c r="C110" s="1658"/>
      <c r="D110" s="1658"/>
      <c r="E110" s="1659"/>
      <c r="F110" s="1660"/>
      <c r="G110" s="1660"/>
      <c r="H110" s="1660"/>
      <c r="I110" s="1660"/>
      <c r="J110" s="1660"/>
      <c r="K110" s="1661"/>
      <c r="L110" s="3556"/>
      <c r="M110" s="1519">
        <v>23</v>
      </c>
      <c r="N110" s="1519"/>
    </row>
    <row r="111" spans="1:14" ht="23.1" customHeight="1">
      <c r="A111" s="1657" t="s">
        <v>112</v>
      </c>
      <c r="B111" s="1658"/>
      <c r="C111" s="1658"/>
      <c r="D111" s="1658"/>
      <c r="E111" s="1659"/>
      <c r="F111" s="1660"/>
      <c r="G111" s="1660"/>
      <c r="H111" s="1660"/>
      <c r="I111" s="1660"/>
      <c r="J111" s="1660"/>
      <c r="K111" s="1661"/>
      <c r="L111" s="3556"/>
      <c r="M111" s="1519">
        <v>23</v>
      </c>
      <c r="N111" s="1519"/>
    </row>
    <row r="112" spans="1:14" ht="23.1" customHeight="1">
      <c r="A112" s="1657" t="s">
        <v>142</v>
      </c>
      <c r="B112" s="1658"/>
      <c r="C112" s="1658"/>
      <c r="D112" s="1658"/>
      <c r="E112" s="1659"/>
      <c r="F112" s="1660"/>
      <c r="G112" s="1660"/>
      <c r="H112" s="1660"/>
      <c r="I112" s="1660"/>
      <c r="J112" s="1660"/>
      <c r="K112" s="1661"/>
      <c r="L112" s="3556"/>
      <c r="M112" s="1519">
        <v>23</v>
      </c>
      <c r="N112" s="1519"/>
    </row>
    <row r="113" spans="1:25" ht="23.1" customHeight="1">
      <c r="A113" s="1657" t="s">
        <v>143</v>
      </c>
      <c r="B113" s="1658"/>
      <c r="C113" s="1658"/>
      <c r="D113" s="1658"/>
      <c r="E113" s="1659"/>
      <c r="F113" s="1660"/>
      <c r="G113" s="1660"/>
      <c r="H113" s="1660"/>
      <c r="I113" s="1660"/>
      <c r="J113" s="1660"/>
      <c r="K113" s="1661"/>
      <c r="L113" s="3556"/>
      <c r="M113" s="1519">
        <v>23</v>
      </c>
      <c r="N113" s="1519"/>
    </row>
    <row r="114" spans="1:25" ht="23.1" customHeight="1">
      <c r="A114" s="1657" t="s">
        <v>144</v>
      </c>
      <c r="B114" s="1658"/>
      <c r="C114" s="1658"/>
      <c r="D114" s="1658"/>
      <c r="E114" s="1659"/>
      <c r="F114" s="1660"/>
      <c r="G114" s="1660"/>
      <c r="H114" s="1660"/>
      <c r="I114" s="1660"/>
      <c r="J114" s="1660"/>
      <c r="K114" s="1661"/>
      <c r="L114" s="3556"/>
      <c r="M114" s="1519">
        <v>23</v>
      </c>
      <c r="N114" s="1519"/>
    </row>
    <row r="115" spans="1:25" ht="23.1" customHeight="1">
      <c r="A115" s="1657" t="s">
        <v>145</v>
      </c>
      <c r="B115" s="1658"/>
      <c r="C115" s="1658"/>
      <c r="D115" s="1658"/>
      <c r="E115" s="1659"/>
      <c r="F115" s="1660"/>
      <c r="G115" s="1660"/>
      <c r="H115" s="1660"/>
      <c r="I115" s="1660"/>
      <c r="J115" s="1660"/>
      <c r="K115" s="1661"/>
      <c r="L115" s="3558"/>
      <c r="M115" s="1519">
        <v>23</v>
      </c>
      <c r="N115" s="1519"/>
    </row>
    <row r="116" spans="1:25" ht="23.1" customHeight="1">
      <c r="A116" s="1657" t="s">
        <v>146</v>
      </c>
      <c r="B116" s="1658"/>
      <c r="C116" s="1658"/>
      <c r="D116" s="1658"/>
      <c r="E116" s="1659"/>
      <c r="F116" s="1660"/>
      <c r="G116" s="1660"/>
      <c r="H116" s="1660"/>
      <c r="I116" s="1660"/>
      <c r="J116" s="1660"/>
      <c r="K116" s="1661"/>
      <c r="L116" s="3412">
        <f>L72</f>
        <v>1</v>
      </c>
      <c r="M116" s="1519">
        <v>23</v>
      </c>
      <c r="N116" s="1519"/>
    </row>
    <row r="117" spans="1:25" ht="23.1" customHeight="1">
      <c r="A117" s="1657" t="s">
        <v>147</v>
      </c>
      <c r="B117" s="1658"/>
      <c r="C117" s="1658"/>
      <c r="D117" s="1658"/>
      <c r="E117" s="1659"/>
      <c r="F117" s="1660"/>
      <c r="G117" s="1660"/>
      <c r="H117" s="1660"/>
      <c r="I117" s="1660"/>
      <c r="J117" s="1660"/>
      <c r="K117" s="1661"/>
      <c r="L117" s="3538"/>
      <c r="M117" s="1519">
        <v>23</v>
      </c>
      <c r="N117" s="1519"/>
    </row>
    <row r="118" spans="1:25" ht="23.1" customHeight="1" thickBot="1">
      <c r="A118" s="1662" t="s">
        <v>224</v>
      </c>
      <c r="B118" s="1663"/>
      <c r="C118" s="1663"/>
      <c r="D118" s="1663"/>
      <c r="E118" s="1664"/>
      <c r="F118" s="1665"/>
      <c r="G118" s="1665"/>
      <c r="H118" s="1665"/>
      <c r="I118" s="1665"/>
      <c r="J118" s="1665"/>
      <c r="K118" s="1666"/>
      <c r="L118" s="3539"/>
      <c r="M118" s="1519">
        <v>23</v>
      </c>
      <c r="N118" s="1519"/>
    </row>
    <row r="120" spans="1:25" s="1513" customFormat="1">
      <c r="A120" s="1512">
        <v>5</v>
      </c>
      <c r="B120" s="1512">
        <v>33</v>
      </c>
      <c r="C120" s="1512">
        <v>39</v>
      </c>
      <c r="D120" s="1512">
        <v>12</v>
      </c>
      <c r="E120" s="1512">
        <v>12</v>
      </c>
      <c r="F120" s="1512">
        <v>12</v>
      </c>
      <c r="G120" s="1512">
        <v>12</v>
      </c>
      <c r="H120" s="1512">
        <v>12</v>
      </c>
      <c r="I120" s="1512">
        <v>12</v>
      </c>
      <c r="J120" s="1512">
        <v>12</v>
      </c>
      <c r="K120" s="1512">
        <v>12</v>
      </c>
      <c r="L120" s="1512">
        <v>12</v>
      </c>
      <c r="M120" s="1513" t="s">
        <v>1958</v>
      </c>
      <c r="O120" s="1281"/>
      <c r="P120" s="1281"/>
      <c r="Q120" s="1281"/>
      <c r="R120" s="1281"/>
      <c r="S120" s="1281"/>
      <c r="T120" s="1281"/>
      <c r="U120" s="1281"/>
      <c r="V120" s="1281"/>
      <c r="W120" s="1281"/>
      <c r="X120" s="1281"/>
      <c r="Y120" s="1281"/>
    </row>
  </sheetData>
  <mergeCells count="21">
    <mergeCell ref="B106:D106"/>
    <mergeCell ref="E106:K106"/>
    <mergeCell ref="L116:L118"/>
    <mergeCell ref="O2:S2"/>
    <mergeCell ref="O3:U3"/>
    <mergeCell ref="A4:E4"/>
    <mergeCell ref="A3:E3"/>
    <mergeCell ref="G69:J69"/>
    <mergeCell ref="G70:J70"/>
    <mergeCell ref="L72:L73"/>
    <mergeCell ref="I73:J73"/>
    <mergeCell ref="C74:K74"/>
    <mergeCell ref="L74:L115"/>
    <mergeCell ref="A76:K76"/>
    <mergeCell ref="B96:D96"/>
    <mergeCell ref="E96:K96"/>
    <mergeCell ref="B105:K105"/>
    <mergeCell ref="B2:G2"/>
    <mergeCell ref="G68:H68"/>
    <mergeCell ref="W2:Y2"/>
    <mergeCell ref="W6:Y9"/>
  </mergeCells>
  <hyperlinks>
    <hyperlink ref="C74" r:id="rId1" display="http://etab.ac-poitiers.fr/lycee-hotelier-la-rochelle/spip.php?auteur10" xr:uid="{9A092A6E-3E64-4784-B1DF-E905F9107D93}"/>
  </hyperlinks>
  <printOptions horizontalCentered="1" verticalCentered="1"/>
  <pageMargins left="0" right="0" top="0.15748031496062992" bottom="0" header="0" footer="0"/>
  <pageSetup paperSize="9" orientation="portrait" horizontalDpi="300" verticalDpi="300"/>
  <headerFooter alignWithMargins="0">
    <oddHeader>&amp;L&amp;"Copperplate Gothic Light,Normal"&amp;8fiche technique &amp;C&amp;D &amp;T&amp;R2TSB</oddHeader>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467"/>
  <sheetViews>
    <sheetView workbookViewId="0">
      <selection activeCell="L11" sqref="L11"/>
    </sheetView>
  </sheetViews>
  <sheetFormatPr baseColWidth="10" defaultRowHeight="15"/>
  <cols>
    <col min="1" max="1" width="5.85546875" style="813" customWidth="1"/>
    <col min="2" max="2" width="9" style="813" customWidth="1"/>
    <col min="3" max="3" width="7.28515625" style="813" customWidth="1"/>
    <col min="4" max="4" width="39" style="813" customWidth="1"/>
    <col min="5" max="5" width="18.7109375" style="813" customWidth="1"/>
    <col min="6" max="7" width="20.7109375" style="813" customWidth="1"/>
    <col min="8" max="8" width="20.7109375" style="1166" customWidth="1"/>
    <col min="9" max="9" width="16.5703125" style="813" customWidth="1"/>
    <col min="10" max="10" width="17.140625" style="813" customWidth="1"/>
    <col min="11" max="245" width="11.42578125" style="813"/>
    <col min="246" max="246" width="34" style="813" customWidth="1"/>
    <col min="247" max="249" width="11.42578125" style="813"/>
    <col min="250" max="250" width="22.140625" style="813" customWidth="1"/>
    <col min="251" max="251" width="17.42578125" style="813" customWidth="1"/>
    <col min="252" max="501" width="11.42578125" style="813"/>
    <col min="502" max="502" width="34" style="813" customWidth="1"/>
    <col min="503" max="505" width="11.42578125" style="813"/>
    <col min="506" max="506" width="22.140625" style="813" customWidth="1"/>
    <col min="507" max="507" width="17.42578125" style="813" customWidth="1"/>
    <col min="508" max="757" width="11.42578125" style="813"/>
    <col min="758" max="758" width="34" style="813" customWidth="1"/>
    <col min="759" max="761" width="11.42578125" style="813"/>
    <col min="762" max="762" width="22.140625" style="813" customWidth="1"/>
    <col min="763" max="763" width="17.42578125" style="813" customWidth="1"/>
    <col min="764" max="1013" width="11.42578125" style="813"/>
    <col min="1014" max="1014" width="34" style="813" customWidth="1"/>
    <col min="1015" max="1017" width="11.42578125" style="813"/>
    <col min="1018" max="1018" width="22.140625" style="813" customWidth="1"/>
    <col min="1019" max="1019" width="17.42578125" style="813" customWidth="1"/>
    <col min="1020" max="1269" width="11.42578125" style="813"/>
    <col min="1270" max="1270" width="34" style="813" customWidth="1"/>
    <col min="1271" max="1273" width="11.42578125" style="813"/>
    <col min="1274" max="1274" width="22.140625" style="813" customWidth="1"/>
    <col min="1275" max="1275" width="17.42578125" style="813" customWidth="1"/>
    <col min="1276" max="1525" width="11.42578125" style="813"/>
    <col min="1526" max="1526" width="34" style="813" customWidth="1"/>
    <col min="1527" max="1529" width="11.42578125" style="813"/>
    <col min="1530" max="1530" width="22.140625" style="813" customWidth="1"/>
    <col min="1531" max="1531" width="17.42578125" style="813" customWidth="1"/>
    <col min="1532" max="1781" width="11.42578125" style="813"/>
    <col min="1782" max="1782" width="34" style="813" customWidth="1"/>
    <col min="1783" max="1785" width="11.42578125" style="813"/>
    <col min="1786" max="1786" width="22.140625" style="813" customWidth="1"/>
    <col min="1787" max="1787" width="17.42578125" style="813" customWidth="1"/>
    <col min="1788" max="2037" width="11.42578125" style="813"/>
    <col min="2038" max="2038" width="34" style="813" customWidth="1"/>
    <col min="2039" max="2041" width="11.42578125" style="813"/>
    <col min="2042" max="2042" width="22.140625" style="813" customWidth="1"/>
    <col min="2043" max="2043" width="17.42578125" style="813" customWidth="1"/>
    <col min="2044" max="2293" width="11.42578125" style="813"/>
    <col min="2294" max="2294" width="34" style="813" customWidth="1"/>
    <col min="2295" max="2297" width="11.42578125" style="813"/>
    <col min="2298" max="2298" width="22.140625" style="813" customWidth="1"/>
    <col min="2299" max="2299" width="17.42578125" style="813" customWidth="1"/>
    <col min="2300" max="2549" width="11.42578125" style="813"/>
    <col min="2550" max="2550" width="34" style="813" customWidth="1"/>
    <col min="2551" max="2553" width="11.42578125" style="813"/>
    <col min="2554" max="2554" width="22.140625" style="813" customWidth="1"/>
    <col min="2555" max="2555" width="17.42578125" style="813" customWidth="1"/>
    <col min="2556" max="2805" width="11.42578125" style="813"/>
    <col min="2806" max="2806" width="34" style="813" customWidth="1"/>
    <col min="2807" max="2809" width="11.42578125" style="813"/>
    <col min="2810" max="2810" width="22.140625" style="813" customWidth="1"/>
    <col min="2811" max="2811" width="17.42578125" style="813" customWidth="1"/>
    <col min="2812" max="3061" width="11.42578125" style="813"/>
    <col min="3062" max="3062" width="34" style="813" customWidth="1"/>
    <col min="3063" max="3065" width="11.42578125" style="813"/>
    <col min="3066" max="3066" width="22.140625" style="813" customWidth="1"/>
    <col min="3067" max="3067" width="17.42578125" style="813" customWidth="1"/>
    <col min="3068" max="3317" width="11.42578125" style="813"/>
    <col min="3318" max="3318" width="34" style="813" customWidth="1"/>
    <col min="3319" max="3321" width="11.42578125" style="813"/>
    <col min="3322" max="3322" width="22.140625" style="813" customWidth="1"/>
    <col min="3323" max="3323" width="17.42578125" style="813" customWidth="1"/>
    <col min="3324" max="3573" width="11.42578125" style="813"/>
    <col min="3574" max="3574" width="34" style="813" customWidth="1"/>
    <col min="3575" max="3577" width="11.42578125" style="813"/>
    <col min="3578" max="3578" width="22.140625" style="813" customWidth="1"/>
    <col min="3579" max="3579" width="17.42578125" style="813" customWidth="1"/>
    <col min="3580" max="3829" width="11.42578125" style="813"/>
    <col min="3830" max="3830" width="34" style="813" customWidth="1"/>
    <col min="3831" max="3833" width="11.42578125" style="813"/>
    <col min="3834" max="3834" width="22.140625" style="813" customWidth="1"/>
    <col min="3835" max="3835" width="17.42578125" style="813" customWidth="1"/>
    <col min="3836" max="4085" width="11.42578125" style="813"/>
    <col min="4086" max="4086" width="34" style="813" customWidth="1"/>
    <col min="4087" max="4089" width="11.42578125" style="813"/>
    <col min="4090" max="4090" width="22.140625" style="813" customWidth="1"/>
    <col min="4091" max="4091" width="17.42578125" style="813" customWidth="1"/>
    <col min="4092" max="4341" width="11.42578125" style="813"/>
    <col min="4342" max="4342" width="34" style="813" customWidth="1"/>
    <col min="4343" max="4345" width="11.42578125" style="813"/>
    <col min="4346" max="4346" width="22.140625" style="813" customWidth="1"/>
    <col min="4347" max="4347" width="17.42578125" style="813" customWidth="1"/>
    <col min="4348" max="4597" width="11.42578125" style="813"/>
    <col min="4598" max="4598" width="34" style="813" customWidth="1"/>
    <col min="4599" max="4601" width="11.42578125" style="813"/>
    <col min="4602" max="4602" width="22.140625" style="813" customWidth="1"/>
    <col min="4603" max="4603" width="17.42578125" style="813" customWidth="1"/>
    <col min="4604" max="4853" width="11.42578125" style="813"/>
    <col min="4854" max="4854" width="34" style="813" customWidth="1"/>
    <col min="4855" max="4857" width="11.42578125" style="813"/>
    <col min="4858" max="4858" width="22.140625" style="813" customWidth="1"/>
    <col min="4859" max="4859" width="17.42578125" style="813" customWidth="1"/>
    <col min="4860" max="5109" width="11.42578125" style="813"/>
    <col min="5110" max="5110" width="34" style="813" customWidth="1"/>
    <col min="5111" max="5113" width="11.42578125" style="813"/>
    <col min="5114" max="5114" width="22.140625" style="813" customWidth="1"/>
    <col min="5115" max="5115" width="17.42578125" style="813" customWidth="1"/>
    <col min="5116" max="5365" width="11.42578125" style="813"/>
    <col min="5366" max="5366" width="34" style="813" customWidth="1"/>
    <col min="5367" max="5369" width="11.42578125" style="813"/>
    <col min="5370" max="5370" width="22.140625" style="813" customWidth="1"/>
    <col min="5371" max="5371" width="17.42578125" style="813" customWidth="1"/>
    <col min="5372" max="5621" width="11.42578125" style="813"/>
    <col min="5622" max="5622" width="34" style="813" customWidth="1"/>
    <col min="5623" max="5625" width="11.42578125" style="813"/>
    <col min="5626" max="5626" width="22.140625" style="813" customWidth="1"/>
    <col min="5627" max="5627" width="17.42578125" style="813" customWidth="1"/>
    <col min="5628" max="5877" width="11.42578125" style="813"/>
    <col min="5878" max="5878" width="34" style="813" customWidth="1"/>
    <col min="5879" max="5881" width="11.42578125" style="813"/>
    <col min="5882" max="5882" width="22.140625" style="813" customWidth="1"/>
    <col min="5883" max="5883" width="17.42578125" style="813" customWidth="1"/>
    <col min="5884" max="6133" width="11.42578125" style="813"/>
    <col min="6134" max="6134" width="34" style="813" customWidth="1"/>
    <col min="6135" max="6137" width="11.42578125" style="813"/>
    <col min="6138" max="6138" width="22.140625" style="813" customWidth="1"/>
    <col min="6139" max="6139" width="17.42578125" style="813" customWidth="1"/>
    <col min="6140" max="6389" width="11.42578125" style="813"/>
    <col min="6390" max="6390" width="34" style="813" customWidth="1"/>
    <col min="6391" max="6393" width="11.42578125" style="813"/>
    <col min="6394" max="6394" width="22.140625" style="813" customWidth="1"/>
    <col min="6395" max="6395" width="17.42578125" style="813" customWidth="1"/>
    <col min="6396" max="6645" width="11.42578125" style="813"/>
    <col min="6646" max="6646" width="34" style="813" customWidth="1"/>
    <col min="6647" max="6649" width="11.42578125" style="813"/>
    <col min="6650" max="6650" width="22.140625" style="813" customWidth="1"/>
    <col min="6651" max="6651" width="17.42578125" style="813" customWidth="1"/>
    <col min="6652" max="6901" width="11.42578125" style="813"/>
    <col min="6902" max="6902" width="34" style="813" customWidth="1"/>
    <col min="6903" max="6905" width="11.42578125" style="813"/>
    <col min="6906" max="6906" width="22.140625" style="813" customWidth="1"/>
    <col min="6907" max="6907" width="17.42578125" style="813" customWidth="1"/>
    <col min="6908" max="7157" width="11.42578125" style="813"/>
    <col min="7158" max="7158" width="34" style="813" customWidth="1"/>
    <col min="7159" max="7161" width="11.42578125" style="813"/>
    <col min="7162" max="7162" width="22.140625" style="813" customWidth="1"/>
    <col min="7163" max="7163" width="17.42578125" style="813" customWidth="1"/>
    <col min="7164" max="7413" width="11.42578125" style="813"/>
    <col min="7414" max="7414" width="34" style="813" customWidth="1"/>
    <col min="7415" max="7417" width="11.42578125" style="813"/>
    <col min="7418" max="7418" width="22.140625" style="813" customWidth="1"/>
    <col min="7419" max="7419" width="17.42578125" style="813" customWidth="1"/>
    <col min="7420" max="7669" width="11.42578125" style="813"/>
    <col min="7670" max="7670" width="34" style="813" customWidth="1"/>
    <col min="7671" max="7673" width="11.42578125" style="813"/>
    <col min="7674" max="7674" width="22.140625" style="813" customWidth="1"/>
    <col min="7675" max="7675" width="17.42578125" style="813" customWidth="1"/>
    <col min="7676" max="7925" width="11.42578125" style="813"/>
    <col min="7926" max="7926" width="34" style="813" customWidth="1"/>
    <col min="7927" max="7929" width="11.42578125" style="813"/>
    <col min="7930" max="7930" width="22.140625" style="813" customWidth="1"/>
    <col min="7931" max="7931" width="17.42578125" style="813" customWidth="1"/>
    <col min="7932" max="8181" width="11.42578125" style="813"/>
    <col min="8182" max="8182" width="34" style="813" customWidth="1"/>
    <col min="8183" max="8185" width="11.42578125" style="813"/>
    <col min="8186" max="8186" width="22.140625" style="813" customWidth="1"/>
    <col min="8187" max="8187" width="17.42578125" style="813" customWidth="1"/>
    <col min="8188" max="8437" width="11.42578125" style="813"/>
    <col min="8438" max="8438" width="34" style="813" customWidth="1"/>
    <col min="8439" max="8441" width="11.42578125" style="813"/>
    <col min="8442" max="8442" width="22.140625" style="813" customWidth="1"/>
    <col min="8443" max="8443" width="17.42578125" style="813" customWidth="1"/>
    <col min="8444" max="8693" width="11.42578125" style="813"/>
    <col min="8694" max="8694" width="34" style="813" customWidth="1"/>
    <col min="8695" max="8697" width="11.42578125" style="813"/>
    <col min="8698" max="8698" width="22.140625" style="813" customWidth="1"/>
    <col min="8699" max="8699" width="17.42578125" style="813" customWidth="1"/>
    <col min="8700" max="8949" width="11.42578125" style="813"/>
    <col min="8950" max="8950" width="34" style="813" customWidth="1"/>
    <col min="8951" max="8953" width="11.42578125" style="813"/>
    <col min="8954" max="8954" width="22.140625" style="813" customWidth="1"/>
    <col min="8955" max="8955" width="17.42578125" style="813" customWidth="1"/>
    <col min="8956" max="9205" width="11.42578125" style="813"/>
    <col min="9206" max="9206" width="34" style="813" customWidth="1"/>
    <col min="9207" max="9209" width="11.42578125" style="813"/>
    <col min="9210" max="9210" width="22.140625" style="813" customWidth="1"/>
    <col min="9211" max="9211" width="17.42578125" style="813" customWidth="1"/>
    <col min="9212" max="9461" width="11.42578125" style="813"/>
    <col min="9462" max="9462" width="34" style="813" customWidth="1"/>
    <col min="9463" max="9465" width="11.42578125" style="813"/>
    <col min="9466" max="9466" width="22.140625" style="813" customWidth="1"/>
    <col min="9467" max="9467" width="17.42578125" style="813" customWidth="1"/>
    <col min="9468" max="9717" width="11.42578125" style="813"/>
    <col min="9718" max="9718" width="34" style="813" customWidth="1"/>
    <col min="9719" max="9721" width="11.42578125" style="813"/>
    <col min="9722" max="9722" width="22.140625" style="813" customWidth="1"/>
    <col min="9723" max="9723" width="17.42578125" style="813" customWidth="1"/>
    <col min="9724" max="9973" width="11.42578125" style="813"/>
    <col min="9974" max="9974" width="34" style="813" customWidth="1"/>
    <col min="9975" max="9977" width="11.42578125" style="813"/>
    <col min="9978" max="9978" width="22.140625" style="813" customWidth="1"/>
    <col min="9979" max="9979" width="17.42578125" style="813" customWidth="1"/>
    <col min="9980" max="10229" width="11.42578125" style="813"/>
    <col min="10230" max="10230" width="34" style="813" customWidth="1"/>
    <col min="10231" max="10233" width="11.42578125" style="813"/>
    <col min="10234" max="10234" width="22.140625" style="813" customWidth="1"/>
    <col min="10235" max="10235" width="17.42578125" style="813" customWidth="1"/>
    <col min="10236" max="10485" width="11.42578125" style="813"/>
    <col min="10486" max="10486" width="34" style="813" customWidth="1"/>
    <col min="10487" max="10489" width="11.42578125" style="813"/>
    <col min="10490" max="10490" width="22.140625" style="813" customWidth="1"/>
    <col min="10491" max="10491" width="17.42578125" style="813" customWidth="1"/>
    <col min="10492" max="10741" width="11.42578125" style="813"/>
    <col min="10742" max="10742" width="34" style="813" customWidth="1"/>
    <col min="10743" max="10745" width="11.42578125" style="813"/>
    <col min="10746" max="10746" width="22.140625" style="813" customWidth="1"/>
    <col min="10747" max="10747" width="17.42578125" style="813" customWidth="1"/>
    <col min="10748" max="10997" width="11.42578125" style="813"/>
    <col min="10998" max="10998" width="34" style="813" customWidth="1"/>
    <col min="10999" max="11001" width="11.42578125" style="813"/>
    <col min="11002" max="11002" width="22.140625" style="813" customWidth="1"/>
    <col min="11003" max="11003" width="17.42578125" style="813" customWidth="1"/>
    <col min="11004" max="11253" width="11.42578125" style="813"/>
    <col min="11254" max="11254" width="34" style="813" customWidth="1"/>
    <col min="11255" max="11257" width="11.42578125" style="813"/>
    <col min="11258" max="11258" width="22.140625" style="813" customWidth="1"/>
    <col min="11259" max="11259" width="17.42578125" style="813" customWidth="1"/>
    <col min="11260" max="11509" width="11.42578125" style="813"/>
    <col min="11510" max="11510" width="34" style="813" customWidth="1"/>
    <col min="11511" max="11513" width="11.42578125" style="813"/>
    <col min="11514" max="11514" width="22.140625" style="813" customWidth="1"/>
    <col min="11515" max="11515" width="17.42578125" style="813" customWidth="1"/>
    <col min="11516" max="11765" width="11.42578125" style="813"/>
    <col min="11766" max="11766" width="34" style="813" customWidth="1"/>
    <col min="11767" max="11769" width="11.42578125" style="813"/>
    <col min="11770" max="11770" width="22.140625" style="813" customWidth="1"/>
    <col min="11771" max="11771" width="17.42578125" style="813" customWidth="1"/>
    <col min="11772" max="12021" width="11.42578125" style="813"/>
    <col min="12022" max="12022" width="34" style="813" customWidth="1"/>
    <col min="12023" max="12025" width="11.42578125" style="813"/>
    <col min="12026" max="12026" width="22.140625" style="813" customWidth="1"/>
    <col min="12027" max="12027" width="17.42578125" style="813" customWidth="1"/>
    <col min="12028" max="12277" width="11.42578125" style="813"/>
    <col min="12278" max="12278" width="34" style="813" customWidth="1"/>
    <col min="12279" max="12281" width="11.42578125" style="813"/>
    <col min="12282" max="12282" width="22.140625" style="813" customWidth="1"/>
    <col min="12283" max="12283" width="17.42578125" style="813" customWidth="1"/>
    <col min="12284" max="12533" width="11.42578125" style="813"/>
    <col min="12534" max="12534" width="34" style="813" customWidth="1"/>
    <col min="12535" max="12537" width="11.42578125" style="813"/>
    <col min="12538" max="12538" width="22.140625" style="813" customWidth="1"/>
    <col min="12539" max="12539" width="17.42578125" style="813" customWidth="1"/>
    <col min="12540" max="12789" width="11.42578125" style="813"/>
    <col min="12790" max="12790" width="34" style="813" customWidth="1"/>
    <col min="12791" max="12793" width="11.42578125" style="813"/>
    <col min="12794" max="12794" width="22.140625" style="813" customWidth="1"/>
    <col min="12795" max="12795" width="17.42578125" style="813" customWidth="1"/>
    <col min="12796" max="13045" width="11.42578125" style="813"/>
    <col min="13046" max="13046" width="34" style="813" customWidth="1"/>
    <col min="13047" max="13049" width="11.42578125" style="813"/>
    <col min="13050" max="13050" width="22.140625" style="813" customWidth="1"/>
    <col min="13051" max="13051" width="17.42578125" style="813" customWidth="1"/>
    <col min="13052" max="13301" width="11.42578125" style="813"/>
    <col min="13302" max="13302" width="34" style="813" customWidth="1"/>
    <col min="13303" max="13305" width="11.42578125" style="813"/>
    <col min="13306" max="13306" width="22.140625" style="813" customWidth="1"/>
    <col min="13307" max="13307" width="17.42578125" style="813" customWidth="1"/>
    <col min="13308" max="13557" width="11.42578125" style="813"/>
    <col min="13558" max="13558" width="34" style="813" customWidth="1"/>
    <col min="13559" max="13561" width="11.42578125" style="813"/>
    <col min="13562" max="13562" width="22.140625" style="813" customWidth="1"/>
    <col min="13563" max="13563" width="17.42578125" style="813" customWidth="1"/>
    <col min="13564" max="13813" width="11.42578125" style="813"/>
    <col min="13814" max="13814" width="34" style="813" customWidth="1"/>
    <col min="13815" max="13817" width="11.42578125" style="813"/>
    <col min="13818" max="13818" width="22.140625" style="813" customWidth="1"/>
    <col min="13819" max="13819" width="17.42578125" style="813" customWidth="1"/>
    <col min="13820" max="14069" width="11.42578125" style="813"/>
    <col min="14070" max="14070" width="34" style="813" customWidth="1"/>
    <col min="14071" max="14073" width="11.42578125" style="813"/>
    <col min="14074" max="14074" width="22.140625" style="813" customWidth="1"/>
    <col min="14075" max="14075" width="17.42578125" style="813" customWidth="1"/>
    <col min="14076" max="14325" width="11.42578125" style="813"/>
    <col min="14326" max="14326" width="34" style="813" customWidth="1"/>
    <col min="14327" max="14329" width="11.42578125" style="813"/>
    <col min="14330" max="14330" width="22.140625" style="813" customWidth="1"/>
    <col min="14331" max="14331" width="17.42578125" style="813" customWidth="1"/>
    <col min="14332" max="14581" width="11.42578125" style="813"/>
    <col min="14582" max="14582" width="34" style="813" customWidth="1"/>
    <col min="14583" max="14585" width="11.42578125" style="813"/>
    <col min="14586" max="14586" width="22.140625" style="813" customWidth="1"/>
    <col min="14587" max="14587" width="17.42578125" style="813" customWidth="1"/>
    <col min="14588" max="14837" width="11.42578125" style="813"/>
    <col min="14838" max="14838" width="34" style="813" customWidth="1"/>
    <col min="14839" max="14841" width="11.42578125" style="813"/>
    <col min="14842" max="14842" width="22.140625" style="813" customWidth="1"/>
    <col min="14843" max="14843" width="17.42578125" style="813" customWidth="1"/>
    <col min="14844" max="15093" width="11.42578125" style="813"/>
    <col min="15094" max="15094" width="34" style="813" customWidth="1"/>
    <col min="15095" max="15097" width="11.42578125" style="813"/>
    <col min="15098" max="15098" width="22.140625" style="813" customWidth="1"/>
    <col min="15099" max="15099" width="17.42578125" style="813" customWidth="1"/>
    <col min="15100" max="15349" width="11.42578125" style="813"/>
    <col min="15350" max="15350" width="34" style="813" customWidth="1"/>
    <col min="15351" max="15353" width="11.42578125" style="813"/>
    <col min="15354" max="15354" width="22.140625" style="813" customWidth="1"/>
    <col min="15355" max="15355" width="17.42578125" style="813" customWidth="1"/>
    <col min="15356" max="15605" width="11.42578125" style="813"/>
    <col min="15606" max="15606" width="34" style="813" customWidth="1"/>
    <col min="15607" max="15609" width="11.42578125" style="813"/>
    <col min="15610" max="15610" width="22.140625" style="813" customWidth="1"/>
    <col min="15611" max="15611" width="17.42578125" style="813" customWidth="1"/>
    <col min="15612" max="15861" width="11.42578125" style="813"/>
    <col min="15862" max="15862" width="34" style="813" customWidth="1"/>
    <col min="15863" max="15865" width="11.42578125" style="813"/>
    <col min="15866" max="15866" width="22.140625" style="813" customWidth="1"/>
    <col min="15867" max="15867" width="17.42578125" style="813" customWidth="1"/>
    <col min="15868" max="16117" width="11.42578125" style="813"/>
    <col min="16118" max="16118" width="34" style="813" customWidth="1"/>
    <col min="16119" max="16121" width="11.42578125" style="813"/>
    <col min="16122" max="16122" width="22.140625" style="813" customWidth="1"/>
    <col min="16123" max="16123" width="17.42578125" style="813" customWidth="1"/>
    <col min="16124" max="16384" width="11.42578125" style="813"/>
  </cols>
  <sheetData>
    <row r="1" spans="1:12" s="778" customFormat="1" ht="20.100000000000001" customHeight="1">
      <c r="A1" s="777">
        <v>5.14</v>
      </c>
      <c r="B1" s="777">
        <v>8.2899999999999991</v>
      </c>
      <c r="C1" s="777">
        <v>6.57</v>
      </c>
      <c r="D1" s="777">
        <v>128</v>
      </c>
      <c r="E1" s="777">
        <v>18</v>
      </c>
      <c r="F1" s="777">
        <v>20</v>
      </c>
      <c r="G1" s="777">
        <v>20</v>
      </c>
      <c r="H1" s="777">
        <v>20</v>
      </c>
      <c r="I1" s="777">
        <v>20</v>
      </c>
      <c r="J1" s="807">
        <v>20</v>
      </c>
    </row>
    <row r="2" spans="1:12" s="778" customFormat="1" ht="55.5" customHeight="1">
      <c r="A2" s="3567" t="s">
        <v>2484</v>
      </c>
      <c r="B2" s="3569" t="s">
        <v>2829</v>
      </c>
      <c r="C2" s="3569"/>
      <c r="D2" s="3569"/>
      <c r="E2" s="3569"/>
      <c r="F2" s="3569"/>
      <c r="G2" s="3569"/>
      <c r="H2" s="3569"/>
      <c r="I2" s="3569"/>
      <c r="J2" s="3570"/>
    </row>
    <row r="3" spans="1:12" s="784" customFormat="1" ht="42" customHeight="1" thickBot="1">
      <c r="A3" s="3568"/>
      <c r="B3" s="779" t="s">
        <v>2485</v>
      </c>
      <c r="C3" s="780">
        <v>1</v>
      </c>
      <c r="D3" s="781" t="s">
        <v>2486</v>
      </c>
      <c r="E3" s="782"/>
      <c r="F3" s="781"/>
      <c r="G3" s="782"/>
      <c r="H3" s="781"/>
      <c r="I3" s="783"/>
      <c r="J3" s="808"/>
    </row>
    <row r="4" spans="1:12" s="785" customFormat="1" ht="39.950000000000003" customHeight="1">
      <c r="A4" s="3567"/>
      <c r="B4" s="3571" t="s">
        <v>2487</v>
      </c>
      <c r="C4" s="3573" t="s">
        <v>2488</v>
      </c>
      <c r="D4" s="3581" t="s">
        <v>2489</v>
      </c>
      <c r="E4" s="3582"/>
      <c r="F4" s="3582"/>
      <c r="G4" s="3582"/>
      <c r="H4" s="3582"/>
      <c r="I4" s="3575" t="s">
        <v>2490</v>
      </c>
      <c r="J4" s="3576"/>
    </row>
    <row r="5" spans="1:12" s="785" customFormat="1" ht="39.950000000000003" customHeight="1">
      <c r="A5" s="786">
        <f>ROW()</f>
        <v>5</v>
      </c>
      <c r="B5" s="3572"/>
      <c r="C5" s="3574"/>
      <c r="D5" s="3581"/>
      <c r="E5" s="3582"/>
      <c r="F5" s="3582"/>
      <c r="G5" s="3582"/>
      <c r="H5" s="3582"/>
      <c r="I5" s="3577">
        <f ca="1">TODAY()</f>
        <v>44545</v>
      </c>
      <c r="J5" s="3578"/>
    </row>
    <row r="6" spans="1:12" s="787" customFormat="1" ht="27.75" customHeight="1">
      <c r="A6" s="786">
        <f>ROW()</f>
        <v>6</v>
      </c>
      <c r="B6" s="3583">
        <f>MAX(B11:B464)</f>
        <v>451</v>
      </c>
      <c r="C6" s="1153"/>
      <c r="D6" s="1154" t="s">
        <v>2491</v>
      </c>
      <c r="E6" s="809">
        <f>COUNTIF($C$13:$C$463,"ECO")</f>
        <v>134</v>
      </c>
      <c r="F6" s="1155" t="s">
        <v>2496</v>
      </c>
      <c r="G6" s="809">
        <f>COUNTIF($C$13:$C$463,"BOF")</f>
        <v>13</v>
      </c>
      <c r="H6" s="1156" t="s">
        <v>2492</v>
      </c>
      <c r="I6" s="810">
        <f>COUNTIF($C$13:$C$463,"POI")</f>
        <v>70</v>
      </c>
      <c r="J6" s="811"/>
    </row>
    <row r="7" spans="1:12" s="787" customFormat="1" ht="27.75" customHeight="1">
      <c r="A7" s="788">
        <f>ROW()</f>
        <v>7</v>
      </c>
      <c r="B7" s="3583"/>
      <c r="C7" s="1153"/>
      <c r="D7" s="1157" t="s">
        <v>2493</v>
      </c>
      <c r="E7" s="809">
        <f>COUNTIF($C$13:$C$463,"LEG")</f>
        <v>63</v>
      </c>
      <c r="F7" s="1158" t="s">
        <v>2497</v>
      </c>
      <c r="G7" s="809">
        <f>COUNTIF($C$13:$C$463,"SUR")</f>
        <v>37</v>
      </c>
      <c r="H7" s="1159" t="s">
        <v>2494</v>
      </c>
      <c r="I7" s="809">
        <f>COUNTIF($C$13:$C$463,"CAV")</f>
        <v>23</v>
      </c>
      <c r="J7" s="811"/>
    </row>
    <row r="8" spans="1:12" s="787" customFormat="1" ht="27.75" customHeight="1" thickBot="1">
      <c r="A8" s="788">
        <f>ROW()</f>
        <v>8</v>
      </c>
      <c r="B8" s="789"/>
      <c r="C8" s="1153"/>
      <c r="D8" s="1160" t="s">
        <v>2495</v>
      </c>
      <c r="E8" s="809">
        <f>COUNTIF($C$13:$C$463,"FRU")</f>
        <v>23</v>
      </c>
      <c r="F8" s="1161" t="s">
        <v>2498</v>
      </c>
      <c r="G8" s="809">
        <f>COUNTIF($C$13:$C$463,"VIV")</f>
        <v>88</v>
      </c>
      <c r="H8" s="781"/>
      <c r="I8" s="781"/>
      <c r="J8" s="812"/>
    </row>
    <row r="9" spans="1:12" s="787" customFormat="1" ht="27.75" customHeight="1">
      <c r="A9" s="788">
        <f>ROW()</f>
        <v>9</v>
      </c>
      <c r="B9" s="790"/>
      <c r="C9" s="790"/>
      <c r="D9" s="3584" t="s">
        <v>2499</v>
      </c>
      <c r="E9" s="3587" t="s">
        <v>2500</v>
      </c>
      <c r="F9" s="3590" t="s">
        <v>2501</v>
      </c>
      <c r="G9" s="3593" t="s">
        <v>2502</v>
      </c>
      <c r="H9" s="791" t="s">
        <v>2503</v>
      </c>
      <c r="I9" s="3595" t="s">
        <v>2504</v>
      </c>
      <c r="J9" s="3579" t="s">
        <v>2505</v>
      </c>
    </row>
    <row r="10" spans="1:12" s="787" customFormat="1" ht="27.75" customHeight="1">
      <c r="A10" s="788">
        <f>ROW()</f>
        <v>10</v>
      </c>
      <c r="B10" s="792"/>
      <c r="C10" s="793"/>
      <c r="D10" s="3585"/>
      <c r="E10" s="3588"/>
      <c r="F10" s="3591"/>
      <c r="G10" s="3594"/>
      <c r="H10" s="794" t="s">
        <v>2506</v>
      </c>
      <c r="I10" s="3596"/>
      <c r="J10" s="3580"/>
    </row>
    <row r="11" spans="1:12" s="785" customFormat="1" ht="39.950000000000003" customHeight="1" thickBot="1">
      <c r="A11" s="788">
        <f>ROW()</f>
        <v>11</v>
      </c>
      <c r="B11" s="795">
        <v>0</v>
      </c>
      <c r="C11" s="796"/>
      <c r="D11" s="3586"/>
      <c r="E11" s="3589"/>
      <c r="F11" s="3592"/>
      <c r="G11" s="1162" t="s">
        <v>742</v>
      </c>
      <c r="H11" s="1163" t="s">
        <v>742</v>
      </c>
      <c r="I11" s="1164" t="s">
        <v>742</v>
      </c>
      <c r="J11" s="1165" t="s">
        <v>742</v>
      </c>
    </row>
    <row r="12" spans="1:12" ht="26.25">
      <c r="A12" s="799">
        <f>ROW()</f>
        <v>12</v>
      </c>
      <c r="B12" s="800" t="str">
        <f>IF(C12="I","",IF(ISBLANK(D12),"",IF(ISTEXT(D12),LARGE(B11:B11,1)+1,0)))</f>
        <v/>
      </c>
    </row>
    <row r="13" spans="1:12" ht="28.5">
      <c r="A13" s="799">
        <f>ROW()</f>
        <v>13</v>
      </c>
      <c r="B13" s="800">
        <f>IF(C13="I","",IF(ISBLANK(D13),"",IF(ISTEXT(D13),LARGE(B11:B12,1)+1,0)))</f>
        <v>1</v>
      </c>
      <c r="C13" s="1167" t="s">
        <v>2507</v>
      </c>
      <c r="D13" s="802" t="s">
        <v>1485</v>
      </c>
      <c r="E13" s="797"/>
      <c r="F13" s="798"/>
      <c r="G13" s="803">
        <v>20</v>
      </c>
      <c r="H13" s="803" t="s">
        <v>1486</v>
      </c>
      <c r="I13" s="804">
        <v>2.1</v>
      </c>
      <c r="J13" s="805">
        <f t="shared" ref="J13:J76" si="0">I13*G13</f>
        <v>42</v>
      </c>
      <c r="L13" s="1168" t="s">
        <v>2515</v>
      </c>
    </row>
    <row r="14" spans="1:12" ht="28.5">
      <c r="A14" s="799">
        <f>ROW()</f>
        <v>14</v>
      </c>
      <c r="B14" s="806">
        <f>IF(C14="I","",IF(ISBLANK(D14),"",IF(ISTEXT(D14),LARGE(B11:B13,1)+1,0)))</f>
        <v>2</v>
      </c>
      <c r="C14" s="1167" t="s">
        <v>2507</v>
      </c>
      <c r="D14" s="802" t="s">
        <v>1487</v>
      </c>
      <c r="E14" s="797"/>
      <c r="F14" s="798"/>
      <c r="G14" s="803">
        <v>120</v>
      </c>
      <c r="H14" s="803" t="s">
        <v>1488</v>
      </c>
      <c r="I14" s="804">
        <v>0.79</v>
      </c>
      <c r="J14" s="805">
        <f t="shared" si="0"/>
        <v>94.800000000000011</v>
      </c>
    </row>
    <row r="15" spans="1:12" ht="28.5">
      <c r="A15" s="799">
        <f>ROW()</f>
        <v>15</v>
      </c>
      <c r="B15" s="806">
        <f>IF(C15="I","",IF(ISBLANK(D15),"",IF(ISTEXT(D15),LARGE(B12:B14,1)+1,0)))</f>
        <v>3</v>
      </c>
      <c r="C15" s="1167" t="s">
        <v>2507</v>
      </c>
      <c r="D15" s="802" t="s">
        <v>1489</v>
      </c>
      <c r="E15" s="797"/>
      <c r="F15" s="798"/>
      <c r="G15" s="803">
        <v>320</v>
      </c>
      <c r="H15" s="803" t="s">
        <v>1486</v>
      </c>
      <c r="I15" s="804">
        <v>2.65</v>
      </c>
      <c r="J15" s="805">
        <f t="shared" si="0"/>
        <v>848</v>
      </c>
      <c r="L15" s="1168" t="s">
        <v>2516</v>
      </c>
    </row>
    <row r="16" spans="1:12" ht="28.5">
      <c r="A16" s="799">
        <f>ROW()</f>
        <v>16</v>
      </c>
      <c r="B16" s="806">
        <f t="shared" ref="B16:B79" si="1">IF(C16="I","",IF(ISBLANK(D16),"",IF(ISTEXT(D16),LARGE(B12:B15,1)+1,0)))</f>
        <v>4</v>
      </c>
      <c r="C16" s="1167" t="s">
        <v>2507</v>
      </c>
      <c r="D16" s="802" t="s">
        <v>1490</v>
      </c>
      <c r="E16" s="797"/>
      <c r="F16" s="798"/>
      <c r="G16" s="803"/>
      <c r="H16" s="803" t="s">
        <v>1486</v>
      </c>
      <c r="I16" s="804">
        <v>3.86</v>
      </c>
      <c r="J16" s="805">
        <f t="shared" si="0"/>
        <v>0</v>
      </c>
    </row>
    <row r="17" spans="1:10" ht="28.5">
      <c r="A17" s="799">
        <f>ROW()</f>
        <v>17</v>
      </c>
      <c r="B17" s="806">
        <f t="shared" si="1"/>
        <v>5</v>
      </c>
      <c r="C17" s="1167" t="s">
        <v>2507</v>
      </c>
      <c r="D17" s="802" t="s">
        <v>1491</v>
      </c>
      <c r="E17" s="797"/>
      <c r="F17" s="798"/>
      <c r="G17" s="803"/>
      <c r="H17" s="803" t="s">
        <v>1486</v>
      </c>
      <c r="I17" s="804">
        <v>2.82</v>
      </c>
      <c r="J17" s="805">
        <f t="shared" si="0"/>
        <v>0</v>
      </c>
    </row>
    <row r="18" spans="1:10" ht="28.5">
      <c r="A18" s="799">
        <f>ROW()</f>
        <v>18</v>
      </c>
      <c r="B18" s="806">
        <f t="shared" si="1"/>
        <v>6</v>
      </c>
      <c r="C18" s="1167" t="s">
        <v>2507</v>
      </c>
      <c r="D18" s="802" t="s">
        <v>1492</v>
      </c>
      <c r="E18" s="797"/>
      <c r="F18" s="798"/>
      <c r="G18" s="803"/>
      <c r="H18" s="803" t="s">
        <v>303</v>
      </c>
      <c r="I18" s="804">
        <v>0.56000000000000005</v>
      </c>
      <c r="J18" s="805">
        <f t="shared" si="0"/>
        <v>0</v>
      </c>
    </row>
    <row r="19" spans="1:10" ht="28.5">
      <c r="A19" s="799">
        <f>ROW()</f>
        <v>19</v>
      </c>
      <c r="B19" s="806">
        <f t="shared" si="1"/>
        <v>7</v>
      </c>
      <c r="C19" s="1169" t="s">
        <v>2508</v>
      </c>
      <c r="D19" s="802" t="s">
        <v>1493</v>
      </c>
      <c r="E19" s="797"/>
      <c r="F19" s="798"/>
      <c r="G19" s="803"/>
      <c r="H19" s="803" t="s">
        <v>1494</v>
      </c>
      <c r="I19" s="804">
        <v>2.5299999999999998</v>
      </c>
      <c r="J19" s="805">
        <f t="shared" si="0"/>
        <v>0</v>
      </c>
    </row>
    <row r="20" spans="1:10" ht="28.5">
      <c r="A20" s="799">
        <f>ROW()</f>
        <v>20</v>
      </c>
      <c r="B20" s="806">
        <f t="shared" si="1"/>
        <v>8</v>
      </c>
      <c r="C20" s="1167" t="s">
        <v>2507</v>
      </c>
      <c r="D20" s="802" t="s">
        <v>1495</v>
      </c>
      <c r="E20" s="797"/>
      <c r="F20" s="798"/>
      <c r="G20" s="803"/>
      <c r="H20" s="803" t="s">
        <v>1488</v>
      </c>
      <c r="I20" s="804">
        <v>0.73</v>
      </c>
      <c r="J20" s="805">
        <f t="shared" si="0"/>
        <v>0</v>
      </c>
    </row>
    <row r="21" spans="1:10" ht="28.5">
      <c r="A21" s="799">
        <f>ROW()</f>
        <v>21</v>
      </c>
      <c r="B21" s="806">
        <f t="shared" si="1"/>
        <v>9</v>
      </c>
      <c r="C21" s="1167" t="s">
        <v>2507</v>
      </c>
      <c r="D21" s="802" t="s">
        <v>1496</v>
      </c>
      <c r="E21" s="797"/>
      <c r="F21" s="798"/>
      <c r="G21" s="803"/>
      <c r="H21" s="803" t="s">
        <v>1486</v>
      </c>
      <c r="I21" s="804">
        <v>3.05</v>
      </c>
      <c r="J21" s="805">
        <f t="shared" si="0"/>
        <v>0</v>
      </c>
    </row>
    <row r="22" spans="1:10" ht="28.5">
      <c r="A22" s="799">
        <f>ROW()</f>
        <v>22</v>
      </c>
      <c r="B22" s="806">
        <f t="shared" si="1"/>
        <v>10</v>
      </c>
      <c r="C22" s="1167" t="s">
        <v>2507</v>
      </c>
      <c r="D22" s="802" t="s">
        <v>1497</v>
      </c>
      <c r="E22" s="797"/>
      <c r="F22" s="798"/>
      <c r="G22" s="803"/>
      <c r="H22" s="803" t="s">
        <v>1486</v>
      </c>
      <c r="I22" s="804">
        <v>1.45</v>
      </c>
      <c r="J22" s="805">
        <f t="shared" si="0"/>
        <v>0</v>
      </c>
    </row>
    <row r="23" spans="1:10" ht="28.5">
      <c r="A23" s="799">
        <f>ROW()</f>
        <v>23</v>
      </c>
      <c r="B23" s="806">
        <f t="shared" si="1"/>
        <v>11</v>
      </c>
      <c r="C23" s="1167" t="s">
        <v>2507</v>
      </c>
      <c r="D23" s="802" t="s">
        <v>1498</v>
      </c>
      <c r="E23" s="797"/>
      <c r="F23" s="798"/>
      <c r="G23" s="803"/>
      <c r="H23" s="803" t="s">
        <v>1486</v>
      </c>
      <c r="I23" s="804">
        <v>0.88</v>
      </c>
      <c r="J23" s="805">
        <f t="shared" si="0"/>
        <v>0</v>
      </c>
    </row>
    <row r="24" spans="1:10" ht="28.5">
      <c r="A24" s="799">
        <f>ROW()</f>
        <v>24</v>
      </c>
      <c r="B24" s="806">
        <f t="shared" si="1"/>
        <v>12</v>
      </c>
      <c r="C24" s="1167" t="s">
        <v>2507</v>
      </c>
      <c r="D24" s="802" t="s">
        <v>1499</v>
      </c>
      <c r="E24" s="797"/>
      <c r="F24" s="798"/>
      <c r="G24" s="803"/>
      <c r="H24" s="803" t="s">
        <v>1486</v>
      </c>
      <c r="I24" s="804">
        <v>1.69</v>
      </c>
      <c r="J24" s="805">
        <f t="shared" si="0"/>
        <v>0</v>
      </c>
    </row>
    <row r="25" spans="1:10" ht="28.5">
      <c r="A25" s="799">
        <f>ROW()</f>
        <v>25</v>
      </c>
      <c r="B25" s="806">
        <f t="shared" si="1"/>
        <v>13</v>
      </c>
      <c r="C25" s="1167" t="s">
        <v>2507</v>
      </c>
      <c r="D25" s="802" t="s">
        <v>1500</v>
      </c>
      <c r="E25" s="797"/>
      <c r="F25" s="798"/>
      <c r="G25" s="803"/>
      <c r="H25" s="803" t="s">
        <v>166</v>
      </c>
      <c r="I25" s="804">
        <v>0.47</v>
      </c>
      <c r="J25" s="805">
        <f t="shared" si="0"/>
        <v>0</v>
      </c>
    </row>
    <row r="26" spans="1:10" ht="28.5">
      <c r="A26" s="799">
        <f>ROW()</f>
        <v>26</v>
      </c>
      <c r="B26" s="806">
        <f t="shared" si="1"/>
        <v>14</v>
      </c>
      <c r="C26" s="1167" t="s">
        <v>2507</v>
      </c>
      <c r="D26" s="802" t="s">
        <v>1501</v>
      </c>
      <c r="E26" s="797"/>
      <c r="F26" s="798"/>
      <c r="G26" s="803"/>
      <c r="H26" s="803" t="s">
        <v>166</v>
      </c>
      <c r="I26" s="804">
        <v>0.81</v>
      </c>
      <c r="J26" s="805">
        <f t="shared" si="0"/>
        <v>0</v>
      </c>
    </row>
    <row r="27" spans="1:10" s="1166" customFormat="1" ht="28.5">
      <c r="A27" s="799">
        <f>ROW()</f>
        <v>27</v>
      </c>
      <c r="B27" s="806">
        <f t="shared" si="1"/>
        <v>15</v>
      </c>
      <c r="C27" s="1167" t="s">
        <v>2507</v>
      </c>
      <c r="D27" s="802" t="s">
        <v>1502</v>
      </c>
      <c r="E27" s="797"/>
      <c r="F27" s="798"/>
      <c r="G27" s="803"/>
      <c r="H27" s="803" t="s">
        <v>166</v>
      </c>
      <c r="I27" s="804">
        <v>1.2</v>
      </c>
      <c r="J27" s="805">
        <f t="shared" si="0"/>
        <v>0</v>
      </c>
    </row>
    <row r="28" spans="1:10" s="1166" customFormat="1" ht="28.5">
      <c r="A28" s="799">
        <f>ROW()</f>
        <v>28</v>
      </c>
      <c r="B28" s="806">
        <f t="shared" si="1"/>
        <v>16</v>
      </c>
      <c r="C28" s="1167" t="s">
        <v>2507</v>
      </c>
      <c r="D28" s="802" t="s">
        <v>1503</v>
      </c>
      <c r="E28" s="797"/>
      <c r="F28" s="798"/>
      <c r="G28" s="803"/>
      <c r="H28" s="803" t="s">
        <v>166</v>
      </c>
      <c r="I28" s="804">
        <v>22.87</v>
      </c>
      <c r="J28" s="805">
        <f t="shared" si="0"/>
        <v>0</v>
      </c>
    </row>
    <row r="29" spans="1:10" s="1166" customFormat="1" ht="28.5">
      <c r="A29" s="799">
        <f>ROW()</f>
        <v>29</v>
      </c>
      <c r="B29" s="806">
        <f t="shared" si="1"/>
        <v>17</v>
      </c>
      <c r="C29" s="1167" t="s">
        <v>2507</v>
      </c>
      <c r="D29" s="802" t="s">
        <v>1504</v>
      </c>
      <c r="E29" s="797"/>
      <c r="F29" s="798"/>
      <c r="G29" s="803"/>
      <c r="H29" s="803" t="s">
        <v>1505</v>
      </c>
      <c r="I29" s="804">
        <v>0.76</v>
      </c>
      <c r="J29" s="805">
        <f t="shared" si="0"/>
        <v>0</v>
      </c>
    </row>
    <row r="30" spans="1:10" s="1166" customFormat="1" ht="28.5">
      <c r="A30" s="799">
        <f>ROW()</f>
        <v>30</v>
      </c>
      <c r="B30" s="806">
        <f t="shared" si="1"/>
        <v>18</v>
      </c>
      <c r="C30" s="1167" t="s">
        <v>2507</v>
      </c>
      <c r="D30" s="802" t="s">
        <v>1506</v>
      </c>
      <c r="E30" s="797"/>
      <c r="F30" s="798"/>
      <c r="G30" s="803"/>
      <c r="H30" s="803" t="s">
        <v>166</v>
      </c>
      <c r="I30" s="804">
        <v>2.67</v>
      </c>
      <c r="J30" s="805">
        <f t="shared" si="0"/>
        <v>0</v>
      </c>
    </row>
    <row r="31" spans="1:10" s="1166" customFormat="1" ht="28.5">
      <c r="A31" s="799">
        <f>ROW()</f>
        <v>31</v>
      </c>
      <c r="B31" s="806">
        <f t="shared" si="1"/>
        <v>19</v>
      </c>
      <c r="C31" s="1167" t="s">
        <v>2507</v>
      </c>
      <c r="D31" s="802" t="s">
        <v>1507</v>
      </c>
      <c r="E31" s="797"/>
      <c r="F31" s="798"/>
      <c r="G31" s="803"/>
      <c r="H31" s="803" t="s">
        <v>166</v>
      </c>
      <c r="I31" s="804">
        <v>0.73</v>
      </c>
      <c r="J31" s="805">
        <f t="shared" si="0"/>
        <v>0</v>
      </c>
    </row>
    <row r="32" spans="1:10" s="1166" customFormat="1" ht="28.5">
      <c r="A32" s="799">
        <f>ROW()</f>
        <v>32</v>
      </c>
      <c r="B32" s="806">
        <f t="shared" si="1"/>
        <v>20</v>
      </c>
      <c r="C32" s="1167" t="s">
        <v>2507</v>
      </c>
      <c r="D32" s="802" t="s">
        <v>1508</v>
      </c>
      <c r="E32" s="797"/>
      <c r="F32" s="798"/>
      <c r="G32" s="803"/>
      <c r="H32" s="803" t="s">
        <v>166</v>
      </c>
      <c r="I32" s="804">
        <v>1.43</v>
      </c>
      <c r="J32" s="805">
        <f t="shared" si="0"/>
        <v>0</v>
      </c>
    </row>
    <row r="33" spans="1:10" s="1166" customFormat="1" ht="28.5">
      <c r="A33" s="799">
        <f>ROW()</f>
        <v>33</v>
      </c>
      <c r="B33" s="806">
        <f t="shared" si="1"/>
        <v>21</v>
      </c>
      <c r="C33" s="1167" t="s">
        <v>2507</v>
      </c>
      <c r="D33" s="802" t="s">
        <v>1509</v>
      </c>
      <c r="E33" s="797"/>
      <c r="F33" s="798"/>
      <c r="G33" s="803"/>
      <c r="H33" s="803" t="s">
        <v>166</v>
      </c>
      <c r="I33" s="804">
        <v>1.05</v>
      </c>
      <c r="J33" s="805">
        <f t="shared" si="0"/>
        <v>0</v>
      </c>
    </row>
    <row r="34" spans="1:10" s="1166" customFormat="1" ht="28.5">
      <c r="A34" s="799">
        <f>ROW()</f>
        <v>34</v>
      </c>
      <c r="B34" s="806">
        <f t="shared" si="1"/>
        <v>22</v>
      </c>
      <c r="C34" s="1167" t="s">
        <v>2507</v>
      </c>
      <c r="D34" s="802" t="s">
        <v>1510</v>
      </c>
      <c r="E34" s="797"/>
      <c r="F34" s="798"/>
      <c r="G34" s="803"/>
      <c r="H34" s="803" t="s">
        <v>166</v>
      </c>
      <c r="I34" s="804">
        <v>0.73</v>
      </c>
      <c r="J34" s="805">
        <f t="shared" si="0"/>
        <v>0</v>
      </c>
    </row>
    <row r="35" spans="1:10" s="1166" customFormat="1" ht="28.5">
      <c r="A35" s="799">
        <f>ROW()</f>
        <v>35</v>
      </c>
      <c r="B35" s="806">
        <f t="shared" si="1"/>
        <v>23</v>
      </c>
      <c r="C35" s="1167" t="s">
        <v>2507</v>
      </c>
      <c r="D35" s="802" t="s">
        <v>1511</v>
      </c>
      <c r="E35" s="797"/>
      <c r="F35" s="798"/>
      <c r="G35" s="803"/>
      <c r="H35" s="803" t="s">
        <v>1488</v>
      </c>
      <c r="I35" s="804">
        <v>0.56000000000000005</v>
      </c>
      <c r="J35" s="805">
        <f t="shared" si="0"/>
        <v>0</v>
      </c>
    </row>
    <row r="36" spans="1:10" s="1166" customFormat="1" ht="28.5">
      <c r="A36" s="799">
        <f>ROW()</f>
        <v>36</v>
      </c>
      <c r="B36" s="806">
        <f t="shared" si="1"/>
        <v>24</v>
      </c>
      <c r="C36" s="1167" t="s">
        <v>2507</v>
      </c>
      <c r="D36" s="802" t="s">
        <v>1512</v>
      </c>
      <c r="E36" s="797"/>
      <c r="F36" s="798"/>
      <c r="G36" s="803"/>
      <c r="H36" s="803" t="s">
        <v>166</v>
      </c>
      <c r="I36" s="804">
        <v>4.0199999999999996</v>
      </c>
      <c r="J36" s="805">
        <f t="shared" si="0"/>
        <v>0</v>
      </c>
    </row>
    <row r="37" spans="1:10" s="1166" customFormat="1" ht="28.5">
      <c r="A37" s="799">
        <f>ROW()</f>
        <v>37</v>
      </c>
      <c r="B37" s="806">
        <f t="shared" si="1"/>
        <v>25</v>
      </c>
      <c r="C37" s="1167" t="s">
        <v>2507</v>
      </c>
      <c r="D37" s="802" t="s">
        <v>1513</v>
      </c>
      <c r="E37" s="797"/>
      <c r="F37" s="798"/>
      <c r="G37" s="803"/>
      <c r="H37" s="803" t="s">
        <v>166</v>
      </c>
      <c r="I37" s="804">
        <v>1.1299999999999999</v>
      </c>
      <c r="J37" s="805">
        <f t="shared" si="0"/>
        <v>0</v>
      </c>
    </row>
    <row r="38" spans="1:10" s="1166" customFormat="1" ht="28.5">
      <c r="A38" s="799">
        <f>ROW()</f>
        <v>38</v>
      </c>
      <c r="B38" s="806">
        <f t="shared" si="1"/>
        <v>26</v>
      </c>
      <c r="C38" s="1167" t="s">
        <v>2507</v>
      </c>
      <c r="D38" s="802" t="s">
        <v>1464</v>
      </c>
      <c r="E38" s="797"/>
      <c r="F38" s="798"/>
      <c r="G38" s="803"/>
      <c r="H38" s="803" t="s">
        <v>166</v>
      </c>
      <c r="I38" s="804">
        <v>1.77</v>
      </c>
      <c r="J38" s="805">
        <f t="shared" si="0"/>
        <v>0</v>
      </c>
    </row>
    <row r="39" spans="1:10" s="1166" customFormat="1" ht="28.5">
      <c r="A39" s="799">
        <f>ROW()</f>
        <v>39</v>
      </c>
      <c r="B39" s="806">
        <f t="shared" si="1"/>
        <v>27</v>
      </c>
      <c r="C39" s="1167" t="s">
        <v>2507</v>
      </c>
      <c r="D39" s="802" t="s">
        <v>1514</v>
      </c>
      <c r="E39" s="797"/>
      <c r="F39" s="798"/>
      <c r="G39" s="803"/>
      <c r="H39" s="803" t="s">
        <v>1488</v>
      </c>
      <c r="I39" s="804">
        <v>0.91</v>
      </c>
      <c r="J39" s="805">
        <f t="shared" si="0"/>
        <v>0</v>
      </c>
    </row>
    <row r="40" spans="1:10" s="1166" customFormat="1" ht="28.5">
      <c r="A40" s="799">
        <f>ROW()</f>
        <v>40</v>
      </c>
      <c r="B40" s="806">
        <f t="shared" si="1"/>
        <v>28</v>
      </c>
      <c r="C40" s="1167" t="s">
        <v>2507</v>
      </c>
      <c r="D40" s="802" t="s">
        <v>1515</v>
      </c>
      <c r="E40" s="797"/>
      <c r="F40" s="798"/>
      <c r="G40" s="803"/>
      <c r="H40" s="803" t="s">
        <v>1486</v>
      </c>
      <c r="I40" s="804">
        <v>0.56000000000000005</v>
      </c>
      <c r="J40" s="805">
        <f t="shared" si="0"/>
        <v>0</v>
      </c>
    </row>
    <row r="41" spans="1:10" s="1166" customFormat="1" ht="28.5">
      <c r="A41" s="799">
        <f>ROW()</f>
        <v>41</v>
      </c>
      <c r="B41" s="806">
        <f t="shared" si="1"/>
        <v>29</v>
      </c>
      <c r="C41" s="1167" t="s">
        <v>2507</v>
      </c>
      <c r="D41" s="802" t="s">
        <v>1516</v>
      </c>
      <c r="E41" s="797"/>
      <c r="F41" s="798"/>
      <c r="G41" s="803"/>
      <c r="H41" s="803" t="s">
        <v>1488</v>
      </c>
      <c r="I41" s="804">
        <v>0.76</v>
      </c>
      <c r="J41" s="805">
        <f t="shared" si="0"/>
        <v>0</v>
      </c>
    </row>
    <row r="42" spans="1:10" s="1166" customFormat="1" ht="28.5">
      <c r="A42" s="799">
        <f>ROW()</f>
        <v>42</v>
      </c>
      <c r="B42" s="806">
        <f t="shared" si="1"/>
        <v>30</v>
      </c>
      <c r="C42" s="1167" t="s">
        <v>2507</v>
      </c>
      <c r="D42" s="802" t="s">
        <v>1517</v>
      </c>
      <c r="E42" s="797"/>
      <c r="F42" s="798"/>
      <c r="G42" s="803"/>
      <c r="H42" s="803" t="s">
        <v>166</v>
      </c>
      <c r="I42" s="804">
        <v>1.36</v>
      </c>
      <c r="J42" s="805">
        <f t="shared" si="0"/>
        <v>0</v>
      </c>
    </row>
    <row r="43" spans="1:10" s="1166" customFormat="1" ht="28.5">
      <c r="A43" s="799">
        <f>ROW()</f>
        <v>43</v>
      </c>
      <c r="B43" s="806">
        <f t="shared" si="1"/>
        <v>31</v>
      </c>
      <c r="C43" s="1167" t="s">
        <v>2507</v>
      </c>
      <c r="D43" s="802" t="s">
        <v>1518</v>
      </c>
      <c r="E43" s="797"/>
      <c r="F43" s="798"/>
      <c r="G43" s="803"/>
      <c r="H43" s="803" t="s">
        <v>166</v>
      </c>
      <c r="I43" s="804">
        <v>4.34</v>
      </c>
      <c r="J43" s="805">
        <f t="shared" si="0"/>
        <v>0</v>
      </c>
    </row>
    <row r="44" spans="1:10" s="1166" customFormat="1" ht="28.5">
      <c r="A44" s="799">
        <f>ROW()</f>
        <v>44</v>
      </c>
      <c r="B44" s="806">
        <f t="shared" si="1"/>
        <v>32</v>
      </c>
      <c r="C44" s="1167" t="s">
        <v>2507</v>
      </c>
      <c r="D44" s="802" t="s">
        <v>1519</v>
      </c>
      <c r="E44" s="797"/>
      <c r="F44" s="798"/>
      <c r="G44" s="803"/>
      <c r="H44" s="803" t="s">
        <v>166</v>
      </c>
      <c r="I44" s="804">
        <v>1.94</v>
      </c>
      <c r="J44" s="805">
        <f t="shared" si="0"/>
        <v>0</v>
      </c>
    </row>
    <row r="45" spans="1:10" s="1166" customFormat="1" ht="28.5">
      <c r="A45" s="799">
        <f>ROW()</f>
        <v>45</v>
      </c>
      <c r="B45" s="806">
        <f t="shared" si="1"/>
        <v>33</v>
      </c>
      <c r="C45" s="1167" t="s">
        <v>2507</v>
      </c>
      <c r="D45" s="802" t="s">
        <v>1520</v>
      </c>
      <c r="E45" s="797"/>
      <c r="F45" s="798"/>
      <c r="G45" s="803"/>
      <c r="H45" s="803" t="s">
        <v>1488</v>
      </c>
      <c r="I45" s="804">
        <v>0.69</v>
      </c>
      <c r="J45" s="805">
        <f t="shared" si="0"/>
        <v>0</v>
      </c>
    </row>
    <row r="46" spans="1:10" s="1166" customFormat="1" ht="28.5">
      <c r="A46" s="799">
        <f>ROW()</f>
        <v>46</v>
      </c>
      <c r="B46" s="806">
        <f t="shared" si="1"/>
        <v>34</v>
      </c>
      <c r="C46" s="1167" t="s">
        <v>2507</v>
      </c>
      <c r="D46" s="802" t="s">
        <v>1521</v>
      </c>
      <c r="E46" s="797"/>
      <c r="F46" s="798"/>
      <c r="G46" s="803"/>
      <c r="H46" s="803" t="s">
        <v>166</v>
      </c>
      <c r="I46" s="804">
        <v>1.69</v>
      </c>
      <c r="J46" s="805">
        <f t="shared" si="0"/>
        <v>0</v>
      </c>
    </row>
    <row r="47" spans="1:10" s="1166" customFormat="1" ht="28.5">
      <c r="A47" s="799">
        <f>ROW()</f>
        <v>47</v>
      </c>
      <c r="B47" s="806">
        <f t="shared" si="1"/>
        <v>35</v>
      </c>
      <c r="C47" s="1167" t="s">
        <v>2507</v>
      </c>
      <c r="D47" s="802" t="s">
        <v>1522</v>
      </c>
      <c r="E47" s="797"/>
      <c r="F47" s="798"/>
      <c r="G47" s="803"/>
      <c r="H47" s="803" t="s">
        <v>166</v>
      </c>
      <c r="I47" s="804">
        <v>15.24</v>
      </c>
      <c r="J47" s="805">
        <f t="shared" si="0"/>
        <v>0</v>
      </c>
    </row>
    <row r="48" spans="1:10" s="1166" customFormat="1" ht="28.5">
      <c r="A48" s="799">
        <f>ROW()</f>
        <v>48</v>
      </c>
      <c r="B48" s="806">
        <f t="shared" si="1"/>
        <v>36</v>
      </c>
      <c r="C48" s="1167" t="s">
        <v>2507</v>
      </c>
      <c r="D48" s="802" t="s">
        <v>1523</v>
      </c>
      <c r="E48" s="797"/>
      <c r="F48" s="798"/>
      <c r="G48" s="803"/>
      <c r="H48" s="803" t="s">
        <v>166</v>
      </c>
      <c r="I48" s="804">
        <v>1.52</v>
      </c>
      <c r="J48" s="805">
        <f t="shared" si="0"/>
        <v>0</v>
      </c>
    </row>
    <row r="49" spans="1:10" s="1166" customFormat="1" ht="28.5">
      <c r="A49" s="799">
        <f>ROW()</f>
        <v>49</v>
      </c>
      <c r="B49" s="806">
        <f t="shared" si="1"/>
        <v>37</v>
      </c>
      <c r="C49" s="1167" t="s">
        <v>2507</v>
      </c>
      <c r="D49" s="802" t="s">
        <v>1524</v>
      </c>
      <c r="E49" s="797"/>
      <c r="F49" s="798"/>
      <c r="G49" s="803"/>
      <c r="H49" s="803" t="s">
        <v>166</v>
      </c>
      <c r="I49" s="804">
        <v>2.29</v>
      </c>
      <c r="J49" s="805">
        <f t="shared" si="0"/>
        <v>0</v>
      </c>
    </row>
    <row r="50" spans="1:10" s="1166" customFormat="1" ht="28.5">
      <c r="A50" s="799">
        <f>ROW()</f>
        <v>50</v>
      </c>
      <c r="B50" s="806">
        <f t="shared" si="1"/>
        <v>38</v>
      </c>
      <c r="C50" s="1167" t="s">
        <v>2507</v>
      </c>
      <c r="D50" s="802" t="s">
        <v>1525</v>
      </c>
      <c r="E50" s="797"/>
      <c r="F50" s="798"/>
      <c r="G50" s="803"/>
      <c r="H50" s="803" t="s">
        <v>1526</v>
      </c>
      <c r="I50" s="804">
        <v>1.83</v>
      </c>
      <c r="J50" s="805">
        <f t="shared" si="0"/>
        <v>0</v>
      </c>
    </row>
    <row r="51" spans="1:10" s="1166" customFormat="1" ht="28.5">
      <c r="A51" s="799">
        <f>ROW()</f>
        <v>51</v>
      </c>
      <c r="B51" s="806">
        <f t="shared" si="1"/>
        <v>39</v>
      </c>
      <c r="C51" s="1167" t="s">
        <v>2507</v>
      </c>
      <c r="D51" s="802" t="s">
        <v>1527</v>
      </c>
      <c r="E51" s="797"/>
      <c r="F51" s="798"/>
      <c r="G51" s="803"/>
      <c r="H51" s="803" t="s">
        <v>166</v>
      </c>
      <c r="I51" s="804">
        <v>7.32</v>
      </c>
      <c r="J51" s="805">
        <f t="shared" si="0"/>
        <v>0</v>
      </c>
    </row>
    <row r="52" spans="1:10" s="1166" customFormat="1" ht="28.5">
      <c r="A52" s="799">
        <f>ROW()</f>
        <v>52</v>
      </c>
      <c r="B52" s="806">
        <f t="shared" si="1"/>
        <v>40</v>
      </c>
      <c r="C52" s="1167" t="s">
        <v>2507</v>
      </c>
      <c r="D52" s="802" t="s">
        <v>1461</v>
      </c>
      <c r="E52" s="797"/>
      <c r="F52" s="798"/>
      <c r="G52" s="803"/>
      <c r="H52" s="803" t="s">
        <v>1528</v>
      </c>
      <c r="I52" s="804">
        <v>0.49</v>
      </c>
      <c r="J52" s="805">
        <f t="shared" si="0"/>
        <v>0</v>
      </c>
    </row>
    <row r="53" spans="1:10" s="1166" customFormat="1" ht="28.5">
      <c r="A53" s="799">
        <f>ROW()</f>
        <v>53</v>
      </c>
      <c r="B53" s="806">
        <f t="shared" si="1"/>
        <v>41</v>
      </c>
      <c r="C53" s="1167" t="s">
        <v>2507</v>
      </c>
      <c r="D53" s="802" t="s">
        <v>1461</v>
      </c>
      <c r="E53" s="797"/>
      <c r="F53" s="798"/>
      <c r="G53" s="803"/>
      <c r="H53" s="803" t="s">
        <v>166</v>
      </c>
      <c r="I53" s="804">
        <v>5.4</v>
      </c>
      <c r="J53" s="805">
        <f t="shared" si="0"/>
        <v>0</v>
      </c>
    </row>
    <row r="54" spans="1:10" s="1166" customFormat="1" ht="28.5">
      <c r="A54" s="799">
        <f>ROW()</f>
        <v>54</v>
      </c>
      <c r="B54" s="806">
        <f t="shared" si="1"/>
        <v>42</v>
      </c>
      <c r="C54" s="1167" t="s">
        <v>2507</v>
      </c>
      <c r="D54" s="802" t="s">
        <v>1529</v>
      </c>
      <c r="E54" s="797"/>
      <c r="F54" s="798"/>
      <c r="G54" s="803"/>
      <c r="H54" s="803" t="s">
        <v>166</v>
      </c>
      <c r="I54" s="804">
        <v>10.67</v>
      </c>
      <c r="J54" s="805">
        <f t="shared" si="0"/>
        <v>0</v>
      </c>
    </row>
    <row r="55" spans="1:10" s="1166" customFormat="1" ht="28.5">
      <c r="A55" s="799">
        <f>ROW()</f>
        <v>55</v>
      </c>
      <c r="B55" s="806">
        <f t="shared" si="1"/>
        <v>43</v>
      </c>
      <c r="C55" s="1167" t="s">
        <v>2507</v>
      </c>
      <c r="D55" s="802" t="s">
        <v>1530</v>
      </c>
      <c r="E55" s="797"/>
      <c r="F55" s="798"/>
      <c r="G55" s="803"/>
      <c r="H55" s="803" t="s">
        <v>1488</v>
      </c>
      <c r="I55" s="804">
        <v>0.73</v>
      </c>
      <c r="J55" s="805">
        <f t="shared" si="0"/>
        <v>0</v>
      </c>
    </row>
    <row r="56" spans="1:10" s="1166" customFormat="1" ht="28.5">
      <c r="A56" s="799">
        <f>ROW()</f>
        <v>56</v>
      </c>
      <c r="B56" s="806">
        <f t="shared" si="1"/>
        <v>44</v>
      </c>
      <c r="C56" s="1167" t="s">
        <v>2507</v>
      </c>
      <c r="D56" s="802" t="s">
        <v>1531</v>
      </c>
      <c r="E56" s="797"/>
      <c r="F56" s="798"/>
      <c r="G56" s="803"/>
      <c r="H56" s="803" t="s">
        <v>166</v>
      </c>
      <c r="I56" s="804">
        <v>8.84</v>
      </c>
      <c r="J56" s="805">
        <f t="shared" si="0"/>
        <v>0</v>
      </c>
    </row>
    <row r="57" spans="1:10" s="1166" customFormat="1" ht="28.5">
      <c r="A57" s="799">
        <f>ROW()</f>
        <v>57</v>
      </c>
      <c r="B57" s="806">
        <f t="shared" si="1"/>
        <v>45</v>
      </c>
      <c r="C57" s="1167" t="s">
        <v>2507</v>
      </c>
      <c r="D57" s="802" t="s">
        <v>1532</v>
      </c>
      <c r="E57" s="797"/>
      <c r="F57" s="798"/>
      <c r="G57" s="803"/>
      <c r="H57" s="803" t="s">
        <v>166</v>
      </c>
      <c r="I57" s="804">
        <v>1.25</v>
      </c>
      <c r="J57" s="805">
        <f t="shared" si="0"/>
        <v>0</v>
      </c>
    </row>
    <row r="58" spans="1:10" s="1166" customFormat="1" ht="28.5">
      <c r="A58" s="799">
        <f>ROW()</f>
        <v>58</v>
      </c>
      <c r="B58" s="806">
        <f t="shared" si="1"/>
        <v>46</v>
      </c>
      <c r="C58" s="1167" t="s">
        <v>2507</v>
      </c>
      <c r="D58" s="802" t="s">
        <v>1533</v>
      </c>
      <c r="E58" s="797"/>
      <c r="F58" s="798"/>
      <c r="G58" s="803"/>
      <c r="H58" s="803" t="s">
        <v>166</v>
      </c>
      <c r="I58" s="804">
        <v>1.04</v>
      </c>
      <c r="J58" s="805">
        <f t="shared" si="0"/>
        <v>0</v>
      </c>
    </row>
    <row r="59" spans="1:10" s="1166" customFormat="1" ht="28.5">
      <c r="A59" s="799">
        <f>ROW()</f>
        <v>59</v>
      </c>
      <c r="B59" s="806">
        <f t="shared" si="1"/>
        <v>47</v>
      </c>
      <c r="C59" s="1167" t="s">
        <v>2507</v>
      </c>
      <c r="D59" s="802" t="s">
        <v>1534</v>
      </c>
      <c r="E59" s="797"/>
      <c r="F59" s="798"/>
      <c r="G59" s="803"/>
      <c r="H59" s="803" t="s">
        <v>1488</v>
      </c>
      <c r="I59" s="804">
        <v>0.76</v>
      </c>
      <c r="J59" s="805">
        <f t="shared" si="0"/>
        <v>0</v>
      </c>
    </row>
    <row r="60" spans="1:10" s="1166" customFormat="1" ht="28.5">
      <c r="A60" s="799">
        <f>ROW()</f>
        <v>60</v>
      </c>
      <c r="B60" s="806">
        <f t="shared" si="1"/>
        <v>48</v>
      </c>
      <c r="C60" s="1167" t="s">
        <v>2507</v>
      </c>
      <c r="D60" s="802" t="s">
        <v>1535</v>
      </c>
      <c r="E60" s="797"/>
      <c r="F60" s="798"/>
      <c r="G60" s="803"/>
      <c r="H60" s="803" t="s">
        <v>1488</v>
      </c>
      <c r="I60" s="804">
        <v>0.24</v>
      </c>
      <c r="J60" s="805">
        <f t="shared" si="0"/>
        <v>0</v>
      </c>
    </row>
    <row r="61" spans="1:10" s="1166" customFormat="1" ht="28.5">
      <c r="A61" s="799">
        <f>ROW()</f>
        <v>61</v>
      </c>
      <c r="B61" s="806">
        <f t="shared" si="1"/>
        <v>49</v>
      </c>
      <c r="C61" s="1167" t="s">
        <v>2507</v>
      </c>
      <c r="D61" s="802" t="s">
        <v>1536</v>
      </c>
      <c r="E61" s="797"/>
      <c r="F61" s="798"/>
      <c r="G61" s="803"/>
      <c r="H61" s="803" t="s">
        <v>166</v>
      </c>
      <c r="I61" s="804">
        <v>4.2699999999999996</v>
      </c>
      <c r="J61" s="805">
        <f t="shared" si="0"/>
        <v>0</v>
      </c>
    </row>
    <row r="62" spans="1:10" s="1166" customFormat="1" ht="28.5">
      <c r="A62" s="799">
        <f>ROW()</f>
        <v>62</v>
      </c>
      <c r="B62" s="806">
        <f t="shared" si="1"/>
        <v>50</v>
      </c>
      <c r="C62" s="1167" t="s">
        <v>2507</v>
      </c>
      <c r="D62" s="802" t="s">
        <v>1537</v>
      </c>
      <c r="E62" s="797"/>
      <c r="F62" s="798"/>
      <c r="G62" s="803"/>
      <c r="H62" s="803" t="s">
        <v>166</v>
      </c>
      <c r="I62" s="804">
        <v>8.34</v>
      </c>
      <c r="J62" s="805">
        <f t="shared" si="0"/>
        <v>0</v>
      </c>
    </row>
    <row r="63" spans="1:10" s="1166" customFormat="1" ht="28.5">
      <c r="A63" s="799">
        <f>ROW()</f>
        <v>63</v>
      </c>
      <c r="B63" s="806">
        <f t="shared" si="1"/>
        <v>51</v>
      </c>
      <c r="C63" s="1167" t="s">
        <v>2507</v>
      </c>
      <c r="D63" s="802" t="s">
        <v>1538</v>
      </c>
      <c r="E63" s="797"/>
      <c r="F63" s="798"/>
      <c r="G63" s="803"/>
      <c r="H63" s="803" t="s">
        <v>166</v>
      </c>
      <c r="I63" s="804">
        <v>1.52</v>
      </c>
      <c r="J63" s="805">
        <f t="shared" si="0"/>
        <v>0</v>
      </c>
    </row>
    <row r="64" spans="1:10" s="1166" customFormat="1" ht="28.5">
      <c r="A64" s="799">
        <f>ROW()</f>
        <v>64</v>
      </c>
      <c r="B64" s="806">
        <f t="shared" si="1"/>
        <v>52</v>
      </c>
      <c r="C64" s="1167" t="s">
        <v>2507</v>
      </c>
      <c r="D64" s="802" t="s">
        <v>1539</v>
      </c>
      <c r="E64" s="797"/>
      <c r="F64" s="798"/>
      <c r="G64" s="803"/>
      <c r="H64" s="803" t="s">
        <v>166</v>
      </c>
      <c r="I64" s="804">
        <v>4.42</v>
      </c>
      <c r="J64" s="805">
        <f t="shared" si="0"/>
        <v>0</v>
      </c>
    </row>
    <row r="65" spans="1:10" s="1166" customFormat="1" ht="28.5">
      <c r="A65" s="799">
        <f>ROW()</f>
        <v>65</v>
      </c>
      <c r="B65" s="806">
        <f t="shared" si="1"/>
        <v>53</v>
      </c>
      <c r="C65" s="1167" t="s">
        <v>2507</v>
      </c>
      <c r="D65" s="802" t="s">
        <v>1540</v>
      </c>
      <c r="E65" s="797"/>
      <c r="F65" s="798"/>
      <c r="G65" s="803"/>
      <c r="H65" s="803" t="s">
        <v>166</v>
      </c>
      <c r="I65" s="804">
        <v>0.98</v>
      </c>
      <c r="J65" s="805">
        <f t="shared" si="0"/>
        <v>0</v>
      </c>
    </row>
    <row r="66" spans="1:10" s="1166" customFormat="1" ht="28.5">
      <c r="A66" s="799">
        <f>ROW()</f>
        <v>66</v>
      </c>
      <c r="B66" s="806">
        <f t="shared" si="1"/>
        <v>54</v>
      </c>
      <c r="C66" s="1167" t="s">
        <v>2507</v>
      </c>
      <c r="D66" s="802" t="s">
        <v>1541</v>
      </c>
      <c r="E66" s="797"/>
      <c r="F66" s="798"/>
      <c r="G66" s="803"/>
      <c r="H66" s="803" t="s">
        <v>166</v>
      </c>
      <c r="I66" s="804">
        <v>0.44</v>
      </c>
      <c r="J66" s="805">
        <f t="shared" si="0"/>
        <v>0</v>
      </c>
    </row>
    <row r="67" spans="1:10" s="1166" customFormat="1" ht="28.5">
      <c r="A67" s="799">
        <f>ROW()</f>
        <v>67</v>
      </c>
      <c r="B67" s="806">
        <f t="shared" si="1"/>
        <v>55</v>
      </c>
      <c r="C67" s="1167" t="s">
        <v>2507</v>
      </c>
      <c r="D67" s="802" t="s">
        <v>1542</v>
      </c>
      <c r="E67" s="797"/>
      <c r="F67" s="798"/>
      <c r="G67" s="803"/>
      <c r="H67" s="803" t="s">
        <v>166</v>
      </c>
      <c r="I67" s="804">
        <v>0.69</v>
      </c>
      <c r="J67" s="805">
        <f t="shared" si="0"/>
        <v>0</v>
      </c>
    </row>
    <row r="68" spans="1:10" s="1166" customFormat="1" ht="28.5">
      <c r="A68" s="799">
        <f>ROW()</f>
        <v>68</v>
      </c>
      <c r="B68" s="806">
        <f t="shared" si="1"/>
        <v>56</v>
      </c>
      <c r="C68" s="1167" t="s">
        <v>2507</v>
      </c>
      <c r="D68" s="802" t="s">
        <v>1543</v>
      </c>
      <c r="E68" s="797"/>
      <c r="F68" s="798"/>
      <c r="G68" s="803"/>
      <c r="H68" s="803" t="s">
        <v>1488</v>
      </c>
      <c r="I68" s="804">
        <v>0.52</v>
      </c>
      <c r="J68" s="805">
        <f t="shared" si="0"/>
        <v>0</v>
      </c>
    </row>
    <row r="69" spans="1:10" s="1166" customFormat="1" ht="28.5">
      <c r="A69" s="799">
        <f>ROW()</f>
        <v>69</v>
      </c>
      <c r="B69" s="806">
        <f t="shared" si="1"/>
        <v>57</v>
      </c>
      <c r="C69" s="1167" t="s">
        <v>2507</v>
      </c>
      <c r="D69" s="802" t="s">
        <v>1544</v>
      </c>
      <c r="E69" s="797"/>
      <c r="F69" s="798"/>
      <c r="G69" s="803"/>
      <c r="H69" s="803" t="s">
        <v>166</v>
      </c>
      <c r="I69" s="804">
        <v>3.87</v>
      </c>
      <c r="J69" s="805">
        <f t="shared" si="0"/>
        <v>0</v>
      </c>
    </row>
    <row r="70" spans="1:10" s="1166" customFormat="1" ht="28.5">
      <c r="A70" s="799">
        <f>ROW()</f>
        <v>70</v>
      </c>
      <c r="B70" s="806">
        <f t="shared" si="1"/>
        <v>58</v>
      </c>
      <c r="C70" s="1167" t="s">
        <v>2507</v>
      </c>
      <c r="D70" s="802" t="s">
        <v>1545</v>
      </c>
      <c r="E70" s="797"/>
      <c r="F70" s="798"/>
      <c r="G70" s="803"/>
      <c r="H70" s="803" t="s">
        <v>1488</v>
      </c>
      <c r="I70" s="804">
        <v>0.91</v>
      </c>
      <c r="J70" s="805">
        <f t="shared" si="0"/>
        <v>0</v>
      </c>
    </row>
    <row r="71" spans="1:10" s="1166" customFormat="1" ht="28.5">
      <c r="A71" s="799">
        <f>ROW()</f>
        <v>71</v>
      </c>
      <c r="B71" s="806">
        <f t="shared" si="1"/>
        <v>59</v>
      </c>
      <c r="C71" s="1167" t="s">
        <v>2507</v>
      </c>
      <c r="D71" s="802" t="s">
        <v>1546</v>
      </c>
      <c r="E71" s="797"/>
      <c r="F71" s="798"/>
      <c r="G71" s="803"/>
      <c r="H71" s="803" t="s">
        <v>166</v>
      </c>
      <c r="I71" s="804">
        <v>2.5499999999999998</v>
      </c>
      <c r="J71" s="805">
        <f t="shared" si="0"/>
        <v>0</v>
      </c>
    </row>
    <row r="72" spans="1:10" s="1166" customFormat="1" ht="28.5">
      <c r="A72" s="799">
        <f>ROW()</f>
        <v>72</v>
      </c>
      <c r="B72" s="806">
        <f t="shared" si="1"/>
        <v>60</v>
      </c>
      <c r="C72" s="1167" t="s">
        <v>2507</v>
      </c>
      <c r="D72" s="802" t="s">
        <v>1547</v>
      </c>
      <c r="E72" s="797"/>
      <c r="F72" s="798"/>
      <c r="G72" s="803"/>
      <c r="H72" s="803" t="s">
        <v>166</v>
      </c>
      <c r="I72" s="804">
        <v>1.52</v>
      </c>
      <c r="J72" s="805">
        <f t="shared" si="0"/>
        <v>0</v>
      </c>
    </row>
    <row r="73" spans="1:10" s="1166" customFormat="1" ht="28.5">
      <c r="A73" s="799">
        <f>ROW()</f>
        <v>73</v>
      </c>
      <c r="B73" s="806">
        <f t="shared" si="1"/>
        <v>61</v>
      </c>
      <c r="C73" s="1167" t="s">
        <v>2507</v>
      </c>
      <c r="D73" s="802" t="s">
        <v>1548</v>
      </c>
      <c r="E73" s="797"/>
      <c r="F73" s="798"/>
      <c r="G73" s="803"/>
      <c r="H73" s="803" t="s">
        <v>166</v>
      </c>
      <c r="I73" s="804">
        <v>1.45</v>
      </c>
      <c r="J73" s="805">
        <f t="shared" si="0"/>
        <v>0</v>
      </c>
    </row>
    <row r="74" spans="1:10" s="1166" customFormat="1" ht="28.5">
      <c r="A74" s="799">
        <f>ROW()</f>
        <v>74</v>
      </c>
      <c r="B74" s="806">
        <f t="shared" si="1"/>
        <v>62</v>
      </c>
      <c r="C74" s="1167" t="s">
        <v>2507</v>
      </c>
      <c r="D74" s="802" t="s">
        <v>1549</v>
      </c>
      <c r="E74" s="797"/>
      <c r="F74" s="798"/>
      <c r="G74" s="803"/>
      <c r="H74" s="803" t="s">
        <v>1550</v>
      </c>
      <c r="I74" s="804">
        <v>3.66</v>
      </c>
      <c r="J74" s="805">
        <f t="shared" si="0"/>
        <v>0</v>
      </c>
    </row>
    <row r="75" spans="1:10" s="1166" customFormat="1" ht="28.5">
      <c r="A75" s="799">
        <f>ROW()</f>
        <v>75</v>
      </c>
      <c r="B75" s="806">
        <f t="shared" si="1"/>
        <v>63</v>
      </c>
      <c r="C75" s="1167" t="s">
        <v>2507</v>
      </c>
      <c r="D75" s="802" t="s">
        <v>1551</v>
      </c>
      <c r="E75" s="797"/>
      <c r="F75" s="798"/>
      <c r="G75" s="803"/>
      <c r="H75" s="803" t="s">
        <v>1550</v>
      </c>
      <c r="I75" s="804">
        <v>1.49</v>
      </c>
      <c r="J75" s="805">
        <f t="shared" si="0"/>
        <v>0</v>
      </c>
    </row>
    <row r="76" spans="1:10" s="1166" customFormat="1" ht="28.5">
      <c r="A76" s="799">
        <f>ROW()</f>
        <v>76</v>
      </c>
      <c r="B76" s="806">
        <f t="shared" si="1"/>
        <v>64</v>
      </c>
      <c r="C76" s="1167" t="s">
        <v>2507</v>
      </c>
      <c r="D76" s="802" t="s">
        <v>1552</v>
      </c>
      <c r="E76" s="797"/>
      <c r="F76" s="798"/>
      <c r="G76" s="803"/>
      <c r="H76" s="803" t="s">
        <v>166</v>
      </c>
      <c r="I76" s="804">
        <v>10.37</v>
      </c>
      <c r="J76" s="805">
        <f t="shared" si="0"/>
        <v>0</v>
      </c>
    </row>
    <row r="77" spans="1:10" s="1166" customFormat="1" ht="28.5">
      <c r="A77" s="799">
        <f>ROW()</f>
        <v>77</v>
      </c>
      <c r="B77" s="806">
        <f t="shared" si="1"/>
        <v>65</v>
      </c>
      <c r="C77" s="1170" t="s">
        <v>2509</v>
      </c>
      <c r="D77" s="802" t="s">
        <v>1553</v>
      </c>
      <c r="E77" s="797"/>
      <c r="F77" s="798"/>
      <c r="G77" s="803"/>
      <c r="H77" s="803" t="s">
        <v>1528</v>
      </c>
      <c r="I77" s="804">
        <v>2.27</v>
      </c>
      <c r="J77" s="805">
        <f t="shared" ref="J77:J140" si="2">I77*G77</f>
        <v>0</v>
      </c>
    </row>
    <row r="78" spans="1:10" s="1166" customFormat="1" ht="28.5">
      <c r="A78" s="799">
        <f>ROW()</f>
        <v>78</v>
      </c>
      <c r="B78" s="806">
        <f t="shared" si="1"/>
        <v>66</v>
      </c>
      <c r="C78" s="1170" t="s">
        <v>2509</v>
      </c>
      <c r="D78" s="802" t="s">
        <v>1554</v>
      </c>
      <c r="E78" s="797"/>
      <c r="F78" s="798"/>
      <c r="G78" s="803"/>
      <c r="H78" s="803" t="s">
        <v>166</v>
      </c>
      <c r="I78" s="804">
        <v>1.1399999999999999</v>
      </c>
      <c r="J78" s="805">
        <f t="shared" si="2"/>
        <v>0</v>
      </c>
    </row>
    <row r="79" spans="1:10" s="1166" customFormat="1" ht="28.5">
      <c r="A79" s="799">
        <f>ROW()</f>
        <v>79</v>
      </c>
      <c r="B79" s="806">
        <f t="shared" si="1"/>
        <v>67</v>
      </c>
      <c r="C79" s="1170" t="s">
        <v>2509</v>
      </c>
      <c r="D79" s="802" t="s">
        <v>1555</v>
      </c>
      <c r="E79" s="797"/>
      <c r="F79" s="798"/>
      <c r="G79" s="803"/>
      <c r="H79" s="803" t="s">
        <v>166</v>
      </c>
      <c r="I79" s="804">
        <v>4.97</v>
      </c>
      <c r="J79" s="805">
        <f t="shared" si="2"/>
        <v>0</v>
      </c>
    </row>
    <row r="80" spans="1:10" s="1166" customFormat="1" ht="28.5">
      <c r="A80" s="799">
        <f>ROW()</f>
        <v>80</v>
      </c>
      <c r="B80" s="806">
        <f t="shared" ref="B80:B143" si="3">IF(C80="I","",IF(ISBLANK(D80),"",IF(ISTEXT(D80),LARGE(B76:B79,1)+1,0)))</f>
        <v>68</v>
      </c>
      <c r="C80" s="1170" t="s">
        <v>2509</v>
      </c>
      <c r="D80" s="802" t="s">
        <v>1556</v>
      </c>
      <c r="E80" s="797"/>
      <c r="F80" s="798"/>
      <c r="G80" s="803"/>
      <c r="H80" s="803" t="s">
        <v>166</v>
      </c>
      <c r="I80" s="804">
        <v>3.38</v>
      </c>
      <c r="J80" s="805">
        <f t="shared" si="2"/>
        <v>0</v>
      </c>
    </row>
    <row r="81" spans="1:10" s="1166" customFormat="1" ht="28.5">
      <c r="A81" s="799">
        <f>ROW()</f>
        <v>81</v>
      </c>
      <c r="B81" s="806">
        <f t="shared" si="3"/>
        <v>69</v>
      </c>
      <c r="C81" s="1170" t="s">
        <v>2509</v>
      </c>
      <c r="D81" s="802" t="s">
        <v>1557</v>
      </c>
      <c r="E81" s="797"/>
      <c r="F81" s="798"/>
      <c r="G81" s="803"/>
      <c r="H81" s="803" t="s">
        <v>166</v>
      </c>
      <c r="I81" s="804">
        <v>3.99</v>
      </c>
      <c r="J81" s="805">
        <f t="shared" si="2"/>
        <v>0</v>
      </c>
    </row>
    <row r="82" spans="1:10" s="1166" customFormat="1" ht="28.5">
      <c r="A82" s="799">
        <f>ROW()</f>
        <v>82</v>
      </c>
      <c r="B82" s="806">
        <f t="shared" si="3"/>
        <v>70</v>
      </c>
      <c r="C82" s="1170" t="s">
        <v>2509</v>
      </c>
      <c r="D82" s="802" t="s">
        <v>1558</v>
      </c>
      <c r="E82" s="797"/>
      <c r="F82" s="798"/>
      <c r="G82" s="803"/>
      <c r="H82" s="803" t="s">
        <v>166</v>
      </c>
      <c r="I82" s="804">
        <v>12.2</v>
      </c>
      <c r="J82" s="805">
        <f t="shared" si="2"/>
        <v>0</v>
      </c>
    </row>
    <row r="83" spans="1:10" s="1166" customFormat="1" ht="28.5">
      <c r="A83" s="799">
        <f>ROW()</f>
        <v>83</v>
      </c>
      <c r="B83" s="806">
        <f t="shared" si="3"/>
        <v>71</v>
      </c>
      <c r="C83" s="1170" t="s">
        <v>2509</v>
      </c>
      <c r="D83" s="802" t="s">
        <v>1559</v>
      </c>
      <c r="E83" s="797"/>
      <c r="F83" s="798"/>
      <c r="G83" s="803"/>
      <c r="H83" s="803" t="s">
        <v>166</v>
      </c>
      <c r="I83" s="804">
        <v>3.66</v>
      </c>
      <c r="J83" s="805">
        <f t="shared" si="2"/>
        <v>0</v>
      </c>
    </row>
    <row r="84" spans="1:10" s="1166" customFormat="1" ht="28.5">
      <c r="A84" s="799">
        <f>ROW()</f>
        <v>84</v>
      </c>
      <c r="B84" s="806">
        <f t="shared" si="3"/>
        <v>72</v>
      </c>
      <c r="C84" s="1170" t="s">
        <v>2509</v>
      </c>
      <c r="D84" s="802" t="s">
        <v>1560</v>
      </c>
      <c r="E84" s="797"/>
      <c r="F84" s="798"/>
      <c r="G84" s="803"/>
      <c r="H84" s="803" t="s">
        <v>166</v>
      </c>
      <c r="I84" s="804">
        <v>9.8800000000000008</v>
      </c>
      <c r="J84" s="805">
        <f t="shared" si="2"/>
        <v>0</v>
      </c>
    </row>
    <row r="85" spans="1:10" s="1166" customFormat="1" ht="28.5">
      <c r="A85" s="799">
        <f>ROW()</f>
        <v>85</v>
      </c>
      <c r="B85" s="806">
        <f t="shared" si="3"/>
        <v>73</v>
      </c>
      <c r="C85" s="1170" t="s">
        <v>2509</v>
      </c>
      <c r="D85" s="802" t="s">
        <v>1561</v>
      </c>
      <c r="E85" s="797"/>
      <c r="F85" s="798"/>
      <c r="G85" s="803"/>
      <c r="H85" s="803" t="s">
        <v>1528</v>
      </c>
      <c r="I85" s="804">
        <v>0.5</v>
      </c>
      <c r="J85" s="805">
        <f t="shared" si="2"/>
        <v>0</v>
      </c>
    </row>
    <row r="86" spans="1:10" s="1166" customFormat="1" ht="28.5">
      <c r="A86" s="799">
        <f>ROW()</f>
        <v>86</v>
      </c>
      <c r="B86" s="806">
        <f t="shared" si="3"/>
        <v>74</v>
      </c>
      <c r="C86" s="1170" t="s">
        <v>2509</v>
      </c>
      <c r="D86" s="802" t="s">
        <v>1562</v>
      </c>
      <c r="E86" s="797"/>
      <c r="F86" s="798"/>
      <c r="G86" s="803"/>
      <c r="H86" s="803" t="s">
        <v>166</v>
      </c>
      <c r="I86" s="804">
        <v>7.62</v>
      </c>
      <c r="J86" s="805">
        <f t="shared" si="2"/>
        <v>0</v>
      </c>
    </row>
    <row r="87" spans="1:10" s="1166" customFormat="1" ht="28.5">
      <c r="A87" s="799">
        <f>ROW()</f>
        <v>87</v>
      </c>
      <c r="B87" s="806">
        <f t="shared" si="3"/>
        <v>75</v>
      </c>
      <c r="C87" s="1170" t="s">
        <v>2509</v>
      </c>
      <c r="D87" s="802" t="s">
        <v>1563</v>
      </c>
      <c r="E87" s="797"/>
      <c r="F87" s="798"/>
      <c r="G87" s="803"/>
      <c r="H87" s="803" t="s">
        <v>1528</v>
      </c>
      <c r="I87" s="804">
        <v>1.37</v>
      </c>
      <c r="J87" s="805">
        <f t="shared" si="2"/>
        <v>0</v>
      </c>
    </row>
    <row r="88" spans="1:10" s="1166" customFormat="1" ht="28.5">
      <c r="A88" s="799">
        <f>ROW()</f>
        <v>88</v>
      </c>
      <c r="B88" s="806">
        <f t="shared" si="3"/>
        <v>76</v>
      </c>
      <c r="C88" s="1170" t="s">
        <v>2509</v>
      </c>
      <c r="D88" s="802" t="s">
        <v>1564</v>
      </c>
      <c r="E88" s="797"/>
      <c r="F88" s="798"/>
      <c r="G88" s="803"/>
      <c r="H88" s="803" t="s">
        <v>166</v>
      </c>
      <c r="I88" s="804">
        <v>3.64</v>
      </c>
      <c r="J88" s="805">
        <f t="shared" si="2"/>
        <v>0</v>
      </c>
    </row>
    <row r="89" spans="1:10" s="1166" customFormat="1" ht="28.5">
      <c r="A89" s="799">
        <f>ROW()</f>
        <v>89</v>
      </c>
      <c r="B89" s="806">
        <f t="shared" si="3"/>
        <v>77</v>
      </c>
      <c r="C89" s="1170" t="s">
        <v>2509</v>
      </c>
      <c r="D89" s="802" t="s">
        <v>1565</v>
      </c>
      <c r="E89" s="797"/>
      <c r="F89" s="798"/>
      <c r="G89" s="803"/>
      <c r="H89" s="803" t="s">
        <v>166</v>
      </c>
      <c r="I89" s="804">
        <v>4.82</v>
      </c>
      <c r="J89" s="805">
        <f t="shared" si="2"/>
        <v>0</v>
      </c>
    </row>
    <row r="90" spans="1:10" s="1166" customFormat="1" ht="28.5">
      <c r="A90" s="799">
        <f>ROW()</f>
        <v>90</v>
      </c>
      <c r="B90" s="806">
        <f t="shared" si="3"/>
        <v>78</v>
      </c>
      <c r="C90" s="1170" t="s">
        <v>2509</v>
      </c>
      <c r="D90" s="802" t="s">
        <v>1566</v>
      </c>
      <c r="E90" s="797"/>
      <c r="F90" s="798"/>
      <c r="G90" s="803"/>
      <c r="H90" s="803" t="s">
        <v>166</v>
      </c>
      <c r="I90" s="804">
        <v>5.95</v>
      </c>
      <c r="J90" s="805">
        <f t="shared" si="2"/>
        <v>0</v>
      </c>
    </row>
    <row r="91" spans="1:10" s="1166" customFormat="1" ht="28.5">
      <c r="A91" s="799">
        <f>ROW()</f>
        <v>91</v>
      </c>
      <c r="B91" s="806">
        <f t="shared" si="3"/>
        <v>79</v>
      </c>
      <c r="C91" s="1170" t="s">
        <v>2509</v>
      </c>
      <c r="D91" s="802" t="s">
        <v>1567</v>
      </c>
      <c r="E91" s="797"/>
      <c r="F91" s="798"/>
      <c r="G91" s="803"/>
      <c r="H91" s="803" t="s">
        <v>166</v>
      </c>
      <c r="I91" s="804">
        <v>8.23</v>
      </c>
      <c r="J91" s="805">
        <f t="shared" si="2"/>
        <v>0</v>
      </c>
    </row>
    <row r="92" spans="1:10" s="1166" customFormat="1" ht="28.5">
      <c r="A92" s="799">
        <f>ROW()</f>
        <v>92</v>
      </c>
      <c r="B92" s="806">
        <f t="shared" si="3"/>
        <v>80</v>
      </c>
      <c r="C92" s="1170" t="s">
        <v>2509</v>
      </c>
      <c r="D92" s="802" t="s">
        <v>1568</v>
      </c>
      <c r="E92" s="797"/>
      <c r="F92" s="798"/>
      <c r="G92" s="803"/>
      <c r="H92" s="803" t="s">
        <v>1528</v>
      </c>
      <c r="I92" s="804">
        <v>1.07</v>
      </c>
      <c r="J92" s="805">
        <f t="shared" si="2"/>
        <v>0</v>
      </c>
    </row>
    <row r="93" spans="1:10" s="1166" customFormat="1" ht="28.5">
      <c r="A93" s="799">
        <f>ROW()</f>
        <v>93</v>
      </c>
      <c r="B93" s="806">
        <f t="shared" si="3"/>
        <v>81</v>
      </c>
      <c r="C93" s="1170" t="s">
        <v>2509</v>
      </c>
      <c r="D93" s="802" t="s">
        <v>1569</v>
      </c>
      <c r="E93" s="797"/>
      <c r="F93" s="798"/>
      <c r="G93" s="803"/>
      <c r="H93" s="803" t="s">
        <v>166</v>
      </c>
      <c r="I93" s="804">
        <v>1.1599999999999999</v>
      </c>
      <c r="J93" s="805">
        <f t="shared" si="2"/>
        <v>0</v>
      </c>
    </row>
    <row r="94" spans="1:10" s="1166" customFormat="1" ht="28.5">
      <c r="A94" s="799">
        <f>ROW()</f>
        <v>94</v>
      </c>
      <c r="B94" s="806">
        <f t="shared" si="3"/>
        <v>82</v>
      </c>
      <c r="C94" s="1170" t="s">
        <v>2509</v>
      </c>
      <c r="D94" s="802" t="s">
        <v>1570</v>
      </c>
      <c r="E94" s="797"/>
      <c r="F94" s="798"/>
      <c r="G94" s="803"/>
      <c r="H94" s="803" t="s">
        <v>1528</v>
      </c>
      <c r="I94" s="804">
        <v>1.1100000000000001</v>
      </c>
      <c r="J94" s="805">
        <f t="shared" si="2"/>
        <v>0</v>
      </c>
    </row>
    <row r="95" spans="1:10" s="1166" customFormat="1" ht="28.5">
      <c r="A95" s="799">
        <f>ROW()</f>
        <v>95</v>
      </c>
      <c r="B95" s="806">
        <f t="shared" si="3"/>
        <v>83</v>
      </c>
      <c r="C95" s="1169" t="s">
        <v>2508</v>
      </c>
      <c r="D95" s="802" t="s">
        <v>1571</v>
      </c>
      <c r="E95" s="797"/>
      <c r="F95" s="798"/>
      <c r="G95" s="803"/>
      <c r="H95" s="803" t="s">
        <v>166</v>
      </c>
      <c r="I95" s="804">
        <v>1.1599999999999999</v>
      </c>
      <c r="J95" s="805">
        <f t="shared" si="2"/>
        <v>0</v>
      </c>
    </row>
    <row r="96" spans="1:10" s="1166" customFormat="1" ht="28.5">
      <c r="A96" s="799">
        <f>ROW()</f>
        <v>96</v>
      </c>
      <c r="B96" s="806">
        <f t="shared" si="3"/>
        <v>84</v>
      </c>
      <c r="C96" s="1170" t="s">
        <v>2509</v>
      </c>
      <c r="D96" s="802" t="s">
        <v>1572</v>
      </c>
      <c r="E96" s="797"/>
      <c r="F96" s="798"/>
      <c r="G96" s="803"/>
      <c r="H96" s="803" t="s">
        <v>166</v>
      </c>
      <c r="I96" s="804">
        <v>2.58</v>
      </c>
      <c r="J96" s="805">
        <f t="shared" si="2"/>
        <v>0</v>
      </c>
    </row>
    <row r="97" spans="1:10" s="1166" customFormat="1" ht="28.5">
      <c r="A97" s="799">
        <f>ROW()</f>
        <v>97</v>
      </c>
      <c r="B97" s="806">
        <f t="shared" si="3"/>
        <v>85</v>
      </c>
      <c r="C97" s="1170" t="s">
        <v>2509</v>
      </c>
      <c r="D97" s="802" t="s">
        <v>1573</v>
      </c>
      <c r="E97" s="797"/>
      <c r="F97" s="798"/>
      <c r="G97" s="803"/>
      <c r="H97" s="803" t="s">
        <v>1486</v>
      </c>
      <c r="I97" s="804">
        <v>2.06</v>
      </c>
      <c r="J97" s="805">
        <f t="shared" si="2"/>
        <v>0</v>
      </c>
    </row>
    <row r="98" spans="1:10" s="1166" customFormat="1" ht="28.5">
      <c r="A98" s="799">
        <f>ROW()</f>
        <v>98</v>
      </c>
      <c r="B98" s="806">
        <f t="shared" si="3"/>
        <v>86</v>
      </c>
      <c r="C98" s="1170" t="s">
        <v>2509</v>
      </c>
      <c r="D98" s="802" t="s">
        <v>1574</v>
      </c>
      <c r="E98" s="797"/>
      <c r="F98" s="798"/>
      <c r="G98" s="803"/>
      <c r="H98" s="803" t="s">
        <v>1486</v>
      </c>
      <c r="I98" s="804">
        <v>1.21</v>
      </c>
      <c r="J98" s="805">
        <f t="shared" si="2"/>
        <v>0</v>
      </c>
    </row>
    <row r="99" spans="1:10" s="1166" customFormat="1" ht="28.5">
      <c r="A99" s="799">
        <f>ROW()</f>
        <v>99</v>
      </c>
      <c r="B99" s="806">
        <f t="shared" si="3"/>
        <v>87</v>
      </c>
      <c r="C99" s="1170" t="s">
        <v>2509</v>
      </c>
      <c r="D99" s="802" t="s">
        <v>1575</v>
      </c>
      <c r="E99" s="797"/>
      <c r="F99" s="798"/>
      <c r="G99" s="803"/>
      <c r="H99" s="803" t="s">
        <v>1486</v>
      </c>
      <c r="I99" s="804">
        <v>1.63</v>
      </c>
      <c r="J99" s="805">
        <f t="shared" si="2"/>
        <v>0</v>
      </c>
    </row>
    <row r="100" spans="1:10" s="1166" customFormat="1" ht="28.5">
      <c r="A100" s="799">
        <f>ROW()</f>
        <v>100</v>
      </c>
      <c r="B100" s="806">
        <f t="shared" si="3"/>
        <v>88</v>
      </c>
      <c r="C100" s="1170" t="s">
        <v>2509</v>
      </c>
      <c r="D100" s="802" t="s">
        <v>1576</v>
      </c>
      <c r="E100" s="797"/>
      <c r="F100" s="798"/>
      <c r="G100" s="803"/>
      <c r="H100" s="803" t="s">
        <v>1486</v>
      </c>
      <c r="I100" s="804">
        <v>1.39</v>
      </c>
      <c r="J100" s="805">
        <f t="shared" si="2"/>
        <v>0</v>
      </c>
    </row>
    <row r="101" spans="1:10" s="1166" customFormat="1" ht="28.5">
      <c r="A101" s="799">
        <f>ROW()</f>
        <v>101</v>
      </c>
      <c r="B101" s="806">
        <f t="shared" si="3"/>
        <v>89</v>
      </c>
      <c r="C101" s="1169" t="s">
        <v>2508</v>
      </c>
      <c r="D101" s="802" t="s">
        <v>1577</v>
      </c>
      <c r="E101" s="797"/>
      <c r="F101" s="798"/>
      <c r="G101" s="803"/>
      <c r="H101" s="803" t="s">
        <v>166</v>
      </c>
      <c r="I101" s="804">
        <v>6.34</v>
      </c>
      <c r="J101" s="805">
        <f t="shared" si="2"/>
        <v>0</v>
      </c>
    </row>
    <row r="102" spans="1:10" s="1166" customFormat="1" ht="28.5">
      <c r="A102" s="799">
        <f>ROW()</f>
        <v>102</v>
      </c>
      <c r="B102" s="806">
        <f t="shared" si="3"/>
        <v>90</v>
      </c>
      <c r="C102" s="1169" t="s">
        <v>2508</v>
      </c>
      <c r="D102" s="802" t="s">
        <v>1578</v>
      </c>
      <c r="E102" s="797"/>
      <c r="F102" s="798"/>
      <c r="G102" s="803"/>
      <c r="H102" s="803" t="s">
        <v>1486</v>
      </c>
      <c r="I102" s="804">
        <v>6.14</v>
      </c>
      <c r="J102" s="805">
        <f t="shared" si="2"/>
        <v>0</v>
      </c>
    </row>
    <row r="103" spans="1:10" s="1166" customFormat="1" ht="28.5">
      <c r="A103" s="799">
        <f>ROW()</f>
        <v>103</v>
      </c>
      <c r="B103" s="806">
        <f t="shared" si="3"/>
        <v>91</v>
      </c>
      <c r="C103" s="1169" t="s">
        <v>2508</v>
      </c>
      <c r="D103" s="802" t="s">
        <v>1579</v>
      </c>
      <c r="E103" s="797"/>
      <c r="F103" s="798"/>
      <c r="G103" s="803"/>
      <c r="H103" s="803" t="s">
        <v>1486</v>
      </c>
      <c r="I103" s="804">
        <v>639</v>
      </c>
      <c r="J103" s="805">
        <f t="shared" si="2"/>
        <v>0</v>
      </c>
    </row>
    <row r="104" spans="1:10" s="1166" customFormat="1" ht="28.5">
      <c r="A104" s="799">
        <f>ROW()</f>
        <v>104</v>
      </c>
      <c r="B104" s="806">
        <f t="shared" si="3"/>
        <v>92</v>
      </c>
      <c r="C104" s="1169" t="s">
        <v>2508</v>
      </c>
      <c r="D104" s="802" t="s">
        <v>1580</v>
      </c>
      <c r="E104" s="797"/>
      <c r="F104" s="798"/>
      <c r="G104" s="803"/>
      <c r="H104" s="803" t="s">
        <v>1486</v>
      </c>
      <c r="I104" s="804">
        <v>1.3</v>
      </c>
      <c r="J104" s="805">
        <f t="shared" si="2"/>
        <v>0</v>
      </c>
    </row>
    <row r="105" spans="1:10" s="1166" customFormat="1" ht="28.5">
      <c r="A105" s="799">
        <f>ROW()</f>
        <v>105</v>
      </c>
      <c r="B105" s="806">
        <f t="shared" si="3"/>
        <v>93</v>
      </c>
      <c r="C105" s="1169" t="s">
        <v>2508</v>
      </c>
      <c r="D105" s="802" t="s">
        <v>1581</v>
      </c>
      <c r="E105" s="797"/>
      <c r="F105" s="798"/>
      <c r="G105" s="803"/>
      <c r="H105" s="803" t="s">
        <v>1582</v>
      </c>
      <c r="I105" s="804">
        <v>1.2</v>
      </c>
      <c r="J105" s="805">
        <f t="shared" si="2"/>
        <v>0</v>
      </c>
    </row>
    <row r="106" spans="1:10" s="1166" customFormat="1" ht="28.5">
      <c r="A106" s="799">
        <f>ROW()</f>
        <v>106</v>
      </c>
      <c r="B106" s="806">
        <f t="shared" si="3"/>
        <v>94</v>
      </c>
      <c r="C106" s="1169" t="s">
        <v>2508</v>
      </c>
      <c r="D106" s="802" t="s">
        <v>1583</v>
      </c>
      <c r="E106" s="797"/>
      <c r="F106" s="798"/>
      <c r="G106" s="803"/>
      <c r="H106" s="803" t="s">
        <v>1584</v>
      </c>
      <c r="I106" s="804">
        <v>4.34</v>
      </c>
      <c r="J106" s="805">
        <f t="shared" si="2"/>
        <v>0</v>
      </c>
    </row>
    <row r="107" spans="1:10" s="1166" customFormat="1" ht="28.5">
      <c r="A107" s="799">
        <f>ROW()</f>
        <v>107</v>
      </c>
      <c r="B107" s="806">
        <f t="shared" si="3"/>
        <v>95</v>
      </c>
      <c r="C107" s="1169" t="s">
        <v>2508</v>
      </c>
      <c r="D107" s="802" t="s">
        <v>1585</v>
      </c>
      <c r="E107" s="797"/>
      <c r="F107" s="798"/>
      <c r="G107" s="803"/>
      <c r="H107" s="803" t="s">
        <v>1486</v>
      </c>
      <c r="I107" s="804">
        <v>31.25</v>
      </c>
      <c r="J107" s="805">
        <f t="shared" si="2"/>
        <v>0</v>
      </c>
    </row>
    <row r="108" spans="1:10" s="1166" customFormat="1" ht="28.5">
      <c r="A108" s="799">
        <f>ROW()</f>
        <v>108</v>
      </c>
      <c r="B108" s="806">
        <f t="shared" si="3"/>
        <v>96</v>
      </c>
      <c r="C108" s="1169" t="s">
        <v>2508</v>
      </c>
      <c r="D108" s="802" t="s">
        <v>1586</v>
      </c>
      <c r="E108" s="797"/>
      <c r="F108" s="798"/>
      <c r="G108" s="803"/>
      <c r="H108" s="803" t="s">
        <v>1486</v>
      </c>
      <c r="I108" s="804">
        <v>4.24</v>
      </c>
      <c r="J108" s="805">
        <f t="shared" si="2"/>
        <v>0</v>
      </c>
    </row>
    <row r="109" spans="1:10" s="1166" customFormat="1" ht="28.5">
      <c r="A109" s="799">
        <f>ROW()</f>
        <v>109</v>
      </c>
      <c r="B109" s="806">
        <f t="shared" si="3"/>
        <v>97</v>
      </c>
      <c r="C109" s="1169" t="s">
        <v>2508</v>
      </c>
      <c r="D109" s="802" t="s">
        <v>1587</v>
      </c>
      <c r="E109" s="797"/>
      <c r="F109" s="798"/>
      <c r="G109" s="803"/>
      <c r="H109" s="803" t="s">
        <v>1588</v>
      </c>
      <c r="I109" s="804">
        <v>1.91</v>
      </c>
      <c r="J109" s="805">
        <f t="shared" si="2"/>
        <v>0</v>
      </c>
    </row>
    <row r="110" spans="1:10" s="1166" customFormat="1" ht="28.5">
      <c r="A110" s="799">
        <f>ROW()</f>
        <v>110</v>
      </c>
      <c r="B110" s="806">
        <f t="shared" si="3"/>
        <v>98</v>
      </c>
      <c r="C110" s="1169" t="s">
        <v>2508</v>
      </c>
      <c r="D110" s="802" t="s">
        <v>1589</v>
      </c>
      <c r="E110" s="797"/>
      <c r="F110" s="798"/>
      <c r="G110" s="803"/>
      <c r="H110" s="803" t="s">
        <v>1590</v>
      </c>
      <c r="I110" s="804">
        <v>1.74</v>
      </c>
      <c r="J110" s="805">
        <f t="shared" si="2"/>
        <v>0</v>
      </c>
    </row>
    <row r="111" spans="1:10" s="1166" customFormat="1" ht="28.5">
      <c r="A111" s="799">
        <f>ROW()</f>
        <v>111</v>
      </c>
      <c r="B111" s="806">
        <f t="shared" si="3"/>
        <v>99</v>
      </c>
      <c r="C111" s="1169" t="s">
        <v>2508</v>
      </c>
      <c r="D111" s="802" t="s">
        <v>1591</v>
      </c>
      <c r="E111" s="797"/>
      <c r="F111" s="798"/>
      <c r="G111" s="803"/>
      <c r="H111" s="803" t="s">
        <v>1486</v>
      </c>
      <c r="I111" s="804">
        <v>3.02</v>
      </c>
      <c r="J111" s="805">
        <f t="shared" si="2"/>
        <v>0</v>
      </c>
    </row>
    <row r="112" spans="1:10" s="1166" customFormat="1" ht="28.5">
      <c r="A112" s="799">
        <f>ROW()</f>
        <v>112</v>
      </c>
      <c r="B112" s="806">
        <f t="shared" si="3"/>
        <v>100</v>
      </c>
      <c r="C112" s="1169" t="s">
        <v>2508</v>
      </c>
      <c r="D112" s="802" t="s">
        <v>1592</v>
      </c>
      <c r="E112" s="797"/>
      <c r="F112" s="798"/>
      <c r="G112" s="803"/>
      <c r="H112" s="803" t="s">
        <v>1486</v>
      </c>
      <c r="I112" s="804">
        <v>12.81</v>
      </c>
      <c r="J112" s="805">
        <f t="shared" si="2"/>
        <v>0</v>
      </c>
    </row>
    <row r="113" spans="1:10" s="1166" customFormat="1" ht="28.5">
      <c r="A113" s="799">
        <f>ROW()</f>
        <v>113</v>
      </c>
      <c r="B113" s="806">
        <f t="shared" si="3"/>
        <v>101</v>
      </c>
      <c r="C113" s="1169" t="s">
        <v>2508</v>
      </c>
      <c r="D113" s="802" t="s">
        <v>1593</v>
      </c>
      <c r="E113" s="797"/>
      <c r="F113" s="798"/>
      <c r="G113" s="803"/>
      <c r="H113" s="803" t="s">
        <v>1486</v>
      </c>
      <c r="I113" s="804">
        <v>13.69</v>
      </c>
      <c r="J113" s="805">
        <f t="shared" si="2"/>
        <v>0</v>
      </c>
    </row>
    <row r="114" spans="1:10" s="1166" customFormat="1" ht="28.5">
      <c r="A114" s="799">
        <f>ROW()</f>
        <v>114</v>
      </c>
      <c r="B114" s="806">
        <f t="shared" si="3"/>
        <v>102</v>
      </c>
      <c r="C114" s="1169" t="s">
        <v>2508</v>
      </c>
      <c r="D114" s="802" t="s">
        <v>1594</v>
      </c>
      <c r="E114" s="797"/>
      <c r="F114" s="798"/>
      <c r="G114" s="803"/>
      <c r="H114" s="803" t="s">
        <v>1486</v>
      </c>
      <c r="I114" s="804">
        <v>1.04</v>
      </c>
      <c r="J114" s="805">
        <f t="shared" si="2"/>
        <v>0</v>
      </c>
    </row>
    <row r="115" spans="1:10" s="1166" customFormat="1" ht="28.5">
      <c r="A115" s="799">
        <f>ROW()</f>
        <v>115</v>
      </c>
      <c r="B115" s="806">
        <f t="shared" si="3"/>
        <v>103</v>
      </c>
      <c r="C115" s="1169" t="s">
        <v>2508</v>
      </c>
      <c r="D115" s="802" t="s">
        <v>1595</v>
      </c>
      <c r="E115" s="797"/>
      <c r="F115" s="798"/>
      <c r="G115" s="803"/>
      <c r="H115" s="803" t="s">
        <v>1486</v>
      </c>
      <c r="I115" s="804">
        <v>11.28</v>
      </c>
      <c r="J115" s="805">
        <f t="shared" si="2"/>
        <v>0</v>
      </c>
    </row>
    <row r="116" spans="1:10" s="1166" customFormat="1" ht="28.5">
      <c r="A116" s="799">
        <f>ROW()</f>
        <v>116</v>
      </c>
      <c r="B116" s="806">
        <f t="shared" si="3"/>
        <v>104</v>
      </c>
      <c r="C116" s="1169" t="s">
        <v>2508</v>
      </c>
      <c r="D116" s="802" t="s">
        <v>1596</v>
      </c>
      <c r="E116" s="797"/>
      <c r="F116" s="798"/>
      <c r="G116" s="803"/>
      <c r="H116" s="803" t="s">
        <v>1486</v>
      </c>
      <c r="I116" s="804">
        <v>2.7</v>
      </c>
      <c r="J116" s="805">
        <f t="shared" si="2"/>
        <v>0</v>
      </c>
    </row>
    <row r="117" spans="1:10" s="1166" customFormat="1" ht="28.5">
      <c r="A117" s="799">
        <f>ROW()</f>
        <v>117</v>
      </c>
      <c r="B117" s="806">
        <f t="shared" si="3"/>
        <v>105</v>
      </c>
      <c r="C117" s="1169" t="s">
        <v>2508</v>
      </c>
      <c r="D117" s="802" t="s">
        <v>1597</v>
      </c>
      <c r="E117" s="797"/>
      <c r="F117" s="798"/>
      <c r="G117" s="803"/>
      <c r="H117" s="803" t="s">
        <v>166</v>
      </c>
      <c r="I117" s="804">
        <v>1.46</v>
      </c>
      <c r="J117" s="805">
        <f t="shared" si="2"/>
        <v>0</v>
      </c>
    </row>
    <row r="118" spans="1:10" s="1166" customFormat="1" ht="28.5">
      <c r="A118" s="799">
        <f>ROW()</f>
        <v>118</v>
      </c>
      <c r="B118" s="806">
        <f t="shared" si="3"/>
        <v>106</v>
      </c>
      <c r="C118" s="1169" t="s">
        <v>2508</v>
      </c>
      <c r="D118" s="802" t="s">
        <v>1598</v>
      </c>
      <c r="E118" s="797"/>
      <c r="F118" s="798"/>
      <c r="G118" s="803"/>
      <c r="H118" s="803" t="s">
        <v>1590</v>
      </c>
      <c r="I118" s="804">
        <v>0.91</v>
      </c>
      <c r="J118" s="805">
        <f t="shared" si="2"/>
        <v>0</v>
      </c>
    </row>
    <row r="119" spans="1:10" s="1166" customFormat="1" ht="28.5">
      <c r="A119" s="799">
        <f>ROW()</f>
        <v>119</v>
      </c>
      <c r="B119" s="806">
        <f t="shared" si="3"/>
        <v>107</v>
      </c>
      <c r="C119" s="1169" t="s">
        <v>2508</v>
      </c>
      <c r="D119" s="802" t="s">
        <v>1599</v>
      </c>
      <c r="E119" s="797"/>
      <c r="F119" s="798"/>
      <c r="G119" s="803"/>
      <c r="H119" s="803" t="s">
        <v>1486</v>
      </c>
      <c r="I119" s="804">
        <v>5.27</v>
      </c>
      <c r="J119" s="805">
        <f t="shared" si="2"/>
        <v>0</v>
      </c>
    </row>
    <row r="120" spans="1:10" s="1166" customFormat="1" ht="28.5">
      <c r="A120" s="799">
        <f>ROW()</f>
        <v>120</v>
      </c>
      <c r="B120" s="806">
        <f t="shared" si="3"/>
        <v>108</v>
      </c>
      <c r="C120" s="1169" t="s">
        <v>2508</v>
      </c>
      <c r="D120" s="802" t="s">
        <v>1600</v>
      </c>
      <c r="E120" s="797"/>
      <c r="F120" s="798"/>
      <c r="G120" s="803"/>
      <c r="H120" s="803" t="s">
        <v>1601</v>
      </c>
      <c r="I120" s="804">
        <v>3.58</v>
      </c>
      <c r="J120" s="805">
        <f t="shared" si="2"/>
        <v>0</v>
      </c>
    </row>
    <row r="121" spans="1:10" s="1166" customFormat="1" ht="28.5">
      <c r="A121" s="799">
        <f>ROW()</f>
        <v>121</v>
      </c>
      <c r="B121" s="806">
        <f t="shared" si="3"/>
        <v>109</v>
      </c>
      <c r="C121" s="1169" t="s">
        <v>2508</v>
      </c>
      <c r="D121" s="802" t="s">
        <v>1602</v>
      </c>
      <c r="E121" s="797"/>
      <c r="F121" s="798"/>
      <c r="G121" s="803"/>
      <c r="H121" s="803" t="s">
        <v>1601</v>
      </c>
      <c r="I121" s="804">
        <v>1.95</v>
      </c>
      <c r="J121" s="805">
        <f t="shared" si="2"/>
        <v>0</v>
      </c>
    </row>
    <row r="122" spans="1:10" s="1166" customFormat="1" ht="28.5">
      <c r="A122" s="799">
        <f>ROW()</f>
        <v>122</v>
      </c>
      <c r="B122" s="806">
        <f t="shared" si="3"/>
        <v>110</v>
      </c>
      <c r="C122" s="1169" t="s">
        <v>2508</v>
      </c>
      <c r="D122" s="802" t="s">
        <v>1603</v>
      </c>
      <c r="E122" s="797"/>
      <c r="F122" s="798"/>
      <c r="G122" s="803"/>
      <c r="H122" s="803" t="s">
        <v>1604</v>
      </c>
      <c r="I122" s="804">
        <v>5.72</v>
      </c>
      <c r="J122" s="805">
        <f t="shared" si="2"/>
        <v>0</v>
      </c>
    </row>
    <row r="123" spans="1:10" s="1166" customFormat="1" ht="28.5">
      <c r="A123" s="799">
        <f>ROW()</f>
        <v>123</v>
      </c>
      <c r="B123" s="806">
        <f t="shared" si="3"/>
        <v>111</v>
      </c>
      <c r="C123" s="1169" t="s">
        <v>2508</v>
      </c>
      <c r="D123" s="802" t="s">
        <v>1605</v>
      </c>
      <c r="E123" s="797"/>
      <c r="F123" s="798"/>
      <c r="G123" s="803"/>
      <c r="H123" s="803" t="s">
        <v>1590</v>
      </c>
      <c r="I123" s="804">
        <v>1.2</v>
      </c>
      <c r="J123" s="805">
        <f t="shared" si="2"/>
        <v>0</v>
      </c>
    </row>
    <row r="124" spans="1:10" s="1166" customFormat="1" ht="28.5">
      <c r="A124" s="799">
        <f>ROW()</f>
        <v>124</v>
      </c>
      <c r="B124" s="806">
        <f t="shared" si="3"/>
        <v>112</v>
      </c>
      <c r="C124" s="1169" t="s">
        <v>2508</v>
      </c>
      <c r="D124" s="802" t="s">
        <v>1606</v>
      </c>
      <c r="E124" s="797"/>
      <c r="F124" s="798"/>
      <c r="G124" s="803"/>
      <c r="H124" s="803" t="s">
        <v>1590</v>
      </c>
      <c r="I124" s="804">
        <v>2.0299999999999998</v>
      </c>
      <c r="J124" s="805">
        <f t="shared" si="2"/>
        <v>0</v>
      </c>
    </row>
    <row r="125" spans="1:10" s="1166" customFormat="1" ht="28.5">
      <c r="A125" s="799">
        <f>ROW()</f>
        <v>125</v>
      </c>
      <c r="B125" s="806">
        <f t="shared" si="3"/>
        <v>113</v>
      </c>
      <c r="C125" s="1169" t="s">
        <v>2508</v>
      </c>
      <c r="D125" s="802" t="s">
        <v>1607</v>
      </c>
      <c r="E125" s="797"/>
      <c r="F125" s="798"/>
      <c r="G125" s="803"/>
      <c r="H125" s="803" t="s">
        <v>1486</v>
      </c>
      <c r="I125" s="804">
        <v>5.18</v>
      </c>
      <c r="J125" s="805">
        <f t="shared" si="2"/>
        <v>0</v>
      </c>
    </row>
    <row r="126" spans="1:10" s="1166" customFormat="1" ht="28.5">
      <c r="A126" s="799">
        <f>ROW()</f>
        <v>126</v>
      </c>
      <c r="B126" s="806">
        <f t="shared" si="3"/>
        <v>114</v>
      </c>
      <c r="C126" s="1169" t="s">
        <v>2508</v>
      </c>
      <c r="D126" s="802" t="s">
        <v>1608</v>
      </c>
      <c r="E126" s="797"/>
      <c r="F126" s="798"/>
      <c r="G126" s="803"/>
      <c r="H126" s="803" t="s">
        <v>1609</v>
      </c>
      <c r="I126" s="804">
        <v>13.64</v>
      </c>
      <c r="J126" s="805">
        <f t="shared" si="2"/>
        <v>0</v>
      </c>
    </row>
    <row r="127" spans="1:10" s="1166" customFormat="1" ht="28.5">
      <c r="A127" s="799">
        <f>ROW()</f>
        <v>127</v>
      </c>
      <c r="B127" s="806">
        <f t="shared" si="3"/>
        <v>115</v>
      </c>
      <c r="C127" s="1169" t="s">
        <v>2508</v>
      </c>
      <c r="D127" s="802" t="s">
        <v>976</v>
      </c>
      <c r="E127" s="797"/>
      <c r="F127" s="798"/>
      <c r="G127" s="803"/>
      <c r="H127" s="803" t="s">
        <v>1486</v>
      </c>
      <c r="I127" s="804">
        <v>0.59</v>
      </c>
      <c r="J127" s="805">
        <f t="shared" si="2"/>
        <v>0</v>
      </c>
    </row>
    <row r="128" spans="1:10" s="1166" customFormat="1" ht="28.5">
      <c r="A128" s="799">
        <f>ROW()</f>
        <v>128</v>
      </c>
      <c r="B128" s="806">
        <f t="shared" si="3"/>
        <v>116</v>
      </c>
      <c r="C128" s="1169" t="s">
        <v>2508</v>
      </c>
      <c r="D128" s="802" t="s">
        <v>1610</v>
      </c>
      <c r="E128" s="797"/>
      <c r="F128" s="798"/>
      <c r="G128" s="803"/>
      <c r="H128" s="803" t="s">
        <v>1588</v>
      </c>
      <c r="I128" s="804">
        <v>0.78</v>
      </c>
      <c r="J128" s="805">
        <f t="shared" si="2"/>
        <v>0</v>
      </c>
    </row>
    <row r="129" spans="1:10" s="1166" customFormat="1" ht="28.5">
      <c r="A129" s="799">
        <f>ROW()</f>
        <v>129</v>
      </c>
      <c r="B129" s="806">
        <f t="shared" si="3"/>
        <v>117</v>
      </c>
      <c r="C129" s="1169" t="s">
        <v>2508</v>
      </c>
      <c r="D129" s="802" t="s">
        <v>1611</v>
      </c>
      <c r="E129" s="797"/>
      <c r="F129" s="798"/>
      <c r="G129" s="803"/>
      <c r="H129" s="803" t="s">
        <v>1590</v>
      </c>
      <c r="I129" s="804">
        <v>0.46</v>
      </c>
      <c r="J129" s="805">
        <f t="shared" si="2"/>
        <v>0</v>
      </c>
    </row>
    <row r="130" spans="1:10" s="1166" customFormat="1" ht="28.5">
      <c r="A130" s="799">
        <f>ROW()</f>
        <v>130</v>
      </c>
      <c r="B130" s="806">
        <f t="shared" si="3"/>
        <v>118</v>
      </c>
      <c r="C130" s="1169" t="s">
        <v>2508</v>
      </c>
      <c r="D130" s="802" t="s">
        <v>1612</v>
      </c>
      <c r="E130" s="797"/>
      <c r="F130" s="798"/>
      <c r="G130" s="803"/>
      <c r="H130" s="803" t="s">
        <v>166</v>
      </c>
      <c r="I130" s="804">
        <v>0.99</v>
      </c>
      <c r="J130" s="805">
        <f t="shared" si="2"/>
        <v>0</v>
      </c>
    </row>
    <row r="131" spans="1:10" s="1166" customFormat="1" ht="28.5">
      <c r="A131" s="799">
        <f>ROW()</f>
        <v>131</v>
      </c>
      <c r="B131" s="806">
        <f t="shared" si="3"/>
        <v>119</v>
      </c>
      <c r="C131" s="1169" t="s">
        <v>2508</v>
      </c>
      <c r="D131" s="802" t="s">
        <v>1613</v>
      </c>
      <c r="E131" s="797"/>
      <c r="F131" s="798"/>
      <c r="G131" s="803"/>
      <c r="H131" s="803" t="s">
        <v>166</v>
      </c>
      <c r="I131" s="804">
        <v>3.05</v>
      </c>
      <c r="J131" s="805">
        <f t="shared" si="2"/>
        <v>0</v>
      </c>
    </row>
    <row r="132" spans="1:10" s="1166" customFormat="1" ht="28.5">
      <c r="A132" s="799">
        <f>ROW()</f>
        <v>132</v>
      </c>
      <c r="B132" s="806">
        <f t="shared" si="3"/>
        <v>120</v>
      </c>
      <c r="C132" s="1169" t="s">
        <v>2508</v>
      </c>
      <c r="D132" s="802" t="s">
        <v>1614</v>
      </c>
      <c r="E132" s="797"/>
      <c r="F132" s="798"/>
      <c r="G132" s="803"/>
      <c r="H132" s="803" t="s">
        <v>166</v>
      </c>
      <c r="I132" s="804">
        <v>1.1100000000000001</v>
      </c>
      <c r="J132" s="805">
        <f t="shared" si="2"/>
        <v>0</v>
      </c>
    </row>
    <row r="133" spans="1:10" s="1166" customFormat="1" ht="28.5">
      <c r="A133" s="799">
        <f>ROW()</f>
        <v>133</v>
      </c>
      <c r="B133" s="806">
        <f t="shared" si="3"/>
        <v>121</v>
      </c>
      <c r="C133" s="1169" t="s">
        <v>2508</v>
      </c>
      <c r="D133" s="802" t="s">
        <v>1615</v>
      </c>
      <c r="E133" s="797"/>
      <c r="F133" s="798"/>
      <c r="G133" s="803"/>
      <c r="H133" s="803" t="s">
        <v>166</v>
      </c>
      <c r="I133" s="804">
        <v>1.68</v>
      </c>
      <c r="J133" s="805">
        <f t="shared" si="2"/>
        <v>0</v>
      </c>
    </row>
    <row r="134" spans="1:10" s="1166" customFormat="1" ht="28.5">
      <c r="A134" s="799">
        <f>ROW()</f>
        <v>134</v>
      </c>
      <c r="B134" s="806">
        <f t="shared" si="3"/>
        <v>122</v>
      </c>
      <c r="C134" s="1169" t="s">
        <v>2508</v>
      </c>
      <c r="D134" s="802" t="s">
        <v>1616</v>
      </c>
      <c r="E134" s="797"/>
      <c r="F134" s="798"/>
      <c r="G134" s="803"/>
      <c r="H134" s="803" t="s">
        <v>212</v>
      </c>
      <c r="I134" s="804">
        <v>0.7</v>
      </c>
      <c r="J134" s="805">
        <f t="shared" si="2"/>
        <v>0</v>
      </c>
    </row>
    <row r="135" spans="1:10" s="1166" customFormat="1" ht="28.5">
      <c r="A135" s="799">
        <f>ROW()</f>
        <v>135</v>
      </c>
      <c r="B135" s="806">
        <f t="shared" si="3"/>
        <v>123</v>
      </c>
      <c r="C135" s="1169" t="s">
        <v>2508</v>
      </c>
      <c r="D135" s="802" t="s">
        <v>1617</v>
      </c>
      <c r="E135" s="797"/>
      <c r="F135" s="798"/>
      <c r="G135" s="803"/>
      <c r="H135" s="803" t="s">
        <v>212</v>
      </c>
      <c r="I135" s="804">
        <v>0.49</v>
      </c>
      <c r="J135" s="805">
        <f t="shared" si="2"/>
        <v>0</v>
      </c>
    </row>
    <row r="136" spans="1:10" s="1166" customFormat="1" ht="28.5">
      <c r="A136" s="799">
        <f>ROW()</f>
        <v>136</v>
      </c>
      <c r="B136" s="806">
        <f t="shared" si="3"/>
        <v>124</v>
      </c>
      <c r="C136" s="1169" t="s">
        <v>2508</v>
      </c>
      <c r="D136" s="802" t="s">
        <v>1618</v>
      </c>
      <c r="E136" s="797"/>
      <c r="F136" s="798"/>
      <c r="G136" s="803"/>
      <c r="H136" s="803" t="s">
        <v>212</v>
      </c>
      <c r="I136" s="804">
        <v>0.5</v>
      </c>
      <c r="J136" s="805">
        <f t="shared" si="2"/>
        <v>0</v>
      </c>
    </row>
    <row r="137" spans="1:10" s="1166" customFormat="1" ht="28.5">
      <c r="A137" s="799">
        <f>ROW()</f>
        <v>137</v>
      </c>
      <c r="B137" s="806">
        <f t="shared" si="3"/>
        <v>125</v>
      </c>
      <c r="C137" s="1169" t="s">
        <v>2508</v>
      </c>
      <c r="D137" s="802" t="s">
        <v>1619</v>
      </c>
      <c r="E137" s="797"/>
      <c r="F137" s="798"/>
      <c r="G137" s="803"/>
      <c r="H137" s="803" t="s">
        <v>212</v>
      </c>
      <c r="I137" s="804">
        <v>1.37</v>
      </c>
      <c r="J137" s="805">
        <f t="shared" si="2"/>
        <v>0</v>
      </c>
    </row>
    <row r="138" spans="1:10" s="1166" customFormat="1" ht="28.5">
      <c r="A138" s="799">
        <f>ROW()</f>
        <v>138</v>
      </c>
      <c r="B138" s="806">
        <f t="shared" si="3"/>
        <v>126</v>
      </c>
      <c r="C138" s="1169" t="s">
        <v>2508</v>
      </c>
      <c r="D138" s="802" t="s">
        <v>1620</v>
      </c>
      <c r="E138" s="797"/>
      <c r="F138" s="798"/>
      <c r="G138" s="803"/>
      <c r="H138" s="803" t="s">
        <v>212</v>
      </c>
      <c r="I138" s="804">
        <v>0.88</v>
      </c>
      <c r="J138" s="805">
        <f t="shared" si="2"/>
        <v>0</v>
      </c>
    </row>
    <row r="139" spans="1:10" s="1166" customFormat="1" ht="28.5">
      <c r="A139" s="799">
        <f>ROW()</f>
        <v>139</v>
      </c>
      <c r="B139" s="806">
        <f t="shared" si="3"/>
        <v>127</v>
      </c>
      <c r="C139" s="1169" t="s">
        <v>2508</v>
      </c>
      <c r="D139" s="802" t="s">
        <v>1621</v>
      </c>
      <c r="E139" s="797"/>
      <c r="F139" s="798"/>
      <c r="G139" s="803"/>
      <c r="H139" s="803" t="s">
        <v>166</v>
      </c>
      <c r="I139" s="804">
        <v>1.3</v>
      </c>
      <c r="J139" s="805">
        <f t="shared" si="2"/>
        <v>0</v>
      </c>
    </row>
    <row r="140" spans="1:10" s="1166" customFormat="1" ht="28.5">
      <c r="A140" s="799">
        <f>ROW()</f>
        <v>140</v>
      </c>
      <c r="B140" s="806">
        <f t="shared" si="3"/>
        <v>128</v>
      </c>
      <c r="C140" s="1169" t="s">
        <v>2508</v>
      </c>
      <c r="D140" s="802" t="s">
        <v>1622</v>
      </c>
      <c r="E140" s="797"/>
      <c r="F140" s="798"/>
      <c r="G140" s="803"/>
      <c r="H140" s="803" t="s">
        <v>212</v>
      </c>
      <c r="I140" s="804">
        <v>0.57999999999999996</v>
      </c>
      <c r="J140" s="805">
        <f t="shared" si="2"/>
        <v>0</v>
      </c>
    </row>
    <row r="141" spans="1:10" s="1166" customFormat="1" ht="28.5">
      <c r="A141" s="799">
        <f>ROW()</f>
        <v>141</v>
      </c>
      <c r="B141" s="806">
        <f t="shared" si="3"/>
        <v>129</v>
      </c>
      <c r="C141" s="1169" t="s">
        <v>2508</v>
      </c>
      <c r="D141" s="802" t="s">
        <v>1623</v>
      </c>
      <c r="E141" s="797"/>
      <c r="F141" s="798"/>
      <c r="G141" s="803"/>
      <c r="H141" s="803" t="s">
        <v>1476</v>
      </c>
      <c r="I141" s="804">
        <v>0.02</v>
      </c>
      <c r="J141" s="805">
        <f t="shared" ref="J141:J204" si="4">I141*G141</f>
        <v>0</v>
      </c>
    </row>
    <row r="142" spans="1:10" s="1166" customFormat="1" ht="28.5">
      <c r="A142" s="799">
        <f>ROW()</f>
        <v>142</v>
      </c>
      <c r="B142" s="806">
        <f t="shared" si="3"/>
        <v>130</v>
      </c>
      <c r="C142" s="1169" t="s">
        <v>2508</v>
      </c>
      <c r="D142" s="802" t="s">
        <v>1624</v>
      </c>
      <c r="E142" s="797"/>
      <c r="F142" s="798"/>
      <c r="G142" s="803"/>
      <c r="H142" s="803" t="s">
        <v>1590</v>
      </c>
      <c r="I142" s="804">
        <v>0.72</v>
      </c>
      <c r="J142" s="805">
        <f t="shared" si="4"/>
        <v>0</v>
      </c>
    </row>
    <row r="143" spans="1:10" s="1166" customFormat="1" ht="28.5">
      <c r="A143" s="799">
        <f>ROW()</f>
        <v>143</v>
      </c>
      <c r="B143" s="806">
        <f t="shared" si="3"/>
        <v>131</v>
      </c>
      <c r="C143" s="1169" t="s">
        <v>2508</v>
      </c>
      <c r="D143" s="802" t="s">
        <v>1625</v>
      </c>
      <c r="E143" s="797"/>
      <c r="F143" s="798"/>
      <c r="G143" s="803"/>
      <c r="H143" s="803" t="s">
        <v>166</v>
      </c>
      <c r="I143" s="804">
        <v>8.51</v>
      </c>
      <c r="J143" s="805">
        <f t="shared" si="4"/>
        <v>0</v>
      </c>
    </row>
    <row r="144" spans="1:10" s="1166" customFormat="1" ht="28.5">
      <c r="A144" s="799">
        <f>ROW()</f>
        <v>144</v>
      </c>
      <c r="B144" s="806">
        <f t="shared" ref="B144:B207" si="5">IF(C144="I","",IF(ISBLANK(D144),"",IF(ISTEXT(D144),LARGE(B140:B143,1)+1,0)))</f>
        <v>132</v>
      </c>
      <c r="C144" s="1169" t="s">
        <v>2508</v>
      </c>
      <c r="D144" s="802" t="s">
        <v>1626</v>
      </c>
      <c r="E144" s="797"/>
      <c r="F144" s="798"/>
      <c r="G144" s="803"/>
      <c r="H144" s="803" t="s">
        <v>1590</v>
      </c>
      <c r="I144" s="804">
        <v>1.46</v>
      </c>
      <c r="J144" s="805">
        <f t="shared" si="4"/>
        <v>0</v>
      </c>
    </row>
    <row r="145" spans="1:10" s="1166" customFormat="1" ht="28.5">
      <c r="A145" s="799">
        <f>ROW()</f>
        <v>145</v>
      </c>
      <c r="B145" s="806">
        <f t="shared" si="5"/>
        <v>133</v>
      </c>
      <c r="C145" s="1169" t="s">
        <v>2508</v>
      </c>
      <c r="D145" s="802" t="s">
        <v>1627</v>
      </c>
      <c r="E145" s="797"/>
      <c r="F145" s="798"/>
      <c r="G145" s="803"/>
      <c r="H145" s="803" t="s">
        <v>166</v>
      </c>
      <c r="I145" s="804">
        <v>7.02</v>
      </c>
      <c r="J145" s="805">
        <f t="shared" si="4"/>
        <v>0</v>
      </c>
    </row>
    <row r="146" spans="1:10" s="1166" customFormat="1" ht="28.5">
      <c r="A146" s="799">
        <f>ROW()</f>
        <v>146</v>
      </c>
      <c r="B146" s="806">
        <f t="shared" si="5"/>
        <v>134</v>
      </c>
      <c r="C146" s="1169" t="s">
        <v>2508</v>
      </c>
      <c r="D146" s="802" t="s">
        <v>1628</v>
      </c>
      <c r="E146" s="797"/>
      <c r="F146" s="798"/>
      <c r="G146" s="803"/>
      <c r="H146" s="803" t="s">
        <v>1590</v>
      </c>
      <c r="I146" s="804">
        <v>1.4</v>
      </c>
      <c r="J146" s="805">
        <f t="shared" si="4"/>
        <v>0</v>
      </c>
    </row>
    <row r="147" spans="1:10" s="1166" customFormat="1" ht="28.5">
      <c r="A147" s="799">
        <f>ROW()</f>
        <v>147</v>
      </c>
      <c r="B147" s="806">
        <f t="shared" si="5"/>
        <v>135</v>
      </c>
      <c r="C147" s="1169" t="s">
        <v>2508</v>
      </c>
      <c r="D147" s="802" t="s">
        <v>1629</v>
      </c>
      <c r="E147" s="797"/>
      <c r="F147" s="798"/>
      <c r="G147" s="803"/>
      <c r="H147" s="803" t="s">
        <v>166</v>
      </c>
      <c r="I147" s="804">
        <v>2.81</v>
      </c>
      <c r="J147" s="805">
        <f t="shared" si="4"/>
        <v>0</v>
      </c>
    </row>
    <row r="148" spans="1:10" s="1166" customFormat="1" ht="28.5">
      <c r="A148" s="799">
        <f>ROW()</f>
        <v>148</v>
      </c>
      <c r="B148" s="806">
        <f t="shared" si="5"/>
        <v>136</v>
      </c>
      <c r="C148" s="1169" t="s">
        <v>2508</v>
      </c>
      <c r="D148" s="802" t="s">
        <v>1630</v>
      </c>
      <c r="E148" s="797"/>
      <c r="F148" s="798"/>
      <c r="G148" s="803"/>
      <c r="H148" s="803" t="s">
        <v>166</v>
      </c>
      <c r="I148" s="804">
        <v>5.34</v>
      </c>
      <c r="J148" s="805">
        <f t="shared" si="4"/>
        <v>0</v>
      </c>
    </row>
    <row r="149" spans="1:10" s="1166" customFormat="1" ht="28.5">
      <c r="A149" s="799">
        <f>ROW()</f>
        <v>149</v>
      </c>
      <c r="B149" s="806">
        <f t="shared" si="5"/>
        <v>137</v>
      </c>
      <c r="C149" s="1169" t="s">
        <v>2508</v>
      </c>
      <c r="D149" s="802" t="s">
        <v>1631</v>
      </c>
      <c r="E149" s="797"/>
      <c r="F149" s="798"/>
      <c r="G149" s="803"/>
      <c r="H149" s="803" t="s">
        <v>166</v>
      </c>
      <c r="I149" s="804">
        <v>6.43</v>
      </c>
      <c r="J149" s="805">
        <f t="shared" si="4"/>
        <v>0</v>
      </c>
    </row>
    <row r="150" spans="1:10" s="1166" customFormat="1" ht="28.5">
      <c r="A150" s="799">
        <f>ROW()</f>
        <v>150</v>
      </c>
      <c r="B150" s="806">
        <f t="shared" si="5"/>
        <v>138</v>
      </c>
      <c r="C150" s="1169" t="s">
        <v>2508</v>
      </c>
      <c r="D150" s="802" t="s">
        <v>1056</v>
      </c>
      <c r="E150" s="797"/>
      <c r="F150" s="798"/>
      <c r="G150" s="803"/>
      <c r="H150" s="803" t="s">
        <v>212</v>
      </c>
      <c r="I150" s="804">
        <v>1.89</v>
      </c>
      <c r="J150" s="805">
        <f t="shared" si="4"/>
        <v>0</v>
      </c>
    </row>
    <row r="151" spans="1:10" s="1166" customFormat="1" ht="28.5">
      <c r="A151" s="799">
        <f>ROW()</f>
        <v>151</v>
      </c>
      <c r="B151" s="806">
        <f t="shared" si="5"/>
        <v>139</v>
      </c>
      <c r="C151" s="1169" t="s">
        <v>2508</v>
      </c>
      <c r="D151" s="802" t="s">
        <v>1632</v>
      </c>
      <c r="E151" s="797"/>
      <c r="F151" s="798"/>
      <c r="G151" s="803"/>
      <c r="H151" s="803" t="s">
        <v>212</v>
      </c>
      <c r="I151" s="804">
        <v>2.79</v>
      </c>
      <c r="J151" s="805">
        <f t="shared" si="4"/>
        <v>0</v>
      </c>
    </row>
    <row r="152" spans="1:10" s="1166" customFormat="1" ht="28.5">
      <c r="A152" s="799">
        <f>ROW()</f>
        <v>152</v>
      </c>
      <c r="B152" s="806">
        <f t="shared" si="5"/>
        <v>140</v>
      </c>
      <c r="C152" s="1169" t="s">
        <v>2508</v>
      </c>
      <c r="D152" s="802" t="s">
        <v>1633</v>
      </c>
      <c r="E152" s="797"/>
      <c r="F152" s="798"/>
      <c r="G152" s="803"/>
      <c r="H152" s="803" t="s">
        <v>212</v>
      </c>
      <c r="I152" s="804">
        <v>1.32</v>
      </c>
      <c r="J152" s="805">
        <f t="shared" si="4"/>
        <v>0</v>
      </c>
    </row>
    <row r="153" spans="1:10" s="1166" customFormat="1" ht="28.5">
      <c r="A153" s="799">
        <f>ROW()</f>
        <v>153</v>
      </c>
      <c r="B153" s="806">
        <f t="shared" si="5"/>
        <v>141</v>
      </c>
      <c r="C153" s="1169" t="s">
        <v>2508</v>
      </c>
      <c r="D153" s="802" t="s">
        <v>1634</v>
      </c>
      <c r="E153" s="797"/>
      <c r="F153" s="798"/>
      <c r="G153" s="803"/>
      <c r="H153" s="803" t="s">
        <v>212</v>
      </c>
      <c r="I153" s="804">
        <v>4.4400000000000004</v>
      </c>
      <c r="J153" s="805">
        <f t="shared" si="4"/>
        <v>0</v>
      </c>
    </row>
    <row r="154" spans="1:10" s="1166" customFormat="1" ht="28.5">
      <c r="A154" s="799">
        <f>ROW()</f>
        <v>154</v>
      </c>
      <c r="B154" s="806">
        <f t="shared" si="5"/>
        <v>142</v>
      </c>
      <c r="C154" s="1169" t="s">
        <v>2508</v>
      </c>
      <c r="D154" s="802" t="s">
        <v>1635</v>
      </c>
      <c r="E154" s="797"/>
      <c r="F154" s="798"/>
      <c r="G154" s="803"/>
      <c r="H154" s="803" t="s">
        <v>212</v>
      </c>
      <c r="I154" s="804">
        <v>4.24</v>
      </c>
      <c r="J154" s="805">
        <f t="shared" si="4"/>
        <v>0</v>
      </c>
    </row>
    <row r="155" spans="1:10" s="1166" customFormat="1" ht="28.5">
      <c r="A155" s="799">
        <f>ROW()</f>
        <v>155</v>
      </c>
      <c r="B155" s="806">
        <f t="shared" si="5"/>
        <v>143</v>
      </c>
      <c r="C155" s="1169" t="s">
        <v>2508</v>
      </c>
      <c r="D155" s="802" t="s">
        <v>1636</v>
      </c>
      <c r="E155" s="797"/>
      <c r="F155" s="798"/>
      <c r="G155" s="803"/>
      <c r="H155" s="803" t="s">
        <v>212</v>
      </c>
      <c r="I155" s="804">
        <v>7.83</v>
      </c>
      <c r="J155" s="805">
        <f t="shared" si="4"/>
        <v>0</v>
      </c>
    </row>
    <row r="156" spans="1:10" s="1166" customFormat="1" ht="28.5">
      <c r="A156" s="799">
        <f>ROW()</f>
        <v>156</v>
      </c>
      <c r="B156" s="806">
        <f t="shared" si="5"/>
        <v>144</v>
      </c>
      <c r="C156" s="1169" t="s">
        <v>2508</v>
      </c>
      <c r="D156" s="802" t="s">
        <v>1637</v>
      </c>
      <c r="E156" s="797"/>
      <c r="F156" s="798"/>
      <c r="G156" s="803"/>
      <c r="H156" s="803" t="s">
        <v>212</v>
      </c>
      <c r="I156" s="804">
        <v>1.46</v>
      </c>
      <c r="J156" s="805">
        <f t="shared" si="4"/>
        <v>0</v>
      </c>
    </row>
    <row r="157" spans="1:10" s="1166" customFormat="1" ht="28.5">
      <c r="A157" s="799">
        <f>ROW()</f>
        <v>157</v>
      </c>
      <c r="B157" s="806">
        <f t="shared" si="5"/>
        <v>145</v>
      </c>
      <c r="C157" s="1169" t="s">
        <v>2508</v>
      </c>
      <c r="D157" s="802" t="s">
        <v>1638</v>
      </c>
      <c r="E157" s="797"/>
      <c r="F157" s="798"/>
      <c r="G157" s="803"/>
      <c r="H157" s="803" t="s">
        <v>1590</v>
      </c>
      <c r="I157" s="804">
        <v>0.46</v>
      </c>
      <c r="J157" s="805">
        <f t="shared" si="4"/>
        <v>0</v>
      </c>
    </row>
    <row r="158" spans="1:10" s="1166" customFormat="1" ht="28.5">
      <c r="A158" s="799">
        <f>ROW()</f>
        <v>158</v>
      </c>
      <c r="B158" s="806">
        <f t="shared" si="5"/>
        <v>146</v>
      </c>
      <c r="C158" s="1169" t="s">
        <v>2508</v>
      </c>
      <c r="D158" s="802" t="s">
        <v>1639</v>
      </c>
      <c r="E158" s="797"/>
      <c r="F158" s="798"/>
      <c r="G158" s="803"/>
      <c r="H158" s="803" t="s">
        <v>1590</v>
      </c>
      <c r="I158" s="804">
        <v>1.19</v>
      </c>
      <c r="J158" s="805">
        <f t="shared" si="4"/>
        <v>0</v>
      </c>
    </row>
    <row r="159" spans="1:10" s="1166" customFormat="1" ht="28.5">
      <c r="A159" s="799">
        <f>ROW()</f>
        <v>159</v>
      </c>
      <c r="B159" s="806">
        <f t="shared" si="5"/>
        <v>147</v>
      </c>
      <c r="C159" s="1169" t="s">
        <v>2508</v>
      </c>
      <c r="D159" s="802" t="s">
        <v>1640</v>
      </c>
      <c r="E159" s="797"/>
      <c r="F159" s="798"/>
      <c r="G159" s="803"/>
      <c r="H159" s="803" t="s">
        <v>212</v>
      </c>
      <c r="I159" s="804">
        <v>0.57999999999999996</v>
      </c>
      <c r="J159" s="805">
        <f t="shared" si="4"/>
        <v>0</v>
      </c>
    </row>
    <row r="160" spans="1:10" s="1166" customFormat="1" ht="28.5">
      <c r="A160" s="799">
        <f>ROW()</f>
        <v>160</v>
      </c>
      <c r="B160" s="806">
        <f t="shared" si="5"/>
        <v>148</v>
      </c>
      <c r="C160" s="1169" t="s">
        <v>2508</v>
      </c>
      <c r="D160" s="802" t="s">
        <v>1641</v>
      </c>
      <c r="E160" s="797"/>
      <c r="F160" s="798"/>
      <c r="G160" s="803"/>
      <c r="H160" s="803" t="s">
        <v>166</v>
      </c>
      <c r="I160" s="804">
        <v>3.4</v>
      </c>
      <c r="J160" s="805">
        <f t="shared" si="4"/>
        <v>0</v>
      </c>
    </row>
    <row r="161" spans="1:10" s="1166" customFormat="1" ht="28.5">
      <c r="A161" s="799">
        <f>ROW()</f>
        <v>161</v>
      </c>
      <c r="B161" s="806">
        <f t="shared" si="5"/>
        <v>149</v>
      </c>
      <c r="C161" s="1169" t="s">
        <v>2508</v>
      </c>
      <c r="D161" s="802" t="s">
        <v>1642</v>
      </c>
      <c r="E161" s="797"/>
      <c r="F161" s="798"/>
      <c r="G161" s="803"/>
      <c r="H161" s="803" t="s">
        <v>166</v>
      </c>
      <c r="I161" s="804">
        <v>6.1</v>
      </c>
      <c r="J161" s="805">
        <f t="shared" si="4"/>
        <v>0</v>
      </c>
    </row>
    <row r="162" spans="1:10" s="1166" customFormat="1" ht="28.5">
      <c r="A162" s="799">
        <f>ROW()</f>
        <v>162</v>
      </c>
      <c r="B162" s="806">
        <f t="shared" si="5"/>
        <v>150</v>
      </c>
      <c r="C162" s="1169" t="s">
        <v>2508</v>
      </c>
      <c r="D162" s="802" t="s">
        <v>1643</v>
      </c>
      <c r="E162" s="797"/>
      <c r="F162" s="798"/>
      <c r="G162" s="803"/>
      <c r="H162" s="803" t="s">
        <v>166</v>
      </c>
      <c r="I162" s="804">
        <v>1.55</v>
      </c>
      <c r="J162" s="805">
        <f t="shared" si="4"/>
        <v>0</v>
      </c>
    </row>
    <row r="163" spans="1:10" s="1166" customFormat="1" ht="28.5">
      <c r="A163" s="799">
        <f>ROW()</f>
        <v>163</v>
      </c>
      <c r="B163" s="806">
        <f t="shared" si="5"/>
        <v>151</v>
      </c>
      <c r="C163" s="1169" t="s">
        <v>2508</v>
      </c>
      <c r="D163" s="802" t="s">
        <v>1644</v>
      </c>
      <c r="E163" s="797"/>
      <c r="F163" s="798"/>
      <c r="G163" s="803"/>
      <c r="H163" s="803" t="s">
        <v>166</v>
      </c>
      <c r="I163" s="804">
        <v>2.9</v>
      </c>
      <c r="J163" s="805">
        <f t="shared" si="4"/>
        <v>0</v>
      </c>
    </row>
    <row r="164" spans="1:10" s="1166" customFormat="1" ht="28.5">
      <c r="A164" s="799">
        <f>ROW()</f>
        <v>164</v>
      </c>
      <c r="B164" s="806">
        <f t="shared" si="5"/>
        <v>152</v>
      </c>
      <c r="C164" s="1169" t="s">
        <v>2508</v>
      </c>
      <c r="D164" s="802" t="s">
        <v>1645</v>
      </c>
      <c r="E164" s="797"/>
      <c r="F164" s="798"/>
      <c r="G164" s="803"/>
      <c r="H164" s="803" t="s">
        <v>166</v>
      </c>
      <c r="I164" s="804">
        <v>1.59</v>
      </c>
      <c r="J164" s="805">
        <f t="shared" si="4"/>
        <v>0</v>
      </c>
    </row>
    <row r="165" spans="1:10" s="1166" customFormat="1" ht="28.5">
      <c r="A165" s="799">
        <f>ROW()</f>
        <v>165</v>
      </c>
      <c r="B165" s="806">
        <f t="shared" si="5"/>
        <v>153</v>
      </c>
      <c r="C165" s="1169" t="s">
        <v>2508</v>
      </c>
      <c r="D165" s="802" t="s">
        <v>1646</v>
      </c>
      <c r="E165" s="797"/>
      <c r="F165" s="798"/>
      <c r="G165" s="803"/>
      <c r="H165" s="803" t="s">
        <v>166</v>
      </c>
      <c r="I165" s="804">
        <v>3.2</v>
      </c>
      <c r="J165" s="805">
        <f t="shared" si="4"/>
        <v>0</v>
      </c>
    </row>
    <row r="166" spans="1:10" s="1166" customFormat="1" ht="28.5">
      <c r="A166" s="799">
        <f>ROW()</f>
        <v>166</v>
      </c>
      <c r="B166" s="806">
        <f t="shared" si="5"/>
        <v>154</v>
      </c>
      <c r="C166" s="1169" t="s">
        <v>2508</v>
      </c>
      <c r="D166" s="802" t="s">
        <v>1647</v>
      </c>
      <c r="E166" s="797"/>
      <c r="F166" s="798"/>
      <c r="G166" s="803"/>
      <c r="H166" s="803" t="s">
        <v>166</v>
      </c>
      <c r="I166" s="804">
        <v>1.08</v>
      </c>
      <c r="J166" s="805">
        <f t="shared" si="4"/>
        <v>0</v>
      </c>
    </row>
    <row r="167" spans="1:10" s="1166" customFormat="1" ht="28.5">
      <c r="A167" s="799">
        <f>ROW()</f>
        <v>167</v>
      </c>
      <c r="B167" s="806">
        <f t="shared" si="5"/>
        <v>155</v>
      </c>
      <c r="C167" s="1169" t="s">
        <v>2508</v>
      </c>
      <c r="D167" s="802" t="s">
        <v>1648</v>
      </c>
      <c r="E167" s="797"/>
      <c r="F167" s="798"/>
      <c r="G167" s="803"/>
      <c r="H167" s="803" t="s">
        <v>166</v>
      </c>
      <c r="I167" s="804">
        <v>7.68</v>
      </c>
      <c r="J167" s="805">
        <f t="shared" si="4"/>
        <v>0</v>
      </c>
    </row>
    <row r="168" spans="1:10" s="1166" customFormat="1" ht="28.5">
      <c r="A168" s="799">
        <f>ROW()</f>
        <v>168</v>
      </c>
      <c r="B168" s="806">
        <f t="shared" si="5"/>
        <v>156</v>
      </c>
      <c r="C168" s="1169" t="s">
        <v>2508</v>
      </c>
      <c r="D168" s="802" t="s">
        <v>1649</v>
      </c>
      <c r="E168" s="797"/>
      <c r="F168" s="798"/>
      <c r="G168" s="803"/>
      <c r="H168" s="803" t="s">
        <v>166</v>
      </c>
      <c r="I168" s="804">
        <v>157.19</v>
      </c>
      <c r="J168" s="805">
        <f t="shared" si="4"/>
        <v>0</v>
      </c>
    </row>
    <row r="169" spans="1:10" s="1166" customFormat="1" ht="28.5">
      <c r="A169" s="799">
        <f>ROW()</f>
        <v>169</v>
      </c>
      <c r="B169" s="806">
        <f t="shared" si="5"/>
        <v>157</v>
      </c>
      <c r="C169" s="1169" t="s">
        <v>2508</v>
      </c>
      <c r="D169" s="802" t="s">
        <v>1650</v>
      </c>
      <c r="E169" s="797"/>
      <c r="F169" s="798"/>
      <c r="G169" s="803"/>
      <c r="H169" s="803" t="s">
        <v>166</v>
      </c>
      <c r="I169" s="804">
        <v>1.51</v>
      </c>
      <c r="J169" s="805">
        <f t="shared" si="4"/>
        <v>0</v>
      </c>
    </row>
    <row r="170" spans="1:10" s="1166" customFormat="1" ht="28.5">
      <c r="A170" s="799">
        <f>ROW()</f>
        <v>170</v>
      </c>
      <c r="B170" s="806">
        <f t="shared" si="5"/>
        <v>158</v>
      </c>
      <c r="C170" s="1169" t="s">
        <v>2508</v>
      </c>
      <c r="D170" s="802" t="s">
        <v>1651</v>
      </c>
      <c r="E170" s="797"/>
      <c r="F170" s="798"/>
      <c r="G170" s="803"/>
      <c r="H170" s="803" t="s">
        <v>166</v>
      </c>
      <c r="I170" s="804">
        <v>3.78</v>
      </c>
      <c r="J170" s="805">
        <f t="shared" si="4"/>
        <v>0</v>
      </c>
    </row>
    <row r="171" spans="1:10" s="1166" customFormat="1" ht="28.5">
      <c r="A171" s="799">
        <f>ROW()</f>
        <v>171</v>
      </c>
      <c r="B171" s="806">
        <f t="shared" si="5"/>
        <v>159</v>
      </c>
      <c r="C171" s="1169" t="s">
        <v>2508</v>
      </c>
      <c r="D171" s="802" t="s">
        <v>1652</v>
      </c>
      <c r="E171" s="797"/>
      <c r="F171" s="798"/>
      <c r="G171" s="803"/>
      <c r="H171" s="803" t="s">
        <v>166</v>
      </c>
      <c r="I171" s="804">
        <v>2.82</v>
      </c>
      <c r="J171" s="805">
        <f t="shared" si="4"/>
        <v>0</v>
      </c>
    </row>
    <row r="172" spans="1:10" s="1166" customFormat="1" ht="28.5">
      <c r="A172" s="799">
        <f>ROW()</f>
        <v>172</v>
      </c>
      <c r="B172" s="806">
        <f t="shared" si="5"/>
        <v>160</v>
      </c>
      <c r="C172" s="1169" t="s">
        <v>2508</v>
      </c>
      <c r="D172" s="802" t="s">
        <v>1653</v>
      </c>
      <c r="E172" s="797"/>
      <c r="F172" s="798"/>
      <c r="G172" s="803"/>
      <c r="H172" s="803" t="s">
        <v>222</v>
      </c>
      <c r="I172" s="804">
        <v>1.3</v>
      </c>
      <c r="J172" s="805">
        <f t="shared" si="4"/>
        <v>0</v>
      </c>
    </row>
    <row r="173" spans="1:10" s="1166" customFormat="1" ht="28.5">
      <c r="A173" s="799">
        <f>ROW()</f>
        <v>173</v>
      </c>
      <c r="B173" s="806">
        <f t="shared" si="5"/>
        <v>161</v>
      </c>
      <c r="C173" s="1169" t="s">
        <v>2508</v>
      </c>
      <c r="D173" s="802" t="s">
        <v>1654</v>
      </c>
      <c r="E173" s="797"/>
      <c r="F173" s="798"/>
      <c r="G173" s="803"/>
      <c r="H173" s="803" t="s">
        <v>1655</v>
      </c>
      <c r="I173" s="804">
        <v>0.27</v>
      </c>
      <c r="J173" s="805">
        <f t="shared" si="4"/>
        <v>0</v>
      </c>
    </row>
    <row r="174" spans="1:10" s="1166" customFormat="1" ht="28.5">
      <c r="A174" s="799">
        <f>ROW()</f>
        <v>174</v>
      </c>
      <c r="B174" s="806">
        <f t="shared" si="5"/>
        <v>162</v>
      </c>
      <c r="C174" s="1169" t="s">
        <v>2508</v>
      </c>
      <c r="D174" s="802" t="s">
        <v>1656</v>
      </c>
      <c r="E174" s="797"/>
      <c r="F174" s="798"/>
      <c r="G174" s="803"/>
      <c r="H174" s="803" t="s">
        <v>166</v>
      </c>
      <c r="I174" s="804">
        <v>6.59</v>
      </c>
      <c r="J174" s="805">
        <f t="shared" si="4"/>
        <v>0</v>
      </c>
    </row>
    <row r="175" spans="1:10" s="1166" customFormat="1" ht="28.5">
      <c r="A175" s="799">
        <f>ROW()</f>
        <v>175</v>
      </c>
      <c r="B175" s="806">
        <f t="shared" si="5"/>
        <v>163</v>
      </c>
      <c r="C175" s="1169" t="s">
        <v>2508</v>
      </c>
      <c r="D175" s="802" t="s">
        <v>1657</v>
      </c>
      <c r="E175" s="797"/>
      <c r="F175" s="798"/>
      <c r="G175" s="803"/>
      <c r="H175" s="803" t="s">
        <v>166</v>
      </c>
      <c r="I175" s="804">
        <v>7.32</v>
      </c>
      <c r="J175" s="805">
        <f t="shared" si="4"/>
        <v>0</v>
      </c>
    </row>
    <row r="176" spans="1:10" s="1166" customFormat="1" ht="28.5">
      <c r="A176" s="799">
        <f>ROW()</f>
        <v>176</v>
      </c>
      <c r="B176" s="806">
        <f t="shared" si="5"/>
        <v>164</v>
      </c>
      <c r="C176" s="1169" t="s">
        <v>2508</v>
      </c>
      <c r="D176" s="802" t="s">
        <v>1658</v>
      </c>
      <c r="E176" s="797"/>
      <c r="F176" s="798"/>
      <c r="G176" s="803"/>
      <c r="H176" s="803" t="s">
        <v>166</v>
      </c>
      <c r="I176" s="804">
        <v>0.95</v>
      </c>
      <c r="J176" s="805">
        <f t="shared" si="4"/>
        <v>0</v>
      </c>
    </row>
    <row r="177" spans="1:10" s="1166" customFormat="1" ht="28.5">
      <c r="A177" s="799">
        <f>ROW()</f>
        <v>177</v>
      </c>
      <c r="B177" s="806">
        <f t="shared" si="5"/>
        <v>165</v>
      </c>
      <c r="C177" s="1169" t="s">
        <v>2508</v>
      </c>
      <c r="D177" s="802" t="s">
        <v>1659</v>
      </c>
      <c r="E177" s="797"/>
      <c r="F177" s="798"/>
      <c r="G177" s="803"/>
      <c r="H177" s="803" t="s">
        <v>166</v>
      </c>
      <c r="I177" s="804">
        <v>4.7</v>
      </c>
      <c r="J177" s="805">
        <f t="shared" si="4"/>
        <v>0</v>
      </c>
    </row>
    <row r="178" spans="1:10" s="1166" customFormat="1" ht="28.5">
      <c r="A178" s="799">
        <f>ROW()</f>
        <v>178</v>
      </c>
      <c r="B178" s="806">
        <f t="shared" si="5"/>
        <v>166</v>
      </c>
      <c r="C178" s="1169" t="s">
        <v>2508</v>
      </c>
      <c r="D178" s="802" t="s">
        <v>1660</v>
      </c>
      <c r="E178" s="797"/>
      <c r="F178" s="798"/>
      <c r="G178" s="803"/>
      <c r="H178" s="803" t="s">
        <v>1528</v>
      </c>
      <c r="I178" s="804">
        <v>0.1</v>
      </c>
      <c r="J178" s="805">
        <f t="shared" si="4"/>
        <v>0</v>
      </c>
    </row>
    <row r="179" spans="1:10" s="1166" customFormat="1" ht="28.5">
      <c r="A179" s="799">
        <f>ROW()</f>
        <v>179</v>
      </c>
      <c r="B179" s="806">
        <f t="shared" si="5"/>
        <v>167</v>
      </c>
      <c r="C179" s="1169" t="s">
        <v>2508</v>
      </c>
      <c r="D179" s="802" t="s">
        <v>1661</v>
      </c>
      <c r="E179" s="797"/>
      <c r="F179" s="798"/>
      <c r="G179" s="803"/>
      <c r="H179" s="803" t="s">
        <v>222</v>
      </c>
      <c r="I179" s="804">
        <v>1.68</v>
      </c>
      <c r="J179" s="805">
        <f t="shared" si="4"/>
        <v>0</v>
      </c>
    </row>
    <row r="180" spans="1:10" s="1166" customFormat="1" ht="28.5">
      <c r="A180" s="799">
        <f>ROW()</f>
        <v>180</v>
      </c>
      <c r="B180" s="806">
        <f t="shared" si="5"/>
        <v>168</v>
      </c>
      <c r="C180" s="1169" t="s">
        <v>2508</v>
      </c>
      <c r="D180" s="802" t="s">
        <v>1662</v>
      </c>
      <c r="E180" s="797"/>
      <c r="F180" s="798"/>
      <c r="G180" s="803"/>
      <c r="H180" s="803" t="s">
        <v>222</v>
      </c>
      <c r="I180" s="804">
        <v>4.0999999999999996</v>
      </c>
      <c r="J180" s="805">
        <f t="shared" si="4"/>
        <v>0</v>
      </c>
    </row>
    <row r="181" spans="1:10" s="1166" customFormat="1" ht="28.5">
      <c r="A181" s="799">
        <f>ROW()</f>
        <v>181</v>
      </c>
      <c r="B181" s="806">
        <f t="shared" si="5"/>
        <v>169</v>
      </c>
      <c r="C181" s="1169" t="s">
        <v>2508</v>
      </c>
      <c r="D181" s="802" t="s">
        <v>1663</v>
      </c>
      <c r="E181" s="797"/>
      <c r="F181" s="798"/>
      <c r="G181" s="803"/>
      <c r="H181" s="803" t="s">
        <v>222</v>
      </c>
      <c r="I181" s="804">
        <v>0.95</v>
      </c>
      <c r="J181" s="805">
        <f t="shared" si="4"/>
        <v>0</v>
      </c>
    </row>
    <row r="182" spans="1:10" s="1166" customFormat="1" ht="28.5">
      <c r="A182" s="799">
        <f>ROW()</f>
        <v>182</v>
      </c>
      <c r="B182" s="806">
        <f t="shared" si="5"/>
        <v>170</v>
      </c>
      <c r="C182" s="1169" t="s">
        <v>2508</v>
      </c>
      <c r="D182" s="802" t="s">
        <v>1664</v>
      </c>
      <c r="E182" s="797"/>
      <c r="F182" s="798"/>
      <c r="G182" s="803"/>
      <c r="H182" s="803" t="s">
        <v>166</v>
      </c>
      <c r="I182" s="804">
        <v>1.74</v>
      </c>
      <c r="J182" s="805">
        <f t="shared" si="4"/>
        <v>0</v>
      </c>
    </row>
    <row r="183" spans="1:10" s="1166" customFormat="1" ht="28.5">
      <c r="A183" s="799">
        <f>ROW()</f>
        <v>183</v>
      </c>
      <c r="B183" s="806">
        <f t="shared" si="5"/>
        <v>171</v>
      </c>
      <c r="C183" s="1169" t="s">
        <v>2508</v>
      </c>
      <c r="D183" s="802" t="s">
        <v>1665</v>
      </c>
      <c r="E183" s="797"/>
      <c r="F183" s="798"/>
      <c r="G183" s="803"/>
      <c r="H183" s="803" t="s">
        <v>1486</v>
      </c>
      <c r="I183" s="804">
        <v>1.98</v>
      </c>
      <c r="J183" s="805">
        <f t="shared" si="4"/>
        <v>0</v>
      </c>
    </row>
    <row r="184" spans="1:10" s="1166" customFormat="1" ht="28.5">
      <c r="A184" s="799">
        <f>ROW()</f>
        <v>184</v>
      </c>
      <c r="B184" s="806">
        <f t="shared" si="5"/>
        <v>172</v>
      </c>
      <c r="C184" s="1169" t="s">
        <v>2508</v>
      </c>
      <c r="D184" s="802" t="s">
        <v>1666</v>
      </c>
      <c r="E184" s="797"/>
      <c r="F184" s="798"/>
      <c r="G184" s="803"/>
      <c r="H184" s="803" t="s">
        <v>166</v>
      </c>
      <c r="I184" s="804">
        <v>1.66</v>
      </c>
      <c r="J184" s="805">
        <f t="shared" si="4"/>
        <v>0</v>
      </c>
    </row>
    <row r="185" spans="1:10" s="1166" customFormat="1" ht="28.5">
      <c r="A185" s="799">
        <f>ROW()</f>
        <v>185</v>
      </c>
      <c r="B185" s="806">
        <f t="shared" si="5"/>
        <v>173</v>
      </c>
      <c r="C185" s="1169" t="s">
        <v>2508</v>
      </c>
      <c r="D185" s="802" t="s">
        <v>1667</v>
      </c>
      <c r="E185" s="797"/>
      <c r="F185" s="798"/>
      <c r="G185" s="803"/>
      <c r="H185" s="803" t="s">
        <v>166</v>
      </c>
      <c r="I185" s="804">
        <v>1.75</v>
      </c>
      <c r="J185" s="805">
        <f t="shared" si="4"/>
        <v>0</v>
      </c>
    </row>
    <row r="186" spans="1:10" s="1166" customFormat="1" ht="28.5">
      <c r="A186" s="799">
        <f>ROW()</f>
        <v>186</v>
      </c>
      <c r="B186" s="806">
        <f t="shared" si="5"/>
        <v>174</v>
      </c>
      <c r="C186" s="1169" t="s">
        <v>2508</v>
      </c>
      <c r="D186" s="802" t="s">
        <v>1534</v>
      </c>
      <c r="E186" s="797"/>
      <c r="F186" s="798"/>
      <c r="G186" s="803"/>
      <c r="H186" s="803" t="s">
        <v>222</v>
      </c>
      <c r="I186" s="804">
        <v>5.17</v>
      </c>
      <c r="J186" s="805">
        <f t="shared" si="4"/>
        <v>0</v>
      </c>
    </row>
    <row r="187" spans="1:10" s="1166" customFormat="1" ht="28.5">
      <c r="A187" s="799">
        <f>ROW()</f>
        <v>187</v>
      </c>
      <c r="B187" s="806">
        <f t="shared" si="5"/>
        <v>175</v>
      </c>
      <c r="C187" s="1169" t="s">
        <v>2508</v>
      </c>
      <c r="D187" s="802" t="s">
        <v>1668</v>
      </c>
      <c r="E187" s="797"/>
      <c r="F187" s="798"/>
      <c r="G187" s="803"/>
      <c r="H187" s="803" t="s">
        <v>1528</v>
      </c>
      <c r="I187" s="804">
        <v>1.75</v>
      </c>
      <c r="J187" s="805">
        <f t="shared" si="4"/>
        <v>0</v>
      </c>
    </row>
    <row r="188" spans="1:10" s="1166" customFormat="1" ht="28.5">
      <c r="A188" s="799">
        <f>ROW()</f>
        <v>188</v>
      </c>
      <c r="B188" s="806">
        <f t="shared" si="5"/>
        <v>176</v>
      </c>
      <c r="C188" s="1169" t="s">
        <v>2508</v>
      </c>
      <c r="D188" s="802" t="s">
        <v>1669</v>
      </c>
      <c r="E188" s="797"/>
      <c r="F188" s="798"/>
      <c r="G188" s="803"/>
      <c r="H188" s="803" t="s">
        <v>1528</v>
      </c>
      <c r="I188" s="804">
        <v>1.28</v>
      </c>
      <c r="J188" s="805">
        <f t="shared" si="4"/>
        <v>0</v>
      </c>
    </row>
    <row r="189" spans="1:10" s="1166" customFormat="1" ht="28.5">
      <c r="A189" s="799">
        <f>ROW()</f>
        <v>189</v>
      </c>
      <c r="B189" s="806">
        <f t="shared" si="5"/>
        <v>177</v>
      </c>
      <c r="C189" s="1169" t="s">
        <v>2508</v>
      </c>
      <c r="D189" s="802" t="s">
        <v>1670</v>
      </c>
      <c r="E189" s="797"/>
      <c r="F189" s="798"/>
      <c r="G189" s="803"/>
      <c r="H189" s="803" t="s">
        <v>1528</v>
      </c>
      <c r="I189" s="804">
        <v>0.72</v>
      </c>
      <c r="J189" s="805">
        <f t="shared" si="4"/>
        <v>0</v>
      </c>
    </row>
    <row r="190" spans="1:10" s="1166" customFormat="1" ht="28.5">
      <c r="A190" s="799">
        <f>ROW()</f>
        <v>190</v>
      </c>
      <c r="B190" s="806">
        <f t="shared" si="5"/>
        <v>178</v>
      </c>
      <c r="C190" s="1169" t="s">
        <v>2508</v>
      </c>
      <c r="D190" s="802" t="s">
        <v>1671</v>
      </c>
      <c r="E190" s="797"/>
      <c r="F190" s="798"/>
      <c r="G190" s="803"/>
      <c r="H190" s="803" t="s">
        <v>212</v>
      </c>
      <c r="I190" s="804">
        <v>0</v>
      </c>
      <c r="J190" s="805">
        <f t="shared" si="4"/>
        <v>0</v>
      </c>
    </row>
    <row r="191" spans="1:10" s="1166" customFormat="1" ht="28.5">
      <c r="A191" s="799">
        <f>ROW()</f>
        <v>191</v>
      </c>
      <c r="B191" s="806">
        <f t="shared" si="5"/>
        <v>179</v>
      </c>
      <c r="C191" s="1169" t="s">
        <v>2508</v>
      </c>
      <c r="D191" s="802" t="s">
        <v>1672</v>
      </c>
      <c r="E191" s="797"/>
      <c r="F191" s="798"/>
      <c r="G191" s="803"/>
      <c r="H191" s="803" t="s">
        <v>166</v>
      </c>
      <c r="I191" s="804">
        <v>10.210000000000001</v>
      </c>
      <c r="J191" s="805">
        <f t="shared" si="4"/>
        <v>0</v>
      </c>
    </row>
    <row r="192" spans="1:10" s="1166" customFormat="1" ht="28.5">
      <c r="A192" s="799">
        <f>ROW()</f>
        <v>192</v>
      </c>
      <c r="B192" s="806">
        <f t="shared" si="5"/>
        <v>180</v>
      </c>
      <c r="C192" s="1169" t="s">
        <v>2508</v>
      </c>
      <c r="D192" s="802" t="s">
        <v>1673</v>
      </c>
      <c r="E192" s="797"/>
      <c r="F192" s="798"/>
      <c r="G192" s="803"/>
      <c r="H192" s="803" t="s">
        <v>1674</v>
      </c>
      <c r="I192" s="804">
        <v>0.75</v>
      </c>
      <c r="J192" s="805">
        <f t="shared" si="4"/>
        <v>0</v>
      </c>
    </row>
    <row r="193" spans="1:10" s="1166" customFormat="1" ht="28.5">
      <c r="A193" s="799">
        <f>ROW()</f>
        <v>193</v>
      </c>
      <c r="B193" s="806">
        <f t="shared" si="5"/>
        <v>181</v>
      </c>
      <c r="C193" s="1169" t="s">
        <v>2508</v>
      </c>
      <c r="D193" s="802" t="s">
        <v>1675</v>
      </c>
      <c r="E193" s="797"/>
      <c r="F193" s="798"/>
      <c r="G193" s="803"/>
      <c r="H193" s="803" t="s">
        <v>166</v>
      </c>
      <c r="I193" s="804">
        <v>5.17</v>
      </c>
      <c r="J193" s="805">
        <f t="shared" si="4"/>
        <v>0</v>
      </c>
    </row>
    <row r="194" spans="1:10" s="1166" customFormat="1" ht="28.5">
      <c r="A194" s="799">
        <f>ROW()</f>
        <v>194</v>
      </c>
      <c r="B194" s="806">
        <f t="shared" si="5"/>
        <v>182</v>
      </c>
      <c r="C194" s="1169" t="s">
        <v>2508</v>
      </c>
      <c r="D194" s="802" t="s">
        <v>1676</v>
      </c>
      <c r="E194" s="797"/>
      <c r="F194" s="798"/>
      <c r="G194" s="803"/>
      <c r="H194" s="803" t="s">
        <v>1677</v>
      </c>
      <c r="I194" s="804">
        <v>1.84</v>
      </c>
      <c r="J194" s="805">
        <f t="shared" si="4"/>
        <v>0</v>
      </c>
    </row>
    <row r="195" spans="1:10" s="1166" customFormat="1" ht="28.5">
      <c r="A195" s="799">
        <f>ROW()</f>
        <v>195</v>
      </c>
      <c r="B195" s="806">
        <f t="shared" si="5"/>
        <v>183</v>
      </c>
      <c r="C195" s="1169" t="s">
        <v>2508</v>
      </c>
      <c r="D195" s="802" t="s">
        <v>1678</v>
      </c>
      <c r="E195" s="797"/>
      <c r="F195" s="798"/>
      <c r="G195" s="803"/>
      <c r="H195" s="803" t="s">
        <v>166</v>
      </c>
      <c r="I195" s="804">
        <v>0.91</v>
      </c>
      <c r="J195" s="805">
        <f t="shared" si="4"/>
        <v>0</v>
      </c>
    </row>
    <row r="196" spans="1:10" s="1166" customFormat="1" ht="28.5">
      <c r="A196" s="799">
        <f>ROW()</f>
        <v>196</v>
      </c>
      <c r="B196" s="806">
        <f t="shared" si="5"/>
        <v>184</v>
      </c>
      <c r="C196" s="1169" t="s">
        <v>2508</v>
      </c>
      <c r="D196" s="802" t="s">
        <v>1679</v>
      </c>
      <c r="E196" s="797"/>
      <c r="F196" s="798"/>
      <c r="G196" s="803"/>
      <c r="H196" s="803" t="s">
        <v>166</v>
      </c>
      <c r="I196" s="804">
        <v>6.17</v>
      </c>
      <c r="J196" s="805">
        <f t="shared" si="4"/>
        <v>0</v>
      </c>
    </row>
    <row r="197" spans="1:10" s="1166" customFormat="1" ht="28.5">
      <c r="A197" s="799">
        <f>ROW()</f>
        <v>197</v>
      </c>
      <c r="B197" s="806">
        <f t="shared" si="5"/>
        <v>185</v>
      </c>
      <c r="C197" s="1169" t="s">
        <v>2508</v>
      </c>
      <c r="D197" s="802" t="s">
        <v>1680</v>
      </c>
      <c r="E197" s="797"/>
      <c r="F197" s="798"/>
      <c r="G197" s="803"/>
      <c r="H197" s="803" t="s">
        <v>166</v>
      </c>
      <c r="I197" s="804">
        <v>8.3800000000000008</v>
      </c>
      <c r="J197" s="805">
        <f t="shared" si="4"/>
        <v>0</v>
      </c>
    </row>
    <row r="198" spans="1:10" s="1166" customFormat="1" ht="28.5">
      <c r="A198" s="799">
        <f>ROW()</f>
        <v>198</v>
      </c>
      <c r="B198" s="806">
        <f t="shared" si="5"/>
        <v>186</v>
      </c>
      <c r="C198" s="1169" t="s">
        <v>2508</v>
      </c>
      <c r="D198" s="802" t="s">
        <v>1681</v>
      </c>
      <c r="E198" s="797"/>
      <c r="F198" s="798"/>
      <c r="G198" s="803"/>
      <c r="H198" s="803" t="s">
        <v>166</v>
      </c>
      <c r="I198" s="804">
        <v>6.08</v>
      </c>
      <c r="J198" s="805">
        <f t="shared" si="4"/>
        <v>0</v>
      </c>
    </row>
    <row r="199" spans="1:10" s="1166" customFormat="1" ht="28.5">
      <c r="A199" s="799">
        <f>ROW()</f>
        <v>199</v>
      </c>
      <c r="B199" s="806">
        <f t="shared" si="5"/>
        <v>187</v>
      </c>
      <c r="C199" s="1169" t="s">
        <v>2508</v>
      </c>
      <c r="D199" s="802" t="s">
        <v>1682</v>
      </c>
      <c r="E199" s="797"/>
      <c r="F199" s="798"/>
      <c r="G199" s="803"/>
      <c r="H199" s="803" t="s">
        <v>1590</v>
      </c>
      <c r="I199" s="804">
        <v>2.13</v>
      </c>
      <c r="J199" s="805">
        <f t="shared" si="4"/>
        <v>0</v>
      </c>
    </row>
    <row r="200" spans="1:10" s="1166" customFormat="1" ht="28.5">
      <c r="A200" s="799">
        <f>ROW()</f>
        <v>200</v>
      </c>
      <c r="B200" s="806">
        <f t="shared" si="5"/>
        <v>188</v>
      </c>
      <c r="C200" s="1169" t="s">
        <v>2508</v>
      </c>
      <c r="D200" s="802" t="s">
        <v>1683</v>
      </c>
      <c r="E200" s="797"/>
      <c r="F200" s="798"/>
      <c r="G200" s="803"/>
      <c r="H200" s="803" t="s">
        <v>1684</v>
      </c>
      <c r="I200" s="804">
        <v>0.76</v>
      </c>
      <c r="J200" s="805">
        <f t="shared" si="4"/>
        <v>0</v>
      </c>
    </row>
    <row r="201" spans="1:10" s="1166" customFormat="1" ht="28.5">
      <c r="A201" s="799">
        <f>ROW()</f>
        <v>201</v>
      </c>
      <c r="B201" s="806">
        <f t="shared" si="5"/>
        <v>189</v>
      </c>
      <c r="C201" s="1169" t="s">
        <v>2508</v>
      </c>
      <c r="D201" s="802" t="s">
        <v>1685</v>
      </c>
      <c r="E201" s="797"/>
      <c r="F201" s="798"/>
      <c r="G201" s="803"/>
      <c r="H201" s="803" t="s">
        <v>166</v>
      </c>
      <c r="I201" s="804">
        <v>1.34</v>
      </c>
      <c r="J201" s="805">
        <f t="shared" si="4"/>
        <v>0</v>
      </c>
    </row>
    <row r="202" spans="1:10" s="1166" customFormat="1" ht="28.5">
      <c r="A202" s="799">
        <f>ROW()</f>
        <v>202</v>
      </c>
      <c r="B202" s="806">
        <f t="shared" si="5"/>
        <v>190</v>
      </c>
      <c r="C202" s="1169" t="s">
        <v>2508</v>
      </c>
      <c r="D202" s="802" t="s">
        <v>1686</v>
      </c>
      <c r="E202" s="797"/>
      <c r="F202" s="798"/>
      <c r="G202" s="803"/>
      <c r="H202" s="803" t="s">
        <v>166</v>
      </c>
      <c r="I202" s="804">
        <v>2.9</v>
      </c>
      <c r="J202" s="805">
        <f t="shared" si="4"/>
        <v>0</v>
      </c>
    </row>
    <row r="203" spans="1:10" s="1166" customFormat="1" ht="28.5">
      <c r="A203" s="799">
        <f>ROW()</f>
        <v>203</v>
      </c>
      <c r="B203" s="806">
        <f t="shared" si="5"/>
        <v>191</v>
      </c>
      <c r="C203" s="1169" t="s">
        <v>2508</v>
      </c>
      <c r="D203" s="802" t="s">
        <v>1687</v>
      </c>
      <c r="E203" s="797"/>
      <c r="F203" s="798"/>
      <c r="G203" s="803"/>
      <c r="H203" s="803" t="s">
        <v>1590</v>
      </c>
      <c r="I203" s="804">
        <v>1.89</v>
      </c>
      <c r="J203" s="805">
        <f t="shared" si="4"/>
        <v>0</v>
      </c>
    </row>
    <row r="204" spans="1:10" s="1166" customFormat="1" ht="28.5">
      <c r="A204" s="799">
        <f>ROW()</f>
        <v>204</v>
      </c>
      <c r="B204" s="806">
        <f t="shared" si="5"/>
        <v>192</v>
      </c>
      <c r="C204" s="1169" t="s">
        <v>2508</v>
      </c>
      <c r="D204" s="802" t="s">
        <v>1688</v>
      </c>
      <c r="E204" s="797"/>
      <c r="F204" s="798"/>
      <c r="G204" s="803"/>
      <c r="H204" s="803" t="s">
        <v>166</v>
      </c>
      <c r="I204" s="804">
        <v>2.99</v>
      </c>
      <c r="J204" s="805">
        <f t="shared" si="4"/>
        <v>0</v>
      </c>
    </row>
    <row r="205" spans="1:10" s="1166" customFormat="1" ht="28.5">
      <c r="A205" s="799">
        <f>ROW()</f>
        <v>205</v>
      </c>
      <c r="B205" s="806">
        <f t="shared" si="5"/>
        <v>193</v>
      </c>
      <c r="C205" s="1169" t="s">
        <v>2508</v>
      </c>
      <c r="D205" s="802" t="s">
        <v>1689</v>
      </c>
      <c r="E205" s="797"/>
      <c r="F205" s="798"/>
      <c r="G205" s="803"/>
      <c r="H205" s="803" t="s">
        <v>166</v>
      </c>
      <c r="I205" s="804">
        <v>3.2</v>
      </c>
      <c r="J205" s="805">
        <f t="shared" ref="J205:J268" si="6">I205*G205</f>
        <v>0</v>
      </c>
    </row>
    <row r="206" spans="1:10" s="1166" customFormat="1" ht="28.5">
      <c r="A206" s="799">
        <f>ROW()</f>
        <v>206</v>
      </c>
      <c r="B206" s="806">
        <f t="shared" si="5"/>
        <v>194</v>
      </c>
      <c r="C206" s="1169" t="s">
        <v>2508</v>
      </c>
      <c r="D206" s="802" t="s">
        <v>1690</v>
      </c>
      <c r="E206" s="797"/>
      <c r="F206" s="798"/>
      <c r="G206" s="803"/>
      <c r="H206" s="803" t="s">
        <v>166</v>
      </c>
      <c r="I206" s="804">
        <v>3.03</v>
      </c>
      <c r="J206" s="805">
        <f t="shared" si="6"/>
        <v>0</v>
      </c>
    </row>
    <row r="207" spans="1:10" s="1166" customFormat="1" ht="28.5">
      <c r="A207" s="799">
        <f>ROW()</f>
        <v>207</v>
      </c>
      <c r="B207" s="806">
        <f t="shared" si="5"/>
        <v>195</v>
      </c>
      <c r="C207" s="1169" t="s">
        <v>2508</v>
      </c>
      <c r="D207" s="802" t="s">
        <v>1691</v>
      </c>
      <c r="E207" s="797"/>
      <c r="F207" s="798"/>
      <c r="G207" s="803"/>
      <c r="H207" s="803" t="s">
        <v>1588</v>
      </c>
      <c r="I207" s="804">
        <v>1.19</v>
      </c>
      <c r="J207" s="805">
        <f t="shared" si="6"/>
        <v>0</v>
      </c>
    </row>
    <row r="208" spans="1:10" s="1166" customFormat="1" ht="28.5">
      <c r="A208" s="799">
        <f>ROW()</f>
        <v>208</v>
      </c>
      <c r="B208" s="806">
        <f t="shared" ref="B208:B271" si="7">IF(C208="I","",IF(ISBLANK(D208),"",IF(ISTEXT(D208),LARGE(B204:B207,1)+1,0)))</f>
        <v>196</v>
      </c>
      <c r="C208" s="1169" t="s">
        <v>2508</v>
      </c>
      <c r="D208" s="802" t="s">
        <v>1692</v>
      </c>
      <c r="E208" s="797"/>
      <c r="F208" s="798"/>
      <c r="G208" s="803"/>
      <c r="H208" s="803" t="s">
        <v>1590</v>
      </c>
      <c r="I208" s="804">
        <v>11.33</v>
      </c>
      <c r="J208" s="805">
        <f t="shared" si="6"/>
        <v>0</v>
      </c>
    </row>
    <row r="209" spans="1:10" s="1166" customFormat="1" ht="28.5">
      <c r="A209" s="799">
        <f>ROW()</f>
        <v>209</v>
      </c>
      <c r="B209" s="806">
        <f t="shared" si="7"/>
        <v>197</v>
      </c>
      <c r="C209" s="1169" t="s">
        <v>2508</v>
      </c>
      <c r="D209" s="802" t="s">
        <v>1693</v>
      </c>
      <c r="E209" s="797"/>
      <c r="F209" s="798"/>
      <c r="G209" s="803"/>
      <c r="H209" s="803" t="s">
        <v>1590</v>
      </c>
      <c r="I209" s="804">
        <v>9.91</v>
      </c>
      <c r="J209" s="805">
        <f t="shared" si="6"/>
        <v>0</v>
      </c>
    </row>
    <row r="210" spans="1:10" s="1166" customFormat="1" ht="28.5">
      <c r="A210" s="799">
        <f>ROW()</f>
        <v>210</v>
      </c>
      <c r="B210" s="806">
        <f t="shared" si="7"/>
        <v>198</v>
      </c>
      <c r="C210" s="1169" t="s">
        <v>2508</v>
      </c>
      <c r="D210" s="802" t="s">
        <v>1694</v>
      </c>
      <c r="E210" s="797"/>
      <c r="F210" s="798"/>
      <c r="G210" s="803"/>
      <c r="H210" s="803" t="s">
        <v>166</v>
      </c>
      <c r="I210" s="804">
        <v>2.5</v>
      </c>
      <c r="J210" s="805">
        <f t="shared" si="6"/>
        <v>0</v>
      </c>
    </row>
    <row r="211" spans="1:10" s="1166" customFormat="1" ht="28.5">
      <c r="A211" s="799">
        <f>ROW()</f>
        <v>211</v>
      </c>
      <c r="B211" s="806">
        <f t="shared" si="7"/>
        <v>199</v>
      </c>
      <c r="C211" s="1169" t="s">
        <v>2508</v>
      </c>
      <c r="D211" s="802" t="s">
        <v>1695</v>
      </c>
      <c r="E211" s="797"/>
      <c r="F211" s="798"/>
      <c r="G211" s="803"/>
      <c r="H211" s="803" t="s">
        <v>166</v>
      </c>
      <c r="I211" s="804">
        <v>5.76</v>
      </c>
      <c r="J211" s="805">
        <f t="shared" si="6"/>
        <v>0</v>
      </c>
    </row>
    <row r="212" spans="1:10" s="1166" customFormat="1" ht="28.5">
      <c r="A212" s="799">
        <f>ROW()</f>
        <v>212</v>
      </c>
      <c r="B212" s="806">
        <f t="shared" si="7"/>
        <v>200</v>
      </c>
      <c r="C212" s="1169" t="s">
        <v>2508</v>
      </c>
      <c r="D212" s="802" t="s">
        <v>1696</v>
      </c>
      <c r="E212" s="797"/>
      <c r="F212" s="798"/>
      <c r="G212" s="803"/>
      <c r="H212" s="803" t="s">
        <v>1590</v>
      </c>
      <c r="I212" s="804">
        <v>1.37</v>
      </c>
      <c r="J212" s="805">
        <f t="shared" si="6"/>
        <v>0</v>
      </c>
    </row>
    <row r="213" spans="1:10" s="1166" customFormat="1" ht="28.5">
      <c r="A213" s="799">
        <f>ROW()</f>
        <v>213</v>
      </c>
      <c r="B213" s="806">
        <f t="shared" si="7"/>
        <v>201</v>
      </c>
      <c r="C213" s="1169" t="s">
        <v>2508</v>
      </c>
      <c r="D213" s="802" t="s">
        <v>213</v>
      </c>
      <c r="E213" s="797"/>
      <c r="F213" s="798"/>
      <c r="G213" s="803"/>
      <c r="H213" s="803" t="s">
        <v>166</v>
      </c>
      <c r="I213" s="804">
        <v>2.73</v>
      </c>
      <c r="J213" s="805">
        <f t="shared" si="6"/>
        <v>0</v>
      </c>
    </row>
    <row r="214" spans="1:10" s="1166" customFormat="1" ht="28.5">
      <c r="A214" s="799">
        <f>ROW()</f>
        <v>214</v>
      </c>
      <c r="B214" s="806">
        <f t="shared" si="7"/>
        <v>202</v>
      </c>
      <c r="C214" s="1169" t="s">
        <v>2508</v>
      </c>
      <c r="D214" s="802" t="s">
        <v>1697</v>
      </c>
      <c r="E214" s="797"/>
      <c r="F214" s="798"/>
      <c r="G214" s="803"/>
      <c r="H214" s="803" t="s">
        <v>166</v>
      </c>
      <c r="I214" s="804">
        <v>0.37</v>
      </c>
      <c r="J214" s="805">
        <f t="shared" si="6"/>
        <v>0</v>
      </c>
    </row>
    <row r="215" spans="1:10" s="1166" customFormat="1" ht="28.5">
      <c r="A215" s="799">
        <f>ROW()</f>
        <v>215</v>
      </c>
      <c r="B215" s="806">
        <f t="shared" si="7"/>
        <v>203</v>
      </c>
      <c r="C215" s="1169" t="s">
        <v>2508</v>
      </c>
      <c r="D215" s="802" t="s">
        <v>1698</v>
      </c>
      <c r="E215" s="797"/>
      <c r="F215" s="798"/>
      <c r="G215" s="803"/>
      <c r="H215" s="803" t="s">
        <v>166</v>
      </c>
      <c r="I215" s="804">
        <v>2.5</v>
      </c>
      <c r="J215" s="805">
        <f t="shared" si="6"/>
        <v>0</v>
      </c>
    </row>
    <row r="216" spans="1:10" s="1166" customFormat="1" ht="28.5">
      <c r="A216" s="799">
        <f>ROW()</f>
        <v>216</v>
      </c>
      <c r="B216" s="806">
        <f t="shared" si="7"/>
        <v>204</v>
      </c>
      <c r="C216" s="1169" t="s">
        <v>2508</v>
      </c>
      <c r="D216" s="802" t="s">
        <v>1699</v>
      </c>
      <c r="E216" s="797"/>
      <c r="F216" s="798"/>
      <c r="G216" s="803"/>
      <c r="H216" s="803" t="s">
        <v>166</v>
      </c>
      <c r="I216" s="804">
        <v>1.36</v>
      </c>
      <c r="J216" s="805">
        <f t="shared" si="6"/>
        <v>0</v>
      </c>
    </row>
    <row r="217" spans="1:10" s="1166" customFormat="1" ht="28.5">
      <c r="A217" s="799">
        <f>ROW()</f>
        <v>217</v>
      </c>
      <c r="B217" s="806">
        <f t="shared" si="7"/>
        <v>205</v>
      </c>
      <c r="C217" s="1169" t="s">
        <v>2508</v>
      </c>
      <c r="D217" s="802" t="s">
        <v>1700</v>
      </c>
      <c r="E217" s="797"/>
      <c r="F217" s="798"/>
      <c r="G217" s="803"/>
      <c r="H217" s="803" t="s">
        <v>1590</v>
      </c>
      <c r="I217" s="804">
        <v>0.78</v>
      </c>
      <c r="J217" s="805">
        <f t="shared" si="6"/>
        <v>0</v>
      </c>
    </row>
    <row r="218" spans="1:10" s="1166" customFormat="1" ht="28.5">
      <c r="A218" s="799">
        <f>ROW()</f>
        <v>218</v>
      </c>
      <c r="B218" s="806">
        <f t="shared" si="7"/>
        <v>206</v>
      </c>
      <c r="C218" s="1169" t="s">
        <v>2508</v>
      </c>
      <c r="D218" s="802" t="s">
        <v>1701</v>
      </c>
      <c r="E218" s="797"/>
      <c r="F218" s="798"/>
      <c r="G218" s="803"/>
      <c r="H218" s="803" t="s">
        <v>166</v>
      </c>
      <c r="I218" s="804">
        <v>1.37</v>
      </c>
      <c r="J218" s="805">
        <f t="shared" si="6"/>
        <v>0</v>
      </c>
    </row>
    <row r="219" spans="1:10" s="1166" customFormat="1" ht="28.5">
      <c r="A219" s="799">
        <f>ROW()</f>
        <v>219</v>
      </c>
      <c r="B219" s="806">
        <f t="shared" si="7"/>
        <v>207</v>
      </c>
      <c r="C219" s="1169" t="s">
        <v>2508</v>
      </c>
      <c r="D219" s="802" t="s">
        <v>1702</v>
      </c>
      <c r="E219" s="797"/>
      <c r="F219" s="798"/>
      <c r="G219" s="803"/>
      <c r="H219" s="803" t="s">
        <v>166</v>
      </c>
      <c r="I219" s="804">
        <v>1.05</v>
      </c>
      <c r="J219" s="805">
        <f t="shared" si="6"/>
        <v>0</v>
      </c>
    </row>
    <row r="220" spans="1:10" s="1166" customFormat="1" ht="28.5">
      <c r="A220" s="799">
        <f>ROW()</f>
        <v>220</v>
      </c>
      <c r="B220" s="806">
        <f t="shared" si="7"/>
        <v>208</v>
      </c>
      <c r="C220" s="1169" t="s">
        <v>2508</v>
      </c>
      <c r="D220" s="802" t="s">
        <v>978</v>
      </c>
      <c r="E220" s="797"/>
      <c r="F220" s="798"/>
      <c r="G220" s="803"/>
      <c r="H220" s="803" t="s">
        <v>166</v>
      </c>
      <c r="I220" s="804">
        <v>1.43</v>
      </c>
      <c r="J220" s="805">
        <f t="shared" si="6"/>
        <v>0</v>
      </c>
    </row>
    <row r="221" spans="1:10" s="1166" customFormat="1" ht="28.5">
      <c r="A221" s="799">
        <f>ROW()</f>
        <v>221</v>
      </c>
      <c r="B221" s="806">
        <f t="shared" si="7"/>
        <v>209</v>
      </c>
      <c r="C221" s="1169" t="s">
        <v>2508</v>
      </c>
      <c r="D221" s="802" t="s">
        <v>1703</v>
      </c>
      <c r="E221" s="797"/>
      <c r="F221" s="798"/>
      <c r="G221" s="803"/>
      <c r="H221" s="803" t="s">
        <v>1590</v>
      </c>
      <c r="I221" s="804">
        <v>1.49</v>
      </c>
      <c r="J221" s="805">
        <f t="shared" si="6"/>
        <v>0</v>
      </c>
    </row>
    <row r="222" spans="1:10" s="1166" customFormat="1" ht="28.5">
      <c r="A222" s="799">
        <f>ROW()</f>
        <v>222</v>
      </c>
      <c r="B222" s="806">
        <f t="shared" si="7"/>
        <v>210</v>
      </c>
      <c r="C222" s="1169" t="s">
        <v>2508</v>
      </c>
      <c r="D222" s="802" t="s">
        <v>1704</v>
      </c>
      <c r="E222" s="797"/>
      <c r="F222" s="798"/>
      <c r="G222" s="803"/>
      <c r="H222" s="803" t="s">
        <v>1677</v>
      </c>
      <c r="I222" s="804">
        <v>1.48</v>
      </c>
      <c r="J222" s="805">
        <f t="shared" si="6"/>
        <v>0</v>
      </c>
    </row>
    <row r="223" spans="1:10" s="1166" customFormat="1" ht="28.5">
      <c r="A223" s="799">
        <f>ROW()</f>
        <v>223</v>
      </c>
      <c r="B223" s="806">
        <f t="shared" si="7"/>
        <v>211</v>
      </c>
      <c r="C223" s="1169" t="s">
        <v>2508</v>
      </c>
      <c r="D223" s="802" t="s">
        <v>1705</v>
      </c>
      <c r="E223" s="797"/>
      <c r="F223" s="798"/>
      <c r="G223" s="803"/>
      <c r="H223" s="803" t="s">
        <v>166</v>
      </c>
      <c r="I223" s="804">
        <v>4.71</v>
      </c>
      <c r="J223" s="805">
        <f t="shared" si="6"/>
        <v>0</v>
      </c>
    </row>
    <row r="224" spans="1:10" s="1166" customFormat="1" ht="28.5">
      <c r="A224" s="799">
        <f>ROW()</f>
        <v>224</v>
      </c>
      <c r="B224" s="806">
        <f t="shared" si="7"/>
        <v>212</v>
      </c>
      <c r="C224" s="1169" t="s">
        <v>2508</v>
      </c>
      <c r="D224" s="802" t="s">
        <v>1706</v>
      </c>
      <c r="E224" s="797"/>
      <c r="F224" s="798"/>
      <c r="G224" s="803"/>
      <c r="H224" s="803" t="s">
        <v>1588</v>
      </c>
      <c r="I224" s="804">
        <v>0.41</v>
      </c>
      <c r="J224" s="805">
        <f t="shared" si="6"/>
        <v>0</v>
      </c>
    </row>
    <row r="225" spans="1:10" s="1166" customFormat="1" ht="28.5">
      <c r="A225" s="799">
        <f>ROW()</f>
        <v>225</v>
      </c>
      <c r="B225" s="806">
        <f t="shared" si="7"/>
        <v>213</v>
      </c>
      <c r="C225" s="1169" t="s">
        <v>2508</v>
      </c>
      <c r="D225" s="802" t="s">
        <v>1707</v>
      </c>
      <c r="E225" s="797"/>
      <c r="F225" s="798"/>
      <c r="G225" s="803"/>
      <c r="H225" s="803" t="s">
        <v>1708</v>
      </c>
      <c r="I225" s="804">
        <v>0.84</v>
      </c>
      <c r="J225" s="805">
        <f t="shared" si="6"/>
        <v>0</v>
      </c>
    </row>
    <row r="226" spans="1:10" s="1166" customFormat="1" ht="28.5">
      <c r="A226" s="799">
        <f>ROW()</f>
        <v>226</v>
      </c>
      <c r="B226" s="806">
        <f t="shared" si="7"/>
        <v>214</v>
      </c>
      <c r="C226" s="1169" t="s">
        <v>2508</v>
      </c>
      <c r="D226" s="802" t="s">
        <v>1709</v>
      </c>
      <c r="E226" s="797"/>
      <c r="F226" s="798"/>
      <c r="G226" s="803"/>
      <c r="H226" s="803" t="s">
        <v>1710</v>
      </c>
      <c r="I226" s="804">
        <v>16.68</v>
      </c>
      <c r="J226" s="805">
        <f t="shared" si="6"/>
        <v>0</v>
      </c>
    </row>
    <row r="227" spans="1:10" s="1166" customFormat="1" ht="28.5">
      <c r="A227" s="799">
        <f>ROW()</f>
        <v>227</v>
      </c>
      <c r="B227" s="806">
        <f t="shared" si="7"/>
        <v>215</v>
      </c>
      <c r="C227" s="1169" t="s">
        <v>2508</v>
      </c>
      <c r="D227" s="802" t="s">
        <v>1711</v>
      </c>
      <c r="E227" s="797"/>
      <c r="F227" s="798"/>
      <c r="G227" s="803"/>
      <c r="H227" s="803" t="s">
        <v>166</v>
      </c>
      <c r="I227" s="804">
        <v>0.49</v>
      </c>
      <c r="J227" s="805">
        <f t="shared" si="6"/>
        <v>0</v>
      </c>
    </row>
    <row r="228" spans="1:10" s="1166" customFormat="1" ht="28.5">
      <c r="A228" s="799">
        <f>ROW()</f>
        <v>228</v>
      </c>
      <c r="B228" s="806">
        <f t="shared" si="7"/>
        <v>216</v>
      </c>
      <c r="C228" s="1169" t="s">
        <v>2508</v>
      </c>
      <c r="D228" s="802" t="s">
        <v>1712</v>
      </c>
      <c r="E228" s="797"/>
      <c r="F228" s="798"/>
      <c r="G228" s="803"/>
      <c r="H228" s="803" t="s">
        <v>212</v>
      </c>
      <c r="I228" s="804">
        <v>3.93</v>
      </c>
      <c r="J228" s="805">
        <f t="shared" si="6"/>
        <v>0</v>
      </c>
    </row>
    <row r="229" spans="1:10" s="1166" customFormat="1" ht="28.5">
      <c r="A229" s="799">
        <f>ROW()</f>
        <v>229</v>
      </c>
      <c r="B229" s="806">
        <f t="shared" si="7"/>
        <v>217</v>
      </c>
      <c r="C229" s="1169" t="s">
        <v>2508</v>
      </c>
      <c r="D229" s="802" t="s">
        <v>1713</v>
      </c>
      <c r="E229" s="797"/>
      <c r="F229" s="798"/>
      <c r="G229" s="803"/>
      <c r="H229" s="803" t="s">
        <v>212</v>
      </c>
      <c r="I229" s="804">
        <v>0.56000000000000005</v>
      </c>
      <c r="J229" s="805">
        <f t="shared" si="6"/>
        <v>0</v>
      </c>
    </row>
    <row r="230" spans="1:10" s="1166" customFormat="1" ht="28.5">
      <c r="A230" s="799">
        <f>ROW()</f>
        <v>230</v>
      </c>
      <c r="B230" s="806">
        <f t="shared" si="7"/>
        <v>218</v>
      </c>
      <c r="C230" s="1169" t="s">
        <v>2508</v>
      </c>
      <c r="D230" s="802" t="s">
        <v>1714</v>
      </c>
      <c r="E230" s="797"/>
      <c r="F230" s="798"/>
      <c r="G230" s="803"/>
      <c r="H230" s="803" t="s">
        <v>212</v>
      </c>
      <c r="I230" s="804">
        <v>1.04</v>
      </c>
      <c r="J230" s="805">
        <f t="shared" si="6"/>
        <v>0</v>
      </c>
    </row>
    <row r="231" spans="1:10" s="1166" customFormat="1" ht="28.5">
      <c r="A231" s="799">
        <f>ROW()</f>
        <v>231</v>
      </c>
      <c r="B231" s="806">
        <f t="shared" si="7"/>
        <v>219</v>
      </c>
      <c r="C231" s="1169" t="s">
        <v>2508</v>
      </c>
      <c r="D231" s="802" t="s">
        <v>1715</v>
      </c>
      <c r="E231" s="797"/>
      <c r="F231" s="798"/>
      <c r="G231" s="803"/>
      <c r="H231" s="803" t="s">
        <v>212</v>
      </c>
      <c r="I231" s="804">
        <v>3.22</v>
      </c>
      <c r="J231" s="805">
        <f t="shared" si="6"/>
        <v>0</v>
      </c>
    </row>
    <row r="232" spans="1:10" s="1166" customFormat="1" ht="28.5">
      <c r="A232" s="799">
        <f>ROW()</f>
        <v>232</v>
      </c>
      <c r="B232" s="806">
        <f t="shared" si="7"/>
        <v>220</v>
      </c>
      <c r="C232" s="1171" t="s">
        <v>2510</v>
      </c>
      <c r="D232" s="802" t="s">
        <v>979</v>
      </c>
      <c r="E232" s="797"/>
      <c r="F232" s="798"/>
      <c r="G232" s="803"/>
      <c r="H232" s="803" t="s">
        <v>166</v>
      </c>
      <c r="I232" s="804">
        <v>4.34</v>
      </c>
      <c r="J232" s="805">
        <f t="shared" si="6"/>
        <v>0</v>
      </c>
    </row>
    <row r="233" spans="1:10" s="1166" customFormat="1" ht="28.5">
      <c r="A233" s="799">
        <f>ROW()</f>
        <v>233</v>
      </c>
      <c r="B233" s="806">
        <f t="shared" si="7"/>
        <v>221</v>
      </c>
      <c r="C233" s="1171" t="s">
        <v>2510</v>
      </c>
      <c r="D233" s="802" t="s">
        <v>1716</v>
      </c>
      <c r="E233" s="797"/>
      <c r="F233" s="798"/>
      <c r="G233" s="803"/>
      <c r="H233" s="803" t="s">
        <v>166</v>
      </c>
      <c r="I233" s="804">
        <v>5.34</v>
      </c>
      <c r="J233" s="805">
        <f t="shared" si="6"/>
        <v>0</v>
      </c>
    </row>
    <row r="234" spans="1:10" s="1166" customFormat="1" ht="28.5">
      <c r="A234" s="799">
        <f>ROW()</f>
        <v>234</v>
      </c>
      <c r="B234" s="806">
        <f t="shared" si="7"/>
        <v>222</v>
      </c>
      <c r="C234" s="1171" t="s">
        <v>2510</v>
      </c>
      <c r="D234" s="802" t="s">
        <v>1717</v>
      </c>
      <c r="E234" s="797"/>
      <c r="F234" s="798"/>
      <c r="G234" s="803"/>
      <c r="H234" s="803" t="s">
        <v>1528</v>
      </c>
      <c r="I234" s="804">
        <v>0.91</v>
      </c>
      <c r="J234" s="805">
        <f t="shared" si="6"/>
        <v>0</v>
      </c>
    </row>
    <row r="235" spans="1:10" s="1166" customFormat="1" ht="28.5">
      <c r="A235" s="799">
        <f>ROW()</f>
        <v>235</v>
      </c>
      <c r="B235" s="806">
        <f t="shared" si="7"/>
        <v>223</v>
      </c>
      <c r="C235" s="1171" t="s">
        <v>2510</v>
      </c>
      <c r="D235" s="802" t="s">
        <v>1718</v>
      </c>
      <c r="E235" s="797"/>
      <c r="F235" s="798"/>
      <c r="G235" s="803"/>
      <c r="H235" s="803" t="s">
        <v>212</v>
      </c>
      <c r="I235" s="804">
        <v>3.51</v>
      </c>
      <c r="J235" s="805">
        <f t="shared" si="6"/>
        <v>0</v>
      </c>
    </row>
    <row r="236" spans="1:10" s="1166" customFormat="1" ht="28.5">
      <c r="A236" s="799">
        <f>ROW()</f>
        <v>236</v>
      </c>
      <c r="B236" s="806">
        <f t="shared" si="7"/>
        <v>224</v>
      </c>
      <c r="C236" s="1171" t="s">
        <v>2510</v>
      </c>
      <c r="D236" s="802" t="s">
        <v>1719</v>
      </c>
      <c r="E236" s="797"/>
      <c r="F236" s="798"/>
      <c r="G236" s="803"/>
      <c r="H236" s="803" t="s">
        <v>166</v>
      </c>
      <c r="I236" s="804">
        <v>4.45</v>
      </c>
      <c r="J236" s="805">
        <f t="shared" si="6"/>
        <v>0</v>
      </c>
    </row>
    <row r="237" spans="1:10" s="1166" customFormat="1" ht="28.5">
      <c r="A237" s="799">
        <f>ROW()</f>
        <v>237</v>
      </c>
      <c r="B237" s="806">
        <f t="shared" si="7"/>
        <v>225</v>
      </c>
      <c r="C237" s="1171" t="s">
        <v>2510</v>
      </c>
      <c r="D237" s="802" t="s">
        <v>1720</v>
      </c>
      <c r="E237" s="797"/>
      <c r="F237" s="798"/>
      <c r="G237" s="803"/>
      <c r="H237" s="803" t="s">
        <v>166</v>
      </c>
      <c r="I237" s="804">
        <v>2.74</v>
      </c>
      <c r="J237" s="805">
        <f t="shared" si="6"/>
        <v>0</v>
      </c>
    </row>
    <row r="238" spans="1:10" s="1166" customFormat="1" ht="28.5">
      <c r="A238" s="799">
        <f>ROW()</f>
        <v>238</v>
      </c>
      <c r="B238" s="806">
        <f t="shared" si="7"/>
        <v>226</v>
      </c>
      <c r="C238" s="1171" t="s">
        <v>2510</v>
      </c>
      <c r="D238" s="802" t="s">
        <v>1721</v>
      </c>
      <c r="E238" s="797"/>
      <c r="F238" s="798"/>
      <c r="G238" s="803"/>
      <c r="H238" s="803" t="s">
        <v>166</v>
      </c>
      <c r="I238" s="804">
        <v>5.31</v>
      </c>
      <c r="J238" s="805">
        <f t="shared" si="6"/>
        <v>0</v>
      </c>
    </row>
    <row r="239" spans="1:10" s="1166" customFormat="1" ht="28.5">
      <c r="A239" s="799">
        <f>ROW()</f>
        <v>239</v>
      </c>
      <c r="B239" s="806">
        <f t="shared" si="7"/>
        <v>227</v>
      </c>
      <c r="C239" s="1171" t="s">
        <v>2510</v>
      </c>
      <c r="D239" s="802" t="s">
        <v>1722</v>
      </c>
      <c r="E239" s="797"/>
      <c r="F239" s="798"/>
      <c r="G239" s="803"/>
      <c r="H239" s="803" t="s">
        <v>166</v>
      </c>
      <c r="I239" s="804">
        <v>2.29</v>
      </c>
      <c r="J239" s="805">
        <f t="shared" si="6"/>
        <v>0</v>
      </c>
    </row>
    <row r="240" spans="1:10" s="1166" customFormat="1" ht="28.5">
      <c r="A240" s="799">
        <f>ROW()</f>
        <v>240</v>
      </c>
      <c r="B240" s="806">
        <f t="shared" si="7"/>
        <v>228</v>
      </c>
      <c r="C240" s="1171" t="s">
        <v>2510</v>
      </c>
      <c r="D240" s="802" t="s">
        <v>1723</v>
      </c>
      <c r="E240" s="797"/>
      <c r="F240" s="798"/>
      <c r="G240" s="803"/>
      <c r="H240" s="803" t="s">
        <v>1528</v>
      </c>
      <c r="I240" s="804">
        <v>0.08</v>
      </c>
      <c r="J240" s="805">
        <f t="shared" si="6"/>
        <v>0</v>
      </c>
    </row>
    <row r="241" spans="1:10" s="1166" customFormat="1" ht="28.5">
      <c r="A241" s="799">
        <f>ROW()</f>
        <v>241</v>
      </c>
      <c r="B241" s="806">
        <f t="shared" si="7"/>
        <v>229</v>
      </c>
      <c r="C241" s="1171" t="s">
        <v>2510</v>
      </c>
      <c r="D241" s="802" t="s">
        <v>1724</v>
      </c>
      <c r="E241" s="797"/>
      <c r="F241" s="798"/>
      <c r="G241" s="803"/>
      <c r="H241" s="803" t="s">
        <v>166</v>
      </c>
      <c r="I241" s="804">
        <v>6.71</v>
      </c>
      <c r="J241" s="805">
        <f t="shared" si="6"/>
        <v>0</v>
      </c>
    </row>
    <row r="242" spans="1:10" s="1166" customFormat="1" ht="28.5">
      <c r="A242" s="799">
        <f>ROW()</f>
        <v>242</v>
      </c>
      <c r="B242" s="806">
        <f t="shared" si="7"/>
        <v>230</v>
      </c>
      <c r="C242" s="1171" t="s">
        <v>2510</v>
      </c>
      <c r="D242" s="802" t="s">
        <v>1725</v>
      </c>
      <c r="E242" s="797"/>
      <c r="F242" s="798"/>
      <c r="G242" s="803"/>
      <c r="H242" s="803" t="s">
        <v>1528</v>
      </c>
      <c r="I242" s="804">
        <v>0.1</v>
      </c>
      <c r="J242" s="805">
        <f t="shared" si="6"/>
        <v>0</v>
      </c>
    </row>
    <row r="243" spans="1:10" s="1166" customFormat="1" ht="28.5">
      <c r="A243" s="799">
        <f>ROW()</f>
        <v>243</v>
      </c>
      <c r="B243" s="806">
        <f t="shared" si="7"/>
        <v>231</v>
      </c>
      <c r="C243" s="1171" t="s">
        <v>2510</v>
      </c>
      <c r="D243" s="802" t="s">
        <v>1726</v>
      </c>
      <c r="E243" s="797"/>
      <c r="F243" s="798"/>
      <c r="G243" s="803"/>
      <c r="H243" s="803" t="s">
        <v>1528</v>
      </c>
      <c r="I243" s="804">
        <v>1.22</v>
      </c>
      <c r="J243" s="805">
        <f t="shared" si="6"/>
        <v>0</v>
      </c>
    </row>
    <row r="244" spans="1:10" s="1166" customFormat="1" ht="28.5">
      <c r="A244" s="799">
        <f>ROW()</f>
        <v>244</v>
      </c>
      <c r="B244" s="806">
        <f t="shared" si="7"/>
        <v>232</v>
      </c>
      <c r="C244" s="1171" t="s">
        <v>2510</v>
      </c>
      <c r="D244" s="802" t="s">
        <v>1727</v>
      </c>
      <c r="E244" s="797"/>
      <c r="F244" s="798"/>
      <c r="G244" s="803"/>
      <c r="H244" s="803" t="s">
        <v>166</v>
      </c>
      <c r="I244" s="804">
        <v>17.79</v>
      </c>
      <c r="J244" s="805">
        <f t="shared" si="6"/>
        <v>0</v>
      </c>
    </row>
    <row r="245" spans="1:10" s="1166" customFormat="1" ht="28.5">
      <c r="A245" s="799">
        <f>ROW()</f>
        <v>245</v>
      </c>
      <c r="B245" s="806">
        <f t="shared" si="7"/>
        <v>233</v>
      </c>
      <c r="C245" s="1169" t="s">
        <v>2508</v>
      </c>
      <c r="D245" s="802" t="s">
        <v>1728</v>
      </c>
      <c r="E245" s="797"/>
      <c r="F245" s="798"/>
      <c r="G245" s="803"/>
      <c r="H245" s="803" t="s">
        <v>1590</v>
      </c>
      <c r="I245" s="804">
        <v>3.19</v>
      </c>
      <c r="J245" s="805">
        <f t="shared" si="6"/>
        <v>0</v>
      </c>
    </row>
    <row r="246" spans="1:10" s="1166" customFormat="1" ht="28.5">
      <c r="A246" s="799">
        <f>ROW()</f>
        <v>246</v>
      </c>
      <c r="B246" s="806">
        <f t="shared" si="7"/>
        <v>234</v>
      </c>
      <c r="C246" s="1172" t="s">
        <v>2511</v>
      </c>
      <c r="D246" s="802" t="s">
        <v>1729</v>
      </c>
      <c r="E246" s="797"/>
      <c r="F246" s="798"/>
      <c r="G246" s="803"/>
      <c r="H246" s="803" t="s">
        <v>166</v>
      </c>
      <c r="I246" s="804">
        <v>5.23</v>
      </c>
      <c r="J246" s="805">
        <f t="shared" si="6"/>
        <v>0</v>
      </c>
    </row>
    <row r="247" spans="1:10" s="1166" customFormat="1" ht="28.5">
      <c r="A247" s="799">
        <f>ROW()</f>
        <v>247</v>
      </c>
      <c r="B247" s="806">
        <f t="shared" si="7"/>
        <v>235</v>
      </c>
      <c r="C247" s="1172" t="s">
        <v>2511</v>
      </c>
      <c r="D247" s="802" t="s">
        <v>1730</v>
      </c>
      <c r="E247" s="797"/>
      <c r="F247" s="798"/>
      <c r="G247" s="803"/>
      <c r="H247" s="803" t="s">
        <v>166</v>
      </c>
      <c r="I247" s="804">
        <v>3.61</v>
      </c>
      <c r="J247" s="805">
        <f t="shared" si="6"/>
        <v>0</v>
      </c>
    </row>
    <row r="248" spans="1:10" s="1166" customFormat="1" ht="28.5">
      <c r="A248" s="799">
        <f>ROW()</f>
        <v>248</v>
      </c>
      <c r="B248" s="806">
        <f t="shared" si="7"/>
        <v>236</v>
      </c>
      <c r="C248" s="1172" t="s">
        <v>2511</v>
      </c>
      <c r="D248" s="802" t="s">
        <v>1731</v>
      </c>
      <c r="E248" s="797"/>
      <c r="F248" s="798"/>
      <c r="G248" s="803"/>
      <c r="H248" s="803" t="s">
        <v>166</v>
      </c>
      <c r="I248" s="804">
        <v>1.2</v>
      </c>
      <c r="J248" s="805">
        <f t="shared" si="6"/>
        <v>0</v>
      </c>
    </row>
    <row r="249" spans="1:10" s="1166" customFormat="1" ht="28.5">
      <c r="A249" s="799">
        <f>ROW()</f>
        <v>249</v>
      </c>
      <c r="B249" s="806">
        <f t="shared" si="7"/>
        <v>237</v>
      </c>
      <c r="C249" s="1172" t="s">
        <v>2511</v>
      </c>
      <c r="D249" s="802" t="s">
        <v>1732</v>
      </c>
      <c r="E249" s="797"/>
      <c r="F249" s="798"/>
      <c r="G249" s="803"/>
      <c r="H249" s="803" t="s">
        <v>166</v>
      </c>
      <c r="I249" s="804">
        <v>1.37</v>
      </c>
      <c r="J249" s="805">
        <f t="shared" si="6"/>
        <v>0</v>
      </c>
    </row>
    <row r="250" spans="1:10" s="1166" customFormat="1" ht="28.5">
      <c r="A250" s="799">
        <f>ROW()</f>
        <v>250</v>
      </c>
      <c r="B250" s="806">
        <f t="shared" si="7"/>
        <v>238</v>
      </c>
      <c r="C250" s="1172" t="s">
        <v>2511</v>
      </c>
      <c r="D250" s="802" t="s">
        <v>1733</v>
      </c>
      <c r="E250" s="797"/>
      <c r="F250" s="798"/>
      <c r="G250" s="803"/>
      <c r="H250" s="803" t="s">
        <v>1734</v>
      </c>
      <c r="I250" s="804">
        <v>11.34</v>
      </c>
      <c r="J250" s="805">
        <f t="shared" si="6"/>
        <v>0</v>
      </c>
    </row>
    <row r="251" spans="1:10" s="1166" customFormat="1" ht="28.5">
      <c r="A251" s="799">
        <f>ROW()</f>
        <v>251</v>
      </c>
      <c r="B251" s="806">
        <f t="shared" si="7"/>
        <v>239</v>
      </c>
      <c r="C251" s="1172" t="s">
        <v>2511</v>
      </c>
      <c r="D251" s="802" t="s">
        <v>1735</v>
      </c>
      <c r="E251" s="797"/>
      <c r="F251" s="798"/>
      <c r="G251" s="803"/>
      <c r="H251" s="803" t="s">
        <v>166</v>
      </c>
      <c r="I251" s="804">
        <v>7.81</v>
      </c>
      <c r="J251" s="805">
        <f t="shared" si="6"/>
        <v>0</v>
      </c>
    </row>
    <row r="252" spans="1:10" s="1166" customFormat="1" ht="28.5">
      <c r="A252" s="799">
        <f>ROW()</f>
        <v>252</v>
      </c>
      <c r="B252" s="806">
        <f t="shared" si="7"/>
        <v>240</v>
      </c>
      <c r="C252" s="1172" t="s">
        <v>2511</v>
      </c>
      <c r="D252" s="802" t="s">
        <v>1736</v>
      </c>
      <c r="E252" s="797"/>
      <c r="F252" s="798"/>
      <c r="G252" s="803"/>
      <c r="H252" s="803" t="s">
        <v>166</v>
      </c>
      <c r="I252" s="804">
        <v>7.94</v>
      </c>
      <c r="J252" s="805">
        <f t="shared" si="6"/>
        <v>0</v>
      </c>
    </row>
    <row r="253" spans="1:10" s="1166" customFormat="1" ht="28.5">
      <c r="A253" s="799">
        <f>ROW()</f>
        <v>253</v>
      </c>
      <c r="B253" s="806">
        <f t="shared" si="7"/>
        <v>241</v>
      </c>
      <c r="C253" s="1172" t="s">
        <v>2511</v>
      </c>
      <c r="D253" s="802" t="s">
        <v>1737</v>
      </c>
      <c r="E253" s="797"/>
      <c r="F253" s="798"/>
      <c r="G253" s="803"/>
      <c r="H253" s="803" t="s">
        <v>166</v>
      </c>
      <c r="I253" s="804">
        <v>7.85</v>
      </c>
      <c r="J253" s="805">
        <f t="shared" si="6"/>
        <v>0</v>
      </c>
    </row>
    <row r="254" spans="1:10" s="1166" customFormat="1" ht="28.5">
      <c r="A254" s="799">
        <f>ROW()</f>
        <v>254</v>
      </c>
      <c r="B254" s="806">
        <f t="shared" si="7"/>
        <v>242</v>
      </c>
      <c r="C254" s="1172" t="s">
        <v>2511</v>
      </c>
      <c r="D254" s="802" t="s">
        <v>1738</v>
      </c>
      <c r="E254" s="797"/>
      <c r="F254" s="798"/>
      <c r="G254" s="803"/>
      <c r="H254" s="803" t="s">
        <v>166</v>
      </c>
      <c r="I254" s="804">
        <v>11.97</v>
      </c>
      <c r="J254" s="805">
        <f t="shared" si="6"/>
        <v>0</v>
      </c>
    </row>
    <row r="255" spans="1:10" s="1166" customFormat="1" ht="28.5">
      <c r="A255" s="799">
        <f>ROW()</f>
        <v>255</v>
      </c>
      <c r="B255" s="806">
        <f t="shared" si="7"/>
        <v>243</v>
      </c>
      <c r="C255" s="1172" t="s">
        <v>2511</v>
      </c>
      <c r="D255" s="802" t="s">
        <v>1739</v>
      </c>
      <c r="E255" s="797"/>
      <c r="F255" s="798"/>
      <c r="G255" s="803"/>
      <c r="H255" s="803" t="s">
        <v>166</v>
      </c>
      <c r="I255" s="804">
        <v>6.28</v>
      </c>
      <c r="J255" s="805">
        <f t="shared" si="6"/>
        <v>0</v>
      </c>
    </row>
    <row r="256" spans="1:10" s="1166" customFormat="1" ht="28.5">
      <c r="A256" s="799">
        <f>ROW()</f>
        <v>256</v>
      </c>
      <c r="B256" s="806">
        <f t="shared" si="7"/>
        <v>244</v>
      </c>
      <c r="C256" s="1172" t="s">
        <v>2511</v>
      </c>
      <c r="D256" s="802" t="s">
        <v>1740</v>
      </c>
      <c r="E256" s="797"/>
      <c r="F256" s="798"/>
      <c r="G256" s="803"/>
      <c r="H256" s="803" t="s">
        <v>166</v>
      </c>
      <c r="I256" s="804">
        <v>5.79</v>
      </c>
      <c r="J256" s="805">
        <f t="shared" si="6"/>
        <v>0</v>
      </c>
    </row>
    <row r="257" spans="1:10" s="1166" customFormat="1" ht="28.5">
      <c r="A257" s="799">
        <f>ROW()</f>
        <v>257</v>
      </c>
      <c r="B257" s="806">
        <f t="shared" si="7"/>
        <v>245</v>
      </c>
      <c r="C257" s="1172" t="s">
        <v>2511</v>
      </c>
      <c r="D257" s="802" t="s">
        <v>1741</v>
      </c>
      <c r="E257" s="797"/>
      <c r="F257" s="798"/>
      <c r="G257" s="803"/>
      <c r="H257" s="803" t="s">
        <v>166</v>
      </c>
      <c r="I257" s="804">
        <v>1.84</v>
      </c>
      <c r="J257" s="805">
        <f t="shared" si="6"/>
        <v>0</v>
      </c>
    </row>
    <row r="258" spans="1:10" s="1166" customFormat="1" ht="28.5">
      <c r="A258" s="799">
        <f>ROW()</f>
        <v>258</v>
      </c>
      <c r="B258" s="806">
        <f t="shared" si="7"/>
        <v>246</v>
      </c>
      <c r="C258" s="1172" t="s">
        <v>2511</v>
      </c>
      <c r="D258" s="802" t="s">
        <v>1742</v>
      </c>
      <c r="E258" s="797"/>
      <c r="F258" s="798"/>
      <c r="G258" s="803"/>
      <c r="H258" s="803" t="s">
        <v>166</v>
      </c>
      <c r="I258" s="804">
        <v>1.31</v>
      </c>
      <c r="J258" s="805">
        <f t="shared" si="6"/>
        <v>0</v>
      </c>
    </row>
    <row r="259" spans="1:10" s="1166" customFormat="1" ht="28.5">
      <c r="A259" s="799">
        <f>ROW()</f>
        <v>259</v>
      </c>
      <c r="B259" s="806">
        <f t="shared" si="7"/>
        <v>247</v>
      </c>
      <c r="C259" s="1172" t="s">
        <v>2511</v>
      </c>
      <c r="D259" s="802" t="s">
        <v>1743</v>
      </c>
      <c r="E259" s="797"/>
      <c r="F259" s="798"/>
      <c r="G259" s="803"/>
      <c r="H259" s="803" t="s">
        <v>166</v>
      </c>
      <c r="I259" s="804">
        <v>1.4</v>
      </c>
      <c r="J259" s="805">
        <f t="shared" si="6"/>
        <v>0</v>
      </c>
    </row>
    <row r="260" spans="1:10" s="1166" customFormat="1" ht="28.5">
      <c r="A260" s="799">
        <f>ROW()</f>
        <v>260</v>
      </c>
      <c r="B260" s="806">
        <f t="shared" si="7"/>
        <v>248</v>
      </c>
      <c r="C260" s="1172" t="s">
        <v>2511</v>
      </c>
      <c r="D260" s="802" t="s">
        <v>1744</v>
      </c>
      <c r="E260" s="797"/>
      <c r="F260" s="798"/>
      <c r="G260" s="803"/>
      <c r="H260" s="803" t="s">
        <v>166</v>
      </c>
      <c r="I260" s="804">
        <v>2.06</v>
      </c>
      <c r="J260" s="805">
        <f t="shared" si="6"/>
        <v>0</v>
      </c>
    </row>
    <row r="261" spans="1:10" s="1166" customFormat="1" ht="28.5">
      <c r="A261" s="799">
        <f>ROW()</f>
        <v>261</v>
      </c>
      <c r="B261" s="806">
        <f t="shared" si="7"/>
        <v>249</v>
      </c>
      <c r="C261" s="1172" t="s">
        <v>2511</v>
      </c>
      <c r="D261" s="802" t="s">
        <v>1745</v>
      </c>
      <c r="E261" s="797"/>
      <c r="F261" s="798"/>
      <c r="G261" s="803"/>
      <c r="H261" s="803" t="s">
        <v>166</v>
      </c>
      <c r="I261" s="804">
        <v>7.38</v>
      </c>
      <c r="J261" s="805">
        <f t="shared" si="6"/>
        <v>0</v>
      </c>
    </row>
    <row r="262" spans="1:10" s="1166" customFormat="1" ht="28.5">
      <c r="A262" s="799">
        <f>ROW()</f>
        <v>262</v>
      </c>
      <c r="B262" s="806">
        <f t="shared" si="7"/>
        <v>250</v>
      </c>
      <c r="C262" s="1172" t="s">
        <v>2511</v>
      </c>
      <c r="D262" s="802" t="s">
        <v>1746</v>
      </c>
      <c r="E262" s="797"/>
      <c r="F262" s="798"/>
      <c r="G262" s="803"/>
      <c r="H262" s="803" t="s">
        <v>1528</v>
      </c>
      <c r="I262" s="804">
        <v>0.32</v>
      </c>
      <c r="J262" s="805">
        <f t="shared" si="6"/>
        <v>0</v>
      </c>
    </row>
    <row r="263" spans="1:10" s="1166" customFormat="1" ht="28.5">
      <c r="A263" s="799">
        <f>ROW()</f>
        <v>263</v>
      </c>
      <c r="B263" s="806">
        <f t="shared" si="7"/>
        <v>251</v>
      </c>
      <c r="C263" s="1172" t="s">
        <v>2511</v>
      </c>
      <c r="D263" s="802" t="s">
        <v>1747</v>
      </c>
      <c r="E263" s="797"/>
      <c r="F263" s="798"/>
      <c r="G263" s="803"/>
      <c r="H263" s="803" t="s">
        <v>166</v>
      </c>
      <c r="I263" s="804">
        <v>3.86</v>
      </c>
      <c r="J263" s="805">
        <f t="shared" si="6"/>
        <v>0</v>
      </c>
    </row>
    <row r="264" spans="1:10" s="1166" customFormat="1" ht="28.5">
      <c r="A264" s="799">
        <f>ROW()</f>
        <v>264</v>
      </c>
      <c r="B264" s="806">
        <f t="shared" si="7"/>
        <v>252</v>
      </c>
      <c r="C264" s="1172" t="s">
        <v>2511</v>
      </c>
      <c r="D264" s="802" t="s">
        <v>1748</v>
      </c>
      <c r="E264" s="797"/>
      <c r="F264" s="798"/>
      <c r="G264" s="803"/>
      <c r="H264" s="803" t="s">
        <v>166</v>
      </c>
      <c r="I264" s="804">
        <v>24.45</v>
      </c>
      <c r="J264" s="805">
        <f t="shared" si="6"/>
        <v>0</v>
      </c>
    </row>
    <row r="265" spans="1:10" s="1166" customFormat="1" ht="28.5">
      <c r="A265" s="799">
        <f>ROW()</f>
        <v>265</v>
      </c>
      <c r="B265" s="806">
        <f t="shared" si="7"/>
        <v>253</v>
      </c>
      <c r="C265" s="1172" t="s">
        <v>2511</v>
      </c>
      <c r="D265" s="802" t="s">
        <v>1749</v>
      </c>
      <c r="E265" s="797"/>
      <c r="F265" s="798"/>
      <c r="G265" s="803"/>
      <c r="H265" s="803" t="s">
        <v>166</v>
      </c>
      <c r="I265" s="804">
        <v>16.32</v>
      </c>
      <c r="J265" s="805">
        <f t="shared" si="6"/>
        <v>0</v>
      </c>
    </row>
    <row r="266" spans="1:10" s="1166" customFormat="1" ht="28.5">
      <c r="A266" s="799">
        <f>ROW()</f>
        <v>266</v>
      </c>
      <c r="B266" s="806">
        <f t="shared" si="7"/>
        <v>254</v>
      </c>
      <c r="C266" s="1172" t="s">
        <v>2511</v>
      </c>
      <c r="D266" s="802" t="s">
        <v>1750</v>
      </c>
      <c r="E266" s="797"/>
      <c r="F266" s="798"/>
      <c r="G266" s="803"/>
      <c r="H266" s="803" t="s">
        <v>166</v>
      </c>
      <c r="I266" s="804">
        <v>3.9</v>
      </c>
      <c r="J266" s="805">
        <f t="shared" si="6"/>
        <v>0</v>
      </c>
    </row>
    <row r="267" spans="1:10" s="1166" customFormat="1" ht="28.5">
      <c r="A267" s="799">
        <f>ROW()</f>
        <v>267</v>
      </c>
      <c r="B267" s="806">
        <f t="shared" si="7"/>
        <v>255</v>
      </c>
      <c r="C267" s="1172" t="s">
        <v>2511</v>
      </c>
      <c r="D267" s="802" t="s">
        <v>1751</v>
      </c>
      <c r="E267" s="797"/>
      <c r="F267" s="798"/>
      <c r="G267" s="803"/>
      <c r="H267" s="803" t="s">
        <v>1528</v>
      </c>
      <c r="I267" s="804">
        <v>4.62</v>
      </c>
      <c r="J267" s="805">
        <f t="shared" si="6"/>
        <v>0</v>
      </c>
    </row>
    <row r="268" spans="1:10" s="1166" customFormat="1" ht="28.5">
      <c r="A268" s="799">
        <f>ROW()</f>
        <v>268</v>
      </c>
      <c r="B268" s="806">
        <f t="shared" si="7"/>
        <v>256</v>
      </c>
      <c r="C268" s="1172" t="s">
        <v>2511</v>
      </c>
      <c r="D268" s="802" t="s">
        <v>1752</v>
      </c>
      <c r="E268" s="797"/>
      <c r="F268" s="798"/>
      <c r="G268" s="803"/>
      <c r="H268" s="803" t="s">
        <v>166</v>
      </c>
      <c r="I268" s="804">
        <v>32.15</v>
      </c>
      <c r="J268" s="805">
        <f t="shared" si="6"/>
        <v>0</v>
      </c>
    </row>
    <row r="269" spans="1:10" s="1166" customFormat="1" ht="28.5">
      <c r="A269" s="799">
        <f>ROW()</f>
        <v>269</v>
      </c>
      <c r="B269" s="806">
        <f t="shared" si="7"/>
        <v>257</v>
      </c>
      <c r="C269" s="1172" t="s">
        <v>2511</v>
      </c>
      <c r="D269" s="802" t="s">
        <v>1753</v>
      </c>
      <c r="E269" s="797"/>
      <c r="F269" s="798"/>
      <c r="G269" s="803"/>
      <c r="H269" s="803" t="s">
        <v>166</v>
      </c>
      <c r="I269" s="804">
        <v>11.74</v>
      </c>
      <c r="J269" s="805">
        <f t="shared" ref="J269:J332" si="8">I269*G269</f>
        <v>0</v>
      </c>
    </row>
    <row r="270" spans="1:10" s="1166" customFormat="1" ht="28.5">
      <c r="A270" s="799">
        <f>ROW()</f>
        <v>270</v>
      </c>
      <c r="B270" s="806">
        <f t="shared" si="7"/>
        <v>258</v>
      </c>
      <c r="C270" s="1172" t="s">
        <v>2511</v>
      </c>
      <c r="D270" s="802" t="s">
        <v>1754</v>
      </c>
      <c r="E270" s="797"/>
      <c r="F270" s="798"/>
      <c r="G270" s="803"/>
      <c r="H270" s="803" t="s">
        <v>166</v>
      </c>
      <c r="I270" s="804">
        <v>3.84</v>
      </c>
      <c r="J270" s="805">
        <f t="shared" si="8"/>
        <v>0</v>
      </c>
    </row>
    <row r="271" spans="1:10" s="1166" customFormat="1" ht="28.5">
      <c r="A271" s="799">
        <f>ROW()</f>
        <v>271</v>
      </c>
      <c r="B271" s="806">
        <f t="shared" si="7"/>
        <v>259</v>
      </c>
      <c r="C271" s="1172" t="s">
        <v>2511</v>
      </c>
      <c r="D271" s="802" t="s">
        <v>1755</v>
      </c>
      <c r="E271" s="797"/>
      <c r="F271" s="798"/>
      <c r="G271" s="803"/>
      <c r="H271" s="803" t="s">
        <v>166</v>
      </c>
      <c r="I271" s="804">
        <v>3.35</v>
      </c>
      <c r="J271" s="805">
        <f t="shared" si="8"/>
        <v>0</v>
      </c>
    </row>
    <row r="272" spans="1:10" s="1166" customFormat="1" ht="28.5">
      <c r="A272" s="799">
        <f>ROW()</f>
        <v>272</v>
      </c>
      <c r="B272" s="806">
        <f t="shared" ref="B272:B335" si="9">IF(C272="I","",IF(ISBLANK(D272),"",IF(ISTEXT(D272),LARGE(B268:B271,1)+1,0)))</f>
        <v>260</v>
      </c>
      <c r="C272" s="1172" t="s">
        <v>2511</v>
      </c>
      <c r="D272" s="802" t="s">
        <v>1756</v>
      </c>
      <c r="E272" s="797"/>
      <c r="F272" s="798"/>
      <c r="G272" s="803"/>
      <c r="H272" s="803" t="s">
        <v>166</v>
      </c>
      <c r="I272" s="804">
        <v>3.58</v>
      </c>
      <c r="J272" s="805">
        <f t="shared" si="8"/>
        <v>0</v>
      </c>
    </row>
    <row r="273" spans="1:10" s="1166" customFormat="1" ht="28.5">
      <c r="A273" s="799">
        <f>ROW()</f>
        <v>273</v>
      </c>
      <c r="B273" s="806">
        <f t="shared" si="9"/>
        <v>261</v>
      </c>
      <c r="C273" s="1172" t="s">
        <v>2511</v>
      </c>
      <c r="D273" s="802" t="s">
        <v>1757</v>
      </c>
      <c r="E273" s="797"/>
      <c r="F273" s="798"/>
      <c r="G273" s="803"/>
      <c r="H273" s="803" t="s">
        <v>166</v>
      </c>
      <c r="I273" s="804">
        <v>2.52</v>
      </c>
      <c r="J273" s="805">
        <f t="shared" si="8"/>
        <v>0</v>
      </c>
    </row>
    <row r="274" spans="1:10" s="1166" customFormat="1" ht="28.5">
      <c r="A274" s="799">
        <f>ROW()</f>
        <v>274</v>
      </c>
      <c r="B274" s="806">
        <f t="shared" si="9"/>
        <v>262</v>
      </c>
      <c r="C274" s="1172" t="s">
        <v>2511</v>
      </c>
      <c r="D274" s="802" t="s">
        <v>1758</v>
      </c>
      <c r="E274" s="797"/>
      <c r="F274" s="798"/>
      <c r="G274" s="803"/>
      <c r="H274" s="803" t="s">
        <v>166</v>
      </c>
      <c r="I274" s="804">
        <v>2.64</v>
      </c>
      <c r="J274" s="805">
        <f t="shared" si="8"/>
        <v>0</v>
      </c>
    </row>
    <row r="275" spans="1:10" s="1166" customFormat="1" ht="28.5">
      <c r="A275" s="799">
        <f>ROW()</f>
        <v>275</v>
      </c>
      <c r="B275" s="806">
        <f t="shared" si="9"/>
        <v>263</v>
      </c>
      <c r="C275" s="1172" t="s">
        <v>2511</v>
      </c>
      <c r="D275" s="802" t="s">
        <v>1759</v>
      </c>
      <c r="E275" s="797"/>
      <c r="F275" s="798"/>
      <c r="G275" s="803"/>
      <c r="H275" s="803" t="s">
        <v>166</v>
      </c>
      <c r="I275" s="804">
        <v>2</v>
      </c>
      <c r="J275" s="805">
        <f t="shared" si="8"/>
        <v>0</v>
      </c>
    </row>
    <row r="276" spans="1:10" s="1166" customFormat="1" ht="28.5">
      <c r="A276" s="799">
        <f>ROW()</f>
        <v>276</v>
      </c>
      <c r="B276" s="806">
        <f t="shared" si="9"/>
        <v>264</v>
      </c>
      <c r="C276" s="1172" t="s">
        <v>2511</v>
      </c>
      <c r="D276" s="802" t="s">
        <v>1760</v>
      </c>
      <c r="E276" s="797"/>
      <c r="F276" s="798"/>
      <c r="G276" s="803"/>
      <c r="H276" s="803" t="s">
        <v>166</v>
      </c>
      <c r="I276" s="804">
        <v>0.93</v>
      </c>
      <c r="J276" s="805">
        <f t="shared" si="8"/>
        <v>0</v>
      </c>
    </row>
    <row r="277" spans="1:10" s="1166" customFormat="1" ht="28.5">
      <c r="A277" s="799">
        <f>ROW()</f>
        <v>277</v>
      </c>
      <c r="B277" s="806">
        <f t="shared" si="9"/>
        <v>265</v>
      </c>
      <c r="C277" s="1172" t="s">
        <v>2511</v>
      </c>
      <c r="D277" s="802" t="s">
        <v>1761</v>
      </c>
      <c r="E277" s="797"/>
      <c r="F277" s="798"/>
      <c r="G277" s="803"/>
      <c r="H277" s="803" t="s">
        <v>166</v>
      </c>
      <c r="I277" s="804">
        <v>6.86</v>
      </c>
      <c r="J277" s="805">
        <f t="shared" si="8"/>
        <v>0</v>
      </c>
    </row>
    <row r="278" spans="1:10" s="1166" customFormat="1" ht="28.5">
      <c r="A278" s="799">
        <f>ROW()</f>
        <v>278</v>
      </c>
      <c r="B278" s="806">
        <f t="shared" si="9"/>
        <v>266</v>
      </c>
      <c r="C278" s="1172" t="s">
        <v>2511</v>
      </c>
      <c r="D278" s="802" t="s">
        <v>1762</v>
      </c>
      <c r="E278" s="797"/>
      <c r="F278" s="798"/>
      <c r="G278" s="803"/>
      <c r="H278" s="803" t="s">
        <v>166</v>
      </c>
      <c r="I278" s="804">
        <v>3.46</v>
      </c>
      <c r="J278" s="805">
        <f t="shared" si="8"/>
        <v>0</v>
      </c>
    </row>
    <row r="279" spans="1:10" s="1166" customFormat="1" ht="28.5">
      <c r="A279" s="799">
        <f>ROW()</f>
        <v>279</v>
      </c>
      <c r="B279" s="806">
        <f t="shared" si="9"/>
        <v>267</v>
      </c>
      <c r="C279" s="1172" t="s">
        <v>2511</v>
      </c>
      <c r="D279" s="802" t="s">
        <v>1763</v>
      </c>
      <c r="E279" s="797"/>
      <c r="F279" s="798"/>
      <c r="G279" s="803"/>
      <c r="H279" s="803" t="s">
        <v>166</v>
      </c>
      <c r="I279" s="804">
        <v>1.52</v>
      </c>
      <c r="J279" s="805">
        <f t="shared" si="8"/>
        <v>0</v>
      </c>
    </row>
    <row r="280" spans="1:10" s="1166" customFormat="1" ht="28.5">
      <c r="A280" s="799">
        <f>ROW()</f>
        <v>280</v>
      </c>
      <c r="B280" s="806">
        <f t="shared" si="9"/>
        <v>268</v>
      </c>
      <c r="C280" s="1172" t="s">
        <v>2511</v>
      </c>
      <c r="D280" s="802" t="s">
        <v>1764</v>
      </c>
      <c r="E280" s="797"/>
      <c r="F280" s="798"/>
      <c r="G280" s="803"/>
      <c r="H280" s="803" t="s">
        <v>166</v>
      </c>
      <c r="I280" s="804">
        <v>21.72</v>
      </c>
      <c r="J280" s="805">
        <f t="shared" si="8"/>
        <v>0</v>
      </c>
    </row>
    <row r="281" spans="1:10" s="1166" customFormat="1" ht="28.5">
      <c r="A281" s="799">
        <f>ROW()</f>
        <v>281</v>
      </c>
      <c r="B281" s="806">
        <f t="shared" si="9"/>
        <v>269</v>
      </c>
      <c r="C281" s="1172" t="s">
        <v>2511</v>
      </c>
      <c r="D281" s="802" t="s">
        <v>1765</v>
      </c>
      <c r="E281" s="797"/>
      <c r="F281" s="798"/>
      <c r="G281" s="803"/>
      <c r="H281" s="803" t="s">
        <v>166</v>
      </c>
      <c r="I281" s="804">
        <v>8.7200000000000006</v>
      </c>
      <c r="J281" s="805">
        <f t="shared" si="8"/>
        <v>0</v>
      </c>
    </row>
    <row r="282" spans="1:10" s="1166" customFormat="1" ht="28.5">
      <c r="A282" s="799">
        <f>ROW()</f>
        <v>282</v>
      </c>
      <c r="B282" s="806">
        <f t="shared" si="9"/>
        <v>270</v>
      </c>
      <c r="C282" s="1172" t="s">
        <v>2511</v>
      </c>
      <c r="D282" s="802" t="s">
        <v>1766</v>
      </c>
      <c r="E282" s="797"/>
      <c r="F282" s="798"/>
      <c r="G282" s="803"/>
      <c r="H282" s="803" t="s">
        <v>166</v>
      </c>
      <c r="I282" s="804">
        <v>10.37</v>
      </c>
      <c r="J282" s="805">
        <f t="shared" si="8"/>
        <v>0</v>
      </c>
    </row>
    <row r="283" spans="1:10" s="1166" customFormat="1" ht="28.5">
      <c r="A283" s="799">
        <f>ROW()</f>
        <v>283</v>
      </c>
      <c r="B283" s="806">
        <f t="shared" si="9"/>
        <v>271</v>
      </c>
      <c r="C283" s="1173" t="s">
        <v>2512</v>
      </c>
      <c r="D283" s="802" t="s">
        <v>1767</v>
      </c>
      <c r="E283" s="797"/>
      <c r="F283" s="798"/>
      <c r="G283" s="803"/>
      <c r="H283" s="803" t="s">
        <v>166</v>
      </c>
      <c r="I283" s="804">
        <v>7.29</v>
      </c>
      <c r="J283" s="805">
        <f t="shared" si="8"/>
        <v>0</v>
      </c>
    </row>
    <row r="284" spans="1:10" s="1166" customFormat="1" ht="28.5">
      <c r="A284" s="799">
        <f>ROW()</f>
        <v>284</v>
      </c>
      <c r="B284" s="806">
        <f t="shared" si="9"/>
        <v>272</v>
      </c>
      <c r="C284" s="1173" t="s">
        <v>2512</v>
      </c>
      <c r="D284" s="802" t="s">
        <v>1768</v>
      </c>
      <c r="E284" s="797"/>
      <c r="F284" s="798"/>
      <c r="G284" s="803"/>
      <c r="H284" s="803" t="s">
        <v>1486</v>
      </c>
      <c r="I284" s="804">
        <v>12.07</v>
      </c>
      <c r="J284" s="805">
        <f t="shared" si="8"/>
        <v>0</v>
      </c>
    </row>
    <row r="285" spans="1:10" s="1166" customFormat="1" ht="28.5">
      <c r="A285" s="799">
        <f>ROW()</f>
        <v>285</v>
      </c>
      <c r="B285" s="806">
        <f t="shared" si="9"/>
        <v>273</v>
      </c>
      <c r="C285" s="1173" t="s">
        <v>2512</v>
      </c>
      <c r="D285" s="802" t="s">
        <v>1769</v>
      </c>
      <c r="E285" s="797"/>
      <c r="F285" s="798"/>
      <c r="G285" s="803"/>
      <c r="H285" s="803" t="s">
        <v>166</v>
      </c>
      <c r="I285" s="804">
        <v>2.42</v>
      </c>
      <c r="J285" s="805">
        <f t="shared" si="8"/>
        <v>0</v>
      </c>
    </row>
    <row r="286" spans="1:10" s="1166" customFormat="1" ht="28.5">
      <c r="A286" s="799">
        <f>ROW()</f>
        <v>286</v>
      </c>
      <c r="B286" s="806">
        <f t="shared" si="9"/>
        <v>274</v>
      </c>
      <c r="C286" s="1173" t="s">
        <v>2512</v>
      </c>
      <c r="D286" s="802" t="s">
        <v>1770</v>
      </c>
      <c r="E286" s="797"/>
      <c r="F286" s="798"/>
      <c r="G286" s="803"/>
      <c r="H286" s="803" t="s">
        <v>166</v>
      </c>
      <c r="I286" s="804">
        <v>3.22</v>
      </c>
      <c r="J286" s="805">
        <f t="shared" si="8"/>
        <v>0</v>
      </c>
    </row>
    <row r="287" spans="1:10" s="1166" customFormat="1" ht="28.5">
      <c r="A287" s="799">
        <f>ROW()</f>
        <v>287</v>
      </c>
      <c r="B287" s="806">
        <f t="shared" si="9"/>
        <v>275</v>
      </c>
      <c r="C287" s="1173" t="s">
        <v>2512</v>
      </c>
      <c r="D287" s="802" t="s">
        <v>1771</v>
      </c>
      <c r="E287" s="797"/>
      <c r="F287" s="798"/>
      <c r="G287" s="803"/>
      <c r="H287" s="803" t="s">
        <v>166</v>
      </c>
      <c r="I287" s="804">
        <v>7.24</v>
      </c>
      <c r="J287" s="805">
        <f t="shared" si="8"/>
        <v>0</v>
      </c>
    </row>
    <row r="288" spans="1:10" s="1166" customFormat="1" ht="28.5">
      <c r="A288" s="799">
        <f>ROW()</f>
        <v>288</v>
      </c>
      <c r="B288" s="806">
        <f t="shared" si="9"/>
        <v>276</v>
      </c>
      <c r="C288" s="1173" t="s">
        <v>2512</v>
      </c>
      <c r="D288" s="802" t="s">
        <v>1772</v>
      </c>
      <c r="E288" s="797"/>
      <c r="F288" s="798"/>
      <c r="G288" s="803"/>
      <c r="H288" s="803" t="s">
        <v>1528</v>
      </c>
      <c r="I288" s="804">
        <v>0.98</v>
      </c>
      <c r="J288" s="805">
        <f t="shared" si="8"/>
        <v>0</v>
      </c>
    </row>
    <row r="289" spans="1:10" s="1166" customFormat="1" ht="28.5">
      <c r="A289" s="799">
        <f>ROW()</f>
        <v>289</v>
      </c>
      <c r="B289" s="806">
        <f t="shared" si="9"/>
        <v>277</v>
      </c>
      <c r="C289" s="1173" t="s">
        <v>2512</v>
      </c>
      <c r="D289" s="802" t="s">
        <v>1773</v>
      </c>
      <c r="E289" s="797"/>
      <c r="F289" s="798"/>
      <c r="G289" s="803"/>
      <c r="H289" s="803" t="s">
        <v>166</v>
      </c>
      <c r="I289" s="804">
        <v>3.81</v>
      </c>
      <c r="J289" s="805">
        <f t="shared" si="8"/>
        <v>0</v>
      </c>
    </row>
    <row r="290" spans="1:10" s="1166" customFormat="1" ht="28.5">
      <c r="A290" s="799">
        <f>ROW()</f>
        <v>290</v>
      </c>
      <c r="B290" s="806">
        <f t="shared" si="9"/>
        <v>278</v>
      </c>
      <c r="C290" s="1173" t="s">
        <v>2512</v>
      </c>
      <c r="D290" s="802" t="s">
        <v>1774</v>
      </c>
      <c r="E290" s="797"/>
      <c r="F290" s="798"/>
      <c r="G290" s="803"/>
      <c r="H290" s="803" t="s">
        <v>166</v>
      </c>
      <c r="I290" s="804">
        <v>3.87</v>
      </c>
      <c r="J290" s="805">
        <f t="shared" si="8"/>
        <v>0</v>
      </c>
    </row>
    <row r="291" spans="1:10" s="1166" customFormat="1" ht="28.5">
      <c r="A291" s="799">
        <f>ROW()</f>
        <v>291</v>
      </c>
      <c r="B291" s="806">
        <f t="shared" si="9"/>
        <v>279</v>
      </c>
      <c r="C291" s="1173" t="s">
        <v>2512</v>
      </c>
      <c r="D291" s="802" t="s">
        <v>1775</v>
      </c>
      <c r="E291" s="797"/>
      <c r="F291" s="798"/>
      <c r="G291" s="803"/>
      <c r="H291" s="803" t="s">
        <v>166</v>
      </c>
      <c r="I291" s="804">
        <v>7.13</v>
      </c>
      <c r="J291" s="805">
        <f t="shared" si="8"/>
        <v>0</v>
      </c>
    </row>
    <row r="292" spans="1:10" s="1166" customFormat="1" ht="28.5">
      <c r="A292" s="799">
        <f>ROW()</f>
        <v>292</v>
      </c>
      <c r="B292" s="806">
        <f t="shared" si="9"/>
        <v>280</v>
      </c>
      <c r="C292" s="1173" t="s">
        <v>2512</v>
      </c>
      <c r="D292" s="802" t="s">
        <v>1776</v>
      </c>
      <c r="E292" s="797"/>
      <c r="F292" s="798"/>
      <c r="G292" s="803"/>
      <c r="H292" s="803" t="s">
        <v>166</v>
      </c>
      <c r="I292" s="804">
        <v>6.69</v>
      </c>
      <c r="J292" s="805">
        <f t="shared" si="8"/>
        <v>0</v>
      </c>
    </row>
    <row r="293" spans="1:10" s="1166" customFormat="1" ht="28.5">
      <c r="A293" s="799">
        <f>ROW()</f>
        <v>293</v>
      </c>
      <c r="B293" s="806">
        <f t="shared" si="9"/>
        <v>281</v>
      </c>
      <c r="C293" s="1173" t="s">
        <v>2512</v>
      </c>
      <c r="D293" s="802" t="s">
        <v>1777</v>
      </c>
      <c r="E293" s="797"/>
      <c r="F293" s="798"/>
      <c r="G293" s="803"/>
      <c r="H293" s="803" t="s">
        <v>1528</v>
      </c>
      <c r="I293" s="804">
        <v>0.96</v>
      </c>
      <c r="J293" s="805">
        <f t="shared" si="8"/>
        <v>0</v>
      </c>
    </row>
    <row r="294" spans="1:10" s="1166" customFormat="1" ht="28.5">
      <c r="A294" s="799">
        <f>ROW()</f>
        <v>294</v>
      </c>
      <c r="B294" s="806">
        <f t="shared" si="9"/>
        <v>282</v>
      </c>
      <c r="C294" s="1173" t="s">
        <v>2512</v>
      </c>
      <c r="D294" s="802" t="s">
        <v>1778</v>
      </c>
      <c r="E294" s="797"/>
      <c r="F294" s="798"/>
      <c r="G294" s="803"/>
      <c r="H294" s="803" t="s">
        <v>166</v>
      </c>
      <c r="I294" s="804">
        <v>4.83</v>
      </c>
      <c r="J294" s="805">
        <f t="shared" si="8"/>
        <v>0</v>
      </c>
    </row>
    <row r="295" spans="1:10" s="1166" customFormat="1" ht="28.5">
      <c r="A295" s="799">
        <f>ROW()</f>
        <v>295</v>
      </c>
      <c r="B295" s="806">
        <f t="shared" si="9"/>
        <v>283</v>
      </c>
      <c r="C295" s="1173" t="s">
        <v>2512</v>
      </c>
      <c r="D295" s="802" t="s">
        <v>1779</v>
      </c>
      <c r="E295" s="797"/>
      <c r="F295" s="798"/>
      <c r="G295" s="803"/>
      <c r="H295" s="803" t="s">
        <v>1528</v>
      </c>
      <c r="I295" s="804">
        <v>1.94</v>
      </c>
      <c r="J295" s="805">
        <f t="shared" si="8"/>
        <v>0</v>
      </c>
    </row>
    <row r="296" spans="1:10" s="1166" customFormat="1" ht="28.5">
      <c r="A296" s="799">
        <f>ROW()</f>
        <v>296</v>
      </c>
      <c r="B296" s="806">
        <f t="shared" si="9"/>
        <v>284</v>
      </c>
      <c r="C296" s="1173" t="s">
        <v>2512</v>
      </c>
      <c r="D296" s="802" t="s">
        <v>1780</v>
      </c>
      <c r="E296" s="797"/>
      <c r="F296" s="798"/>
      <c r="G296" s="803"/>
      <c r="H296" s="803" t="s">
        <v>166</v>
      </c>
      <c r="I296" s="804">
        <v>16.07</v>
      </c>
      <c r="J296" s="805">
        <f t="shared" si="8"/>
        <v>0</v>
      </c>
    </row>
    <row r="297" spans="1:10" s="1166" customFormat="1" ht="28.5">
      <c r="A297" s="799">
        <f>ROW()</f>
        <v>297</v>
      </c>
      <c r="B297" s="806">
        <f t="shared" si="9"/>
        <v>285</v>
      </c>
      <c r="C297" s="1173" t="s">
        <v>2512</v>
      </c>
      <c r="D297" s="802" t="s">
        <v>1781</v>
      </c>
      <c r="E297" s="797"/>
      <c r="F297" s="798"/>
      <c r="G297" s="803"/>
      <c r="H297" s="803" t="s">
        <v>166</v>
      </c>
      <c r="I297" s="804">
        <v>5.47</v>
      </c>
      <c r="J297" s="805">
        <f t="shared" si="8"/>
        <v>0</v>
      </c>
    </row>
    <row r="298" spans="1:10" s="1166" customFormat="1" ht="28.5">
      <c r="A298" s="799">
        <f>ROW()</f>
        <v>298</v>
      </c>
      <c r="B298" s="806">
        <f t="shared" si="9"/>
        <v>286</v>
      </c>
      <c r="C298" s="1173" t="s">
        <v>2512</v>
      </c>
      <c r="D298" s="802" t="s">
        <v>1782</v>
      </c>
      <c r="E298" s="797"/>
      <c r="F298" s="798"/>
      <c r="G298" s="803"/>
      <c r="H298" s="803" t="s">
        <v>166</v>
      </c>
      <c r="I298" s="804">
        <v>5.79</v>
      </c>
      <c r="J298" s="805">
        <f t="shared" si="8"/>
        <v>0</v>
      </c>
    </row>
    <row r="299" spans="1:10" s="1166" customFormat="1" ht="28.5">
      <c r="A299" s="799">
        <f>ROW()</f>
        <v>299</v>
      </c>
      <c r="B299" s="806">
        <f t="shared" si="9"/>
        <v>287</v>
      </c>
      <c r="C299" s="1173" t="s">
        <v>2512</v>
      </c>
      <c r="D299" s="802" t="s">
        <v>1783</v>
      </c>
      <c r="E299" s="797"/>
      <c r="F299" s="798"/>
      <c r="G299" s="803"/>
      <c r="H299" s="803" t="s">
        <v>166</v>
      </c>
      <c r="I299" s="804">
        <v>4.4400000000000004</v>
      </c>
      <c r="J299" s="805">
        <f t="shared" si="8"/>
        <v>0</v>
      </c>
    </row>
    <row r="300" spans="1:10" s="1166" customFormat="1" ht="28.5">
      <c r="A300" s="799">
        <f>ROW()</f>
        <v>300</v>
      </c>
      <c r="B300" s="806">
        <f t="shared" si="9"/>
        <v>288</v>
      </c>
      <c r="C300" s="1173" t="s">
        <v>2512</v>
      </c>
      <c r="D300" s="802" t="s">
        <v>1784</v>
      </c>
      <c r="E300" s="797"/>
      <c r="F300" s="798"/>
      <c r="G300" s="803"/>
      <c r="H300" s="803" t="s">
        <v>166</v>
      </c>
      <c r="I300" s="804">
        <v>5.64</v>
      </c>
      <c r="J300" s="805">
        <f t="shared" si="8"/>
        <v>0</v>
      </c>
    </row>
    <row r="301" spans="1:10" s="1166" customFormat="1" ht="28.5">
      <c r="A301" s="799">
        <f>ROW()</f>
        <v>301</v>
      </c>
      <c r="B301" s="806">
        <f t="shared" si="9"/>
        <v>289</v>
      </c>
      <c r="C301" s="1173" t="s">
        <v>2512</v>
      </c>
      <c r="D301" s="802" t="s">
        <v>1785</v>
      </c>
      <c r="E301" s="797"/>
      <c r="F301" s="798"/>
      <c r="G301" s="803"/>
      <c r="H301" s="803" t="s">
        <v>166</v>
      </c>
      <c r="I301" s="804">
        <v>9.67</v>
      </c>
      <c r="J301" s="805">
        <f t="shared" si="8"/>
        <v>0</v>
      </c>
    </row>
    <row r="302" spans="1:10" s="1166" customFormat="1" ht="28.5">
      <c r="A302" s="799">
        <f>ROW()</f>
        <v>302</v>
      </c>
      <c r="B302" s="806">
        <f t="shared" si="9"/>
        <v>290</v>
      </c>
      <c r="C302" s="1173" t="s">
        <v>2512</v>
      </c>
      <c r="D302" s="802" t="s">
        <v>1786</v>
      </c>
      <c r="E302" s="797"/>
      <c r="F302" s="798"/>
      <c r="G302" s="803"/>
      <c r="H302" s="803" t="s">
        <v>166</v>
      </c>
      <c r="I302" s="804">
        <v>3.35</v>
      </c>
      <c r="J302" s="805">
        <f t="shared" si="8"/>
        <v>0</v>
      </c>
    </row>
    <row r="303" spans="1:10" s="1166" customFormat="1" ht="28.5">
      <c r="A303" s="799">
        <f>ROW()</f>
        <v>303</v>
      </c>
      <c r="B303" s="806">
        <f t="shared" si="9"/>
        <v>291</v>
      </c>
      <c r="C303" s="1173" t="s">
        <v>2512</v>
      </c>
      <c r="D303" s="802" t="s">
        <v>1787</v>
      </c>
      <c r="E303" s="797"/>
      <c r="F303" s="798"/>
      <c r="G303" s="803"/>
      <c r="H303" s="803" t="s">
        <v>166</v>
      </c>
      <c r="I303" s="804">
        <v>3.22</v>
      </c>
      <c r="J303" s="805">
        <f t="shared" si="8"/>
        <v>0</v>
      </c>
    </row>
    <row r="304" spans="1:10" s="1166" customFormat="1" ht="28.5">
      <c r="A304" s="799">
        <f>ROW()</f>
        <v>304</v>
      </c>
      <c r="B304" s="806">
        <f t="shared" si="9"/>
        <v>292</v>
      </c>
      <c r="C304" s="1173" t="s">
        <v>2512</v>
      </c>
      <c r="D304" s="802" t="s">
        <v>1788</v>
      </c>
      <c r="E304" s="797"/>
      <c r="F304" s="798"/>
      <c r="G304" s="803"/>
      <c r="H304" s="803" t="s">
        <v>166</v>
      </c>
      <c r="I304" s="804">
        <v>3.6</v>
      </c>
      <c r="J304" s="805">
        <f t="shared" si="8"/>
        <v>0</v>
      </c>
    </row>
    <row r="305" spans="1:10" s="1166" customFormat="1" ht="28.5">
      <c r="A305" s="799">
        <f>ROW()</f>
        <v>305</v>
      </c>
      <c r="B305" s="806">
        <f t="shared" si="9"/>
        <v>293</v>
      </c>
      <c r="C305" s="1173" t="s">
        <v>2512</v>
      </c>
      <c r="D305" s="802" t="s">
        <v>1789</v>
      </c>
      <c r="E305" s="797"/>
      <c r="F305" s="798"/>
      <c r="G305" s="803"/>
      <c r="H305" s="803" t="s">
        <v>166</v>
      </c>
      <c r="I305" s="804">
        <v>7.01</v>
      </c>
      <c r="J305" s="805">
        <f t="shared" si="8"/>
        <v>0</v>
      </c>
    </row>
    <row r="306" spans="1:10" s="1166" customFormat="1" ht="28.5">
      <c r="A306" s="799">
        <f>ROW()</f>
        <v>306</v>
      </c>
      <c r="B306" s="806">
        <f t="shared" si="9"/>
        <v>294</v>
      </c>
      <c r="C306" s="1173" t="s">
        <v>2512</v>
      </c>
      <c r="D306" s="802" t="s">
        <v>1790</v>
      </c>
      <c r="E306" s="797"/>
      <c r="F306" s="798"/>
      <c r="G306" s="803"/>
      <c r="H306" s="803" t="s">
        <v>166</v>
      </c>
      <c r="I306" s="804">
        <v>7.47</v>
      </c>
      <c r="J306" s="805">
        <f t="shared" si="8"/>
        <v>0</v>
      </c>
    </row>
    <row r="307" spans="1:10" s="1166" customFormat="1" ht="28.5">
      <c r="A307" s="799">
        <f>ROW()</f>
        <v>307</v>
      </c>
      <c r="B307" s="806">
        <f t="shared" si="9"/>
        <v>295</v>
      </c>
      <c r="C307" s="1173" t="s">
        <v>2512</v>
      </c>
      <c r="D307" s="802" t="s">
        <v>1791</v>
      </c>
      <c r="E307" s="797"/>
      <c r="F307" s="798"/>
      <c r="G307" s="803"/>
      <c r="H307" s="803" t="s">
        <v>166</v>
      </c>
      <c r="I307" s="804">
        <v>7.26</v>
      </c>
      <c r="J307" s="805">
        <f t="shared" si="8"/>
        <v>0</v>
      </c>
    </row>
    <row r="308" spans="1:10" s="1166" customFormat="1" ht="28.5">
      <c r="A308" s="799">
        <f>ROW()</f>
        <v>308</v>
      </c>
      <c r="B308" s="806">
        <f t="shared" si="9"/>
        <v>296</v>
      </c>
      <c r="C308" s="1173" t="s">
        <v>2512</v>
      </c>
      <c r="D308" s="802" t="s">
        <v>1792</v>
      </c>
      <c r="E308" s="797"/>
      <c r="F308" s="798"/>
      <c r="G308" s="803"/>
      <c r="H308" s="803" t="s">
        <v>166</v>
      </c>
      <c r="I308" s="804">
        <v>0.73</v>
      </c>
      <c r="J308" s="805">
        <f t="shared" si="8"/>
        <v>0</v>
      </c>
    </row>
    <row r="309" spans="1:10" s="1166" customFormat="1" ht="28.5">
      <c r="A309" s="799">
        <f>ROW()</f>
        <v>309</v>
      </c>
      <c r="B309" s="806">
        <f t="shared" si="9"/>
        <v>297</v>
      </c>
      <c r="C309" s="1173" t="s">
        <v>2512</v>
      </c>
      <c r="D309" s="802" t="s">
        <v>1793</v>
      </c>
      <c r="E309" s="797"/>
      <c r="F309" s="798"/>
      <c r="G309" s="803"/>
      <c r="H309" s="803" t="s">
        <v>166</v>
      </c>
      <c r="I309" s="804">
        <v>1.94</v>
      </c>
      <c r="J309" s="805">
        <f t="shared" si="8"/>
        <v>0</v>
      </c>
    </row>
    <row r="310" spans="1:10" s="1166" customFormat="1" ht="28.5">
      <c r="A310" s="799">
        <f>ROW()</f>
        <v>310</v>
      </c>
      <c r="B310" s="806">
        <f t="shared" si="9"/>
        <v>298</v>
      </c>
      <c r="C310" s="1173" t="s">
        <v>2512</v>
      </c>
      <c r="D310" s="802" t="s">
        <v>1794</v>
      </c>
      <c r="E310" s="797"/>
      <c r="F310" s="798"/>
      <c r="G310" s="803"/>
      <c r="H310" s="803" t="s">
        <v>166</v>
      </c>
      <c r="I310" s="804">
        <v>4.0199999999999996</v>
      </c>
      <c r="J310" s="805">
        <f t="shared" si="8"/>
        <v>0</v>
      </c>
    </row>
    <row r="311" spans="1:10" s="1166" customFormat="1" ht="28.5">
      <c r="A311" s="799">
        <f>ROW()</f>
        <v>311</v>
      </c>
      <c r="B311" s="806">
        <f t="shared" si="9"/>
        <v>299</v>
      </c>
      <c r="C311" s="1173" t="s">
        <v>2512</v>
      </c>
      <c r="D311" s="802" t="s">
        <v>1795</v>
      </c>
      <c r="E311" s="797"/>
      <c r="F311" s="798"/>
      <c r="G311" s="803"/>
      <c r="H311" s="803" t="s">
        <v>166</v>
      </c>
      <c r="I311" s="804">
        <v>5.78</v>
      </c>
      <c r="J311" s="805">
        <f t="shared" si="8"/>
        <v>0</v>
      </c>
    </row>
    <row r="312" spans="1:10" s="1166" customFormat="1" ht="28.5">
      <c r="A312" s="799">
        <f>ROW()</f>
        <v>312</v>
      </c>
      <c r="B312" s="806">
        <f t="shared" si="9"/>
        <v>300</v>
      </c>
      <c r="C312" s="1173" t="s">
        <v>2512</v>
      </c>
      <c r="D312" s="802" t="s">
        <v>1796</v>
      </c>
      <c r="E312" s="797"/>
      <c r="F312" s="798"/>
      <c r="G312" s="803"/>
      <c r="H312" s="803" t="s">
        <v>166</v>
      </c>
      <c r="I312" s="804">
        <v>8.3699999999999992</v>
      </c>
      <c r="J312" s="805">
        <f t="shared" si="8"/>
        <v>0</v>
      </c>
    </row>
    <row r="313" spans="1:10" s="1166" customFormat="1" ht="28.5">
      <c r="A313" s="799">
        <f>ROW()</f>
        <v>313</v>
      </c>
      <c r="B313" s="806">
        <f t="shared" si="9"/>
        <v>301</v>
      </c>
      <c r="C313" s="1173" t="s">
        <v>2512</v>
      </c>
      <c r="D313" s="802" t="s">
        <v>1797</v>
      </c>
      <c r="E313" s="797"/>
      <c r="F313" s="798"/>
      <c r="G313" s="803"/>
      <c r="H313" s="803" t="s">
        <v>166</v>
      </c>
      <c r="I313" s="804">
        <v>5.63</v>
      </c>
      <c r="J313" s="805">
        <f t="shared" si="8"/>
        <v>0</v>
      </c>
    </row>
    <row r="314" spans="1:10" s="1166" customFormat="1" ht="28.5">
      <c r="A314" s="799">
        <f>ROW()</f>
        <v>314</v>
      </c>
      <c r="B314" s="806">
        <f t="shared" si="9"/>
        <v>302</v>
      </c>
      <c r="C314" s="1173" t="s">
        <v>2512</v>
      </c>
      <c r="D314" s="802" t="s">
        <v>1798</v>
      </c>
      <c r="E314" s="797"/>
      <c r="F314" s="798"/>
      <c r="G314" s="803"/>
      <c r="H314" s="803" t="s">
        <v>166</v>
      </c>
      <c r="I314" s="804">
        <v>5.79</v>
      </c>
      <c r="J314" s="805">
        <f t="shared" si="8"/>
        <v>0</v>
      </c>
    </row>
    <row r="315" spans="1:10" s="1166" customFormat="1" ht="28.5">
      <c r="A315" s="799">
        <f>ROW()</f>
        <v>315</v>
      </c>
      <c r="B315" s="806">
        <f t="shared" si="9"/>
        <v>303</v>
      </c>
      <c r="C315" s="1173" t="s">
        <v>2512</v>
      </c>
      <c r="D315" s="802" t="s">
        <v>1799</v>
      </c>
      <c r="E315" s="797"/>
      <c r="F315" s="798"/>
      <c r="G315" s="803"/>
      <c r="H315" s="803" t="s">
        <v>166</v>
      </c>
      <c r="I315" s="804">
        <v>4.0199999999999996</v>
      </c>
      <c r="J315" s="805">
        <f t="shared" si="8"/>
        <v>0</v>
      </c>
    </row>
    <row r="316" spans="1:10" s="1166" customFormat="1" ht="28.5">
      <c r="A316" s="799">
        <f>ROW()</f>
        <v>316</v>
      </c>
      <c r="B316" s="806">
        <f t="shared" si="9"/>
        <v>304</v>
      </c>
      <c r="C316" s="1173" t="s">
        <v>2512</v>
      </c>
      <c r="D316" s="802" t="s">
        <v>1800</v>
      </c>
      <c r="E316" s="797"/>
      <c r="F316" s="798"/>
      <c r="G316" s="803"/>
      <c r="H316" s="803" t="s">
        <v>166</v>
      </c>
      <c r="I316" s="804">
        <v>5.09</v>
      </c>
      <c r="J316" s="805">
        <f t="shared" si="8"/>
        <v>0</v>
      </c>
    </row>
    <row r="317" spans="1:10" s="1166" customFormat="1" ht="28.5">
      <c r="A317" s="799">
        <f>ROW()</f>
        <v>317</v>
      </c>
      <c r="B317" s="806">
        <f t="shared" si="9"/>
        <v>305</v>
      </c>
      <c r="C317" s="1173" t="s">
        <v>2512</v>
      </c>
      <c r="D317" s="802" t="s">
        <v>1801</v>
      </c>
      <c r="E317" s="797"/>
      <c r="F317" s="798"/>
      <c r="G317" s="803"/>
      <c r="H317" s="803" t="s">
        <v>166</v>
      </c>
      <c r="I317" s="804">
        <v>5.96</v>
      </c>
      <c r="J317" s="805">
        <f t="shared" si="8"/>
        <v>0</v>
      </c>
    </row>
    <row r="318" spans="1:10" s="1166" customFormat="1" ht="28.5">
      <c r="A318" s="799">
        <f>ROW()</f>
        <v>318</v>
      </c>
      <c r="B318" s="806">
        <f t="shared" si="9"/>
        <v>306</v>
      </c>
      <c r="C318" s="1173" t="s">
        <v>2512</v>
      </c>
      <c r="D318" s="802" t="s">
        <v>1802</v>
      </c>
      <c r="E318" s="797"/>
      <c r="F318" s="798"/>
      <c r="G318" s="803"/>
      <c r="H318" s="803" t="s">
        <v>166</v>
      </c>
      <c r="I318" s="804">
        <v>12.07</v>
      </c>
      <c r="J318" s="805">
        <f t="shared" si="8"/>
        <v>0</v>
      </c>
    </row>
    <row r="319" spans="1:10" s="1166" customFormat="1" ht="28.5">
      <c r="A319" s="799">
        <f>ROW()</f>
        <v>319</v>
      </c>
      <c r="B319" s="806">
        <f t="shared" si="9"/>
        <v>307</v>
      </c>
      <c r="C319" s="1173" t="s">
        <v>2512</v>
      </c>
      <c r="D319" s="802" t="s">
        <v>1803</v>
      </c>
      <c r="E319" s="797"/>
      <c r="F319" s="798"/>
      <c r="G319" s="803"/>
      <c r="H319" s="803" t="s">
        <v>166</v>
      </c>
      <c r="I319" s="804">
        <v>9.65</v>
      </c>
      <c r="J319" s="805">
        <f t="shared" si="8"/>
        <v>0</v>
      </c>
    </row>
    <row r="320" spans="1:10" s="1166" customFormat="1" ht="28.5">
      <c r="A320" s="799">
        <f>ROW()</f>
        <v>320</v>
      </c>
      <c r="B320" s="806">
        <f t="shared" si="9"/>
        <v>308</v>
      </c>
      <c r="C320" s="1173" t="s">
        <v>2512</v>
      </c>
      <c r="D320" s="802" t="s">
        <v>1804</v>
      </c>
      <c r="E320" s="797"/>
      <c r="F320" s="798"/>
      <c r="G320" s="803"/>
      <c r="H320" s="803" t="s">
        <v>166</v>
      </c>
      <c r="I320" s="804">
        <v>12.87</v>
      </c>
      <c r="J320" s="805">
        <f t="shared" si="8"/>
        <v>0</v>
      </c>
    </row>
    <row r="321" spans="1:10" s="1166" customFormat="1" ht="28.5">
      <c r="A321" s="799">
        <f>ROW()</f>
        <v>321</v>
      </c>
      <c r="B321" s="806">
        <f t="shared" si="9"/>
        <v>309</v>
      </c>
      <c r="C321" s="1173" t="s">
        <v>2512</v>
      </c>
      <c r="D321" s="802" t="s">
        <v>1805</v>
      </c>
      <c r="E321" s="797"/>
      <c r="F321" s="798"/>
      <c r="G321" s="803"/>
      <c r="H321" s="803" t="s">
        <v>166</v>
      </c>
      <c r="I321" s="804">
        <v>13.69</v>
      </c>
      <c r="J321" s="805">
        <f t="shared" si="8"/>
        <v>0</v>
      </c>
    </row>
    <row r="322" spans="1:10" s="1166" customFormat="1" ht="28.5">
      <c r="A322" s="799">
        <f>ROW()</f>
        <v>322</v>
      </c>
      <c r="B322" s="806">
        <f t="shared" si="9"/>
        <v>310</v>
      </c>
      <c r="C322" s="1173" t="s">
        <v>2512</v>
      </c>
      <c r="D322" s="802" t="s">
        <v>1806</v>
      </c>
      <c r="E322" s="797"/>
      <c r="F322" s="798"/>
      <c r="G322" s="803"/>
      <c r="H322" s="803" t="s">
        <v>166</v>
      </c>
      <c r="I322" s="804">
        <v>5.18</v>
      </c>
      <c r="J322" s="805">
        <f t="shared" si="8"/>
        <v>0</v>
      </c>
    </row>
    <row r="323" spans="1:10" s="1166" customFormat="1" ht="28.5">
      <c r="A323" s="799">
        <f>ROW()</f>
        <v>323</v>
      </c>
      <c r="B323" s="806">
        <f t="shared" si="9"/>
        <v>311</v>
      </c>
      <c r="C323" s="1173" t="s">
        <v>2512</v>
      </c>
      <c r="D323" s="802" t="s">
        <v>1807</v>
      </c>
      <c r="E323" s="797"/>
      <c r="F323" s="798"/>
      <c r="G323" s="803"/>
      <c r="H323" s="803" t="s">
        <v>166</v>
      </c>
      <c r="I323" s="804">
        <v>45.77</v>
      </c>
      <c r="J323" s="805">
        <f t="shared" si="8"/>
        <v>0</v>
      </c>
    </row>
    <row r="324" spans="1:10" s="1166" customFormat="1" ht="28.5">
      <c r="A324" s="799">
        <f>ROW()</f>
        <v>324</v>
      </c>
      <c r="B324" s="806">
        <f t="shared" si="9"/>
        <v>312</v>
      </c>
      <c r="C324" s="1173" t="s">
        <v>2512</v>
      </c>
      <c r="D324" s="802" t="s">
        <v>1808</v>
      </c>
      <c r="E324" s="797"/>
      <c r="F324" s="798"/>
      <c r="G324" s="803"/>
      <c r="H324" s="803" t="s">
        <v>166</v>
      </c>
      <c r="I324" s="804">
        <v>26.54</v>
      </c>
      <c r="J324" s="805">
        <f t="shared" si="8"/>
        <v>0</v>
      </c>
    </row>
    <row r="325" spans="1:10" s="1166" customFormat="1" ht="28.5">
      <c r="A325" s="799">
        <f>ROW()</f>
        <v>325</v>
      </c>
      <c r="B325" s="806">
        <f t="shared" si="9"/>
        <v>313</v>
      </c>
      <c r="C325" s="1173" t="s">
        <v>2512</v>
      </c>
      <c r="D325" s="802" t="s">
        <v>1809</v>
      </c>
      <c r="E325" s="797"/>
      <c r="F325" s="798"/>
      <c r="G325" s="803"/>
      <c r="H325" s="803" t="s">
        <v>166</v>
      </c>
      <c r="I325" s="804">
        <v>35.380000000000003</v>
      </c>
      <c r="J325" s="805">
        <f t="shared" si="8"/>
        <v>0</v>
      </c>
    </row>
    <row r="326" spans="1:10" s="1166" customFormat="1" ht="28.5">
      <c r="A326" s="799">
        <f>ROW()</f>
        <v>326</v>
      </c>
      <c r="B326" s="806">
        <f t="shared" si="9"/>
        <v>314</v>
      </c>
      <c r="C326" s="1173" t="s">
        <v>2512</v>
      </c>
      <c r="D326" s="802" t="s">
        <v>1810</v>
      </c>
      <c r="E326" s="797"/>
      <c r="F326" s="798"/>
      <c r="G326" s="803"/>
      <c r="H326" s="803" t="s">
        <v>166</v>
      </c>
      <c r="I326" s="804">
        <v>6.84</v>
      </c>
      <c r="J326" s="805">
        <f t="shared" si="8"/>
        <v>0</v>
      </c>
    </row>
    <row r="327" spans="1:10" s="1166" customFormat="1" ht="28.5">
      <c r="A327" s="799">
        <f>ROW()</f>
        <v>327</v>
      </c>
      <c r="B327" s="806">
        <f t="shared" si="9"/>
        <v>315</v>
      </c>
      <c r="C327" s="1173" t="s">
        <v>2512</v>
      </c>
      <c r="D327" s="802" t="s">
        <v>1811</v>
      </c>
      <c r="E327" s="797"/>
      <c r="F327" s="798"/>
      <c r="G327" s="803"/>
      <c r="H327" s="803" t="s">
        <v>166</v>
      </c>
      <c r="I327" s="804">
        <v>2.33</v>
      </c>
      <c r="J327" s="805">
        <f t="shared" si="8"/>
        <v>0</v>
      </c>
    </row>
    <row r="328" spans="1:10" s="1166" customFormat="1" ht="28.5">
      <c r="A328" s="799">
        <f>ROW()</f>
        <v>328</v>
      </c>
      <c r="B328" s="806">
        <f t="shared" si="9"/>
        <v>316</v>
      </c>
      <c r="C328" s="1173" t="s">
        <v>2512</v>
      </c>
      <c r="D328" s="802" t="s">
        <v>1812</v>
      </c>
      <c r="E328" s="797"/>
      <c r="F328" s="798"/>
      <c r="G328" s="803"/>
      <c r="H328" s="803" t="s">
        <v>166</v>
      </c>
      <c r="I328" s="804">
        <v>2.35</v>
      </c>
      <c r="J328" s="805">
        <f t="shared" si="8"/>
        <v>0</v>
      </c>
    </row>
    <row r="329" spans="1:10" s="1166" customFormat="1" ht="28.5">
      <c r="A329" s="799">
        <f>ROW()</f>
        <v>329</v>
      </c>
      <c r="B329" s="806">
        <f t="shared" si="9"/>
        <v>317</v>
      </c>
      <c r="C329" s="1173" t="s">
        <v>2512</v>
      </c>
      <c r="D329" s="802" t="s">
        <v>1813</v>
      </c>
      <c r="E329" s="797"/>
      <c r="F329" s="798"/>
      <c r="G329" s="803"/>
      <c r="H329" s="803" t="s">
        <v>166</v>
      </c>
      <c r="I329" s="804">
        <v>33.54</v>
      </c>
      <c r="J329" s="805">
        <f t="shared" si="8"/>
        <v>0</v>
      </c>
    </row>
    <row r="330" spans="1:10" s="1166" customFormat="1" ht="28.5">
      <c r="A330" s="799">
        <f>ROW()</f>
        <v>330</v>
      </c>
      <c r="B330" s="806">
        <f t="shared" si="9"/>
        <v>318</v>
      </c>
      <c r="C330" s="1173" t="s">
        <v>2512</v>
      </c>
      <c r="D330" s="802" t="s">
        <v>1814</v>
      </c>
      <c r="E330" s="797"/>
      <c r="F330" s="798"/>
      <c r="G330" s="803"/>
      <c r="H330" s="803" t="s">
        <v>166</v>
      </c>
      <c r="I330" s="804">
        <v>6.83</v>
      </c>
      <c r="J330" s="805">
        <f t="shared" si="8"/>
        <v>0</v>
      </c>
    </row>
    <row r="331" spans="1:10" s="1166" customFormat="1" ht="28.5">
      <c r="A331" s="799">
        <f>ROW()</f>
        <v>331</v>
      </c>
      <c r="B331" s="806">
        <f t="shared" si="9"/>
        <v>319</v>
      </c>
      <c r="C331" s="1173" t="s">
        <v>2512</v>
      </c>
      <c r="D331" s="802" t="s">
        <v>1815</v>
      </c>
      <c r="E331" s="797"/>
      <c r="F331" s="798"/>
      <c r="G331" s="803"/>
      <c r="H331" s="803" t="s">
        <v>166</v>
      </c>
      <c r="I331" s="804">
        <v>7.61</v>
      </c>
      <c r="J331" s="805">
        <f t="shared" si="8"/>
        <v>0</v>
      </c>
    </row>
    <row r="332" spans="1:10" s="1166" customFormat="1" ht="28.5">
      <c r="A332" s="799">
        <f>ROW()</f>
        <v>332</v>
      </c>
      <c r="B332" s="806">
        <f t="shared" si="9"/>
        <v>320</v>
      </c>
      <c r="C332" s="1173" t="s">
        <v>2512</v>
      </c>
      <c r="D332" s="802" t="s">
        <v>1816</v>
      </c>
      <c r="E332" s="797"/>
      <c r="F332" s="798"/>
      <c r="G332" s="803"/>
      <c r="H332" s="803" t="s">
        <v>166</v>
      </c>
      <c r="I332" s="804">
        <v>4.1900000000000004</v>
      </c>
      <c r="J332" s="805">
        <f t="shared" si="8"/>
        <v>0</v>
      </c>
    </row>
    <row r="333" spans="1:10" s="1166" customFormat="1" ht="28.5">
      <c r="A333" s="799">
        <f>ROW()</f>
        <v>333</v>
      </c>
      <c r="B333" s="806">
        <f t="shared" si="9"/>
        <v>321</v>
      </c>
      <c r="C333" s="1173" t="s">
        <v>2512</v>
      </c>
      <c r="D333" s="802" t="s">
        <v>1817</v>
      </c>
      <c r="E333" s="797"/>
      <c r="F333" s="798"/>
      <c r="G333" s="803"/>
      <c r="H333" s="803" t="s">
        <v>166</v>
      </c>
      <c r="I333" s="804">
        <v>5.15</v>
      </c>
      <c r="J333" s="805">
        <f t="shared" ref="J333:J396" si="10">I333*G333</f>
        <v>0</v>
      </c>
    </row>
    <row r="334" spans="1:10" s="1166" customFormat="1" ht="28.5">
      <c r="A334" s="799">
        <f>ROW()</f>
        <v>334</v>
      </c>
      <c r="B334" s="806">
        <f t="shared" si="9"/>
        <v>322</v>
      </c>
      <c r="C334" s="1173" t="s">
        <v>2512</v>
      </c>
      <c r="D334" s="802" t="s">
        <v>1818</v>
      </c>
      <c r="E334" s="797"/>
      <c r="F334" s="798"/>
      <c r="G334" s="803"/>
      <c r="H334" s="803" t="s">
        <v>166</v>
      </c>
      <c r="I334" s="804">
        <v>5.18</v>
      </c>
      <c r="J334" s="805">
        <f t="shared" si="10"/>
        <v>0</v>
      </c>
    </row>
    <row r="335" spans="1:10" s="1166" customFormat="1" ht="28.5">
      <c r="A335" s="799">
        <f>ROW()</f>
        <v>335</v>
      </c>
      <c r="B335" s="806">
        <f t="shared" si="9"/>
        <v>323</v>
      </c>
      <c r="C335" s="1173" t="s">
        <v>2512</v>
      </c>
      <c r="D335" s="802" t="s">
        <v>1819</v>
      </c>
      <c r="E335" s="797"/>
      <c r="F335" s="798"/>
      <c r="G335" s="803"/>
      <c r="H335" s="803" t="s">
        <v>1528</v>
      </c>
      <c r="I335" s="804">
        <v>10.18</v>
      </c>
      <c r="J335" s="805">
        <f t="shared" si="10"/>
        <v>0</v>
      </c>
    </row>
    <row r="336" spans="1:10" s="1166" customFormat="1" ht="28.5">
      <c r="A336" s="799">
        <f>ROW()</f>
        <v>336</v>
      </c>
      <c r="B336" s="806">
        <f t="shared" ref="B336:B399" si="11">IF(C336="I","",IF(ISBLANK(D336),"",IF(ISTEXT(D336),LARGE(B332:B335,1)+1,0)))</f>
        <v>324</v>
      </c>
      <c r="C336" s="1173" t="s">
        <v>2512</v>
      </c>
      <c r="D336" s="802" t="s">
        <v>1820</v>
      </c>
      <c r="E336" s="797"/>
      <c r="F336" s="798"/>
      <c r="G336" s="803"/>
      <c r="H336" s="803" t="s">
        <v>166</v>
      </c>
      <c r="I336" s="804">
        <v>1.27</v>
      </c>
      <c r="J336" s="805">
        <f t="shared" si="10"/>
        <v>0</v>
      </c>
    </row>
    <row r="337" spans="1:10" s="1166" customFormat="1" ht="28.5">
      <c r="A337" s="799">
        <f>ROW()</f>
        <v>337</v>
      </c>
      <c r="B337" s="806">
        <f t="shared" si="11"/>
        <v>325</v>
      </c>
      <c r="C337" s="1173" t="s">
        <v>2512</v>
      </c>
      <c r="D337" s="802" t="s">
        <v>1821</v>
      </c>
      <c r="E337" s="797"/>
      <c r="F337" s="798"/>
      <c r="G337" s="803"/>
      <c r="H337" s="803" t="s">
        <v>166</v>
      </c>
      <c r="I337" s="804">
        <v>7.32</v>
      </c>
      <c r="J337" s="805">
        <f t="shared" si="10"/>
        <v>0</v>
      </c>
    </row>
    <row r="338" spans="1:10" s="1166" customFormat="1" ht="28.5">
      <c r="A338" s="799">
        <f>ROW()</f>
        <v>338</v>
      </c>
      <c r="B338" s="806">
        <f t="shared" si="11"/>
        <v>326</v>
      </c>
      <c r="C338" s="1173" t="s">
        <v>2512</v>
      </c>
      <c r="D338" s="802" t="s">
        <v>1822</v>
      </c>
      <c r="E338" s="797"/>
      <c r="F338" s="798"/>
      <c r="G338" s="803"/>
      <c r="H338" s="803" t="s">
        <v>166</v>
      </c>
      <c r="I338" s="804">
        <v>3.34</v>
      </c>
      <c r="J338" s="805">
        <f t="shared" si="10"/>
        <v>0</v>
      </c>
    </row>
    <row r="339" spans="1:10" s="1166" customFormat="1" ht="28.5">
      <c r="A339" s="799">
        <f>ROW()</f>
        <v>339</v>
      </c>
      <c r="B339" s="806">
        <f t="shared" si="11"/>
        <v>327</v>
      </c>
      <c r="C339" s="1173" t="s">
        <v>2512</v>
      </c>
      <c r="D339" s="802" t="s">
        <v>1823</v>
      </c>
      <c r="E339" s="797"/>
      <c r="F339" s="798"/>
      <c r="G339" s="803"/>
      <c r="H339" s="803" t="s">
        <v>166</v>
      </c>
      <c r="I339" s="804">
        <v>7.76</v>
      </c>
      <c r="J339" s="805">
        <f t="shared" si="10"/>
        <v>0</v>
      </c>
    </row>
    <row r="340" spans="1:10" s="1166" customFormat="1" ht="28.5">
      <c r="A340" s="799">
        <f>ROW()</f>
        <v>340</v>
      </c>
      <c r="B340" s="806">
        <f t="shared" si="11"/>
        <v>328</v>
      </c>
      <c r="C340" s="1173" t="s">
        <v>2512</v>
      </c>
      <c r="D340" s="802" t="s">
        <v>1824</v>
      </c>
      <c r="E340" s="797"/>
      <c r="F340" s="798"/>
      <c r="G340" s="803"/>
      <c r="H340" s="803" t="s">
        <v>166</v>
      </c>
      <c r="I340" s="804">
        <v>22.53</v>
      </c>
      <c r="J340" s="805">
        <f t="shared" si="10"/>
        <v>0</v>
      </c>
    </row>
    <row r="341" spans="1:10" s="1166" customFormat="1" ht="28.5">
      <c r="A341" s="799">
        <f>ROW()</f>
        <v>341</v>
      </c>
      <c r="B341" s="806">
        <f t="shared" si="11"/>
        <v>329</v>
      </c>
      <c r="C341" s="1173" t="s">
        <v>2512</v>
      </c>
      <c r="D341" s="802" t="s">
        <v>1825</v>
      </c>
      <c r="E341" s="797"/>
      <c r="F341" s="798"/>
      <c r="G341" s="803"/>
      <c r="H341" s="803" t="s">
        <v>166</v>
      </c>
      <c r="I341" s="804">
        <v>12.07</v>
      </c>
      <c r="J341" s="805">
        <f t="shared" si="10"/>
        <v>0</v>
      </c>
    </row>
    <row r="342" spans="1:10" s="1166" customFormat="1" ht="28.5">
      <c r="A342" s="799">
        <f>ROW()</f>
        <v>342</v>
      </c>
      <c r="B342" s="806">
        <f t="shared" si="11"/>
        <v>330</v>
      </c>
      <c r="C342" s="1173" t="s">
        <v>2512</v>
      </c>
      <c r="D342" s="802" t="s">
        <v>1826</v>
      </c>
      <c r="E342" s="797"/>
      <c r="F342" s="798"/>
      <c r="G342" s="803"/>
      <c r="H342" s="803" t="s">
        <v>166</v>
      </c>
      <c r="I342" s="804">
        <v>9.8000000000000007</v>
      </c>
      <c r="J342" s="805">
        <f t="shared" si="10"/>
        <v>0</v>
      </c>
    </row>
    <row r="343" spans="1:10" s="1166" customFormat="1" ht="28.5">
      <c r="A343" s="799">
        <f>ROW()</f>
        <v>343</v>
      </c>
      <c r="B343" s="806">
        <f t="shared" si="11"/>
        <v>331</v>
      </c>
      <c r="C343" s="1173" t="s">
        <v>2512</v>
      </c>
      <c r="D343" s="802" t="s">
        <v>1827</v>
      </c>
      <c r="E343" s="797"/>
      <c r="F343" s="798"/>
      <c r="G343" s="803"/>
      <c r="H343" s="803" t="s">
        <v>166</v>
      </c>
      <c r="I343" s="804">
        <v>9.42</v>
      </c>
      <c r="J343" s="805">
        <f t="shared" si="10"/>
        <v>0</v>
      </c>
    </row>
    <row r="344" spans="1:10" s="1166" customFormat="1" ht="28.5">
      <c r="A344" s="799">
        <f>ROW()</f>
        <v>344</v>
      </c>
      <c r="B344" s="806">
        <f t="shared" si="11"/>
        <v>332</v>
      </c>
      <c r="C344" s="1173" t="s">
        <v>2512</v>
      </c>
      <c r="D344" s="802" t="s">
        <v>1828</v>
      </c>
      <c r="E344" s="797"/>
      <c r="F344" s="798"/>
      <c r="G344" s="803"/>
      <c r="H344" s="803" t="s">
        <v>166</v>
      </c>
      <c r="I344" s="804">
        <v>0.46</v>
      </c>
      <c r="J344" s="805">
        <f t="shared" si="10"/>
        <v>0</v>
      </c>
    </row>
    <row r="345" spans="1:10" s="1166" customFormat="1" ht="28.5">
      <c r="A345" s="799">
        <f>ROW()</f>
        <v>345</v>
      </c>
      <c r="B345" s="806">
        <f t="shared" si="11"/>
        <v>333</v>
      </c>
      <c r="C345" s="1173" t="s">
        <v>2512</v>
      </c>
      <c r="D345" s="802" t="s">
        <v>1829</v>
      </c>
      <c r="E345" s="797"/>
      <c r="F345" s="798"/>
      <c r="G345" s="803"/>
      <c r="H345" s="803" t="s">
        <v>166</v>
      </c>
      <c r="I345" s="804">
        <v>6.2</v>
      </c>
      <c r="J345" s="805">
        <f t="shared" si="10"/>
        <v>0</v>
      </c>
    </row>
    <row r="346" spans="1:10" s="1166" customFormat="1" ht="28.5">
      <c r="A346" s="799">
        <f>ROW()</f>
        <v>346</v>
      </c>
      <c r="B346" s="806">
        <f t="shared" si="11"/>
        <v>334</v>
      </c>
      <c r="C346" s="1173" t="s">
        <v>2512</v>
      </c>
      <c r="D346" s="802" t="s">
        <v>1830</v>
      </c>
      <c r="E346" s="797"/>
      <c r="F346" s="798"/>
      <c r="G346" s="803"/>
      <c r="H346" s="803" t="s">
        <v>166</v>
      </c>
      <c r="I346" s="804">
        <v>5.96</v>
      </c>
      <c r="J346" s="805">
        <f t="shared" si="10"/>
        <v>0</v>
      </c>
    </row>
    <row r="347" spans="1:10" s="1166" customFormat="1" ht="28.5">
      <c r="A347" s="799">
        <f>ROW()</f>
        <v>347</v>
      </c>
      <c r="B347" s="806">
        <f t="shared" si="11"/>
        <v>335</v>
      </c>
      <c r="C347" s="1173" t="s">
        <v>2512</v>
      </c>
      <c r="D347" s="802" t="s">
        <v>1831</v>
      </c>
      <c r="E347" s="797"/>
      <c r="F347" s="798"/>
      <c r="G347" s="803"/>
      <c r="H347" s="803" t="s">
        <v>1528</v>
      </c>
      <c r="I347" s="804">
        <v>0.61</v>
      </c>
      <c r="J347" s="805">
        <f t="shared" si="10"/>
        <v>0</v>
      </c>
    </row>
    <row r="348" spans="1:10" s="1166" customFormat="1" ht="28.5">
      <c r="A348" s="799">
        <f>ROW()</f>
        <v>348</v>
      </c>
      <c r="B348" s="806">
        <f t="shared" si="11"/>
        <v>336</v>
      </c>
      <c r="C348" s="1173" t="s">
        <v>2512</v>
      </c>
      <c r="D348" s="802" t="s">
        <v>1832</v>
      </c>
      <c r="E348" s="797"/>
      <c r="F348" s="798"/>
      <c r="G348" s="803"/>
      <c r="H348" s="803" t="s">
        <v>1528</v>
      </c>
      <c r="I348" s="804">
        <v>1.17</v>
      </c>
      <c r="J348" s="805">
        <f t="shared" si="10"/>
        <v>0</v>
      </c>
    </row>
    <row r="349" spans="1:10" s="1166" customFormat="1" ht="28.5">
      <c r="A349" s="799">
        <f>ROW()</f>
        <v>349</v>
      </c>
      <c r="B349" s="806">
        <f t="shared" si="11"/>
        <v>337</v>
      </c>
      <c r="C349" s="1173" t="s">
        <v>2512</v>
      </c>
      <c r="D349" s="802" t="s">
        <v>1833</v>
      </c>
      <c r="E349" s="797"/>
      <c r="F349" s="798"/>
      <c r="G349" s="803"/>
      <c r="H349" s="803" t="s">
        <v>1528</v>
      </c>
      <c r="I349" s="804">
        <v>4.1900000000000004</v>
      </c>
      <c r="J349" s="805">
        <f t="shared" si="10"/>
        <v>0</v>
      </c>
    </row>
    <row r="350" spans="1:10" s="1166" customFormat="1" ht="28.5">
      <c r="A350" s="799">
        <f>ROW()</f>
        <v>350</v>
      </c>
      <c r="B350" s="806">
        <f t="shared" si="11"/>
        <v>338</v>
      </c>
      <c r="C350" s="1173" t="s">
        <v>2512</v>
      </c>
      <c r="D350" s="802" t="s">
        <v>1834</v>
      </c>
      <c r="E350" s="797"/>
      <c r="F350" s="798"/>
      <c r="G350" s="803"/>
      <c r="H350" s="803" t="s">
        <v>166</v>
      </c>
      <c r="I350" s="804">
        <v>4.0999999999999996</v>
      </c>
      <c r="J350" s="805">
        <f t="shared" si="10"/>
        <v>0</v>
      </c>
    </row>
    <row r="351" spans="1:10" s="1166" customFormat="1" ht="28.5">
      <c r="A351" s="799">
        <f>ROW()</f>
        <v>351</v>
      </c>
      <c r="B351" s="806">
        <f t="shared" si="11"/>
        <v>339</v>
      </c>
      <c r="C351" s="1173" t="s">
        <v>2512</v>
      </c>
      <c r="D351" s="802" t="s">
        <v>1835</v>
      </c>
      <c r="E351" s="797"/>
      <c r="F351" s="798"/>
      <c r="G351" s="803"/>
      <c r="H351" s="803" t="s">
        <v>166</v>
      </c>
      <c r="I351" s="804">
        <v>5.32</v>
      </c>
      <c r="J351" s="805">
        <f t="shared" si="10"/>
        <v>0</v>
      </c>
    </row>
    <row r="352" spans="1:10" s="1166" customFormat="1" ht="28.5">
      <c r="A352" s="799">
        <f>ROW()</f>
        <v>352</v>
      </c>
      <c r="B352" s="806">
        <f t="shared" si="11"/>
        <v>340</v>
      </c>
      <c r="C352" s="1173" t="s">
        <v>2512</v>
      </c>
      <c r="D352" s="802" t="s">
        <v>1836</v>
      </c>
      <c r="E352" s="797"/>
      <c r="F352" s="798"/>
      <c r="G352" s="803"/>
      <c r="H352" s="803" t="s">
        <v>166</v>
      </c>
      <c r="I352" s="804">
        <v>4.4400000000000004</v>
      </c>
      <c r="J352" s="805">
        <f t="shared" si="10"/>
        <v>0</v>
      </c>
    </row>
    <row r="353" spans="1:10" s="1166" customFormat="1" ht="28.5">
      <c r="A353" s="799">
        <f>ROW()</f>
        <v>353</v>
      </c>
      <c r="B353" s="806">
        <f t="shared" si="11"/>
        <v>341</v>
      </c>
      <c r="C353" s="1173" t="s">
        <v>2512</v>
      </c>
      <c r="D353" s="802" t="s">
        <v>1837</v>
      </c>
      <c r="E353" s="797"/>
      <c r="F353" s="798"/>
      <c r="G353" s="803"/>
      <c r="H353" s="803" t="s">
        <v>166</v>
      </c>
      <c r="I353" s="804">
        <v>3.87</v>
      </c>
      <c r="J353" s="805">
        <f t="shared" si="10"/>
        <v>0</v>
      </c>
    </row>
    <row r="354" spans="1:10" s="1166" customFormat="1" ht="28.5">
      <c r="A354" s="799">
        <f>ROW()</f>
        <v>354</v>
      </c>
      <c r="B354" s="806">
        <f t="shared" si="11"/>
        <v>342</v>
      </c>
      <c r="C354" s="1173" t="s">
        <v>2512</v>
      </c>
      <c r="D354" s="802" t="s">
        <v>1838</v>
      </c>
      <c r="E354" s="797"/>
      <c r="F354" s="798"/>
      <c r="G354" s="803"/>
      <c r="H354" s="803" t="s">
        <v>166</v>
      </c>
      <c r="I354" s="804">
        <v>3.31</v>
      </c>
      <c r="J354" s="805">
        <f t="shared" si="10"/>
        <v>0</v>
      </c>
    </row>
    <row r="355" spans="1:10" s="1166" customFormat="1" ht="28.5">
      <c r="A355" s="799">
        <f>ROW()</f>
        <v>355</v>
      </c>
      <c r="B355" s="806">
        <f t="shared" si="11"/>
        <v>343</v>
      </c>
      <c r="C355" s="1173" t="s">
        <v>2512</v>
      </c>
      <c r="D355" s="802" t="s">
        <v>1839</v>
      </c>
      <c r="E355" s="797"/>
      <c r="F355" s="798"/>
      <c r="G355" s="803"/>
      <c r="H355" s="803" t="s">
        <v>166</v>
      </c>
      <c r="I355" s="804">
        <v>3.23</v>
      </c>
      <c r="J355" s="805">
        <f t="shared" si="10"/>
        <v>0</v>
      </c>
    </row>
    <row r="356" spans="1:10" s="1166" customFormat="1" ht="28.5">
      <c r="A356" s="799">
        <f>ROW()</f>
        <v>356</v>
      </c>
      <c r="B356" s="806">
        <f t="shared" si="11"/>
        <v>344</v>
      </c>
      <c r="C356" s="1173" t="s">
        <v>2512</v>
      </c>
      <c r="D356" s="802" t="s">
        <v>1840</v>
      </c>
      <c r="E356" s="797"/>
      <c r="F356" s="798"/>
      <c r="G356" s="803"/>
      <c r="H356" s="803" t="s">
        <v>166</v>
      </c>
      <c r="I356" s="804">
        <v>8.6300000000000008</v>
      </c>
      <c r="J356" s="805">
        <f t="shared" si="10"/>
        <v>0</v>
      </c>
    </row>
    <row r="357" spans="1:10" s="1166" customFormat="1" ht="28.5">
      <c r="A357" s="799">
        <f>ROW()</f>
        <v>357</v>
      </c>
      <c r="B357" s="806">
        <f t="shared" si="11"/>
        <v>345</v>
      </c>
      <c r="C357" s="1173" t="s">
        <v>2512</v>
      </c>
      <c r="D357" s="802" t="s">
        <v>1841</v>
      </c>
      <c r="E357" s="797"/>
      <c r="F357" s="798"/>
      <c r="G357" s="803"/>
      <c r="H357" s="803" t="s">
        <v>166</v>
      </c>
      <c r="I357" s="804">
        <v>12.2</v>
      </c>
      <c r="J357" s="805">
        <f t="shared" si="10"/>
        <v>0</v>
      </c>
    </row>
    <row r="358" spans="1:10" s="1166" customFormat="1" ht="28.5">
      <c r="A358" s="799">
        <f>ROW()</f>
        <v>358</v>
      </c>
      <c r="B358" s="806">
        <f t="shared" si="11"/>
        <v>346</v>
      </c>
      <c r="C358" s="1173" t="s">
        <v>2512</v>
      </c>
      <c r="D358" s="802" t="s">
        <v>1842</v>
      </c>
      <c r="E358" s="797"/>
      <c r="F358" s="798"/>
      <c r="G358" s="803"/>
      <c r="H358" s="803" t="s">
        <v>166</v>
      </c>
      <c r="I358" s="804">
        <v>22.87</v>
      </c>
      <c r="J358" s="805">
        <f t="shared" si="10"/>
        <v>0</v>
      </c>
    </row>
    <row r="359" spans="1:10" s="1166" customFormat="1" ht="28.5">
      <c r="A359" s="799">
        <f>ROW()</f>
        <v>359</v>
      </c>
      <c r="B359" s="806">
        <f t="shared" si="11"/>
        <v>347</v>
      </c>
      <c r="C359" s="1173" t="s">
        <v>2512</v>
      </c>
      <c r="D359" s="802" t="s">
        <v>1843</v>
      </c>
      <c r="E359" s="797"/>
      <c r="F359" s="798"/>
      <c r="G359" s="803"/>
      <c r="H359" s="803" t="s">
        <v>1528</v>
      </c>
      <c r="I359" s="804">
        <v>0.35</v>
      </c>
      <c r="J359" s="805">
        <f t="shared" si="10"/>
        <v>0</v>
      </c>
    </row>
    <row r="360" spans="1:10" s="1166" customFormat="1" ht="28.5">
      <c r="A360" s="799">
        <f>ROW()</f>
        <v>360</v>
      </c>
      <c r="B360" s="806">
        <f t="shared" si="11"/>
        <v>348</v>
      </c>
      <c r="C360" s="1173" t="s">
        <v>2512</v>
      </c>
      <c r="D360" s="802" t="s">
        <v>1844</v>
      </c>
      <c r="E360" s="797"/>
      <c r="F360" s="798"/>
      <c r="G360" s="803"/>
      <c r="H360" s="803" t="s">
        <v>166</v>
      </c>
      <c r="I360" s="804">
        <v>14.42</v>
      </c>
      <c r="J360" s="805">
        <f t="shared" si="10"/>
        <v>0</v>
      </c>
    </row>
    <row r="361" spans="1:10" s="1166" customFormat="1" ht="28.5">
      <c r="A361" s="799">
        <f>ROW()</f>
        <v>361</v>
      </c>
      <c r="B361" s="806">
        <f t="shared" si="11"/>
        <v>349</v>
      </c>
      <c r="C361" s="1173" t="s">
        <v>2512</v>
      </c>
      <c r="D361" s="802" t="s">
        <v>1845</v>
      </c>
      <c r="E361" s="797"/>
      <c r="F361" s="798"/>
      <c r="G361" s="803"/>
      <c r="H361" s="803" t="s">
        <v>166</v>
      </c>
      <c r="I361" s="804">
        <v>9.02</v>
      </c>
      <c r="J361" s="805">
        <f t="shared" si="10"/>
        <v>0</v>
      </c>
    </row>
    <row r="362" spans="1:10" s="1166" customFormat="1" ht="28.5">
      <c r="A362" s="799">
        <f>ROW()</f>
        <v>362</v>
      </c>
      <c r="B362" s="806">
        <f t="shared" si="11"/>
        <v>350</v>
      </c>
      <c r="C362" s="1173" t="s">
        <v>2512</v>
      </c>
      <c r="D362" s="802" t="s">
        <v>1846</v>
      </c>
      <c r="E362" s="797"/>
      <c r="F362" s="798"/>
      <c r="G362" s="803"/>
      <c r="H362" s="803" t="s">
        <v>166</v>
      </c>
      <c r="I362" s="804">
        <v>4.51</v>
      </c>
      <c r="J362" s="805">
        <f t="shared" si="10"/>
        <v>0</v>
      </c>
    </row>
    <row r="363" spans="1:10" s="1166" customFormat="1" ht="28.5">
      <c r="A363" s="799">
        <f>ROW()</f>
        <v>363</v>
      </c>
      <c r="B363" s="806">
        <f t="shared" si="11"/>
        <v>351</v>
      </c>
      <c r="C363" s="1173" t="s">
        <v>2512</v>
      </c>
      <c r="D363" s="802" t="s">
        <v>1847</v>
      </c>
      <c r="E363" s="797"/>
      <c r="F363" s="798"/>
      <c r="G363" s="803"/>
      <c r="H363" s="803" t="s">
        <v>166</v>
      </c>
      <c r="I363" s="804">
        <v>6.08</v>
      </c>
      <c r="J363" s="805">
        <f t="shared" si="10"/>
        <v>0</v>
      </c>
    </row>
    <row r="364" spans="1:10" s="1166" customFormat="1" ht="28.5">
      <c r="A364" s="799">
        <f>ROW()</f>
        <v>364</v>
      </c>
      <c r="B364" s="806">
        <f t="shared" si="11"/>
        <v>352</v>
      </c>
      <c r="C364" s="1173" t="s">
        <v>2512</v>
      </c>
      <c r="D364" s="802" t="s">
        <v>1848</v>
      </c>
      <c r="E364" s="797"/>
      <c r="F364" s="798"/>
      <c r="G364" s="803"/>
      <c r="H364" s="803" t="s">
        <v>166</v>
      </c>
      <c r="I364" s="804">
        <v>6.86</v>
      </c>
      <c r="J364" s="805">
        <f t="shared" si="10"/>
        <v>0</v>
      </c>
    </row>
    <row r="365" spans="1:10" s="1166" customFormat="1" ht="28.5">
      <c r="A365" s="799">
        <f>ROW()</f>
        <v>365</v>
      </c>
      <c r="B365" s="806">
        <f t="shared" si="11"/>
        <v>353</v>
      </c>
      <c r="C365" s="1173" t="s">
        <v>2512</v>
      </c>
      <c r="D365" s="802" t="s">
        <v>1849</v>
      </c>
      <c r="E365" s="797"/>
      <c r="F365" s="798"/>
      <c r="G365" s="803"/>
      <c r="H365" s="803" t="s">
        <v>166</v>
      </c>
      <c r="I365" s="804">
        <v>10.66</v>
      </c>
      <c r="J365" s="805">
        <f t="shared" si="10"/>
        <v>0</v>
      </c>
    </row>
    <row r="366" spans="1:10" s="1166" customFormat="1" ht="28.5">
      <c r="A366" s="799">
        <f>ROW()</f>
        <v>366</v>
      </c>
      <c r="B366" s="806">
        <f t="shared" si="11"/>
        <v>354</v>
      </c>
      <c r="C366" s="1173" t="s">
        <v>2512</v>
      </c>
      <c r="D366" s="802" t="s">
        <v>1850</v>
      </c>
      <c r="E366" s="797"/>
      <c r="F366" s="798"/>
      <c r="G366" s="803"/>
      <c r="H366" s="803" t="s">
        <v>166</v>
      </c>
      <c r="I366" s="804">
        <v>9.76</v>
      </c>
      <c r="J366" s="805">
        <f t="shared" si="10"/>
        <v>0</v>
      </c>
    </row>
    <row r="367" spans="1:10" s="1166" customFormat="1" ht="28.5">
      <c r="A367" s="799">
        <f>ROW()</f>
        <v>367</v>
      </c>
      <c r="B367" s="806">
        <f t="shared" si="11"/>
        <v>355</v>
      </c>
      <c r="C367" s="1173" t="s">
        <v>2512</v>
      </c>
      <c r="D367" s="802" t="s">
        <v>1851</v>
      </c>
      <c r="E367" s="797"/>
      <c r="F367" s="798"/>
      <c r="G367" s="803"/>
      <c r="H367" s="803" t="s">
        <v>166</v>
      </c>
      <c r="I367" s="804">
        <v>7.73</v>
      </c>
      <c r="J367" s="805">
        <f t="shared" si="10"/>
        <v>0</v>
      </c>
    </row>
    <row r="368" spans="1:10" s="1166" customFormat="1" ht="28.5">
      <c r="A368" s="799">
        <f>ROW()</f>
        <v>368</v>
      </c>
      <c r="B368" s="806">
        <f t="shared" si="11"/>
        <v>356</v>
      </c>
      <c r="C368" s="1173" t="s">
        <v>2512</v>
      </c>
      <c r="D368" s="802" t="s">
        <v>1852</v>
      </c>
      <c r="E368" s="797"/>
      <c r="F368" s="798"/>
      <c r="G368" s="803"/>
      <c r="H368" s="803" t="s">
        <v>166</v>
      </c>
      <c r="I368" s="804">
        <v>7.47</v>
      </c>
      <c r="J368" s="805">
        <f t="shared" si="10"/>
        <v>0</v>
      </c>
    </row>
    <row r="369" spans="1:10" s="1166" customFormat="1" ht="28.5">
      <c r="A369" s="799">
        <f>ROW()</f>
        <v>369</v>
      </c>
      <c r="B369" s="806">
        <f t="shared" si="11"/>
        <v>357</v>
      </c>
      <c r="C369" s="1173" t="s">
        <v>2512</v>
      </c>
      <c r="D369" s="802" t="s">
        <v>1853</v>
      </c>
      <c r="E369" s="797"/>
      <c r="F369" s="798"/>
      <c r="G369" s="803"/>
      <c r="H369" s="803" t="s">
        <v>166</v>
      </c>
      <c r="I369" s="804">
        <v>3.64</v>
      </c>
      <c r="J369" s="805">
        <f t="shared" si="10"/>
        <v>0</v>
      </c>
    </row>
    <row r="370" spans="1:10" s="1166" customFormat="1" ht="28.5">
      <c r="A370" s="799">
        <f>ROW()</f>
        <v>370</v>
      </c>
      <c r="B370" s="806">
        <f t="shared" si="11"/>
        <v>358</v>
      </c>
      <c r="C370" s="1173" t="s">
        <v>2512</v>
      </c>
      <c r="D370" s="802" t="s">
        <v>1854</v>
      </c>
      <c r="E370" s="797"/>
      <c r="F370" s="798"/>
      <c r="G370" s="803"/>
      <c r="H370" s="803" t="s">
        <v>166</v>
      </c>
      <c r="I370" s="804">
        <v>4.5999999999999996</v>
      </c>
      <c r="J370" s="805">
        <f t="shared" si="10"/>
        <v>0</v>
      </c>
    </row>
    <row r="371" spans="1:10" s="1166" customFormat="1" ht="28.5">
      <c r="A371" s="799">
        <f>ROW()</f>
        <v>371</v>
      </c>
      <c r="B371" s="806">
        <f t="shared" si="11"/>
        <v>359</v>
      </c>
      <c r="C371" s="1174" t="s">
        <v>2513</v>
      </c>
      <c r="D371" s="802" t="s">
        <v>1855</v>
      </c>
      <c r="E371" s="797"/>
      <c r="F371" s="798"/>
      <c r="G371" s="803"/>
      <c r="H371" s="803" t="s">
        <v>166</v>
      </c>
      <c r="I371" s="804">
        <v>7.49</v>
      </c>
      <c r="J371" s="805">
        <f t="shared" si="10"/>
        <v>0</v>
      </c>
    </row>
    <row r="372" spans="1:10" s="1166" customFormat="1" ht="28.5">
      <c r="A372" s="799">
        <f>ROW()</f>
        <v>372</v>
      </c>
      <c r="B372" s="806">
        <f t="shared" si="11"/>
        <v>360</v>
      </c>
      <c r="C372" s="1174" t="s">
        <v>2513</v>
      </c>
      <c r="D372" s="802" t="s">
        <v>1856</v>
      </c>
      <c r="E372" s="797"/>
      <c r="F372" s="798"/>
      <c r="G372" s="803"/>
      <c r="H372" s="803" t="s">
        <v>166</v>
      </c>
      <c r="I372" s="804">
        <v>12.71</v>
      </c>
      <c r="J372" s="805">
        <f t="shared" si="10"/>
        <v>0</v>
      </c>
    </row>
    <row r="373" spans="1:10" s="1166" customFormat="1" ht="28.5">
      <c r="A373" s="799">
        <f>ROW()</f>
        <v>373</v>
      </c>
      <c r="B373" s="806">
        <f t="shared" si="11"/>
        <v>361</v>
      </c>
      <c r="C373" s="1174" t="s">
        <v>2513</v>
      </c>
      <c r="D373" s="802" t="s">
        <v>1857</v>
      </c>
      <c r="E373" s="797"/>
      <c r="F373" s="798"/>
      <c r="G373" s="803"/>
      <c r="H373" s="803" t="s">
        <v>166</v>
      </c>
      <c r="I373" s="804">
        <v>5.18</v>
      </c>
      <c r="J373" s="805">
        <f t="shared" si="10"/>
        <v>0</v>
      </c>
    </row>
    <row r="374" spans="1:10" s="1166" customFormat="1" ht="28.5">
      <c r="A374" s="799">
        <f>ROW()</f>
        <v>374</v>
      </c>
      <c r="B374" s="806">
        <f t="shared" si="11"/>
        <v>362</v>
      </c>
      <c r="C374" s="1174" t="s">
        <v>2513</v>
      </c>
      <c r="D374" s="802" t="s">
        <v>1858</v>
      </c>
      <c r="E374" s="797"/>
      <c r="F374" s="798"/>
      <c r="G374" s="803"/>
      <c r="H374" s="803" t="s">
        <v>166</v>
      </c>
      <c r="I374" s="804">
        <v>7.24</v>
      </c>
      <c r="J374" s="805">
        <f t="shared" si="10"/>
        <v>0</v>
      </c>
    </row>
    <row r="375" spans="1:10" s="1166" customFormat="1" ht="28.5">
      <c r="A375" s="799">
        <f>ROW()</f>
        <v>375</v>
      </c>
      <c r="B375" s="806">
        <f t="shared" si="11"/>
        <v>363</v>
      </c>
      <c r="C375" s="1174" t="s">
        <v>2513</v>
      </c>
      <c r="D375" s="802" t="s">
        <v>1859</v>
      </c>
      <c r="E375" s="797"/>
      <c r="F375" s="798"/>
      <c r="G375" s="803"/>
      <c r="H375" s="803" t="s">
        <v>166</v>
      </c>
      <c r="I375" s="804">
        <v>1.54</v>
      </c>
      <c r="J375" s="805">
        <f t="shared" si="10"/>
        <v>0</v>
      </c>
    </row>
    <row r="376" spans="1:10" s="1166" customFormat="1" ht="28.5">
      <c r="A376" s="799">
        <f>ROW()</f>
        <v>376</v>
      </c>
      <c r="B376" s="806">
        <f t="shared" si="11"/>
        <v>364</v>
      </c>
      <c r="C376" s="1174" t="s">
        <v>2513</v>
      </c>
      <c r="D376" s="802" t="s">
        <v>1860</v>
      </c>
      <c r="E376" s="797"/>
      <c r="F376" s="798"/>
      <c r="G376" s="803"/>
      <c r="H376" s="803" t="s">
        <v>166</v>
      </c>
      <c r="I376" s="804">
        <v>6.1</v>
      </c>
      <c r="J376" s="805">
        <f t="shared" si="10"/>
        <v>0</v>
      </c>
    </row>
    <row r="377" spans="1:10" s="1166" customFormat="1" ht="28.5">
      <c r="A377" s="799">
        <f>ROW()</f>
        <v>377</v>
      </c>
      <c r="B377" s="806">
        <f t="shared" si="11"/>
        <v>365</v>
      </c>
      <c r="C377" s="1174" t="s">
        <v>2513</v>
      </c>
      <c r="D377" s="802" t="s">
        <v>1861</v>
      </c>
      <c r="E377" s="797"/>
      <c r="F377" s="798"/>
      <c r="G377" s="803"/>
      <c r="H377" s="803" t="s">
        <v>166</v>
      </c>
      <c r="I377" s="804">
        <v>6.19</v>
      </c>
      <c r="J377" s="805">
        <f t="shared" si="10"/>
        <v>0</v>
      </c>
    </row>
    <row r="378" spans="1:10" s="1166" customFormat="1" ht="28.5">
      <c r="A378" s="799">
        <f>ROW()</f>
        <v>378</v>
      </c>
      <c r="B378" s="806">
        <f t="shared" si="11"/>
        <v>366</v>
      </c>
      <c r="C378" s="1174" t="s">
        <v>2513</v>
      </c>
      <c r="D378" s="802" t="s">
        <v>1862</v>
      </c>
      <c r="E378" s="797"/>
      <c r="F378" s="798"/>
      <c r="G378" s="803"/>
      <c r="H378" s="803" t="s">
        <v>166</v>
      </c>
      <c r="I378" s="804">
        <v>10.53</v>
      </c>
      <c r="J378" s="805">
        <f t="shared" si="10"/>
        <v>0</v>
      </c>
    </row>
    <row r="379" spans="1:10" s="1166" customFormat="1" ht="28.5">
      <c r="A379" s="799">
        <f>ROW()</f>
        <v>379</v>
      </c>
      <c r="B379" s="806">
        <f t="shared" si="11"/>
        <v>367</v>
      </c>
      <c r="C379" s="1174" t="s">
        <v>2513</v>
      </c>
      <c r="D379" s="802" t="s">
        <v>1863</v>
      </c>
      <c r="E379" s="797"/>
      <c r="F379" s="798"/>
      <c r="G379" s="803"/>
      <c r="H379" s="803" t="s">
        <v>166</v>
      </c>
      <c r="I379" s="804">
        <v>8.0500000000000007</v>
      </c>
      <c r="J379" s="805">
        <f t="shared" si="10"/>
        <v>0</v>
      </c>
    </row>
    <row r="380" spans="1:10" s="1166" customFormat="1" ht="28.5">
      <c r="A380" s="799">
        <f>ROW()</f>
        <v>380</v>
      </c>
      <c r="B380" s="806">
        <f t="shared" si="11"/>
        <v>368</v>
      </c>
      <c r="C380" s="1174" t="s">
        <v>2513</v>
      </c>
      <c r="D380" s="802" t="s">
        <v>1864</v>
      </c>
      <c r="E380" s="797"/>
      <c r="F380" s="798"/>
      <c r="G380" s="803"/>
      <c r="H380" s="803" t="s">
        <v>166</v>
      </c>
      <c r="I380" s="804">
        <v>6.4</v>
      </c>
      <c r="J380" s="805">
        <f t="shared" si="10"/>
        <v>0</v>
      </c>
    </row>
    <row r="381" spans="1:10" s="1166" customFormat="1" ht="28.5">
      <c r="A381" s="799">
        <f>ROW()</f>
        <v>381</v>
      </c>
      <c r="B381" s="806">
        <f t="shared" si="11"/>
        <v>369</v>
      </c>
      <c r="C381" s="1174" t="s">
        <v>2513</v>
      </c>
      <c r="D381" s="802" t="s">
        <v>1865</v>
      </c>
      <c r="E381" s="797"/>
      <c r="F381" s="798"/>
      <c r="G381" s="803"/>
      <c r="H381" s="803" t="s">
        <v>166</v>
      </c>
      <c r="I381" s="804">
        <v>3.84</v>
      </c>
      <c r="J381" s="805">
        <f t="shared" si="10"/>
        <v>0</v>
      </c>
    </row>
    <row r="382" spans="1:10" s="1166" customFormat="1" ht="28.5">
      <c r="A382" s="799">
        <f>ROW()</f>
        <v>382</v>
      </c>
      <c r="B382" s="806">
        <f t="shared" si="11"/>
        <v>370</v>
      </c>
      <c r="C382" s="1174" t="s">
        <v>2513</v>
      </c>
      <c r="D382" s="802" t="s">
        <v>1866</v>
      </c>
      <c r="E382" s="797"/>
      <c r="F382" s="798"/>
      <c r="G382" s="803"/>
      <c r="H382" s="803" t="s">
        <v>166</v>
      </c>
      <c r="I382" s="804">
        <v>3.38</v>
      </c>
      <c r="J382" s="805">
        <f t="shared" si="10"/>
        <v>0</v>
      </c>
    </row>
    <row r="383" spans="1:10" s="1166" customFormat="1" ht="28.5">
      <c r="A383" s="799">
        <f>ROW()</f>
        <v>383</v>
      </c>
      <c r="B383" s="806">
        <f t="shared" si="11"/>
        <v>371</v>
      </c>
      <c r="C383" s="1174" t="s">
        <v>2513</v>
      </c>
      <c r="D383" s="802" t="s">
        <v>1867</v>
      </c>
      <c r="E383" s="797"/>
      <c r="F383" s="798"/>
      <c r="G383" s="803"/>
      <c r="H383" s="803" t="s">
        <v>166</v>
      </c>
      <c r="I383" s="804">
        <v>18.89</v>
      </c>
      <c r="J383" s="805">
        <f t="shared" si="10"/>
        <v>0</v>
      </c>
    </row>
    <row r="384" spans="1:10" s="1166" customFormat="1" ht="28.5">
      <c r="A384" s="799">
        <f>ROW()</f>
        <v>384</v>
      </c>
      <c r="B384" s="806">
        <f t="shared" si="11"/>
        <v>372</v>
      </c>
      <c r="C384" s="1174" t="s">
        <v>2513</v>
      </c>
      <c r="D384" s="802" t="s">
        <v>1868</v>
      </c>
      <c r="E384" s="797"/>
      <c r="F384" s="798"/>
      <c r="G384" s="803"/>
      <c r="H384" s="803" t="s">
        <v>166</v>
      </c>
      <c r="I384" s="804">
        <v>8.35</v>
      </c>
      <c r="J384" s="805">
        <f t="shared" si="10"/>
        <v>0</v>
      </c>
    </row>
    <row r="385" spans="1:10" s="1166" customFormat="1" ht="28.5">
      <c r="A385" s="799">
        <f>ROW()</f>
        <v>385</v>
      </c>
      <c r="B385" s="806">
        <f t="shared" si="11"/>
        <v>373</v>
      </c>
      <c r="C385" s="1174" t="s">
        <v>2513</v>
      </c>
      <c r="D385" s="802" t="s">
        <v>1869</v>
      </c>
      <c r="E385" s="797"/>
      <c r="F385" s="798"/>
      <c r="G385" s="803"/>
      <c r="H385" s="803" t="s">
        <v>1486</v>
      </c>
      <c r="I385" s="804">
        <v>16.97</v>
      </c>
      <c r="J385" s="805">
        <f t="shared" si="10"/>
        <v>0</v>
      </c>
    </row>
    <row r="386" spans="1:10" s="1166" customFormat="1" ht="28.5">
      <c r="A386" s="799">
        <f>ROW()</f>
        <v>386</v>
      </c>
      <c r="B386" s="806">
        <f t="shared" si="11"/>
        <v>374</v>
      </c>
      <c r="C386" s="1174" t="s">
        <v>2513</v>
      </c>
      <c r="D386" s="802" t="s">
        <v>1870</v>
      </c>
      <c r="E386" s="797"/>
      <c r="F386" s="798"/>
      <c r="G386" s="803"/>
      <c r="H386" s="803" t="s">
        <v>166</v>
      </c>
      <c r="I386" s="804">
        <v>7.32</v>
      </c>
      <c r="J386" s="805">
        <f t="shared" si="10"/>
        <v>0</v>
      </c>
    </row>
    <row r="387" spans="1:10" s="1166" customFormat="1" ht="28.5">
      <c r="A387" s="799">
        <f>ROW()</f>
        <v>387</v>
      </c>
      <c r="B387" s="806">
        <f t="shared" si="11"/>
        <v>375</v>
      </c>
      <c r="C387" s="1174" t="s">
        <v>2513</v>
      </c>
      <c r="D387" s="802" t="s">
        <v>1871</v>
      </c>
      <c r="E387" s="797"/>
      <c r="F387" s="798"/>
      <c r="G387" s="803"/>
      <c r="H387" s="803" t="s">
        <v>166</v>
      </c>
      <c r="I387" s="804">
        <v>15.2</v>
      </c>
      <c r="J387" s="805">
        <f t="shared" si="10"/>
        <v>0</v>
      </c>
    </row>
    <row r="388" spans="1:10" s="1166" customFormat="1" ht="28.5">
      <c r="A388" s="799">
        <f>ROW()</f>
        <v>388</v>
      </c>
      <c r="B388" s="806">
        <f t="shared" si="11"/>
        <v>376</v>
      </c>
      <c r="C388" s="1174" t="s">
        <v>2513</v>
      </c>
      <c r="D388" s="802" t="s">
        <v>1872</v>
      </c>
      <c r="E388" s="797"/>
      <c r="F388" s="798"/>
      <c r="G388" s="803"/>
      <c r="H388" s="803" t="s">
        <v>166</v>
      </c>
      <c r="I388" s="804">
        <v>9.41</v>
      </c>
      <c r="J388" s="805">
        <f t="shared" si="10"/>
        <v>0</v>
      </c>
    </row>
    <row r="389" spans="1:10" s="1166" customFormat="1" ht="28.5">
      <c r="A389" s="799">
        <f>ROW()</f>
        <v>389</v>
      </c>
      <c r="B389" s="806">
        <f t="shared" si="11"/>
        <v>377</v>
      </c>
      <c r="C389" s="1174" t="s">
        <v>2513</v>
      </c>
      <c r="D389" s="802" t="s">
        <v>1873</v>
      </c>
      <c r="E389" s="797"/>
      <c r="F389" s="798"/>
      <c r="G389" s="803"/>
      <c r="H389" s="803" t="s">
        <v>166</v>
      </c>
      <c r="I389" s="804">
        <v>20.03</v>
      </c>
      <c r="J389" s="805">
        <f t="shared" si="10"/>
        <v>0</v>
      </c>
    </row>
    <row r="390" spans="1:10" s="1166" customFormat="1" ht="28.5">
      <c r="A390" s="799">
        <f>ROW()</f>
        <v>390</v>
      </c>
      <c r="B390" s="806">
        <f t="shared" si="11"/>
        <v>378</v>
      </c>
      <c r="C390" s="1174" t="s">
        <v>2513</v>
      </c>
      <c r="D390" s="802" t="s">
        <v>1874</v>
      </c>
      <c r="E390" s="797"/>
      <c r="F390" s="798"/>
      <c r="G390" s="803"/>
      <c r="H390" s="803" t="s">
        <v>166</v>
      </c>
      <c r="I390" s="804">
        <v>15.15</v>
      </c>
      <c r="J390" s="805">
        <f t="shared" si="10"/>
        <v>0</v>
      </c>
    </row>
    <row r="391" spans="1:10" s="1166" customFormat="1" ht="28.5">
      <c r="A391" s="799">
        <f>ROW()</f>
        <v>391</v>
      </c>
      <c r="B391" s="806">
        <f t="shared" si="11"/>
        <v>379</v>
      </c>
      <c r="C391" s="1174" t="s">
        <v>2513</v>
      </c>
      <c r="D391" s="802" t="s">
        <v>1875</v>
      </c>
      <c r="E391" s="797"/>
      <c r="F391" s="798"/>
      <c r="G391" s="803"/>
      <c r="H391" s="803" t="s">
        <v>166</v>
      </c>
      <c r="I391" s="804">
        <v>9.33</v>
      </c>
      <c r="J391" s="805">
        <f t="shared" si="10"/>
        <v>0</v>
      </c>
    </row>
    <row r="392" spans="1:10" s="1166" customFormat="1" ht="28.5">
      <c r="A392" s="799">
        <f>ROW()</f>
        <v>392</v>
      </c>
      <c r="B392" s="806">
        <f t="shared" si="11"/>
        <v>380</v>
      </c>
      <c r="C392" s="1174" t="s">
        <v>2513</v>
      </c>
      <c r="D392" s="802" t="s">
        <v>1876</v>
      </c>
      <c r="E392" s="797"/>
      <c r="F392" s="798"/>
      <c r="G392" s="803"/>
      <c r="H392" s="803" t="s">
        <v>166</v>
      </c>
      <c r="I392" s="804">
        <v>1.77</v>
      </c>
      <c r="J392" s="805">
        <f t="shared" si="10"/>
        <v>0</v>
      </c>
    </row>
    <row r="393" spans="1:10" s="1166" customFormat="1" ht="28.5">
      <c r="A393" s="799">
        <f>ROW()</f>
        <v>393</v>
      </c>
      <c r="B393" s="806">
        <f t="shared" si="11"/>
        <v>381</v>
      </c>
      <c r="C393" s="1174" t="s">
        <v>2513</v>
      </c>
      <c r="D393" s="802" t="s">
        <v>1877</v>
      </c>
      <c r="E393" s="797"/>
      <c r="F393" s="798"/>
      <c r="G393" s="803"/>
      <c r="H393" s="803" t="s">
        <v>166</v>
      </c>
      <c r="I393" s="804">
        <v>2.9</v>
      </c>
      <c r="J393" s="805">
        <f t="shared" si="10"/>
        <v>0</v>
      </c>
    </row>
    <row r="394" spans="1:10" s="1166" customFormat="1" ht="28.5">
      <c r="A394" s="799">
        <f>ROW()</f>
        <v>394</v>
      </c>
      <c r="B394" s="806">
        <f t="shared" si="11"/>
        <v>382</v>
      </c>
      <c r="C394" s="1174" t="s">
        <v>2513</v>
      </c>
      <c r="D394" s="802" t="s">
        <v>1878</v>
      </c>
      <c r="E394" s="797"/>
      <c r="F394" s="798"/>
      <c r="G394" s="803"/>
      <c r="H394" s="803" t="s">
        <v>166</v>
      </c>
      <c r="I394" s="804">
        <v>6.88</v>
      </c>
      <c r="J394" s="805">
        <f t="shared" si="10"/>
        <v>0</v>
      </c>
    </row>
    <row r="395" spans="1:10" s="1166" customFormat="1" ht="28.5">
      <c r="A395" s="799">
        <f>ROW()</f>
        <v>395</v>
      </c>
      <c r="B395" s="806">
        <f t="shared" si="11"/>
        <v>383</v>
      </c>
      <c r="C395" s="1174" t="s">
        <v>2513</v>
      </c>
      <c r="D395" s="802" t="s">
        <v>1879</v>
      </c>
      <c r="E395" s="797"/>
      <c r="F395" s="798"/>
      <c r="G395" s="803"/>
      <c r="H395" s="803" t="s">
        <v>166</v>
      </c>
      <c r="I395" s="804">
        <v>5.5</v>
      </c>
      <c r="J395" s="805">
        <f t="shared" si="10"/>
        <v>0</v>
      </c>
    </row>
    <row r="396" spans="1:10" s="1166" customFormat="1" ht="28.5">
      <c r="A396" s="799">
        <f>ROW()</f>
        <v>396</v>
      </c>
      <c r="B396" s="806">
        <f t="shared" si="11"/>
        <v>384</v>
      </c>
      <c r="C396" s="1174" t="s">
        <v>2513</v>
      </c>
      <c r="D396" s="802" t="s">
        <v>1880</v>
      </c>
      <c r="E396" s="797"/>
      <c r="F396" s="798"/>
      <c r="G396" s="803"/>
      <c r="H396" s="803" t="s">
        <v>166</v>
      </c>
      <c r="I396" s="804">
        <v>10.37</v>
      </c>
      <c r="J396" s="805">
        <f t="shared" si="10"/>
        <v>0</v>
      </c>
    </row>
    <row r="397" spans="1:10" s="1166" customFormat="1" ht="28.5">
      <c r="A397" s="799">
        <f>ROW()</f>
        <v>397</v>
      </c>
      <c r="B397" s="806">
        <f t="shared" si="11"/>
        <v>385</v>
      </c>
      <c r="C397" s="1174" t="s">
        <v>2513</v>
      </c>
      <c r="D397" s="802" t="s">
        <v>1881</v>
      </c>
      <c r="E397" s="797"/>
      <c r="F397" s="798"/>
      <c r="G397" s="803"/>
      <c r="H397" s="803" t="s">
        <v>166</v>
      </c>
      <c r="I397" s="804">
        <v>38.61</v>
      </c>
      <c r="J397" s="805">
        <f t="shared" ref="J397:J460" si="12">I397*G397</f>
        <v>0</v>
      </c>
    </row>
    <row r="398" spans="1:10" s="1166" customFormat="1" ht="28.5">
      <c r="A398" s="799">
        <f>ROW()</f>
        <v>398</v>
      </c>
      <c r="B398" s="806">
        <f t="shared" si="11"/>
        <v>386</v>
      </c>
      <c r="C398" s="1174" t="s">
        <v>2513</v>
      </c>
      <c r="D398" s="802" t="s">
        <v>1882</v>
      </c>
      <c r="E398" s="797"/>
      <c r="F398" s="798"/>
      <c r="G398" s="803"/>
      <c r="H398" s="803" t="s">
        <v>1883</v>
      </c>
      <c r="I398" s="804">
        <v>3.55</v>
      </c>
      <c r="J398" s="805">
        <f t="shared" si="12"/>
        <v>0</v>
      </c>
    </row>
    <row r="399" spans="1:10" s="1166" customFormat="1" ht="28.5">
      <c r="A399" s="799">
        <f>ROW()</f>
        <v>399</v>
      </c>
      <c r="B399" s="806">
        <f t="shared" si="11"/>
        <v>387</v>
      </c>
      <c r="C399" s="1174" t="s">
        <v>2513</v>
      </c>
      <c r="D399" s="802" t="s">
        <v>1884</v>
      </c>
      <c r="E399" s="797"/>
      <c r="F399" s="798"/>
      <c r="G399" s="803"/>
      <c r="H399" s="803" t="s">
        <v>166</v>
      </c>
      <c r="I399" s="804">
        <v>12.2</v>
      </c>
      <c r="J399" s="805">
        <f t="shared" si="12"/>
        <v>0</v>
      </c>
    </row>
    <row r="400" spans="1:10" s="1166" customFormat="1" ht="28.5">
      <c r="A400" s="799">
        <f>ROW()</f>
        <v>400</v>
      </c>
      <c r="B400" s="806">
        <f t="shared" ref="B400:B463" si="13">IF(C400="I","",IF(ISBLANK(D400),"",IF(ISTEXT(D400),LARGE(B396:B399,1)+1,0)))</f>
        <v>388</v>
      </c>
      <c r="C400" s="1174" t="s">
        <v>2513</v>
      </c>
      <c r="D400" s="802" t="s">
        <v>1885</v>
      </c>
      <c r="E400" s="797"/>
      <c r="F400" s="798"/>
      <c r="G400" s="803"/>
      <c r="H400" s="803" t="s">
        <v>166</v>
      </c>
      <c r="I400" s="804">
        <v>49.03</v>
      </c>
      <c r="J400" s="805">
        <f t="shared" si="12"/>
        <v>0</v>
      </c>
    </row>
    <row r="401" spans="1:10" s="1166" customFormat="1" ht="28.5">
      <c r="A401" s="799">
        <f>ROW()</f>
        <v>401</v>
      </c>
      <c r="B401" s="806">
        <f t="shared" si="13"/>
        <v>389</v>
      </c>
      <c r="C401" s="1174" t="s">
        <v>2513</v>
      </c>
      <c r="D401" s="802" t="s">
        <v>1886</v>
      </c>
      <c r="E401" s="797"/>
      <c r="F401" s="798"/>
      <c r="G401" s="803"/>
      <c r="H401" s="803" t="s">
        <v>166</v>
      </c>
      <c r="I401" s="804">
        <v>16.649999999999999</v>
      </c>
      <c r="J401" s="805">
        <f t="shared" si="12"/>
        <v>0</v>
      </c>
    </row>
    <row r="402" spans="1:10" s="1166" customFormat="1" ht="28.5">
      <c r="A402" s="799">
        <f>ROW()</f>
        <v>402</v>
      </c>
      <c r="B402" s="806">
        <f t="shared" si="13"/>
        <v>390</v>
      </c>
      <c r="C402" s="1174" t="s">
        <v>2513</v>
      </c>
      <c r="D402" s="802" t="s">
        <v>1887</v>
      </c>
      <c r="E402" s="797"/>
      <c r="F402" s="798"/>
      <c r="G402" s="803"/>
      <c r="H402" s="803" t="s">
        <v>166</v>
      </c>
      <c r="I402" s="804">
        <v>8.61</v>
      </c>
      <c r="J402" s="805">
        <f t="shared" si="12"/>
        <v>0</v>
      </c>
    </row>
    <row r="403" spans="1:10" s="1166" customFormat="1" ht="28.5">
      <c r="A403" s="799">
        <f>ROW()</f>
        <v>403</v>
      </c>
      <c r="B403" s="806">
        <f t="shared" si="13"/>
        <v>391</v>
      </c>
      <c r="C403" s="1174" t="s">
        <v>2513</v>
      </c>
      <c r="D403" s="802" t="s">
        <v>1888</v>
      </c>
      <c r="E403" s="797"/>
      <c r="F403" s="798"/>
      <c r="G403" s="803"/>
      <c r="H403" s="803" t="s">
        <v>166</v>
      </c>
      <c r="I403" s="804">
        <v>5.29</v>
      </c>
      <c r="J403" s="805">
        <f t="shared" si="12"/>
        <v>0</v>
      </c>
    </row>
    <row r="404" spans="1:10" s="1166" customFormat="1" ht="28.5">
      <c r="A404" s="799">
        <f>ROW()</f>
        <v>404</v>
      </c>
      <c r="B404" s="806">
        <f t="shared" si="13"/>
        <v>392</v>
      </c>
      <c r="C404" s="1174" t="s">
        <v>2513</v>
      </c>
      <c r="D404" s="802" t="s">
        <v>1889</v>
      </c>
      <c r="E404" s="797"/>
      <c r="F404" s="798"/>
      <c r="G404" s="803"/>
      <c r="H404" s="803" t="s">
        <v>166</v>
      </c>
      <c r="I404" s="804">
        <v>4.33</v>
      </c>
      <c r="J404" s="805">
        <f t="shared" si="12"/>
        <v>0</v>
      </c>
    </row>
    <row r="405" spans="1:10" s="1166" customFormat="1" ht="28.5">
      <c r="A405" s="799">
        <f>ROW()</f>
        <v>405</v>
      </c>
      <c r="B405" s="806">
        <f t="shared" si="13"/>
        <v>393</v>
      </c>
      <c r="C405" s="1174" t="s">
        <v>2513</v>
      </c>
      <c r="D405" s="802" t="s">
        <v>1890</v>
      </c>
      <c r="E405" s="797"/>
      <c r="F405" s="798"/>
      <c r="G405" s="803"/>
      <c r="H405" s="803" t="s">
        <v>166</v>
      </c>
      <c r="I405" s="804">
        <v>12.32</v>
      </c>
      <c r="J405" s="805">
        <f t="shared" si="12"/>
        <v>0</v>
      </c>
    </row>
    <row r="406" spans="1:10" s="1166" customFormat="1" ht="28.5">
      <c r="A406" s="799">
        <f>ROW()</f>
        <v>406</v>
      </c>
      <c r="B406" s="806">
        <f t="shared" si="13"/>
        <v>394</v>
      </c>
      <c r="C406" s="1174" t="s">
        <v>2513</v>
      </c>
      <c r="D406" s="802" t="s">
        <v>1891</v>
      </c>
      <c r="E406" s="797"/>
      <c r="F406" s="798"/>
      <c r="G406" s="803"/>
      <c r="H406" s="803" t="s">
        <v>166</v>
      </c>
      <c r="I406" s="804">
        <v>23.81</v>
      </c>
      <c r="J406" s="805">
        <f t="shared" si="12"/>
        <v>0</v>
      </c>
    </row>
    <row r="407" spans="1:10" s="1166" customFormat="1" ht="28.5">
      <c r="A407" s="799">
        <f>ROW()</f>
        <v>407</v>
      </c>
      <c r="B407" s="806">
        <f t="shared" si="13"/>
        <v>395</v>
      </c>
      <c r="C407" s="1174" t="s">
        <v>2513</v>
      </c>
      <c r="D407" s="802" t="s">
        <v>1892</v>
      </c>
      <c r="E407" s="797"/>
      <c r="F407" s="798"/>
      <c r="G407" s="803"/>
      <c r="H407" s="803" t="s">
        <v>166</v>
      </c>
      <c r="I407" s="804">
        <v>3.28</v>
      </c>
      <c r="J407" s="805">
        <f t="shared" si="12"/>
        <v>0</v>
      </c>
    </row>
    <row r="408" spans="1:10" s="1166" customFormat="1" ht="28.5">
      <c r="A408" s="799">
        <f>ROW()</f>
        <v>408</v>
      </c>
      <c r="B408" s="806">
        <f t="shared" si="13"/>
        <v>396</v>
      </c>
      <c r="C408" s="1174" t="s">
        <v>2513</v>
      </c>
      <c r="D408" s="802" t="s">
        <v>1893</v>
      </c>
      <c r="E408" s="797"/>
      <c r="F408" s="798"/>
      <c r="G408" s="803"/>
      <c r="H408" s="803" t="s">
        <v>166</v>
      </c>
      <c r="I408" s="804">
        <v>7.73</v>
      </c>
      <c r="J408" s="805">
        <f t="shared" si="12"/>
        <v>0</v>
      </c>
    </row>
    <row r="409" spans="1:10" s="1166" customFormat="1" ht="28.5">
      <c r="A409" s="799">
        <f>ROW()</f>
        <v>409</v>
      </c>
      <c r="B409" s="806">
        <f t="shared" si="13"/>
        <v>397</v>
      </c>
      <c r="C409" s="1174" t="s">
        <v>2513</v>
      </c>
      <c r="D409" s="802" t="s">
        <v>1894</v>
      </c>
      <c r="E409" s="797"/>
      <c r="F409" s="798"/>
      <c r="G409" s="803"/>
      <c r="H409" s="803" t="s">
        <v>166</v>
      </c>
      <c r="I409" s="804">
        <v>14.48</v>
      </c>
      <c r="J409" s="805">
        <f t="shared" si="12"/>
        <v>0</v>
      </c>
    </row>
    <row r="410" spans="1:10" s="1166" customFormat="1" ht="28.5">
      <c r="A410" s="799">
        <f>ROW()</f>
        <v>410</v>
      </c>
      <c r="B410" s="806">
        <f t="shared" si="13"/>
        <v>398</v>
      </c>
      <c r="C410" s="1174" t="s">
        <v>2513</v>
      </c>
      <c r="D410" s="802" t="s">
        <v>1895</v>
      </c>
      <c r="E410" s="797"/>
      <c r="F410" s="798"/>
      <c r="G410" s="803"/>
      <c r="H410" s="803" t="s">
        <v>166</v>
      </c>
      <c r="I410" s="804">
        <v>3.95</v>
      </c>
      <c r="J410" s="805">
        <f t="shared" si="12"/>
        <v>0</v>
      </c>
    </row>
    <row r="411" spans="1:10" s="1166" customFormat="1" ht="28.5">
      <c r="A411" s="799">
        <f>ROW()</f>
        <v>411</v>
      </c>
      <c r="B411" s="806">
        <f t="shared" si="13"/>
        <v>399</v>
      </c>
      <c r="C411" s="1174" t="s">
        <v>2513</v>
      </c>
      <c r="D411" s="802" t="s">
        <v>1896</v>
      </c>
      <c r="E411" s="797"/>
      <c r="F411" s="798"/>
      <c r="G411" s="803"/>
      <c r="H411" s="803" t="s">
        <v>166</v>
      </c>
      <c r="I411" s="804">
        <v>9.1</v>
      </c>
      <c r="J411" s="805">
        <f t="shared" si="12"/>
        <v>0</v>
      </c>
    </row>
    <row r="412" spans="1:10" s="1166" customFormat="1" ht="28.5">
      <c r="A412" s="799">
        <f>ROW()</f>
        <v>412</v>
      </c>
      <c r="B412" s="806">
        <f t="shared" si="13"/>
        <v>400</v>
      </c>
      <c r="C412" s="1174" t="s">
        <v>2513</v>
      </c>
      <c r="D412" s="802" t="s">
        <v>1897</v>
      </c>
      <c r="E412" s="797"/>
      <c r="F412" s="798"/>
      <c r="G412" s="803"/>
      <c r="H412" s="803" t="s">
        <v>166</v>
      </c>
      <c r="I412" s="804">
        <v>2.99</v>
      </c>
      <c r="J412" s="805">
        <f t="shared" si="12"/>
        <v>0</v>
      </c>
    </row>
    <row r="413" spans="1:10" s="1166" customFormat="1" ht="28.5">
      <c r="A413" s="799">
        <f>ROW()</f>
        <v>413</v>
      </c>
      <c r="B413" s="806">
        <f t="shared" si="13"/>
        <v>401</v>
      </c>
      <c r="C413" s="1174" t="s">
        <v>2513</v>
      </c>
      <c r="D413" s="802" t="s">
        <v>1898</v>
      </c>
      <c r="E413" s="797"/>
      <c r="F413" s="798"/>
      <c r="G413" s="803"/>
      <c r="H413" s="803" t="s">
        <v>166</v>
      </c>
      <c r="I413" s="804">
        <v>3.35</v>
      </c>
      <c r="J413" s="805">
        <f t="shared" si="12"/>
        <v>0</v>
      </c>
    </row>
    <row r="414" spans="1:10" s="1166" customFormat="1" ht="28.5">
      <c r="A414" s="799">
        <f>ROW()</f>
        <v>414</v>
      </c>
      <c r="B414" s="806">
        <f t="shared" si="13"/>
        <v>402</v>
      </c>
      <c r="C414" s="1174" t="s">
        <v>2513</v>
      </c>
      <c r="D414" s="802" t="s">
        <v>1899</v>
      </c>
      <c r="E414" s="797"/>
      <c r="F414" s="798"/>
      <c r="G414" s="803"/>
      <c r="H414" s="803" t="s">
        <v>166</v>
      </c>
      <c r="I414" s="804">
        <v>3.75</v>
      </c>
      <c r="J414" s="805">
        <f t="shared" si="12"/>
        <v>0</v>
      </c>
    </row>
    <row r="415" spans="1:10" s="1166" customFormat="1" ht="28.5">
      <c r="A415" s="799">
        <f>ROW()</f>
        <v>415</v>
      </c>
      <c r="B415" s="806">
        <f t="shared" si="13"/>
        <v>403</v>
      </c>
      <c r="C415" s="1174" t="s">
        <v>2513</v>
      </c>
      <c r="D415" s="802" t="s">
        <v>1900</v>
      </c>
      <c r="E415" s="797"/>
      <c r="F415" s="798"/>
      <c r="G415" s="803"/>
      <c r="H415" s="803" t="s">
        <v>166</v>
      </c>
      <c r="I415" s="804">
        <v>12.71</v>
      </c>
      <c r="J415" s="805">
        <f t="shared" si="12"/>
        <v>0</v>
      </c>
    </row>
    <row r="416" spans="1:10" s="1166" customFormat="1" ht="28.5">
      <c r="A416" s="799">
        <f>ROW()</f>
        <v>416</v>
      </c>
      <c r="B416" s="806">
        <f t="shared" si="13"/>
        <v>404</v>
      </c>
      <c r="C416" s="1174" t="s">
        <v>2513</v>
      </c>
      <c r="D416" s="802" t="s">
        <v>1901</v>
      </c>
      <c r="E416" s="797"/>
      <c r="F416" s="798"/>
      <c r="G416" s="803"/>
      <c r="H416" s="803" t="s">
        <v>166</v>
      </c>
      <c r="I416" s="804">
        <v>15.84</v>
      </c>
      <c r="J416" s="805">
        <f t="shared" si="12"/>
        <v>0</v>
      </c>
    </row>
    <row r="417" spans="1:10" s="1166" customFormat="1" ht="28.5">
      <c r="A417" s="799">
        <f>ROW()</f>
        <v>417</v>
      </c>
      <c r="B417" s="806">
        <f t="shared" si="13"/>
        <v>405</v>
      </c>
      <c r="C417" s="1174" t="s">
        <v>2513</v>
      </c>
      <c r="D417" s="802" t="s">
        <v>1902</v>
      </c>
      <c r="E417" s="797"/>
      <c r="F417" s="798"/>
      <c r="G417" s="803"/>
      <c r="H417" s="803" t="s">
        <v>166</v>
      </c>
      <c r="I417" s="804">
        <v>8.1999999999999993</v>
      </c>
      <c r="J417" s="805">
        <f t="shared" si="12"/>
        <v>0</v>
      </c>
    </row>
    <row r="418" spans="1:10" s="1166" customFormat="1" ht="28.5">
      <c r="A418" s="799">
        <f>ROW()</f>
        <v>418</v>
      </c>
      <c r="B418" s="806">
        <f t="shared" si="13"/>
        <v>406</v>
      </c>
      <c r="C418" s="1174" t="s">
        <v>2513</v>
      </c>
      <c r="D418" s="802" t="s">
        <v>1903</v>
      </c>
      <c r="E418" s="797"/>
      <c r="F418" s="798"/>
      <c r="G418" s="803"/>
      <c r="H418" s="803" t="s">
        <v>166</v>
      </c>
      <c r="I418" s="804">
        <v>8.61</v>
      </c>
      <c r="J418" s="805">
        <f t="shared" si="12"/>
        <v>0</v>
      </c>
    </row>
    <row r="419" spans="1:10" s="1166" customFormat="1" ht="28.5">
      <c r="A419" s="799">
        <f>ROW()</f>
        <v>419</v>
      </c>
      <c r="B419" s="806">
        <f t="shared" si="13"/>
        <v>407</v>
      </c>
      <c r="C419" s="1174" t="s">
        <v>2513</v>
      </c>
      <c r="D419" s="802" t="s">
        <v>1904</v>
      </c>
      <c r="E419" s="797"/>
      <c r="F419" s="798"/>
      <c r="G419" s="803"/>
      <c r="H419" s="803" t="s">
        <v>166</v>
      </c>
      <c r="I419" s="804">
        <v>4.91</v>
      </c>
      <c r="J419" s="805">
        <f t="shared" si="12"/>
        <v>0</v>
      </c>
    </row>
    <row r="420" spans="1:10" s="1166" customFormat="1" ht="28.5">
      <c r="A420" s="799">
        <f>ROW()</f>
        <v>420</v>
      </c>
      <c r="B420" s="806">
        <f t="shared" si="13"/>
        <v>408</v>
      </c>
      <c r="C420" s="1174" t="s">
        <v>2513</v>
      </c>
      <c r="D420" s="802" t="s">
        <v>1905</v>
      </c>
      <c r="E420" s="797"/>
      <c r="F420" s="798"/>
      <c r="G420" s="803"/>
      <c r="H420" s="803" t="s">
        <v>166</v>
      </c>
      <c r="I420" s="804">
        <v>15.69</v>
      </c>
      <c r="J420" s="805">
        <f t="shared" si="12"/>
        <v>0</v>
      </c>
    </row>
    <row r="421" spans="1:10" s="1166" customFormat="1" ht="28.5">
      <c r="A421" s="799">
        <f>ROW()</f>
        <v>421</v>
      </c>
      <c r="B421" s="806">
        <f t="shared" si="13"/>
        <v>409</v>
      </c>
      <c r="C421" s="1174" t="s">
        <v>2513</v>
      </c>
      <c r="D421" s="802" t="s">
        <v>1906</v>
      </c>
      <c r="E421" s="797"/>
      <c r="F421" s="798"/>
      <c r="G421" s="803"/>
      <c r="H421" s="803" t="s">
        <v>166</v>
      </c>
      <c r="I421" s="804">
        <v>6.92</v>
      </c>
      <c r="J421" s="805">
        <f t="shared" si="12"/>
        <v>0</v>
      </c>
    </row>
    <row r="422" spans="1:10" s="1166" customFormat="1" ht="28.5">
      <c r="A422" s="799">
        <f>ROW()</f>
        <v>422</v>
      </c>
      <c r="B422" s="806">
        <f t="shared" si="13"/>
        <v>410</v>
      </c>
      <c r="C422" s="1174" t="s">
        <v>2513</v>
      </c>
      <c r="D422" s="802" t="s">
        <v>1907</v>
      </c>
      <c r="E422" s="797"/>
      <c r="F422" s="798"/>
      <c r="G422" s="803"/>
      <c r="H422" s="803" t="s">
        <v>166</v>
      </c>
      <c r="I422" s="804">
        <v>17.14</v>
      </c>
      <c r="J422" s="805">
        <f t="shared" si="12"/>
        <v>0</v>
      </c>
    </row>
    <row r="423" spans="1:10" s="1166" customFormat="1" ht="28.5">
      <c r="A423" s="799">
        <f>ROW()</f>
        <v>423</v>
      </c>
      <c r="B423" s="806">
        <f t="shared" si="13"/>
        <v>411</v>
      </c>
      <c r="C423" s="1174" t="s">
        <v>2513</v>
      </c>
      <c r="D423" s="802" t="s">
        <v>1908</v>
      </c>
      <c r="E423" s="797"/>
      <c r="F423" s="798"/>
      <c r="G423" s="803"/>
      <c r="H423" s="803" t="s">
        <v>166</v>
      </c>
      <c r="I423" s="804">
        <v>9.57</v>
      </c>
      <c r="J423" s="805">
        <f t="shared" si="12"/>
        <v>0</v>
      </c>
    </row>
    <row r="424" spans="1:10" s="1166" customFormat="1" ht="28.5">
      <c r="A424" s="799">
        <f>ROW()</f>
        <v>424</v>
      </c>
      <c r="B424" s="806">
        <f t="shared" si="13"/>
        <v>412</v>
      </c>
      <c r="C424" s="1174" t="s">
        <v>2513</v>
      </c>
      <c r="D424" s="802" t="s">
        <v>1909</v>
      </c>
      <c r="E424" s="797"/>
      <c r="F424" s="798"/>
      <c r="G424" s="803"/>
      <c r="H424" s="803" t="s">
        <v>166</v>
      </c>
      <c r="I424" s="804">
        <v>2.9</v>
      </c>
      <c r="J424" s="805">
        <f t="shared" si="12"/>
        <v>0</v>
      </c>
    </row>
    <row r="425" spans="1:10" s="1166" customFormat="1" ht="28.5">
      <c r="A425" s="799">
        <f>ROW()</f>
        <v>425</v>
      </c>
      <c r="B425" s="806">
        <f t="shared" si="13"/>
        <v>413</v>
      </c>
      <c r="C425" s="1174" t="s">
        <v>2513</v>
      </c>
      <c r="D425" s="802" t="s">
        <v>1910</v>
      </c>
      <c r="E425" s="797"/>
      <c r="F425" s="798"/>
      <c r="G425" s="803"/>
      <c r="H425" s="803" t="s">
        <v>166</v>
      </c>
      <c r="I425" s="804">
        <v>9.25</v>
      </c>
      <c r="J425" s="805">
        <f t="shared" si="12"/>
        <v>0</v>
      </c>
    </row>
    <row r="426" spans="1:10" s="1166" customFormat="1" ht="28.5">
      <c r="A426" s="799">
        <f>ROW()</f>
        <v>426</v>
      </c>
      <c r="B426" s="806">
        <f t="shared" si="13"/>
        <v>414</v>
      </c>
      <c r="C426" s="1174" t="s">
        <v>2513</v>
      </c>
      <c r="D426" s="802" t="s">
        <v>1911</v>
      </c>
      <c r="E426" s="797"/>
      <c r="F426" s="798"/>
      <c r="G426" s="803"/>
      <c r="H426" s="803" t="s">
        <v>166</v>
      </c>
      <c r="I426" s="804">
        <v>28.2</v>
      </c>
      <c r="J426" s="805">
        <f t="shared" si="12"/>
        <v>0</v>
      </c>
    </row>
    <row r="427" spans="1:10" s="1166" customFormat="1" ht="28.5">
      <c r="A427" s="799">
        <f>ROW()</f>
        <v>427</v>
      </c>
      <c r="B427" s="806">
        <f t="shared" si="13"/>
        <v>415</v>
      </c>
      <c r="C427" s="1174" t="s">
        <v>2513</v>
      </c>
      <c r="D427" s="802" t="s">
        <v>1912</v>
      </c>
      <c r="E427" s="797"/>
      <c r="F427" s="798"/>
      <c r="G427" s="803"/>
      <c r="H427" s="803" t="s">
        <v>166</v>
      </c>
      <c r="I427" s="804">
        <v>6.39</v>
      </c>
      <c r="J427" s="805">
        <f t="shared" si="12"/>
        <v>0</v>
      </c>
    </row>
    <row r="428" spans="1:10" s="1166" customFormat="1" ht="28.5">
      <c r="A428" s="799">
        <f>ROW()</f>
        <v>428</v>
      </c>
      <c r="B428" s="806">
        <f t="shared" si="13"/>
        <v>416</v>
      </c>
      <c r="C428" s="1174" t="s">
        <v>2513</v>
      </c>
      <c r="D428" s="802" t="s">
        <v>1913</v>
      </c>
      <c r="E428" s="797"/>
      <c r="F428" s="798"/>
      <c r="G428" s="803"/>
      <c r="H428" s="803" t="s">
        <v>166</v>
      </c>
      <c r="I428" s="804">
        <v>3.45</v>
      </c>
      <c r="J428" s="805">
        <f t="shared" si="12"/>
        <v>0</v>
      </c>
    </row>
    <row r="429" spans="1:10" s="1166" customFormat="1" ht="28.5">
      <c r="A429" s="799">
        <f>ROW()</f>
        <v>429</v>
      </c>
      <c r="B429" s="806">
        <f t="shared" si="13"/>
        <v>417</v>
      </c>
      <c r="C429" s="1174" t="s">
        <v>2513</v>
      </c>
      <c r="D429" s="802" t="s">
        <v>1914</v>
      </c>
      <c r="E429" s="797"/>
      <c r="F429" s="798"/>
      <c r="G429" s="803"/>
      <c r="H429" s="803" t="s">
        <v>166</v>
      </c>
      <c r="I429" s="804">
        <v>11.02</v>
      </c>
      <c r="J429" s="805">
        <f t="shared" si="12"/>
        <v>0</v>
      </c>
    </row>
    <row r="430" spans="1:10" s="1166" customFormat="1" ht="28.5">
      <c r="A430" s="799">
        <f>ROW()</f>
        <v>430</v>
      </c>
      <c r="B430" s="806">
        <f t="shared" si="13"/>
        <v>418</v>
      </c>
      <c r="C430" s="1174" t="s">
        <v>2513</v>
      </c>
      <c r="D430" s="802" t="s">
        <v>1915</v>
      </c>
      <c r="E430" s="797"/>
      <c r="F430" s="798"/>
      <c r="G430" s="803"/>
      <c r="H430" s="803" t="s">
        <v>166</v>
      </c>
      <c r="I430" s="804">
        <v>17.36</v>
      </c>
      <c r="J430" s="805">
        <f t="shared" si="12"/>
        <v>0</v>
      </c>
    </row>
    <row r="431" spans="1:10" s="1166" customFormat="1" ht="28.5">
      <c r="A431" s="799">
        <f>ROW()</f>
        <v>431</v>
      </c>
      <c r="B431" s="806">
        <f t="shared" si="13"/>
        <v>419</v>
      </c>
      <c r="C431" s="1174" t="s">
        <v>2513</v>
      </c>
      <c r="D431" s="802" t="s">
        <v>1916</v>
      </c>
      <c r="E431" s="797"/>
      <c r="F431" s="798"/>
      <c r="G431" s="803"/>
      <c r="H431" s="803" t="s">
        <v>166</v>
      </c>
      <c r="I431" s="804">
        <v>4.95</v>
      </c>
      <c r="J431" s="805">
        <f t="shared" si="12"/>
        <v>0</v>
      </c>
    </row>
    <row r="432" spans="1:10" s="1166" customFormat="1" ht="28.5">
      <c r="A432" s="799">
        <f>ROW()</f>
        <v>432</v>
      </c>
      <c r="B432" s="806">
        <f t="shared" si="13"/>
        <v>420</v>
      </c>
      <c r="C432" s="1174" t="s">
        <v>2513</v>
      </c>
      <c r="D432" s="802" t="s">
        <v>1917</v>
      </c>
      <c r="E432" s="797"/>
      <c r="F432" s="798"/>
      <c r="G432" s="803"/>
      <c r="H432" s="803" t="s">
        <v>166</v>
      </c>
      <c r="I432" s="804">
        <v>13.42</v>
      </c>
      <c r="J432" s="805">
        <f t="shared" si="12"/>
        <v>0</v>
      </c>
    </row>
    <row r="433" spans="1:10" s="1166" customFormat="1" ht="28.5">
      <c r="A433" s="799">
        <f>ROW()</f>
        <v>433</v>
      </c>
      <c r="B433" s="806">
        <f t="shared" si="13"/>
        <v>421</v>
      </c>
      <c r="C433" s="1174" t="s">
        <v>2513</v>
      </c>
      <c r="D433" s="802" t="s">
        <v>1918</v>
      </c>
      <c r="E433" s="797"/>
      <c r="F433" s="798"/>
      <c r="G433" s="803"/>
      <c r="H433" s="803" t="s">
        <v>166</v>
      </c>
      <c r="I433" s="804">
        <v>11.34</v>
      </c>
      <c r="J433" s="805">
        <f t="shared" si="12"/>
        <v>0</v>
      </c>
    </row>
    <row r="434" spans="1:10" s="1166" customFormat="1" ht="28.5">
      <c r="A434" s="799">
        <f>ROW()</f>
        <v>434</v>
      </c>
      <c r="B434" s="806">
        <f t="shared" si="13"/>
        <v>422</v>
      </c>
      <c r="C434" s="1174" t="s">
        <v>2513</v>
      </c>
      <c r="D434" s="802" t="s">
        <v>1919</v>
      </c>
      <c r="E434" s="797"/>
      <c r="F434" s="798"/>
      <c r="G434" s="803"/>
      <c r="H434" s="803" t="s">
        <v>1528</v>
      </c>
      <c r="I434" s="804">
        <v>4.7699999999999996</v>
      </c>
      <c r="J434" s="805">
        <f t="shared" si="12"/>
        <v>0</v>
      </c>
    </row>
    <row r="435" spans="1:10" s="1166" customFormat="1" ht="28.5">
      <c r="A435" s="799">
        <f>ROW()</f>
        <v>435</v>
      </c>
      <c r="B435" s="806">
        <f t="shared" si="13"/>
        <v>423</v>
      </c>
      <c r="C435" s="1174" t="s">
        <v>2513</v>
      </c>
      <c r="D435" s="802" t="s">
        <v>1920</v>
      </c>
      <c r="E435" s="797"/>
      <c r="F435" s="798"/>
      <c r="G435" s="803"/>
      <c r="H435" s="803" t="s">
        <v>166</v>
      </c>
      <c r="I435" s="804">
        <v>6.84</v>
      </c>
      <c r="J435" s="805">
        <f t="shared" si="12"/>
        <v>0</v>
      </c>
    </row>
    <row r="436" spans="1:10" s="1166" customFormat="1" ht="28.5">
      <c r="A436" s="799">
        <f>ROW()</f>
        <v>436</v>
      </c>
      <c r="B436" s="806">
        <f t="shared" si="13"/>
        <v>424</v>
      </c>
      <c r="C436" s="1174" t="s">
        <v>2513</v>
      </c>
      <c r="D436" s="802" t="s">
        <v>1921</v>
      </c>
      <c r="E436" s="797"/>
      <c r="F436" s="798"/>
      <c r="G436" s="803"/>
      <c r="H436" s="803" t="s">
        <v>166</v>
      </c>
      <c r="I436" s="804">
        <v>5.87</v>
      </c>
      <c r="J436" s="805">
        <f t="shared" si="12"/>
        <v>0</v>
      </c>
    </row>
    <row r="437" spans="1:10" s="1166" customFormat="1" ht="28.5">
      <c r="A437" s="799">
        <f>ROW()</f>
        <v>437</v>
      </c>
      <c r="B437" s="806">
        <f t="shared" si="13"/>
        <v>425</v>
      </c>
      <c r="C437" s="1174" t="s">
        <v>2513</v>
      </c>
      <c r="D437" s="802" t="s">
        <v>1922</v>
      </c>
      <c r="E437" s="797"/>
      <c r="F437" s="798"/>
      <c r="G437" s="803"/>
      <c r="H437" s="803" t="s">
        <v>166</v>
      </c>
      <c r="I437" s="804">
        <v>19.22</v>
      </c>
      <c r="J437" s="805">
        <f t="shared" si="12"/>
        <v>0</v>
      </c>
    </row>
    <row r="438" spans="1:10" s="1166" customFormat="1" ht="28.5">
      <c r="A438" s="799">
        <f>ROW()</f>
        <v>438</v>
      </c>
      <c r="B438" s="806">
        <f t="shared" si="13"/>
        <v>426</v>
      </c>
      <c r="C438" s="1174" t="s">
        <v>2513</v>
      </c>
      <c r="D438" s="802" t="s">
        <v>1923</v>
      </c>
      <c r="E438" s="797"/>
      <c r="F438" s="798"/>
      <c r="G438" s="803"/>
      <c r="H438" s="803" t="s">
        <v>166</v>
      </c>
      <c r="I438" s="804">
        <v>6.86</v>
      </c>
      <c r="J438" s="805">
        <f t="shared" si="12"/>
        <v>0</v>
      </c>
    </row>
    <row r="439" spans="1:10" s="1166" customFormat="1" ht="28.5">
      <c r="A439" s="799">
        <f>ROW()</f>
        <v>439</v>
      </c>
      <c r="B439" s="806">
        <f t="shared" si="13"/>
        <v>427</v>
      </c>
      <c r="C439" s="1174" t="s">
        <v>2513</v>
      </c>
      <c r="D439" s="802" t="s">
        <v>1924</v>
      </c>
      <c r="E439" s="797"/>
      <c r="F439" s="798"/>
      <c r="G439" s="803"/>
      <c r="H439" s="803" t="s">
        <v>166</v>
      </c>
      <c r="I439" s="804">
        <v>4.83</v>
      </c>
      <c r="J439" s="805">
        <f t="shared" si="12"/>
        <v>0</v>
      </c>
    </row>
    <row r="440" spans="1:10" s="1166" customFormat="1" ht="28.5">
      <c r="A440" s="799">
        <f>ROW()</f>
        <v>440</v>
      </c>
      <c r="B440" s="806">
        <f t="shared" si="13"/>
        <v>428</v>
      </c>
      <c r="C440" s="1174" t="s">
        <v>2513</v>
      </c>
      <c r="D440" s="802" t="s">
        <v>1925</v>
      </c>
      <c r="E440" s="797"/>
      <c r="F440" s="798"/>
      <c r="G440" s="803"/>
      <c r="H440" s="803" t="s">
        <v>166</v>
      </c>
      <c r="I440" s="804">
        <v>4.66</v>
      </c>
      <c r="J440" s="805">
        <f t="shared" si="12"/>
        <v>0</v>
      </c>
    </row>
    <row r="441" spans="1:10" s="1166" customFormat="1" ht="28.5">
      <c r="A441" s="799">
        <f>ROW()</f>
        <v>441</v>
      </c>
      <c r="B441" s="806">
        <f t="shared" si="13"/>
        <v>429</v>
      </c>
      <c r="C441" s="1175" t="s">
        <v>2514</v>
      </c>
      <c r="D441" s="802" t="s">
        <v>1926</v>
      </c>
      <c r="E441" s="797"/>
      <c r="F441" s="798"/>
      <c r="G441" s="803"/>
      <c r="H441" s="803" t="s">
        <v>212</v>
      </c>
      <c r="I441" s="804">
        <v>15.32</v>
      </c>
      <c r="J441" s="805">
        <f t="shared" si="12"/>
        <v>0</v>
      </c>
    </row>
    <row r="442" spans="1:10" s="1166" customFormat="1" ht="28.5">
      <c r="A442" s="799">
        <f>ROW()</f>
        <v>442</v>
      </c>
      <c r="B442" s="806">
        <f t="shared" si="13"/>
        <v>430</v>
      </c>
      <c r="C442" s="1175" t="s">
        <v>2514</v>
      </c>
      <c r="D442" s="802" t="s">
        <v>1927</v>
      </c>
      <c r="E442" s="797"/>
      <c r="F442" s="798"/>
      <c r="G442" s="803"/>
      <c r="H442" s="803" t="s">
        <v>212</v>
      </c>
      <c r="I442" s="804">
        <v>5.87</v>
      </c>
      <c r="J442" s="805">
        <f t="shared" si="12"/>
        <v>0</v>
      </c>
    </row>
    <row r="443" spans="1:10" s="1166" customFormat="1" ht="35.1" customHeight="1">
      <c r="A443" s="799">
        <f>ROW()</f>
        <v>443</v>
      </c>
      <c r="B443" s="806">
        <f t="shared" si="13"/>
        <v>431</v>
      </c>
      <c r="C443" s="1175" t="s">
        <v>2514</v>
      </c>
      <c r="D443" s="802" t="s">
        <v>1928</v>
      </c>
      <c r="E443" s="797"/>
      <c r="F443" s="798"/>
      <c r="G443" s="803"/>
      <c r="H443" s="803" t="s">
        <v>212</v>
      </c>
      <c r="I443" s="804">
        <v>4.2699999999999996</v>
      </c>
      <c r="J443" s="805">
        <f t="shared" si="12"/>
        <v>0</v>
      </c>
    </row>
    <row r="444" spans="1:10" s="1166" customFormat="1" ht="28.5">
      <c r="A444" s="799">
        <f>ROW()</f>
        <v>444</v>
      </c>
      <c r="B444" s="806">
        <f t="shared" si="13"/>
        <v>432</v>
      </c>
      <c r="C444" s="1175" t="s">
        <v>2514</v>
      </c>
      <c r="D444" s="802" t="s">
        <v>1929</v>
      </c>
      <c r="E444" s="797"/>
      <c r="F444" s="798"/>
      <c r="G444" s="803"/>
      <c r="H444" s="803" t="s">
        <v>212</v>
      </c>
      <c r="I444" s="804">
        <v>14.71</v>
      </c>
      <c r="J444" s="805">
        <f t="shared" si="12"/>
        <v>0</v>
      </c>
    </row>
    <row r="445" spans="1:10" s="1166" customFormat="1" ht="28.5">
      <c r="A445" s="799">
        <f>ROW()</f>
        <v>445</v>
      </c>
      <c r="B445" s="806">
        <f t="shared" si="13"/>
        <v>433</v>
      </c>
      <c r="C445" s="1175" t="s">
        <v>2514</v>
      </c>
      <c r="D445" s="802" t="s">
        <v>1930</v>
      </c>
      <c r="E445" s="797"/>
      <c r="F445" s="798"/>
      <c r="G445" s="803"/>
      <c r="H445" s="803" t="s">
        <v>212</v>
      </c>
      <c r="I445" s="804">
        <v>13.4</v>
      </c>
      <c r="J445" s="805">
        <f t="shared" si="12"/>
        <v>0</v>
      </c>
    </row>
    <row r="446" spans="1:10" s="1166" customFormat="1" ht="28.5">
      <c r="A446" s="799">
        <f>ROW()</f>
        <v>446</v>
      </c>
      <c r="B446" s="806">
        <f t="shared" si="13"/>
        <v>434</v>
      </c>
      <c r="C446" s="1175" t="s">
        <v>2514</v>
      </c>
      <c r="D446" s="802" t="s">
        <v>1931</v>
      </c>
      <c r="E446" s="797"/>
      <c r="F446" s="798"/>
      <c r="G446" s="803"/>
      <c r="H446" s="803" t="s">
        <v>212</v>
      </c>
      <c r="I446" s="804">
        <v>2.39</v>
      </c>
      <c r="J446" s="805">
        <f t="shared" si="12"/>
        <v>0</v>
      </c>
    </row>
    <row r="447" spans="1:10" s="1166" customFormat="1" ht="28.5">
      <c r="A447" s="799">
        <f>ROW()</f>
        <v>447</v>
      </c>
      <c r="B447" s="806">
        <f t="shared" si="13"/>
        <v>435</v>
      </c>
      <c r="C447" s="1175" t="s">
        <v>2514</v>
      </c>
      <c r="D447" s="802" t="s">
        <v>1932</v>
      </c>
      <c r="E447" s="797"/>
      <c r="F447" s="798"/>
      <c r="G447" s="803"/>
      <c r="H447" s="803" t="s">
        <v>212</v>
      </c>
      <c r="I447" s="804">
        <v>9.15</v>
      </c>
      <c r="J447" s="805">
        <f t="shared" si="12"/>
        <v>0</v>
      </c>
    </row>
    <row r="448" spans="1:10" s="1166" customFormat="1" ht="28.5">
      <c r="A448" s="799">
        <f>ROW()</f>
        <v>448</v>
      </c>
      <c r="B448" s="806">
        <f t="shared" si="13"/>
        <v>436</v>
      </c>
      <c r="C448" s="1175" t="s">
        <v>2514</v>
      </c>
      <c r="D448" s="802" t="s">
        <v>1933</v>
      </c>
      <c r="E448" s="797"/>
      <c r="F448" s="798"/>
      <c r="G448" s="803"/>
      <c r="H448" s="803" t="s">
        <v>212</v>
      </c>
      <c r="I448" s="804">
        <v>3.51</v>
      </c>
      <c r="J448" s="805">
        <f t="shared" si="12"/>
        <v>0</v>
      </c>
    </row>
    <row r="449" spans="1:10" s="1166" customFormat="1" ht="28.5">
      <c r="A449" s="799">
        <f>ROW()</f>
        <v>449</v>
      </c>
      <c r="B449" s="806">
        <f t="shared" si="13"/>
        <v>437</v>
      </c>
      <c r="C449" s="1175" t="s">
        <v>2514</v>
      </c>
      <c r="D449" s="802" t="s">
        <v>1934</v>
      </c>
      <c r="E449" s="797"/>
      <c r="F449" s="798"/>
      <c r="G449" s="803"/>
      <c r="H449" s="803" t="s">
        <v>212</v>
      </c>
      <c r="I449" s="804">
        <v>2.5</v>
      </c>
      <c r="J449" s="805">
        <f t="shared" si="12"/>
        <v>0</v>
      </c>
    </row>
    <row r="450" spans="1:10" s="1166" customFormat="1" ht="28.5">
      <c r="A450" s="799">
        <f>ROW()</f>
        <v>450</v>
      </c>
      <c r="B450" s="806">
        <f t="shared" si="13"/>
        <v>438</v>
      </c>
      <c r="C450" s="1175" t="s">
        <v>2514</v>
      </c>
      <c r="D450" s="802" t="s">
        <v>1935</v>
      </c>
      <c r="E450" s="797"/>
      <c r="F450" s="798"/>
      <c r="G450" s="803"/>
      <c r="H450" s="803" t="s">
        <v>212</v>
      </c>
      <c r="I450" s="804">
        <v>8.14</v>
      </c>
      <c r="J450" s="805">
        <f t="shared" si="12"/>
        <v>0</v>
      </c>
    </row>
    <row r="451" spans="1:10" s="1166" customFormat="1" ht="28.5">
      <c r="A451" s="799">
        <f>ROW()</f>
        <v>451</v>
      </c>
      <c r="B451" s="806">
        <f t="shared" si="13"/>
        <v>439</v>
      </c>
      <c r="C451" s="1175" t="s">
        <v>2514</v>
      </c>
      <c r="D451" s="802" t="s">
        <v>1936</v>
      </c>
      <c r="E451" s="797"/>
      <c r="F451" s="798"/>
      <c r="G451" s="803"/>
      <c r="H451" s="803" t="s">
        <v>212</v>
      </c>
      <c r="I451" s="804">
        <v>2.77</v>
      </c>
      <c r="J451" s="805">
        <f t="shared" si="12"/>
        <v>0</v>
      </c>
    </row>
    <row r="452" spans="1:10" s="1166" customFormat="1" ht="28.5">
      <c r="A452" s="799">
        <f>ROW()</f>
        <v>452</v>
      </c>
      <c r="B452" s="806">
        <f t="shared" si="13"/>
        <v>440</v>
      </c>
      <c r="C452" s="1175" t="s">
        <v>2514</v>
      </c>
      <c r="D452" s="802" t="s">
        <v>1937</v>
      </c>
      <c r="E452" s="797"/>
      <c r="F452" s="798"/>
      <c r="G452" s="803"/>
      <c r="H452" s="803" t="s">
        <v>212</v>
      </c>
      <c r="I452" s="804">
        <v>13.14</v>
      </c>
      <c r="J452" s="805">
        <f t="shared" si="12"/>
        <v>0</v>
      </c>
    </row>
    <row r="453" spans="1:10" s="1166" customFormat="1" ht="28.5">
      <c r="A453" s="799">
        <f>ROW()</f>
        <v>453</v>
      </c>
      <c r="B453" s="806">
        <f t="shared" si="13"/>
        <v>441</v>
      </c>
      <c r="C453" s="1175" t="s">
        <v>2514</v>
      </c>
      <c r="D453" s="802" t="s">
        <v>1938</v>
      </c>
      <c r="E453" s="797"/>
      <c r="F453" s="798"/>
      <c r="G453" s="803"/>
      <c r="H453" s="803" t="s">
        <v>212</v>
      </c>
      <c r="I453" s="804">
        <v>2.4700000000000002</v>
      </c>
      <c r="J453" s="805">
        <f t="shared" si="12"/>
        <v>0</v>
      </c>
    </row>
    <row r="454" spans="1:10" s="1166" customFormat="1" ht="28.5">
      <c r="A454" s="799">
        <f>ROW()</f>
        <v>454</v>
      </c>
      <c r="B454" s="806">
        <f t="shared" si="13"/>
        <v>442</v>
      </c>
      <c r="C454" s="1175" t="s">
        <v>2514</v>
      </c>
      <c r="D454" s="802" t="s">
        <v>1939</v>
      </c>
      <c r="E454" s="797"/>
      <c r="F454" s="798"/>
      <c r="G454" s="803"/>
      <c r="H454" s="803" t="s">
        <v>212</v>
      </c>
      <c r="I454" s="804">
        <v>5.64</v>
      </c>
      <c r="J454" s="805">
        <f t="shared" si="12"/>
        <v>0</v>
      </c>
    </row>
    <row r="455" spans="1:10" s="1166" customFormat="1" ht="28.5">
      <c r="A455" s="799">
        <f>ROW()</f>
        <v>455</v>
      </c>
      <c r="B455" s="806">
        <f t="shared" si="13"/>
        <v>443</v>
      </c>
      <c r="C455" s="1175" t="s">
        <v>2514</v>
      </c>
      <c r="D455" s="802" t="s">
        <v>1940</v>
      </c>
      <c r="E455" s="797"/>
      <c r="F455" s="798"/>
      <c r="G455" s="803"/>
      <c r="H455" s="803" t="s">
        <v>212</v>
      </c>
      <c r="I455" s="804">
        <v>7.52</v>
      </c>
      <c r="J455" s="805">
        <f t="shared" si="12"/>
        <v>0</v>
      </c>
    </row>
    <row r="456" spans="1:10" s="1166" customFormat="1" ht="28.5">
      <c r="A456" s="799">
        <f>ROW()</f>
        <v>456</v>
      </c>
      <c r="B456" s="806">
        <f t="shared" si="13"/>
        <v>444</v>
      </c>
      <c r="C456" s="1175" t="s">
        <v>2514</v>
      </c>
      <c r="D456" s="802" t="s">
        <v>1941</v>
      </c>
      <c r="E456" s="797"/>
      <c r="F456" s="798"/>
      <c r="G456" s="803"/>
      <c r="H456" s="803" t="s">
        <v>212</v>
      </c>
      <c r="I456" s="804">
        <v>13.26</v>
      </c>
      <c r="J456" s="805">
        <f t="shared" si="12"/>
        <v>0</v>
      </c>
    </row>
    <row r="457" spans="1:10" s="1166" customFormat="1" ht="28.5">
      <c r="A457" s="799">
        <f>ROW()</f>
        <v>457</v>
      </c>
      <c r="B457" s="806">
        <f t="shared" si="13"/>
        <v>445</v>
      </c>
      <c r="C457" s="1175" t="s">
        <v>2514</v>
      </c>
      <c r="D457" s="802" t="s">
        <v>1942</v>
      </c>
      <c r="E457" s="797"/>
      <c r="F457" s="798"/>
      <c r="G457" s="803"/>
      <c r="H457" s="803" t="s">
        <v>212</v>
      </c>
      <c r="I457" s="804">
        <v>7.45</v>
      </c>
      <c r="J457" s="805">
        <f t="shared" si="12"/>
        <v>0</v>
      </c>
    </row>
    <row r="458" spans="1:10" s="1166" customFormat="1" ht="28.5">
      <c r="A458" s="799">
        <f>ROW()</f>
        <v>458</v>
      </c>
      <c r="B458" s="806">
        <f t="shared" si="13"/>
        <v>446</v>
      </c>
      <c r="C458" s="1175" t="s">
        <v>2514</v>
      </c>
      <c r="D458" s="802" t="s">
        <v>1943</v>
      </c>
      <c r="E458" s="797"/>
      <c r="F458" s="798"/>
      <c r="G458" s="803"/>
      <c r="H458" s="803" t="s">
        <v>212</v>
      </c>
      <c r="I458" s="804">
        <v>8.1999999999999993</v>
      </c>
      <c r="J458" s="805">
        <f t="shared" si="12"/>
        <v>0</v>
      </c>
    </row>
    <row r="459" spans="1:10" s="1166" customFormat="1" ht="28.5">
      <c r="A459" s="799">
        <f>ROW()</f>
        <v>459</v>
      </c>
      <c r="B459" s="806">
        <f t="shared" si="13"/>
        <v>447</v>
      </c>
      <c r="C459" s="1175" t="s">
        <v>2514</v>
      </c>
      <c r="D459" s="802" t="s">
        <v>1944</v>
      </c>
      <c r="E459" s="797"/>
      <c r="F459" s="798"/>
      <c r="G459" s="803"/>
      <c r="H459" s="803" t="s">
        <v>212</v>
      </c>
      <c r="I459" s="804">
        <v>3.51</v>
      </c>
      <c r="J459" s="805">
        <f t="shared" si="12"/>
        <v>0</v>
      </c>
    </row>
    <row r="460" spans="1:10" s="1166" customFormat="1" ht="28.5">
      <c r="A460" s="799">
        <f>ROW()</f>
        <v>460</v>
      </c>
      <c r="B460" s="806">
        <f t="shared" si="13"/>
        <v>448</v>
      </c>
      <c r="C460" s="1175" t="s">
        <v>2514</v>
      </c>
      <c r="D460" s="802" t="s">
        <v>1945</v>
      </c>
      <c r="E460" s="797"/>
      <c r="F460" s="798"/>
      <c r="G460" s="803"/>
      <c r="H460" s="803" t="s">
        <v>212</v>
      </c>
      <c r="I460" s="804">
        <v>8.43</v>
      </c>
      <c r="J460" s="805">
        <f t="shared" si="12"/>
        <v>0</v>
      </c>
    </row>
    <row r="461" spans="1:10" s="1166" customFormat="1" ht="28.5">
      <c r="A461" s="799">
        <f>ROW()</f>
        <v>461</v>
      </c>
      <c r="B461" s="806">
        <f t="shared" si="13"/>
        <v>449</v>
      </c>
      <c r="C461" s="1175" t="s">
        <v>2514</v>
      </c>
      <c r="D461" s="802" t="s">
        <v>1946</v>
      </c>
      <c r="E461" s="797"/>
      <c r="F461" s="798"/>
      <c r="G461" s="803"/>
      <c r="H461" s="803" t="s">
        <v>212</v>
      </c>
      <c r="I461" s="804">
        <v>5.47</v>
      </c>
      <c r="J461" s="805">
        <f>I461*G461</f>
        <v>0</v>
      </c>
    </row>
    <row r="462" spans="1:10" s="1166" customFormat="1" ht="28.5">
      <c r="A462" s="799">
        <f>ROW()</f>
        <v>462</v>
      </c>
      <c r="B462" s="806">
        <f t="shared" si="13"/>
        <v>450</v>
      </c>
      <c r="C462" s="1175" t="s">
        <v>2514</v>
      </c>
      <c r="D462" s="802" t="s">
        <v>1947</v>
      </c>
      <c r="E462" s="797"/>
      <c r="F462" s="798"/>
      <c r="G462" s="803"/>
      <c r="H462" s="803" t="s">
        <v>212</v>
      </c>
      <c r="I462" s="804">
        <v>1.27</v>
      </c>
      <c r="J462" s="805">
        <f>I462*G462</f>
        <v>0</v>
      </c>
    </row>
    <row r="463" spans="1:10" s="1166" customFormat="1" ht="28.5">
      <c r="A463" s="799">
        <f>ROW()</f>
        <v>463</v>
      </c>
      <c r="B463" s="806">
        <f t="shared" si="13"/>
        <v>451</v>
      </c>
      <c r="C463" s="1175" t="s">
        <v>2514</v>
      </c>
      <c r="D463" s="802" t="s">
        <v>1948</v>
      </c>
      <c r="E463" s="797"/>
      <c r="F463" s="798"/>
      <c r="G463" s="803"/>
      <c r="H463" s="803" t="s">
        <v>212</v>
      </c>
      <c r="I463" s="804">
        <v>0.9</v>
      </c>
      <c r="J463" s="805">
        <f>I463*G463</f>
        <v>0</v>
      </c>
    </row>
    <row r="464" spans="1:10" s="1166" customFormat="1">
      <c r="A464" s="813"/>
      <c r="B464" s="813"/>
      <c r="C464" s="813"/>
    </row>
    <row r="465" spans="1:3" s="1166" customFormat="1">
      <c r="A465" s="813"/>
      <c r="B465" s="813"/>
      <c r="C465" s="813"/>
    </row>
    <row r="467" spans="1:3" s="1166" customFormat="1">
      <c r="A467" s="813"/>
      <c r="B467" s="813"/>
      <c r="C467" s="813"/>
    </row>
  </sheetData>
  <mergeCells count="14">
    <mergeCell ref="J9:J10"/>
    <mergeCell ref="D4:H5"/>
    <mergeCell ref="B6:B7"/>
    <mergeCell ref="D9:D11"/>
    <mergeCell ref="E9:E11"/>
    <mergeCell ref="F9:F11"/>
    <mergeCell ref="G9:G10"/>
    <mergeCell ref="I9:I10"/>
    <mergeCell ref="A2:A4"/>
    <mergeCell ref="B2:J2"/>
    <mergeCell ref="B4:B5"/>
    <mergeCell ref="C4:C5"/>
    <mergeCell ref="I4:J4"/>
    <mergeCell ref="I5:J5"/>
  </mergeCells>
  <printOptions gridLines="1" gridLinesSet="0"/>
  <pageMargins left="0.25" right="0.78740157499999996" top="2.0299999999999998" bottom="0.984251969" header="0.4921259845" footer="0.4921259845"/>
  <pageSetup paperSize="9" scale="70" orientation="portrait" horizontalDpi="4294967292" verticalDpi="0"/>
  <headerFooter alignWithMargins="0">
    <oddHeader>&amp;L&amp;A&amp;C&amp;BI.U.F.M. U.R.S.S. Confidentiel&amp;B&amp;RPage &amp;P</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38</vt:i4>
      </vt:variant>
      <vt:variant>
        <vt:lpstr>Plages nommées</vt:lpstr>
      </vt:variant>
      <vt:variant>
        <vt:i4>1</vt:i4>
      </vt:variant>
    </vt:vector>
  </HeadingPairs>
  <TitlesOfParts>
    <vt:vector size="39" baseType="lpstr">
      <vt:lpstr>Nota</vt:lpstr>
      <vt:lpstr>contenu du classeur</vt:lpstr>
      <vt:lpstr>différence Portion et Poids</vt:lpstr>
      <vt:lpstr> M.emploi Modèle.8.A</vt:lpstr>
      <vt:lpstr>Modèle 8.A-Frechede</vt:lpstr>
      <vt:lpstr>M.emploi Modèle 8.B</vt:lpstr>
      <vt:lpstr>Modèle 8.B .Frechede</vt:lpstr>
      <vt:lpstr>Modèle 8.C</vt:lpstr>
      <vt:lpstr>MERCURIALE</vt:lpstr>
      <vt:lpstr>FF.8.B.Terrine de langoustine</vt:lpstr>
      <vt:lpstr>patience tomate iceberg (2)</vt:lpstr>
      <vt:lpstr>bouchées de foie gras (2)</vt:lpstr>
      <vt:lpstr>cromesquis de brie (2)</vt:lpstr>
      <vt:lpstr>creme glacée au céléri (2)</vt:lpstr>
      <vt:lpstr>nikujyaga (2)</vt:lpstr>
      <vt:lpstr>nigri-sushi-maki (2)</vt:lpstr>
      <vt:lpstr>dorayaki (2)</vt:lpstr>
      <vt:lpstr>soupe miso (2)</vt:lpstr>
      <vt:lpstr>tsukune de volaille (2)</vt:lpstr>
      <vt:lpstr>supreme de volaille</vt:lpstr>
      <vt:lpstr>pigeonneau (2)</vt:lpstr>
      <vt:lpstr>st jacques et rizotto (2)</vt:lpstr>
      <vt:lpstr>rouget plancha (2)</vt:lpstr>
      <vt:lpstr>verrine rhubarbe (2)</vt:lpstr>
      <vt:lpstr>sphère chocolat (2)</vt:lpstr>
      <vt:lpstr>sorbet bergamote</vt:lpstr>
      <vt:lpstr>sorbet bergamote 2</vt:lpstr>
      <vt:lpstr>Mode emploi.Sorbet.bergamote</vt:lpstr>
      <vt:lpstr>Formats-formules-pourcentages</vt:lpstr>
      <vt:lpstr>Conversions en Kg</vt:lpstr>
      <vt:lpstr>Contenants</vt:lpstr>
      <vt:lpstr>Formats-Formules-Fonctions</vt:lpstr>
      <vt:lpstr>Cuisiniers.Pesez</vt:lpstr>
      <vt:lpstr>Vocabulaire</vt:lpstr>
      <vt:lpstr>Polices de Symboles</vt:lpstr>
      <vt:lpstr>Emoticones </vt:lpstr>
      <vt:lpstr>Tutos Youtube</vt:lpstr>
      <vt:lpstr>CODES COULEURS</vt:lpstr>
      <vt:lpstr>'supreme de volaille'!Zone_d_impression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dcterms:created xsi:type="dcterms:W3CDTF">2018-01-04T17:48:50Z</dcterms:created>
  <dcterms:modified xsi:type="dcterms:W3CDTF">2021-12-15T10:05:58Z</dcterms:modified>
</cp:coreProperties>
</file>